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7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Scale" sheetId="7" r:id="rId7"/>
    <sheet name="FoodLog" sheetId="8" r:id="rId8"/>
    <sheet name="FoodDB" sheetId="9" r:id="rId9"/>
    <sheet name="H2O_Fasting" sheetId="10" r:id="rId10"/>
  </sheets>
  <definedNames>
    <definedName name="__xlnm._FilterDatabase" localSheetId="8">FoodDB!$A$1:$I$20</definedName>
    <definedName name="_xlnm._FilterDatabase" localSheetId="8">FoodDB!$A$1:$I$20</definedName>
    <definedName name="_FilterDatabase_0" localSheetId="8">FoodDB!$A$1:$I$20</definedName>
    <definedName name="_FilterDatabase_0_0" localSheetId="8">FoodDB!$A$1:$I$20</definedName>
    <definedName name="_FilterDatabase_0_0_0" localSheetId="8">FoodDB!$A$1:$I$20</definedName>
    <definedName name="_FilterDatabase_0_0_0_0" localSheetId="8">FoodDB!$A$1:$I$20</definedName>
    <definedName name="_FilterDatabase_0_0_0_0_0" localSheetId="8">FoodDB!$A$1:$I$20</definedName>
    <definedName name="df" localSheetId="8">FoodDB!$A$1:$I$20</definedName>
    <definedName name="filter2" localSheetId="8">FoodDB!$A$1:$I$20</definedName>
    <definedName name="filter5" localSheetId="8">FoodDB!$A$1:$I$20</definedName>
    <definedName name="sdfsdf" localSheetId="8">FoodDB!$A$1:$I$20</definedName>
    <definedName name="that" localSheetId="8">FoodDB!$A$1:$I$20</definedName>
    <definedName name="this" localSheetId="8">FoodDB!$A$1:$I$20</definedName>
    <definedName name="wer" localSheetId="8">FoodDB!$A$1:$I$20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10" l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C3" i="10"/>
  <c r="H35" i="9"/>
  <c r="G35" i="9"/>
  <c r="F35" i="9"/>
  <c r="I35" i="9" s="1"/>
  <c r="H34" i="9"/>
  <c r="G34" i="9"/>
  <c r="F34" i="9"/>
  <c r="I34" i="9" s="1"/>
  <c r="H33" i="9"/>
  <c r="G33" i="9"/>
  <c r="F33" i="9"/>
  <c r="I33" i="9" s="1"/>
  <c r="H32" i="9"/>
  <c r="G32" i="9"/>
  <c r="F32" i="9"/>
  <c r="I32" i="9" s="1"/>
  <c r="H31" i="9"/>
  <c r="G31" i="9"/>
  <c r="F31" i="9"/>
  <c r="I31" i="9" s="1"/>
  <c r="H30" i="9"/>
  <c r="G30" i="9"/>
  <c r="F30" i="9"/>
  <c r="I30" i="9" s="1"/>
  <c r="H29" i="9"/>
  <c r="G29" i="9"/>
  <c r="F29" i="9"/>
  <c r="I29" i="9" s="1"/>
  <c r="H28" i="9"/>
  <c r="G28" i="9"/>
  <c r="F28" i="9"/>
  <c r="I28" i="9" s="1"/>
  <c r="H27" i="9"/>
  <c r="G27" i="9"/>
  <c r="F27" i="9"/>
  <c r="I27" i="9" s="1"/>
  <c r="H26" i="9"/>
  <c r="G26" i="9"/>
  <c r="F26" i="9"/>
  <c r="I26" i="9" s="1"/>
  <c r="H25" i="9"/>
  <c r="G25" i="9"/>
  <c r="F25" i="9"/>
  <c r="I25" i="9" s="1"/>
  <c r="H24" i="9"/>
  <c r="G24" i="9"/>
  <c r="F24" i="9"/>
  <c r="I24" i="9" s="1"/>
  <c r="H23" i="9"/>
  <c r="G23" i="9"/>
  <c r="F23" i="9"/>
  <c r="I23" i="9" s="1"/>
  <c r="H22" i="9"/>
  <c r="G22" i="9"/>
  <c r="F22" i="9"/>
  <c r="I22" i="9" s="1"/>
  <c r="H21" i="9"/>
  <c r="G21" i="9"/>
  <c r="F21" i="9"/>
  <c r="I20" i="9"/>
  <c r="H20" i="9"/>
  <c r="G20" i="9"/>
  <c r="F20" i="9"/>
  <c r="I19" i="9"/>
  <c r="H19" i="9"/>
  <c r="G19" i="9"/>
  <c r="F19" i="9"/>
  <c r="I18" i="9"/>
  <c r="H18" i="9"/>
  <c r="G18" i="9"/>
  <c r="F18" i="9"/>
  <c r="I17" i="9"/>
  <c r="H17" i="9"/>
  <c r="G17" i="9"/>
  <c r="F17" i="9"/>
  <c r="I16" i="9"/>
  <c r="H16" i="9"/>
  <c r="G16" i="9"/>
  <c r="F16" i="9"/>
  <c r="I15" i="9"/>
  <c r="H15" i="9"/>
  <c r="G15" i="9"/>
  <c r="F15" i="9"/>
  <c r="I14" i="9"/>
  <c r="H14" i="9"/>
  <c r="G14" i="9"/>
  <c r="F14" i="9"/>
  <c r="I13" i="9"/>
  <c r="H13" i="9"/>
  <c r="G13" i="9"/>
  <c r="F13" i="9"/>
  <c r="I12" i="9"/>
  <c r="H12" i="9"/>
  <c r="G12" i="9"/>
  <c r="F12" i="9"/>
  <c r="I11" i="9"/>
  <c r="H11" i="9"/>
  <c r="G11" i="9"/>
  <c r="F11" i="9"/>
  <c r="I10" i="9"/>
  <c r="H10" i="9"/>
  <c r="G10" i="9"/>
  <c r="F10" i="9"/>
  <c r="I9" i="9"/>
  <c r="H9" i="9"/>
  <c r="G9" i="9"/>
  <c r="F9" i="9"/>
  <c r="H8" i="9"/>
  <c r="F8" i="9"/>
  <c r="D8" i="9"/>
  <c r="G8" i="9" s="1"/>
  <c r="I8" i="9" s="1"/>
  <c r="H7" i="9"/>
  <c r="G7" i="9"/>
  <c r="F7" i="9"/>
  <c r="I7" i="9" s="1"/>
  <c r="H6" i="9"/>
  <c r="G6" i="9"/>
  <c r="F6" i="9"/>
  <c r="I6" i="9" s="1"/>
  <c r="E6" i="9"/>
  <c r="D6" i="9"/>
  <c r="C6" i="9"/>
  <c r="I5" i="9"/>
  <c r="H5" i="9"/>
  <c r="G5" i="9"/>
  <c r="F5" i="9"/>
  <c r="I4" i="9"/>
  <c r="H4" i="9"/>
  <c r="G4" i="9"/>
  <c r="F4" i="9"/>
  <c r="I3" i="9"/>
  <c r="H3" i="9"/>
  <c r="G3" i="9"/>
  <c r="F3" i="9"/>
  <c r="I2" i="9"/>
  <c r="J1296" i="8" s="1"/>
  <c r="H2" i="9"/>
  <c r="G2" i="9"/>
  <c r="F2" i="9"/>
  <c r="I1298" i="8"/>
  <c r="H1298" i="8"/>
  <c r="G1298" i="8"/>
  <c r="F1298" i="8"/>
  <c r="E1298" i="8"/>
  <c r="D1298" i="8"/>
  <c r="J1297" i="8"/>
  <c r="I1297" i="8"/>
  <c r="H1297" i="8"/>
  <c r="G1297" i="8"/>
  <c r="F1297" i="8"/>
  <c r="E1297" i="8"/>
  <c r="D1297" i="8"/>
  <c r="I1296" i="8"/>
  <c r="H1296" i="8"/>
  <c r="G1296" i="8"/>
  <c r="F1296" i="8"/>
  <c r="E1296" i="8"/>
  <c r="D1296" i="8"/>
  <c r="J1295" i="8"/>
  <c r="I1295" i="8"/>
  <c r="H1295" i="8"/>
  <c r="G1295" i="8"/>
  <c r="F1295" i="8"/>
  <c r="E1295" i="8"/>
  <c r="D1295" i="8"/>
  <c r="I1294" i="8"/>
  <c r="H1294" i="8"/>
  <c r="G1294" i="8"/>
  <c r="F1294" i="8"/>
  <c r="E1294" i="8"/>
  <c r="D1294" i="8"/>
  <c r="J1293" i="8"/>
  <c r="I1293" i="8"/>
  <c r="H1293" i="8"/>
  <c r="G1293" i="8"/>
  <c r="F1293" i="8"/>
  <c r="E1293" i="8"/>
  <c r="D1293" i="8"/>
  <c r="I1292" i="8"/>
  <c r="I1299" i="8" s="1"/>
  <c r="H1292" i="8"/>
  <c r="G1292" i="8"/>
  <c r="F1292" i="8"/>
  <c r="E1292" i="8"/>
  <c r="D1292" i="8"/>
  <c r="J1291" i="8"/>
  <c r="I1291" i="8"/>
  <c r="H1291" i="8"/>
  <c r="G1291" i="8"/>
  <c r="F1291" i="8"/>
  <c r="E1291" i="8"/>
  <c r="D1291" i="8"/>
  <c r="J1286" i="8"/>
  <c r="I1286" i="8"/>
  <c r="H1286" i="8"/>
  <c r="G1286" i="8"/>
  <c r="F1286" i="8"/>
  <c r="E1286" i="8"/>
  <c r="D1286" i="8"/>
  <c r="I1285" i="8"/>
  <c r="H1285" i="8"/>
  <c r="G1285" i="8"/>
  <c r="F1285" i="8"/>
  <c r="E1285" i="8"/>
  <c r="D1285" i="8"/>
  <c r="J1284" i="8"/>
  <c r="I1284" i="8"/>
  <c r="H1284" i="8"/>
  <c r="G1284" i="8"/>
  <c r="F1284" i="8"/>
  <c r="E1284" i="8"/>
  <c r="D1284" i="8"/>
  <c r="I1283" i="8"/>
  <c r="H1283" i="8"/>
  <c r="G1283" i="8"/>
  <c r="F1283" i="8"/>
  <c r="E1283" i="8"/>
  <c r="D1283" i="8"/>
  <c r="J1282" i="8"/>
  <c r="I1282" i="8"/>
  <c r="H1282" i="8"/>
  <c r="H1287" i="8" s="1"/>
  <c r="G1282" i="8"/>
  <c r="F1282" i="8"/>
  <c r="E1282" i="8"/>
  <c r="D1282" i="8"/>
  <c r="I1281" i="8"/>
  <c r="H1281" i="8"/>
  <c r="G1281" i="8"/>
  <c r="G1287" i="8" s="1"/>
  <c r="F1281" i="8"/>
  <c r="E1281" i="8"/>
  <c r="D1281" i="8"/>
  <c r="J1280" i="8"/>
  <c r="I1280" i="8"/>
  <c r="I1287" i="8" s="1"/>
  <c r="H1280" i="8"/>
  <c r="M1280" i="8" s="1"/>
  <c r="G1280" i="8"/>
  <c r="L1280" i="8" s="1"/>
  <c r="F1280" i="8"/>
  <c r="E1280" i="8"/>
  <c r="D1280" i="8"/>
  <c r="J1279" i="8"/>
  <c r="I1279" i="8"/>
  <c r="H1279" i="8"/>
  <c r="G1279" i="8"/>
  <c r="F1279" i="8"/>
  <c r="E1279" i="8"/>
  <c r="D1279" i="8"/>
  <c r="I1274" i="8"/>
  <c r="H1274" i="8"/>
  <c r="G1274" i="8"/>
  <c r="F1274" i="8"/>
  <c r="E1274" i="8"/>
  <c r="D1274" i="8"/>
  <c r="J1273" i="8"/>
  <c r="I1273" i="8"/>
  <c r="H1273" i="8"/>
  <c r="G1273" i="8"/>
  <c r="F1273" i="8"/>
  <c r="E1273" i="8"/>
  <c r="D1273" i="8"/>
  <c r="I1272" i="8"/>
  <c r="H1272" i="8"/>
  <c r="G1272" i="8"/>
  <c r="F1272" i="8"/>
  <c r="E1272" i="8"/>
  <c r="D1272" i="8"/>
  <c r="J1271" i="8"/>
  <c r="I1271" i="8"/>
  <c r="H1271" i="8"/>
  <c r="G1271" i="8"/>
  <c r="F1271" i="8"/>
  <c r="E1271" i="8"/>
  <c r="D1271" i="8"/>
  <c r="I1270" i="8"/>
  <c r="I1275" i="8" s="1"/>
  <c r="H1270" i="8"/>
  <c r="G1270" i="8"/>
  <c r="F1270" i="8"/>
  <c r="E1270" i="8"/>
  <c r="D1270" i="8"/>
  <c r="J1269" i="8"/>
  <c r="I1269" i="8"/>
  <c r="H1269" i="8"/>
  <c r="H1275" i="8" s="1"/>
  <c r="G1269" i="8"/>
  <c r="F1269" i="8"/>
  <c r="E1269" i="8"/>
  <c r="D1269" i="8"/>
  <c r="I1268" i="8"/>
  <c r="N1268" i="8" s="1"/>
  <c r="H1268" i="8"/>
  <c r="M1268" i="8" s="1"/>
  <c r="G1268" i="8"/>
  <c r="G1275" i="8" s="1"/>
  <c r="J1275" i="8" s="1"/>
  <c r="F1268" i="8"/>
  <c r="E1268" i="8"/>
  <c r="D1268" i="8"/>
  <c r="J1267" i="8"/>
  <c r="I1267" i="8"/>
  <c r="H1267" i="8"/>
  <c r="G1267" i="8"/>
  <c r="F1267" i="8"/>
  <c r="E1267" i="8"/>
  <c r="D1267" i="8"/>
  <c r="J1262" i="8"/>
  <c r="I1262" i="8"/>
  <c r="H1262" i="8"/>
  <c r="G1262" i="8"/>
  <c r="F1262" i="8"/>
  <c r="E1262" i="8"/>
  <c r="D1262" i="8"/>
  <c r="I1261" i="8"/>
  <c r="H1261" i="8"/>
  <c r="G1261" i="8"/>
  <c r="F1261" i="8"/>
  <c r="E1261" i="8"/>
  <c r="D1261" i="8"/>
  <c r="J1260" i="8"/>
  <c r="I1260" i="8"/>
  <c r="H1260" i="8"/>
  <c r="G1260" i="8"/>
  <c r="F1260" i="8"/>
  <c r="E1260" i="8"/>
  <c r="D1260" i="8"/>
  <c r="I1259" i="8"/>
  <c r="H1259" i="8"/>
  <c r="G1259" i="8"/>
  <c r="F1259" i="8"/>
  <c r="E1259" i="8"/>
  <c r="D1259" i="8"/>
  <c r="J1258" i="8"/>
  <c r="I1258" i="8"/>
  <c r="H1258" i="8"/>
  <c r="G1258" i="8"/>
  <c r="F1258" i="8"/>
  <c r="E1258" i="8"/>
  <c r="D1258" i="8"/>
  <c r="I1257" i="8"/>
  <c r="I1263" i="8" s="1"/>
  <c r="H1257" i="8"/>
  <c r="G1257" i="8"/>
  <c r="F1257" i="8"/>
  <c r="E1257" i="8"/>
  <c r="D1257" i="8"/>
  <c r="J1256" i="8"/>
  <c r="I1256" i="8"/>
  <c r="N1256" i="8" s="1"/>
  <c r="H1256" i="8"/>
  <c r="H1263" i="8" s="1"/>
  <c r="G1256" i="8"/>
  <c r="G1263" i="8" s="1"/>
  <c r="F1256" i="8"/>
  <c r="E1256" i="8"/>
  <c r="D1256" i="8"/>
  <c r="J1255" i="8"/>
  <c r="I1255" i="8"/>
  <c r="H1255" i="8"/>
  <c r="G1255" i="8"/>
  <c r="F1255" i="8"/>
  <c r="E1255" i="8"/>
  <c r="D1255" i="8"/>
  <c r="I1250" i="8"/>
  <c r="H1250" i="8"/>
  <c r="G1250" i="8"/>
  <c r="F1250" i="8"/>
  <c r="E1250" i="8"/>
  <c r="D1250" i="8"/>
  <c r="J1249" i="8"/>
  <c r="I1249" i="8"/>
  <c r="H1249" i="8"/>
  <c r="G1249" i="8"/>
  <c r="F1249" i="8"/>
  <c r="E1249" i="8"/>
  <c r="D1249" i="8"/>
  <c r="I1248" i="8"/>
  <c r="H1248" i="8"/>
  <c r="G1248" i="8"/>
  <c r="F1248" i="8"/>
  <c r="E1248" i="8"/>
  <c r="D1248" i="8"/>
  <c r="J1247" i="8"/>
  <c r="I1247" i="8"/>
  <c r="H1247" i="8"/>
  <c r="G1247" i="8"/>
  <c r="F1247" i="8"/>
  <c r="E1247" i="8"/>
  <c r="D1247" i="8"/>
  <c r="J1246" i="8"/>
  <c r="I1246" i="8"/>
  <c r="H1246" i="8"/>
  <c r="G1246" i="8"/>
  <c r="G1251" i="8" s="1"/>
  <c r="F1246" i="8"/>
  <c r="E1246" i="8"/>
  <c r="D1246" i="8"/>
  <c r="J1245" i="8"/>
  <c r="I1245" i="8"/>
  <c r="H1245" i="8"/>
  <c r="G1245" i="8"/>
  <c r="F1245" i="8"/>
  <c r="E1245" i="8"/>
  <c r="D1245" i="8"/>
  <c r="I1244" i="8"/>
  <c r="I1251" i="8" s="1"/>
  <c r="H1244" i="8"/>
  <c r="H1251" i="8" s="1"/>
  <c r="G1244" i="8"/>
  <c r="L1244" i="8" s="1"/>
  <c r="F1244" i="8"/>
  <c r="E1244" i="8"/>
  <c r="D1244" i="8"/>
  <c r="J1243" i="8"/>
  <c r="I1243" i="8"/>
  <c r="H1243" i="8"/>
  <c r="G1243" i="8"/>
  <c r="F1243" i="8"/>
  <c r="E1243" i="8"/>
  <c r="D1243" i="8"/>
  <c r="J1238" i="8"/>
  <c r="I1238" i="8"/>
  <c r="H1238" i="8"/>
  <c r="G1238" i="8"/>
  <c r="F1238" i="8"/>
  <c r="E1238" i="8"/>
  <c r="D1238" i="8"/>
  <c r="J1237" i="8"/>
  <c r="I1237" i="8"/>
  <c r="H1237" i="8"/>
  <c r="G1237" i="8"/>
  <c r="F1237" i="8"/>
  <c r="E1237" i="8"/>
  <c r="D1237" i="8"/>
  <c r="J1236" i="8"/>
  <c r="I1236" i="8"/>
  <c r="H1236" i="8"/>
  <c r="G1236" i="8"/>
  <c r="F1236" i="8"/>
  <c r="E1236" i="8"/>
  <c r="D1236" i="8"/>
  <c r="I1235" i="8"/>
  <c r="H1235" i="8"/>
  <c r="G1235" i="8"/>
  <c r="F1235" i="8"/>
  <c r="E1235" i="8"/>
  <c r="D1235" i="8"/>
  <c r="J1234" i="8"/>
  <c r="I1234" i="8"/>
  <c r="H1234" i="8"/>
  <c r="H1239" i="8" s="1"/>
  <c r="G1234" i="8"/>
  <c r="F1234" i="8"/>
  <c r="E1234" i="8"/>
  <c r="D1234" i="8"/>
  <c r="J1233" i="8"/>
  <c r="I1233" i="8"/>
  <c r="H1233" i="8"/>
  <c r="G1233" i="8"/>
  <c r="G1239" i="8" s="1"/>
  <c r="J1239" i="8" s="1"/>
  <c r="F1233" i="8"/>
  <c r="E1233" i="8"/>
  <c r="D1233" i="8"/>
  <c r="J1232" i="8"/>
  <c r="I1232" i="8"/>
  <c r="I1239" i="8" s="1"/>
  <c r="H1232" i="8"/>
  <c r="M1232" i="8" s="1"/>
  <c r="G1232" i="8"/>
  <c r="L1232" i="8" s="1"/>
  <c r="F1232" i="8"/>
  <c r="E1232" i="8"/>
  <c r="D1232" i="8"/>
  <c r="J1231" i="8"/>
  <c r="I1231" i="8"/>
  <c r="H1231" i="8"/>
  <c r="G1231" i="8"/>
  <c r="F1231" i="8"/>
  <c r="E1231" i="8"/>
  <c r="D1231" i="8"/>
  <c r="I1226" i="8"/>
  <c r="H1226" i="8"/>
  <c r="G1226" i="8"/>
  <c r="F1226" i="8"/>
  <c r="E1226" i="8"/>
  <c r="D1226" i="8"/>
  <c r="J1225" i="8"/>
  <c r="I1225" i="8"/>
  <c r="H1225" i="8"/>
  <c r="G1225" i="8"/>
  <c r="F1225" i="8"/>
  <c r="E1225" i="8"/>
  <c r="D1225" i="8"/>
  <c r="J1224" i="8"/>
  <c r="I1224" i="8"/>
  <c r="H1224" i="8"/>
  <c r="G1224" i="8"/>
  <c r="F1224" i="8"/>
  <c r="E1224" i="8"/>
  <c r="D1224" i="8"/>
  <c r="J1223" i="8"/>
  <c r="I1223" i="8"/>
  <c r="H1223" i="8"/>
  <c r="G1223" i="8"/>
  <c r="F1223" i="8"/>
  <c r="E1223" i="8"/>
  <c r="D1223" i="8"/>
  <c r="I1222" i="8"/>
  <c r="I1227" i="8" s="1"/>
  <c r="H1222" i="8"/>
  <c r="G1222" i="8"/>
  <c r="F1222" i="8"/>
  <c r="E1222" i="8"/>
  <c r="D1222" i="8"/>
  <c r="J1221" i="8"/>
  <c r="I1221" i="8"/>
  <c r="H1221" i="8"/>
  <c r="H1227" i="8" s="1"/>
  <c r="G1221" i="8"/>
  <c r="F1221" i="8"/>
  <c r="E1221" i="8"/>
  <c r="D1221" i="8"/>
  <c r="J1220" i="8"/>
  <c r="I1220" i="8"/>
  <c r="N1220" i="8" s="1"/>
  <c r="H1220" i="8"/>
  <c r="M1220" i="8" s="1"/>
  <c r="G1220" i="8"/>
  <c r="G1227" i="8" s="1"/>
  <c r="J1227" i="8" s="1"/>
  <c r="F1220" i="8"/>
  <c r="E1220" i="8"/>
  <c r="D1220" i="8"/>
  <c r="J1219" i="8"/>
  <c r="I1219" i="8"/>
  <c r="H1219" i="8"/>
  <c r="G1219" i="8"/>
  <c r="F1219" i="8"/>
  <c r="E1219" i="8"/>
  <c r="D1219" i="8"/>
  <c r="J1214" i="8"/>
  <c r="I1214" i="8"/>
  <c r="H1214" i="8"/>
  <c r="G1214" i="8"/>
  <c r="F1214" i="8"/>
  <c r="E1214" i="8"/>
  <c r="D1214" i="8"/>
  <c r="I1213" i="8"/>
  <c r="H1213" i="8"/>
  <c r="G1213" i="8"/>
  <c r="F1213" i="8"/>
  <c r="E1213" i="8"/>
  <c r="D1213" i="8"/>
  <c r="J1212" i="8"/>
  <c r="I1212" i="8"/>
  <c r="H1212" i="8"/>
  <c r="G1212" i="8"/>
  <c r="F1212" i="8"/>
  <c r="E1212" i="8"/>
  <c r="D1212" i="8"/>
  <c r="J1211" i="8"/>
  <c r="I1211" i="8"/>
  <c r="H1211" i="8"/>
  <c r="G1211" i="8"/>
  <c r="F1211" i="8"/>
  <c r="E1211" i="8"/>
  <c r="D1211" i="8"/>
  <c r="J1210" i="8"/>
  <c r="I1210" i="8"/>
  <c r="H1210" i="8"/>
  <c r="G1210" i="8"/>
  <c r="F1210" i="8"/>
  <c r="E1210" i="8"/>
  <c r="D1210" i="8"/>
  <c r="I1209" i="8"/>
  <c r="I1215" i="8" s="1"/>
  <c r="H1209" i="8"/>
  <c r="G1209" i="8"/>
  <c r="F1209" i="8"/>
  <c r="E1209" i="8"/>
  <c r="D1209" i="8"/>
  <c r="J1208" i="8"/>
  <c r="I1208" i="8"/>
  <c r="N1208" i="8" s="1"/>
  <c r="H1208" i="8"/>
  <c r="H1215" i="8" s="1"/>
  <c r="G1208" i="8"/>
  <c r="G1215" i="8" s="1"/>
  <c r="F1208" i="8"/>
  <c r="E1208" i="8"/>
  <c r="D1208" i="8"/>
  <c r="J1207" i="8"/>
  <c r="I1207" i="8"/>
  <c r="H1207" i="8"/>
  <c r="G1207" i="8"/>
  <c r="F1207" i="8"/>
  <c r="E1207" i="8"/>
  <c r="D1207" i="8"/>
  <c r="J1202" i="8"/>
  <c r="I1202" i="8"/>
  <c r="H1202" i="8"/>
  <c r="G1202" i="8"/>
  <c r="F1202" i="8"/>
  <c r="E1202" i="8"/>
  <c r="D1202" i="8"/>
  <c r="J1201" i="8"/>
  <c r="I1201" i="8"/>
  <c r="H1201" i="8"/>
  <c r="G1201" i="8"/>
  <c r="F1201" i="8"/>
  <c r="E1201" i="8"/>
  <c r="D1201" i="8"/>
  <c r="J1200" i="8"/>
  <c r="I1200" i="8"/>
  <c r="H1200" i="8"/>
  <c r="G1200" i="8"/>
  <c r="F1200" i="8"/>
  <c r="E1200" i="8"/>
  <c r="D1200" i="8"/>
  <c r="J1199" i="8"/>
  <c r="I1199" i="8"/>
  <c r="H1199" i="8"/>
  <c r="G1199" i="8"/>
  <c r="F1199" i="8"/>
  <c r="E1199" i="8"/>
  <c r="D1199" i="8"/>
  <c r="J1198" i="8"/>
  <c r="I1198" i="8"/>
  <c r="H1198" i="8"/>
  <c r="G1198" i="8"/>
  <c r="G1203" i="8" s="1"/>
  <c r="F1198" i="8"/>
  <c r="E1198" i="8"/>
  <c r="D1198" i="8"/>
  <c r="J1197" i="8"/>
  <c r="I1197" i="8"/>
  <c r="H1197" i="8"/>
  <c r="G1197" i="8"/>
  <c r="F1197" i="8"/>
  <c r="E1197" i="8"/>
  <c r="D1197" i="8"/>
  <c r="J1196" i="8"/>
  <c r="I1196" i="8"/>
  <c r="I1203" i="8" s="1"/>
  <c r="H1196" i="8"/>
  <c r="H1203" i="8" s="1"/>
  <c r="G1196" i="8"/>
  <c r="L1196" i="8" s="1"/>
  <c r="F1196" i="8"/>
  <c r="E1196" i="8"/>
  <c r="D1196" i="8"/>
  <c r="J1195" i="8"/>
  <c r="I1195" i="8"/>
  <c r="H1195" i="8"/>
  <c r="G1195" i="8"/>
  <c r="F1195" i="8"/>
  <c r="E1195" i="8"/>
  <c r="D1195" i="8"/>
  <c r="J1190" i="8"/>
  <c r="I1190" i="8"/>
  <c r="H1190" i="8"/>
  <c r="G1190" i="8"/>
  <c r="F1190" i="8"/>
  <c r="E1190" i="8"/>
  <c r="D1190" i="8"/>
  <c r="J1189" i="8"/>
  <c r="I1189" i="8"/>
  <c r="H1189" i="8"/>
  <c r="G1189" i="8"/>
  <c r="F1189" i="8"/>
  <c r="E1189" i="8"/>
  <c r="D1189" i="8"/>
  <c r="J1188" i="8"/>
  <c r="I1188" i="8"/>
  <c r="H1188" i="8"/>
  <c r="G1188" i="8"/>
  <c r="F1188" i="8"/>
  <c r="E1188" i="8"/>
  <c r="D1188" i="8"/>
  <c r="J1187" i="8"/>
  <c r="I1187" i="8"/>
  <c r="H1187" i="8"/>
  <c r="G1187" i="8"/>
  <c r="F1187" i="8"/>
  <c r="E1187" i="8"/>
  <c r="D1187" i="8"/>
  <c r="J1186" i="8"/>
  <c r="I1186" i="8"/>
  <c r="H1186" i="8"/>
  <c r="H1191" i="8" s="1"/>
  <c r="G1186" i="8"/>
  <c r="F1186" i="8"/>
  <c r="E1186" i="8"/>
  <c r="D1186" i="8"/>
  <c r="J1185" i="8"/>
  <c r="I1185" i="8"/>
  <c r="H1185" i="8"/>
  <c r="G1185" i="8"/>
  <c r="G1191" i="8" s="1"/>
  <c r="J1191" i="8" s="1"/>
  <c r="F1185" i="8"/>
  <c r="E1185" i="8"/>
  <c r="D1185" i="8"/>
  <c r="J1184" i="8"/>
  <c r="I1184" i="8"/>
  <c r="I1191" i="8" s="1"/>
  <c r="H1184" i="8"/>
  <c r="M1184" i="8" s="1"/>
  <c r="G1184" i="8"/>
  <c r="L1184" i="8" s="1"/>
  <c r="F1184" i="8"/>
  <c r="E1184" i="8"/>
  <c r="D1184" i="8"/>
  <c r="J1183" i="8"/>
  <c r="I1183" i="8"/>
  <c r="H1183" i="8"/>
  <c r="G1183" i="8"/>
  <c r="F1183" i="8"/>
  <c r="E1183" i="8"/>
  <c r="D1183" i="8"/>
  <c r="J1178" i="8"/>
  <c r="I1178" i="8"/>
  <c r="H1178" i="8"/>
  <c r="G1178" i="8"/>
  <c r="F1178" i="8"/>
  <c r="E1178" i="8"/>
  <c r="D1178" i="8"/>
  <c r="J1177" i="8"/>
  <c r="I1177" i="8"/>
  <c r="H1177" i="8"/>
  <c r="G1177" i="8"/>
  <c r="F1177" i="8"/>
  <c r="E1177" i="8"/>
  <c r="D1177" i="8"/>
  <c r="J1176" i="8"/>
  <c r="I1176" i="8"/>
  <c r="H1176" i="8"/>
  <c r="G1176" i="8"/>
  <c r="F1176" i="8"/>
  <c r="E1176" i="8"/>
  <c r="D1176" i="8"/>
  <c r="J1175" i="8"/>
  <c r="I1175" i="8"/>
  <c r="H1175" i="8"/>
  <c r="G1175" i="8"/>
  <c r="F1175" i="8"/>
  <c r="E1175" i="8"/>
  <c r="D1175" i="8"/>
  <c r="J1174" i="8"/>
  <c r="I1174" i="8"/>
  <c r="I1179" i="8" s="1"/>
  <c r="H1174" i="8"/>
  <c r="G1174" i="8"/>
  <c r="F1174" i="8"/>
  <c r="E1174" i="8"/>
  <c r="D1174" i="8"/>
  <c r="J1173" i="8"/>
  <c r="I1173" i="8"/>
  <c r="H1173" i="8"/>
  <c r="H1179" i="8" s="1"/>
  <c r="G1173" i="8"/>
  <c r="F1173" i="8"/>
  <c r="E1173" i="8"/>
  <c r="D1173" i="8"/>
  <c r="J1172" i="8"/>
  <c r="I1172" i="8"/>
  <c r="N1172" i="8" s="1"/>
  <c r="H1172" i="8"/>
  <c r="M1172" i="8" s="1"/>
  <c r="G1172" i="8"/>
  <c r="G1179" i="8" s="1"/>
  <c r="J1179" i="8" s="1"/>
  <c r="F1172" i="8"/>
  <c r="E1172" i="8"/>
  <c r="D1172" i="8"/>
  <c r="J1171" i="8"/>
  <c r="I1171" i="8"/>
  <c r="H1171" i="8"/>
  <c r="G1171" i="8"/>
  <c r="F1171" i="8"/>
  <c r="E1171" i="8"/>
  <c r="D1171" i="8"/>
  <c r="J1166" i="8"/>
  <c r="I1166" i="8"/>
  <c r="H1166" i="8"/>
  <c r="G1166" i="8"/>
  <c r="F1166" i="8"/>
  <c r="E1166" i="8"/>
  <c r="D1166" i="8"/>
  <c r="J1165" i="8"/>
  <c r="I1165" i="8"/>
  <c r="H1165" i="8"/>
  <c r="G1165" i="8"/>
  <c r="F1165" i="8"/>
  <c r="E1165" i="8"/>
  <c r="D1165" i="8"/>
  <c r="J1164" i="8"/>
  <c r="I1164" i="8"/>
  <c r="H1164" i="8"/>
  <c r="G1164" i="8"/>
  <c r="F1164" i="8"/>
  <c r="E1164" i="8"/>
  <c r="D1164" i="8"/>
  <c r="J1163" i="8"/>
  <c r="I1163" i="8"/>
  <c r="H1163" i="8"/>
  <c r="G1163" i="8"/>
  <c r="F1163" i="8"/>
  <c r="E1163" i="8"/>
  <c r="D1163" i="8"/>
  <c r="J1162" i="8"/>
  <c r="I1162" i="8"/>
  <c r="H1162" i="8"/>
  <c r="G1162" i="8"/>
  <c r="F1162" i="8"/>
  <c r="E1162" i="8"/>
  <c r="D1162" i="8"/>
  <c r="J1161" i="8"/>
  <c r="I1161" i="8"/>
  <c r="I1167" i="8" s="1"/>
  <c r="H1161" i="8"/>
  <c r="G1161" i="8"/>
  <c r="F1161" i="8"/>
  <c r="E1161" i="8"/>
  <c r="D1161" i="8"/>
  <c r="J1160" i="8"/>
  <c r="I1160" i="8"/>
  <c r="N1160" i="8" s="1"/>
  <c r="H1160" i="8"/>
  <c r="H1167" i="8" s="1"/>
  <c r="G1160" i="8"/>
  <c r="G1167" i="8" s="1"/>
  <c r="F1160" i="8"/>
  <c r="E1160" i="8"/>
  <c r="D1160" i="8"/>
  <c r="J1159" i="8"/>
  <c r="I1159" i="8"/>
  <c r="H1159" i="8"/>
  <c r="G1159" i="8"/>
  <c r="F1159" i="8"/>
  <c r="E1159" i="8"/>
  <c r="D1159" i="8"/>
  <c r="J1154" i="8"/>
  <c r="I1154" i="8"/>
  <c r="H1154" i="8"/>
  <c r="G1154" i="8"/>
  <c r="F1154" i="8"/>
  <c r="E1154" i="8"/>
  <c r="D1154" i="8"/>
  <c r="J1153" i="8"/>
  <c r="I1153" i="8"/>
  <c r="H1153" i="8"/>
  <c r="G1153" i="8"/>
  <c r="F1153" i="8"/>
  <c r="E1153" i="8"/>
  <c r="D1153" i="8"/>
  <c r="J1152" i="8"/>
  <c r="I1152" i="8"/>
  <c r="H1152" i="8"/>
  <c r="G1152" i="8"/>
  <c r="F1152" i="8"/>
  <c r="E1152" i="8"/>
  <c r="D1152" i="8"/>
  <c r="J1151" i="8"/>
  <c r="I1151" i="8"/>
  <c r="H1151" i="8"/>
  <c r="G1151" i="8"/>
  <c r="F1151" i="8"/>
  <c r="E1151" i="8"/>
  <c r="D1151" i="8"/>
  <c r="J1150" i="8"/>
  <c r="I1150" i="8"/>
  <c r="H1150" i="8"/>
  <c r="G1150" i="8"/>
  <c r="G1155" i="8" s="1"/>
  <c r="F1150" i="8"/>
  <c r="E1150" i="8"/>
  <c r="D1150" i="8"/>
  <c r="J1149" i="8"/>
  <c r="I1149" i="8"/>
  <c r="H1149" i="8"/>
  <c r="G1149" i="8"/>
  <c r="F1149" i="8"/>
  <c r="E1149" i="8"/>
  <c r="D1149" i="8"/>
  <c r="J1148" i="8"/>
  <c r="I1148" i="8"/>
  <c r="I1155" i="8" s="1"/>
  <c r="H1148" i="8"/>
  <c r="H1155" i="8" s="1"/>
  <c r="G1148" i="8"/>
  <c r="L1148" i="8" s="1"/>
  <c r="F1148" i="8"/>
  <c r="E1148" i="8"/>
  <c r="D1148" i="8"/>
  <c r="J1147" i="8"/>
  <c r="I1147" i="8"/>
  <c r="H1147" i="8"/>
  <c r="G1147" i="8"/>
  <c r="F1147" i="8"/>
  <c r="E1147" i="8"/>
  <c r="D1147" i="8"/>
  <c r="J1142" i="8"/>
  <c r="I1142" i="8"/>
  <c r="H1142" i="8"/>
  <c r="G1142" i="8"/>
  <c r="F1142" i="8"/>
  <c r="E1142" i="8"/>
  <c r="D1142" i="8"/>
  <c r="J1141" i="8"/>
  <c r="I1141" i="8"/>
  <c r="H1141" i="8"/>
  <c r="G1141" i="8"/>
  <c r="F1141" i="8"/>
  <c r="E1141" i="8"/>
  <c r="D1141" i="8"/>
  <c r="J1140" i="8"/>
  <c r="I1140" i="8"/>
  <c r="H1140" i="8"/>
  <c r="G1140" i="8"/>
  <c r="F1140" i="8"/>
  <c r="E1140" i="8"/>
  <c r="D1140" i="8"/>
  <c r="J1139" i="8"/>
  <c r="I1139" i="8"/>
  <c r="H1139" i="8"/>
  <c r="G1139" i="8"/>
  <c r="F1139" i="8"/>
  <c r="E1139" i="8"/>
  <c r="D1139" i="8"/>
  <c r="J1138" i="8"/>
  <c r="I1138" i="8"/>
  <c r="H1138" i="8"/>
  <c r="H1143" i="8" s="1"/>
  <c r="G1138" i="8"/>
  <c r="F1138" i="8"/>
  <c r="E1138" i="8"/>
  <c r="D1138" i="8"/>
  <c r="J1137" i="8"/>
  <c r="I1137" i="8"/>
  <c r="H1137" i="8"/>
  <c r="G1137" i="8"/>
  <c r="G1143" i="8" s="1"/>
  <c r="J1143" i="8" s="1"/>
  <c r="F1137" i="8"/>
  <c r="E1137" i="8"/>
  <c r="D1137" i="8"/>
  <c r="J1136" i="8"/>
  <c r="I1136" i="8"/>
  <c r="I1143" i="8" s="1"/>
  <c r="H1136" i="8"/>
  <c r="M1136" i="8" s="1"/>
  <c r="G1136" i="8"/>
  <c r="L1136" i="8" s="1"/>
  <c r="F1136" i="8"/>
  <c r="E1136" i="8"/>
  <c r="D1136" i="8"/>
  <c r="J1135" i="8"/>
  <c r="I1135" i="8"/>
  <c r="H1135" i="8"/>
  <c r="G1135" i="8"/>
  <c r="F1135" i="8"/>
  <c r="E1135" i="8"/>
  <c r="D1135" i="8"/>
  <c r="J1130" i="8"/>
  <c r="I1130" i="8"/>
  <c r="H1130" i="8"/>
  <c r="G1130" i="8"/>
  <c r="F1130" i="8"/>
  <c r="E1130" i="8"/>
  <c r="D1130" i="8"/>
  <c r="J1129" i="8"/>
  <c r="I1129" i="8"/>
  <c r="H1129" i="8"/>
  <c r="G1129" i="8"/>
  <c r="F1129" i="8"/>
  <c r="E1129" i="8"/>
  <c r="D1129" i="8"/>
  <c r="J1128" i="8"/>
  <c r="I1128" i="8"/>
  <c r="H1128" i="8"/>
  <c r="G1128" i="8"/>
  <c r="F1128" i="8"/>
  <c r="E1128" i="8"/>
  <c r="D1128" i="8"/>
  <c r="J1127" i="8"/>
  <c r="I1127" i="8"/>
  <c r="H1127" i="8"/>
  <c r="G1127" i="8"/>
  <c r="F1127" i="8"/>
  <c r="E1127" i="8"/>
  <c r="D1127" i="8"/>
  <c r="J1126" i="8"/>
  <c r="I1126" i="8"/>
  <c r="I1131" i="8" s="1"/>
  <c r="H1126" i="8"/>
  <c r="G1126" i="8"/>
  <c r="F1126" i="8"/>
  <c r="E1126" i="8"/>
  <c r="D1126" i="8"/>
  <c r="J1125" i="8"/>
  <c r="I1125" i="8"/>
  <c r="H1125" i="8"/>
  <c r="H1131" i="8" s="1"/>
  <c r="G1125" i="8"/>
  <c r="F1125" i="8"/>
  <c r="E1125" i="8"/>
  <c r="D1125" i="8"/>
  <c r="J1124" i="8"/>
  <c r="I1124" i="8"/>
  <c r="N1124" i="8" s="1"/>
  <c r="H1124" i="8"/>
  <c r="M1124" i="8" s="1"/>
  <c r="G1124" i="8"/>
  <c r="G1131" i="8" s="1"/>
  <c r="J1131" i="8" s="1"/>
  <c r="F1124" i="8"/>
  <c r="E1124" i="8"/>
  <c r="D1124" i="8"/>
  <c r="J1123" i="8"/>
  <c r="I1123" i="8"/>
  <c r="H1123" i="8"/>
  <c r="G1123" i="8"/>
  <c r="F1123" i="8"/>
  <c r="E1123" i="8"/>
  <c r="D1123" i="8"/>
  <c r="J1118" i="8"/>
  <c r="I1118" i="8"/>
  <c r="H1118" i="8"/>
  <c r="G1118" i="8"/>
  <c r="F1118" i="8"/>
  <c r="E1118" i="8"/>
  <c r="D1118" i="8"/>
  <c r="J1117" i="8"/>
  <c r="I1117" i="8"/>
  <c r="H1117" i="8"/>
  <c r="G1117" i="8"/>
  <c r="F1117" i="8"/>
  <c r="E1117" i="8"/>
  <c r="D1117" i="8"/>
  <c r="J1116" i="8"/>
  <c r="I1116" i="8"/>
  <c r="H1116" i="8"/>
  <c r="M1112" i="8" s="1"/>
  <c r="G1116" i="8"/>
  <c r="F1116" i="8"/>
  <c r="E1116" i="8"/>
  <c r="D1116" i="8"/>
  <c r="J1115" i="8"/>
  <c r="I1115" i="8"/>
  <c r="H1115" i="8"/>
  <c r="G1115" i="8"/>
  <c r="F1115" i="8"/>
  <c r="E1115" i="8"/>
  <c r="D1115" i="8"/>
  <c r="J1114" i="8"/>
  <c r="I1114" i="8"/>
  <c r="H1114" i="8"/>
  <c r="G1114" i="8"/>
  <c r="F1114" i="8"/>
  <c r="E1114" i="8"/>
  <c r="D1114" i="8"/>
  <c r="J1113" i="8"/>
  <c r="I1113" i="8"/>
  <c r="I1119" i="8" s="1"/>
  <c r="H1113" i="8"/>
  <c r="G1113" i="8"/>
  <c r="F1113" i="8"/>
  <c r="E1113" i="8"/>
  <c r="D1113" i="8"/>
  <c r="J1112" i="8"/>
  <c r="I1112" i="8"/>
  <c r="H1112" i="8"/>
  <c r="G1112" i="8"/>
  <c r="F1112" i="8"/>
  <c r="E1112" i="8"/>
  <c r="D1112" i="8"/>
  <c r="J1111" i="8"/>
  <c r="I1111" i="8"/>
  <c r="H1111" i="8"/>
  <c r="G1111" i="8"/>
  <c r="F1111" i="8"/>
  <c r="E1111" i="8"/>
  <c r="D1111" i="8"/>
  <c r="J1106" i="8"/>
  <c r="I1106" i="8"/>
  <c r="H1106" i="8"/>
  <c r="G1106" i="8"/>
  <c r="F1106" i="8"/>
  <c r="E1106" i="8"/>
  <c r="D1106" i="8"/>
  <c r="J1105" i="8"/>
  <c r="I1105" i="8"/>
  <c r="H1105" i="8"/>
  <c r="G1105" i="8"/>
  <c r="F1105" i="8"/>
  <c r="E1105" i="8"/>
  <c r="D1105" i="8"/>
  <c r="J1104" i="8"/>
  <c r="I1104" i="8"/>
  <c r="N1100" i="8" s="1"/>
  <c r="H1104" i="8"/>
  <c r="G1104" i="8"/>
  <c r="F1104" i="8"/>
  <c r="E1104" i="8"/>
  <c r="D1104" i="8"/>
  <c r="J1103" i="8"/>
  <c r="I1103" i="8"/>
  <c r="H1103" i="8"/>
  <c r="G1103" i="8"/>
  <c r="F1103" i="8"/>
  <c r="E1103" i="8"/>
  <c r="D1103" i="8"/>
  <c r="J1102" i="8"/>
  <c r="I1102" i="8"/>
  <c r="H1102" i="8"/>
  <c r="G1102" i="8"/>
  <c r="G1107" i="8" s="1"/>
  <c r="F1102" i="8"/>
  <c r="E1102" i="8"/>
  <c r="D1102" i="8"/>
  <c r="J1101" i="8"/>
  <c r="I1101" i="8"/>
  <c r="H1101" i="8"/>
  <c r="G1101" i="8"/>
  <c r="F1101" i="8"/>
  <c r="E1101" i="8"/>
  <c r="D1101" i="8"/>
  <c r="J1100" i="8"/>
  <c r="I1100" i="8"/>
  <c r="H1100" i="8"/>
  <c r="G1100" i="8"/>
  <c r="F1100" i="8"/>
  <c r="E1100" i="8"/>
  <c r="D1100" i="8"/>
  <c r="J1099" i="8"/>
  <c r="I1099" i="8"/>
  <c r="H1099" i="8"/>
  <c r="G1099" i="8"/>
  <c r="F1099" i="8"/>
  <c r="E1099" i="8"/>
  <c r="D1099" i="8"/>
  <c r="J1094" i="8"/>
  <c r="I1094" i="8"/>
  <c r="H1094" i="8"/>
  <c r="G1094" i="8"/>
  <c r="F1094" i="8"/>
  <c r="E1094" i="8"/>
  <c r="D1094" i="8"/>
  <c r="J1093" i="8"/>
  <c r="I1093" i="8"/>
  <c r="H1093" i="8"/>
  <c r="G1093" i="8"/>
  <c r="F1093" i="8"/>
  <c r="E1093" i="8"/>
  <c r="D1093" i="8"/>
  <c r="J1092" i="8"/>
  <c r="I1092" i="8"/>
  <c r="H1092" i="8"/>
  <c r="G1092" i="8"/>
  <c r="F1092" i="8"/>
  <c r="E1092" i="8"/>
  <c r="D1092" i="8"/>
  <c r="J1091" i="8"/>
  <c r="I1091" i="8"/>
  <c r="H1091" i="8"/>
  <c r="G1091" i="8"/>
  <c r="F1091" i="8"/>
  <c r="E1091" i="8"/>
  <c r="D1091" i="8"/>
  <c r="J1090" i="8"/>
  <c r="I1090" i="8"/>
  <c r="H1090" i="8"/>
  <c r="H1095" i="8" s="1"/>
  <c r="G1090" i="8"/>
  <c r="F1090" i="8"/>
  <c r="E1090" i="8"/>
  <c r="D1090" i="8"/>
  <c r="J1089" i="8"/>
  <c r="I1089" i="8"/>
  <c r="H1089" i="8"/>
  <c r="G1089" i="8"/>
  <c r="G1095" i="8" s="1"/>
  <c r="F1089" i="8"/>
  <c r="E1089" i="8"/>
  <c r="D1089" i="8"/>
  <c r="J1088" i="8"/>
  <c r="I1088" i="8"/>
  <c r="H1088" i="8"/>
  <c r="G1088" i="8"/>
  <c r="F1088" i="8"/>
  <c r="E1088" i="8"/>
  <c r="D1088" i="8"/>
  <c r="J1087" i="8"/>
  <c r="I1087" i="8"/>
  <c r="H1087" i="8"/>
  <c r="G1087" i="8"/>
  <c r="F1087" i="8"/>
  <c r="E1087" i="8"/>
  <c r="D1087" i="8"/>
  <c r="J1082" i="8"/>
  <c r="I1082" i="8"/>
  <c r="H1082" i="8"/>
  <c r="G1082" i="8"/>
  <c r="F1082" i="8"/>
  <c r="E1082" i="8"/>
  <c r="D1082" i="8"/>
  <c r="J1081" i="8"/>
  <c r="I1081" i="8"/>
  <c r="H1081" i="8"/>
  <c r="G1081" i="8"/>
  <c r="F1081" i="8"/>
  <c r="E1081" i="8"/>
  <c r="D1081" i="8"/>
  <c r="J1080" i="8"/>
  <c r="I1080" i="8"/>
  <c r="H1080" i="8"/>
  <c r="G1080" i="8"/>
  <c r="F1080" i="8"/>
  <c r="E1080" i="8"/>
  <c r="D1080" i="8"/>
  <c r="J1079" i="8"/>
  <c r="I1079" i="8"/>
  <c r="H1079" i="8"/>
  <c r="G1079" i="8"/>
  <c r="F1079" i="8"/>
  <c r="E1079" i="8"/>
  <c r="D1079" i="8"/>
  <c r="J1078" i="8"/>
  <c r="I1078" i="8"/>
  <c r="I1083" i="8" s="1"/>
  <c r="H1078" i="8"/>
  <c r="G1078" i="8"/>
  <c r="F1078" i="8"/>
  <c r="E1078" i="8"/>
  <c r="D1078" i="8"/>
  <c r="J1077" i="8"/>
  <c r="I1077" i="8"/>
  <c r="H1077" i="8"/>
  <c r="H1083" i="8" s="1"/>
  <c r="G1077" i="8"/>
  <c r="F1077" i="8"/>
  <c r="E1077" i="8"/>
  <c r="D1077" i="8"/>
  <c r="J1076" i="8"/>
  <c r="I1076" i="8"/>
  <c r="N1076" i="8" s="1"/>
  <c r="H1076" i="8"/>
  <c r="G1076" i="8"/>
  <c r="F1076" i="8"/>
  <c r="E1076" i="8"/>
  <c r="D1076" i="8"/>
  <c r="J1075" i="8"/>
  <c r="I1075" i="8"/>
  <c r="H1075" i="8"/>
  <c r="G1075" i="8"/>
  <c r="F1075" i="8"/>
  <c r="E1075" i="8"/>
  <c r="D1075" i="8"/>
  <c r="J1070" i="8"/>
  <c r="I1070" i="8"/>
  <c r="H1070" i="8"/>
  <c r="G1070" i="8"/>
  <c r="F1070" i="8"/>
  <c r="E1070" i="8"/>
  <c r="D1070" i="8"/>
  <c r="J1069" i="8"/>
  <c r="I1069" i="8"/>
  <c r="H1069" i="8"/>
  <c r="G1069" i="8"/>
  <c r="F1069" i="8"/>
  <c r="E1069" i="8"/>
  <c r="D1069" i="8"/>
  <c r="J1068" i="8"/>
  <c r="I1068" i="8"/>
  <c r="H1068" i="8"/>
  <c r="G1068" i="8"/>
  <c r="F1068" i="8"/>
  <c r="E1068" i="8"/>
  <c r="D1068" i="8"/>
  <c r="J1067" i="8"/>
  <c r="I1067" i="8"/>
  <c r="H1067" i="8"/>
  <c r="G1067" i="8"/>
  <c r="F1067" i="8"/>
  <c r="E1067" i="8"/>
  <c r="D1067" i="8"/>
  <c r="J1066" i="8"/>
  <c r="I1066" i="8"/>
  <c r="H1066" i="8"/>
  <c r="G1066" i="8"/>
  <c r="F1066" i="8"/>
  <c r="E1066" i="8"/>
  <c r="D1066" i="8"/>
  <c r="J1065" i="8"/>
  <c r="I1065" i="8"/>
  <c r="I1071" i="8" s="1"/>
  <c r="H1065" i="8"/>
  <c r="G1065" i="8"/>
  <c r="F1065" i="8"/>
  <c r="E1065" i="8"/>
  <c r="D1065" i="8"/>
  <c r="M1064" i="8"/>
  <c r="J1064" i="8"/>
  <c r="I1064" i="8"/>
  <c r="H1064" i="8"/>
  <c r="G1064" i="8"/>
  <c r="G1071" i="8" s="1"/>
  <c r="F1064" i="8"/>
  <c r="E1064" i="8"/>
  <c r="D1064" i="8"/>
  <c r="J1063" i="8"/>
  <c r="I1063" i="8"/>
  <c r="H1063" i="8"/>
  <c r="G1063" i="8"/>
  <c r="F1063" i="8"/>
  <c r="E1063" i="8"/>
  <c r="D1063" i="8"/>
  <c r="J1058" i="8"/>
  <c r="I1058" i="8"/>
  <c r="H1058" i="8"/>
  <c r="G1058" i="8"/>
  <c r="F1058" i="8"/>
  <c r="E1058" i="8"/>
  <c r="D1058" i="8"/>
  <c r="J1057" i="8"/>
  <c r="I1057" i="8"/>
  <c r="H1057" i="8"/>
  <c r="G1057" i="8"/>
  <c r="F1057" i="8"/>
  <c r="E1057" i="8"/>
  <c r="D1057" i="8"/>
  <c r="J1056" i="8"/>
  <c r="I1056" i="8"/>
  <c r="H1056" i="8"/>
  <c r="G1056" i="8"/>
  <c r="F1056" i="8"/>
  <c r="E1056" i="8"/>
  <c r="D1056" i="8"/>
  <c r="J1055" i="8"/>
  <c r="I1055" i="8"/>
  <c r="H1055" i="8"/>
  <c r="G1055" i="8"/>
  <c r="F1055" i="8"/>
  <c r="E1055" i="8"/>
  <c r="D1055" i="8"/>
  <c r="J1054" i="8"/>
  <c r="I1054" i="8"/>
  <c r="H1054" i="8"/>
  <c r="G1054" i="8"/>
  <c r="G1059" i="8" s="1"/>
  <c r="F1054" i="8"/>
  <c r="E1054" i="8"/>
  <c r="D1054" i="8"/>
  <c r="J1053" i="8"/>
  <c r="I1053" i="8"/>
  <c r="H1053" i="8"/>
  <c r="G1053" i="8"/>
  <c r="F1053" i="8"/>
  <c r="E1053" i="8"/>
  <c r="D1053" i="8"/>
  <c r="N1052" i="8"/>
  <c r="J1052" i="8"/>
  <c r="I1052" i="8"/>
  <c r="H1052" i="8"/>
  <c r="H1059" i="8" s="1"/>
  <c r="G1052" i="8"/>
  <c r="L1052" i="8" s="1"/>
  <c r="F1052" i="8"/>
  <c r="E1052" i="8"/>
  <c r="D1052" i="8"/>
  <c r="J1051" i="8"/>
  <c r="I1051" i="8"/>
  <c r="H1051" i="8"/>
  <c r="G1051" i="8"/>
  <c r="F1051" i="8"/>
  <c r="E1051" i="8"/>
  <c r="D1051" i="8"/>
  <c r="J1046" i="8"/>
  <c r="I1046" i="8"/>
  <c r="H1046" i="8"/>
  <c r="G1046" i="8"/>
  <c r="F1046" i="8"/>
  <c r="E1046" i="8"/>
  <c r="D1046" i="8"/>
  <c r="J1045" i="8"/>
  <c r="I1045" i="8"/>
  <c r="H1045" i="8"/>
  <c r="G1045" i="8"/>
  <c r="F1045" i="8"/>
  <c r="E1045" i="8"/>
  <c r="D1045" i="8"/>
  <c r="J1044" i="8"/>
  <c r="I1044" i="8"/>
  <c r="H1044" i="8"/>
  <c r="G1044" i="8"/>
  <c r="F1044" i="8"/>
  <c r="E1044" i="8"/>
  <c r="D1044" i="8"/>
  <c r="J1043" i="8"/>
  <c r="I1043" i="8"/>
  <c r="H1043" i="8"/>
  <c r="G1043" i="8"/>
  <c r="F1043" i="8"/>
  <c r="E1043" i="8"/>
  <c r="D1043" i="8"/>
  <c r="J1042" i="8"/>
  <c r="I1042" i="8"/>
  <c r="H1042" i="8"/>
  <c r="H1047" i="8" s="1"/>
  <c r="G1042" i="8"/>
  <c r="F1042" i="8"/>
  <c r="E1042" i="8"/>
  <c r="D1042" i="8"/>
  <c r="J1041" i="8"/>
  <c r="I1041" i="8"/>
  <c r="H1041" i="8"/>
  <c r="G1041" i="8"/>
  <c r="G1047" i="8" s="1"/>
  <c r="F1041" i="8"/>
  <c r="E1041" i="8"/>
  <c r="D1041" i="8"/>
  <c r="N1040" i="8"/>
  <c r="J1040" i="8"/>
  <c r="I1040" i="8"/>
  <c r="H1040" i="8"/>
  <c r="G1040" i="8"/>
  <c r="L1040" i="8" s="1"/>
  <c r="F1040" i="8"/>
  <c r="E1040" i="8"/>
  <c r="D1040" i="8"/>
  <c r="J1039" i="8"/>
  <c r="I1039" i="8"/>
  <c r="H1039" i="8"/>
  <c r="G1039" i="8"/>
  <c r="F1039" i="8"/>
  <c r="E1039" i="8"/>
  <c r="D1039" i="8"/>
  <c r="H1035" i="8"/>
  <c r="J1034" i="8"/>
  <c r="I1034" i="8"/>
  <c r="H1034" i="8"/>
  <c r="G1034" i="8"/>
  <c r="F1034" i="8"/>
  <c r="E1034" i="8"/>
  <c r="D1034" i="8"/>
  <c r="J1033" i="8"/>
  <c r="I1033" i="8"/>
  <c r="H1033" i="8"/>
  <c r="G1033" i="8"/>
  <c r="F1033" i="8"/>
  <c r="E1033" i="8"/>
  <c r="D1033" i="8"/>
  <c r="J1032" i="8"/>
  <c r="I1032" i="8"/>
  <c r="H1032" i="8"/>
  <c r="G1032" i="8"/>
  <c r="F1032" i="8"/>
  <c r="E1032" i="8"/>
  <c r="D1032" i="8"/>
  <c r="J1031" i="8"/>
  <c r="I1031" i="8"/>
  <c r="I1035" i="8" s="1"/>
  <c r="H1031" i="8"/>
  <c r="G1031" i="8"/>
  <c r="F1031" i="8"/>
  <c r="E1031" i="8"/>
  <c r="D1031" i="8"/>
  <c r="J1030" i="8"/>
  <c r="I1030" i="8"/>
  <c r="H1030" i="8"/>
  <c r="G1030" i="8"/>
  <c r="F1030" i="8"/>
  <c r="E1030" i="8"/>
  <c r="D1030" i="8"/>
  <c r="J1029" i="8"/>
  <c r="I1029" i="8"/>
  <c r="H1029" i="8"/>
  <c r="G1029" i="8"/>
  <c r="F1029" i="8"/>
  <c r="E1029" i="8"/>
  <c r="D1029" i="8"/>
  <c r="J1028" i="8"/>
  <c r="I1028" i="8"/>
  <c r="N1028" i="8" s="1"/>
  <c r="H1028" i="8"/>
  <c r="M1028" i="8" s="1"/>
  <c r="G1028" i="8"/>
  <c r="F1028" i="8"/>
  <c r="E1028" i="8"/>
  <c r="D1028" i="8"/>
  <c r="J1027" i="8"/>
  <c r="I1027" i="8"/>
  <c r="H1027" i="8"/>
  <c r="G1027" i="8"/>
  <c r="F1027" i="8"/>
  <c r="E1027" i="8"/>
  <c r="D1027" i="8"/>
  <c r="I1023" i="8"/>
  <c r="J1022" i="8"/>
  <c r="I1022" i="8"/>
  <c r="H1022" i="8"/>
  <c r="G1022" i="8"/>
  <c r="F1022" i="8"/>
  <c r="E1022" i="8"/>
  <c r="D1022" i="8"/>
  <c r="J1021" i="8"/>
  <c r="I1021" i="8"/>
  <c r="H1021" i="8"/>
  <c r="G1021" i="8"/>
  <c r="F1021" i="8"/>
  <c r="E1021" i="8"/>
  <c r="D1021" i="8"/>
  <c r="J1020" i="8"/>
  <c r="I1020" i="8"/>
  <c r="H1020" i="8"/>
  <c r="G1020" i="8"/>
  <c r="F1020" i="8"/>
  <c r="E1020" i="8"/>
  <c r="D1020" i="8"/>
  <c r="J1019" i="8"/>
  <c r="I1019" i="8"/>
  <c r="H1019" i="8"/>
  <c r="G1019" i="8"/>
  <c r="F1019" i="8"/>
  <c r="E1019" i="8"/>
  <c r="D1019" i="8"/>
  <c r="J1018" i="8"/>
  <c r="I1018" i="8"/>
  <c r="H1018" i="8"/>
  <c r="G1018" i="8"/>
  <c r="F1018" i="8"/>
  <c r="E1018" i="8"/>
  <c r="D1018" i="8"/>
  <c r="J1017" i="8"/>
  <c r="I1017" i="8"/>
  <c r="H1017" i="8"/>
  <c r="G1017" i="8"/>
  <c r="F1017" i="8"/>
  <c r="E1017" i="8"/>
  <c r="D1017" i="8"/>
  <c r="M1016" i="8"/>
  <c r="J1016" i="8"/>
  <c r="I1016" i="8"/>
  <c r="H1016" i="8"/>
  <c r="H1023" i="8" s="1"/>
  <c r="G1016" i="8"/>
  <c r="F1016" i="8"/>
  <c r="E1016" i="8"/>
  <c r="D1016" i="8"/>
  <c r="J1015" i="8"/>
  <c r="I1015" i="8"/>
  <c r="H1015" i="8"/>
  <c r="G1015" i="8"/>
  <c r="F1015" i="8"/>
  <c r="E1015" i="8"/>
  <c r="D1015" i="8"/>
  <c r="I1011" i="8"/>
  <c r="J1010" i="8"/>
  <c r="I1010" i="8"/>
  <c r="H1010" i="8"/>
  <c r="G1010" i="8"/>
  <c r="F1010" i="8"/>
  <c r="E1010" i="8"/>
  <c r="D1010" i="8"/>
  <c r="J1009" i="8"/>
  <c r="I1009" i="8"/>
  <c r="H1009" i="8"/>
  <c r="G1009" i="8"/>
  <c r="F1009" i="8"/>
  <c r="E1009" i="8"/>
  <c r="D1009" i="8"/>
  <c r="J1008" i="8"/>
  <c r="I1008" i="8"/>
  <c r="H1008" i="8"/>
  <c r="G1008" i="8"/>
  <c r="F1008" i="8"/>
  <c r="E1008" i="8"/>
  <c r="D1008" i="8"/>
  <c r="J1007" i="8"/>
  <c r="I1007" i="8"/>
  <c r="H1007" i="8"/>
  <c r="G1007" i="8"/>
  <c r="F1007" i="8"/>
  <c r="E1007" i="8"/>
  <c r="D1007" i="8"/>
  <c r="J1006" i="8"/>
  <c r="I1006" i="8"/>
  <c r="H1006" i="8"/>
  <c r="G1006" i="8"/>
  <c r="F1006" i="8"/>
  <c r="E1006" i="8"/>
  <c r="D1006" i="8"/>
  <c r="J1005" i="8"/>
  <c r="I1005" i="8"/>
  <c r="H1005" i="8"/>
  <c r="G1005" i="8"/>
  <c r="F1005" i="8"/>
  <c r="E1005" i="8"/>
  <c r="D1005" i="8"/>
  <c r="M1004" i="8"/>
  <c r="J1004" i="8"/>
  <c r="I1004" i="8"/>
  <c r="N1004" i="8" s="1"/>
  <c r="H1004" i="8"/>
  <c r="H1011" i="8" s="1"/>
  <c r="G1004" i="8"/>
  <c r="G1011" i="8" s="1"/>
  <c r="J1011" i="8" s="1"/>
  <c r="F1004" i="8"/>
  <c r="E1004" i="8"/>
  <c r="D1004" i="8"/>
  <c r="J1003" i="8"/>
  <c r="I1003" i="8"/>
  <c r="H1003" i="8"/>
  <c r="G1003" i="8"/>
  <c r="F1003" i="8"/>
  <c r="E1003" i="8"/>
  <c r="D1003" i="8"/>
  <c r="H999" i="8"/>
  <c r="J998" i="8"/>
  <c r="I998" i="8"/>
  <c r="H998" i="8"/>
  <c r="G998" i="8"/>
  <c r="F998" i="8"/>
  <c r="E998" i="8"/>
  <c r="D998" i="8"/>
  <c r="J997" i="8"/>
  <c r="I997" i="8"/>
  <c r="H997" i="8"/>
  <c r="G997" i="8"/>
  <c r="F997" i="8"/>
  <c r="E997" i="8"/>
  <c r="D997" i="8"/>
  <c r="J996" i="8"/>
  <c r="I996" i="8"/>
  <c r="H996" i="8"/>
  <c r="G996" i="8"/>
  <c r="F996" i="8"/>
  <c r="E996" i="8"/>
  <c r="D996" i="8"/>
  <c r="J995" i="8"/>
  <c r="I995" i="8"/>
  <c r="H995" i="8"/>
  <c r="G995" i="8"/>
  <c r="F995" i="8"/>
  <c r="E995" i="8"/>
  <c r="D995" i="8"/>
  <c r="J994" i="8"/>
  <c r="I994" i="8"/>
  <c r="H994" i="8"/>
  <c r="G994" i="8"/>
  <c r="F994" i="8"/>
  <c r="E994" i="8"/>
  <c r="D994" i="8"/>
  <c r="J993" i="8"/>
  <c r="I993" i="8"/>
  <c r="H993" i="8"/>
  <c r="G993" i="8"/>
  <c r="G999" i="8" s="1"/>
  <c r="F993" i="8"/>
  <c r="E993" i="8"/>
  <c r="D993" i="8"/>
  <c r="N992" i="8"/>
  <c r="J992" i="8"/>
  <c r="I992" i="8"/>
  <c r="H992" i="8"/>
  <c r="M992" i="8" s="1"/>
  <c r="G992" i="8"/>
  <c r="F992" i="8"/>
  <c r="E992" i="8"/>
  <c r="D992" i="8"/>
  <c r="J991" i="8"/>
  <c r="I991" i="8"/>
  <c r="H991" i="8"/>
  <c r="G991" i="8"/>
  <c r="F991" i="8"/>
  <c r="E991" i="8"/>
  <c r="D991" i="8"/>
  <c r="J986" i="8"/>
  <c r="I986" i="8"/>
  <c r="H986" i="8"/>
  <c r="G986" i="8"/>
  <c r="F986" i="8"/>
  <c r="E986" i="8"/>
  <c r="D986" i="8"/>
  <c r="J985" i="8"/>
  <c r="I985" i="8"/>
  <c r="H985" i="8"/>
  <c r="G985" i="8"/>
  <c r="F985" i="8"/>
  <c r="E985" i="8"/>
  <c r="D985" i="8"/>
  <c r="J984" i="8"/>
  <c r="I984" i="8"/>
  <c r="N980" i="8" s="1"/>
  <c r="H984" i="8"/>
  <c r="G984" i="8"/>
  <c r="F984" i="8"/>
  <c r="E984" i="8"/>
  <c r="D984" i="8"/>
  <c r="J983" i="8"/>
  <c r="I983" i="8"/>
  <c r="H983" i="8"/>
  <c r="G983" i="8"/>
  <c r="F983" i="8"/>
  <c r="E983" i="8"/>
  <c r="D983" i="8"/>
  <c r="J982" i="8"/>
  <c r="I982" i="8"/>
  <c r="H982" i="8"/>
  <c r="G982" i="8"/>
  <c r="F982" i="8"/>
  <c r="E982" i="8"/>
  <c r="D982" i="8"/>
  <c r="J981" i="8"/>
  <c r="I981" i="8"/>
  <c r="H981" i="8"/>
  <c r="G981" i="8"/>
  <c r="F981" i="8"/>
  <c r="E981" i="8"/>
  <c r="D981" i="8"/>
  <c r="J980" i="8"/>
  <c r="I980" i="8"/>
  <c r="H980" i="8"/>
  <c r="G980" i="8"/>
  <c r="L980" i="8" s="1"/>
  <c r="F980" i="8"/>
  <c r="E980" i="8"/>
  <c r="D980" i="8"/>
  <c r="J979" i="8"/>
  <c r="I979" i="8"/>
  <c r="H979" i="8"/>
  <c r="G979" i="8"/>
  <c r="F979" i="8"/>
  <c r="E979" i="8"/>
  <c r="D979" i="8"/>
  <c r="H975" i="8"/>
  <c r="J974" i="8"/>
  <c r="I974" i="8"/>
  <c r="H974" i="8"/>
  <c r="G974" i="8"/>
  <c r="F974" i="8"/>
  <c r="E974" i="8"/>
  <c r="D974" i="8"/>
  <c r="J973" i="8"/>
  <c r="I973" i="8"/>
  <c r="H973" i="8"/>
  <c r="G973" i="8"/>
  <c r="F973" i="8"/>
  <c r="E973" i="8"/>
  <c r="D973" i="8"/>
  <c r="J972" i="8"/>
  <c r="I972" i="8"/>
  <c r="H972" i="8"/>
  <c r="G972" i="8"/>
  <c r="F972" i="8"/>
  <c r="E972" i="8"/>
  <c r="D972" i="8"/>
  <c r="J971" i="8"/>
  <c r="I971" i="8"/>
  <c r="H971" i="8"/>
  <c r="G971" i="8"/>
  <c r="F971" i="8"/>
  <c r="E971" i="8"/>
  <c r="D971" i="8"/>
  <c r="J970" i="8"/>
  <c r="I970" i="8"/>
  <c r="H970" i="8"/>
  <c r="G970" i="8"/>
  <c r="F970" i="8"/>
  <c r="E970" i="8"/>
  <c r="D970" i="8"/>
  <c r="J969" i="8"/>
  <c r="I969" i="8"/>
  <c r="I975" i="8" s="1"/>
  <c r="H969" i="8"/>
  <c r="G969" i="8"/>
  <c r="F969" i="8"/>
  <c r="E969" i="8"/>
  <c r="D969" i="8"/>
  <c r="J968" i="8"/>
  <c r="I968" i="8"/>
  <c r="H968" i="8"/>
  <c r="M968" i="8" s="1"/>
  <c r="G968" i="8"/>
  <c r="G975" i="8" s="1"/>
  <c r="F968" i="8"/>
  <c r="E968" i="8"/>
  <c r="D968" i="8"/>
  <c r="J967" i="8"/>
  <c r="I967" i="8"/>
  <c r="H967" i="8"/>
  <c r="G967" i="8"/>
  <c r="F967" i="8"/>
  <c r="E967" i="8"/>
  <c r="D967" i="8"/>
  <c r="J962" i="8"/>
  <c r="I962" i="8"/>
  <c r="H962" i="8"/>
  <c r="G962" i="8"/>
  <c r="F962" i="8"/>
  <c r="E962" i="8"/>
  <c r="D962" i="8"/>
  <c r="J961" i="8"/>
  <c r="I961" i="8"/>
  <c r="H961" i="8"/>
  <c r="G961" i="8"/>
  <c r="F961" i="8"/>
  <c r="E961" i="8"/>
  <c r="D961" i="8"/>
  <c r="J960" i="8"/>
  <c r="I960" i="8"/>
  <c r="H960" i="8"/>
  <c r="G960" i="8"/>
  <c r="F960" i="8"/>
  <c r="E960" i="8"/>
  <c r="D960" i="8"/>
  <c r="J959" i="8"/>
  <c r="I959" i="8"/>
  <c r="H959" i="8"/>
  <c r="G959" i="8"/>
  <c r="F959" i="8"/>
  <c r="E959" i="8"/>
  <c r="D959" i="8"/>
  <c r="J958" i="8"/>
  <c r="I958" i="8"/>
  <c r="H958" i="8"/>
  <c r="G958" i="8"/>
  <c r="G963" i="8" s="1"/>
  <c r="F958" i="8"/>
  <c r="E958" i="8"/>
  <c r="D958" i="8"/>
  <c r="J957" i="8"/>
  <c r="I957" i="8"/>
  <c r="H957" i="8"/>
  <c r="G957" i="8"/>
  <c r="F957" i="8"/>
  <c r="E957" i="8"/>
  <c r="D957" i="8"/>
  <c r="J956" i="8"/>
  <c r="I956" i="8"/>
  <c r="H956" i="8"/>
  <c r="G956" i="8"/>
  <c r="L956" i="8" s="1"/>
  <c r="F956" i="8"/>
  <c r="E956" i="8"/>
  <c r="D956" i="8"/>
  <c r="J955" i="8"/>
  <c r="I955" i="8"/>
  <c r="H955" i="8"/>
  <c r="G955" i="8"/>
  <c r="F955" i="8"/>
  <c r="E955" i="8"/>
  <c r="D955" i="8"/>
  <c r="J950" i="8"/>
  <c r="I950" i="8"/>
  <c r="H950" i="8"/>
  <c r="G950" i="8"/>
  <c r="F950" i="8"/>
  <c r="E950" i="8"/>
  <c r="D950" i="8"/>
  <c r="J949" i="8"/>
  <c r="I949" i="8"/>
  <c r="H949" i="8"/>
  <c r="G949" i="8"/>
  <c r="F949" i="8"/>
  <c r="E949" i="8"/>
  <c r="D949" i="8"/>
  <c r="J948" i="8"/>
  <c r="I948" i="8"/>
  <c r="H948" i="8"/>
  <c r="G948" i="8"/>
  <c r="F948" i="8"/>
  <c r="E948" i="8"/>
  <c r="D948" i="8"/>
  <c r="J947" i="8"/>
  <c r="I947" i="8"/>
  <c r="H947" i="8"/>
  <c r="G947" i="8"/>
  <c r="F947" i="8"/>
  <c r="E947" i="8"/>
  <c r="D947" i="8"/>
  <c r="J946" i="8"/>
  <c r="I946" i="8"/>
  <c r="H946" i="8"/>
  <c r="G946" i="8"/>
  <c r="G951" i="8" s="1"/>
  <c r="F946" i="8"/>
  <c r="E946" i="8"/>
  <c r="D946" i="8"/>
  <c r="J945" i="8"/>
  <c r="I945" i="8"/>
  <c r="N944" i="8" s="1"/>
  <c r="H945" i="8"/>
  <c r="G945" i="8"/>
  <c r="F945" i="8"/>
  <c r="E945" i="8"/>
  <c r="D945" i="8"/>
  <c r="M944" i="8"/>
  <c r="J944" i="8"/>
  <c r="I944" i="8"/>
  <c r="H944" i="8"/>
  <c r="G944" i="8"/>
  <c r="L944" i="8" s="1"/>
  <c r="F944" i="8"/>
  <c r="E944" i="8"/>
  <c r="D944" i="8"/>
  <c r="J943" i="8"/>
  <c r="I943" i="8"/>
  <c r="H943" i="8"/>
  <c r="G943" i="8"/>
  <c r="F943" i="8"/>
  <c r="E943" i="8"/>
  <c r="D943" i="8"/>
  <c r="J938" i="8"/>
  <c r="I938" i="8"/>
  <c r="H938" i="8"/>
  <c r="G938" i="8"/>
  <c r="F938" i="8"/>
  <c r="E938" i="8"/>
  <c r="D938" i="8"/>
  <c r="J937" i="8"/>
  <c r="I937" i="8"/>
  <c r="H937" i="8"/>
  <c r="G937" i="8"/>
  <c r="F937" i="8"/>
  <c r="E937" i="8"/>
  <c r="D937" i="8"/>
  <c r="J936" i="8"/>
  <c r="I936" i="8"/>
  <c r="H936" i="8"/>
  <c r="G936" i="8"/>
  <c r="F936" i="8"/>
  <c r="E936" i="8"/>
  <c r="D936" i="8"/>
  <c r="J935" i="8"/>
  <c r="I935" i="8"/>
  <c r="H935" i="8"/>
  <c r="G935" i="8"/>
  <c r="F935" i="8"/>
  <c r="E935" i="8"/>
  <c r="D935" i="8"/>
  <c r="J934" i="8"/>
  <c r="I934" i="8"/>
  <c r="H934" i="8"/>
  <c r="G934" i="8"/>
  <c r="F934" i="8"/>
  <c r="E934" i="8"/>
  <c r="D934" i="8"/>
  <c r="J933" i="8"/>
  <c r="I933" i="8"/>
  <c r="H933" i="8"/>
  <c r="H939" i="8" s="1"/>
  <c r="G933" i="8"/>
  <c r="F933" i="8"/>
  <c r="E933" i="8"/>
  <c r="D933" i="8"/>
  <c r="J932" i="8"/>
  <c r="I932" i="8"/>
  <c r="I939" i="8" s="1"/>
  <c r="H932" i="8"/>
  <c r="G932" i="8"/>
  <c r="G939" i="8" s="1"/>
  <c r="F932" i="8"/>
  <c r="E932" i="8"/>
  <c r="D932" i="8"/>
  <c r="J931" i="8"/>
  <c r="I931" i="8"/>
  <c r="H931" i="8"/>
  <c r="G931" i="8"/>
  <c r="F931" i="8"/>
  <c r="E931" i="8"/>
  <c r="D931" i="8"/>
  <c r="J926" i="8"/>
  <c r="I926" i="8"/>
  <c r="H926" i="8"/>
  <c r="G926" i="8"/>
  <c r="F926" i="8"/>
  <c r="E926" i="8"/>
  <c r="D926" i="8"/>
  <c r="J925" i="8"/>
  <c r="I925" i="8"/>
  <c r="H925" i="8"/>
  <c r="G925" i="8"/>
  <c r="F925" i="8"/>
  <c r="E925" i="8"/>
  <c r="D925" i="8"/>
  <c r="J924" i="8"/>
  <c r="I924" i="8"/>
  <c r="H924" i="8"/>
  <c r="G924" i="8"/>
  <c r="F924" i="8"/>
  <c r="E924" i="8"/>
  <c r="D924" i="8"/>
  <c r="J923" i="8"/>
  <c r="I923" i="8"/>
  <c r="H923" i="8"/>
  <c r="G923" i="8"/>
  <c r="F923" i="8"/>
  <c r="E923" i="8"/>
  <c r="D923" i="8"/>
  <c r="J922" i="8"/>
  <c r="I922" i="8"/>
  <c r="H922" i="8"/>
  <c r="G922" i="8"/>
  <c r="F922" i="8"/>
  <c r="E922" i="8"/>
  <c r="D922" i="8"/>
  <c r="J921" i="8"/>
  <c r="I921" i="8"/>
  <c r="I927" i="8" s="1"/>
  <c r="H921" i="8"/>
  <c r="G921" i="8"/>
  <c r="F921" i="8"/>
  <c r="E921" i="8"/>
  <c r="D921" i="8"/>
  <c r="J920" i="8"/>
  <c r="I920" i="8"/>
  <c r="H920" i="8"/>
  <c r="G920" i="8"/>
  <c r="F920" i="8"/>
  <c r="E920" i="8"/>
  <c r="D920" i="8"/>
  <c r="J919" i="8"/>
  <c r="I919" i="8"/>
  <c r="H919" i="8"/>
  <c r="G919" i="8"/>
  <c r="F919" i="8"/>
  <c r="E919" i="8"/>
  <c r="D919" i="8"/>
  <c r="J914" i="8"/>
  <c r="I914" i="8"/>
  <c r="H914" i="8"/>
  <c r="G914" i="8"/>
  <c r="F914" i="8"/>
  <c r="E914" i="8"/>
  <c r="D914" i="8"/>
  <c r="J913" i="8"/>
  <c r="I913" i="8"/>
  <c r="H913" i="8"/>
  <c r="G913" i="8"/>
  <c r="F913" i="8"/>
  <c r="E913" i="8"/>
  <c r="D913" i="8"/>
  <c r="J912" i="8"/>
  <c r="I912" i="8"/>
  <c r="H912" i="8"/>
  <c r="G912" i="8"/>
  <c r="F912" i="8"/>
  <c r="E912" i="8"/>
  <c r="D912" i="8"/>
  <c r="J911" i="8"/>
  <c r="I911" i="8"/>
  <c r="H911" i="8"/>
  <c r="G911" i="8"/>
  <c r="F911" i="8"/>
  <c r="E911" i="8"/>
  <c r="D911" i="8"/>
  <c r="J910" i="8"/>
  <c r="I910" i="8"/>
  <c r="H910" i="8"/>
  <c r="G910" i="8"/>
  <c r="F910" i="8"/>
  <c r="E910" i="8"/>
  <c r="D910" i="8"/>
  <c r="J909" i="8"/>
  <c r="I909" i="8"/>
  <c r="H909" i="8"/>
  <c r="G909" i="8"/>
  <c r="F909" i="8"/>
  <c r="E909" i="8"/>
  <c r="D909" i="8"/>
  <c r="J908" i="8"/>
  <c r="I908" i="8"/>
  <c r="N908" i="8" s="1"/>
  <c r="H908" i="8"/>
  <c r="G908" i="8"/>
  <c r="F908" i="8"/>
  <c r="E908" i="8"/>
  <c r="D908" i="8"/>
  <c r="J907" i="8"/>
  <c r="I907" i="8"/>
  <c r="H907" i="8"/>
  <c r="G907" i="8"/>
  <c r="F907" i="8"/>
  <c r="E907" i="8"/>
  <c r="D907" i="8"/>
  <c r="J902" i="8"/>
  <c r="I902" i="8"/>
  <c r="H902" i="8"/>
  <c r="G902" i="8"/>
  <c r="F902" i="8"/>
  <c r="E902" i="8"/>
  <c r="D902" i="8"/>
  <c r="J901" i="8"/>
  <c r="I901" i="8"/>
  <c r="H901" i="8"/>
  <c r="G901" i="8"/>
  <c r="F901" i="8"/>
  <c r="E901" i="8"/>
  <c r="D901" i="8"/>
  <c r="J900" i="8"/>
  <c r="I900" i="8"/>
  <c r="H900" i="8"/>
  <c r="M896" i="8" s="1"/>
  <c r="G900" i="8"/>
  <c r="F900" i="8"/>
  <c r="E900" i="8"/>
  <c r="D900" i="8"/>
  <c r="J899" i="8"/>
  <c r="I899" i="8"/>
  <c r="H899" i="8"/>
  <c r="G899" i="8"/>
  <c r="F899" i="8"/>
  <c r="E899" i="8"/>
  <c r="D899" i="8"/>
  <c r="J898" i="8"/>
  <c r="I898" i="8"/>
  <c r="H898" i="8"/>
  <c r="G898" i="8"/>
  <c r="F898" i="8"/>
  <c r="E898" i="8"/>
  <c r="D898" i="8"/>
  <c r="J897" i="8"/>
  <c r="I897" i="8"/>
  <c r="H897" i="8"/>
  <c r="G897" i="8"/>
  <c r="F897" i="8"/>
  <c r="E897" i="8"/>
  <c r="D897" i="8"/>
  <c r="J896" i="8"/>
  <c r="I896" i="8"/>
  <c r="H896" i="8"/>
  <c r="G896" i="8"/>
  <c r="F896" i="8"/>
  <c r="E896" i="8"/>
  <c r="D896" i="8"/>
  <c r="J895" i="8"/>
  <c r="I895" i="8"/>
  <c r="H895" i="8"/>
  <c r="G895" i="8"/>
  <c r="F895" i="8"/>
  <c r="E895" i="8"/>
  <c r="D895" i="8"/>
  <c r="J890" i="8"/>
  <c r="I890" i="8"/>
  <c r="H890" i="8"/>
  <c r="G890" i="8"/>
  <c r="F890" i="8"/>
  <c r="E890" i="8"/>
  <c r="D890" i="8"/>
  <c r="J889" i="8"/>
  <c r="I889" i="8"/>
  <c r="H889" i="8"/>
  <c r="G889" i="8"/>
  <c r="F889" i="8"/>
  <c r="E889" i="8"/>
  <c r="D889" i="8"/>
  <c r="J888" i="8"/>
  <c r="I888" i="8"/>
  <c r="H888" i="8"/>
  <c r="G888" i="8"/>
  <c r="F888" i="8"/>
  <c r="E888" i="8"/>
  <c r="D888" i="8"/>
  <c r="J887" i="8"/>
  <c r="I887" i="8"/>
  <c r="H887" i="8"/>
  <c r="G887" i="8"/>
  <c r="F887" i="8"/>
  <c r="E887" i="8"/>
  <c r="D887" i="8"/>
  <c r="J886" i="8"/>
  <c r="I886" i="8"/>
  <c r="H886" i="8"/>
  <c r="G886" i="8"/>
  <c r="F886" i="8"/>
  <c r="E886" i="8"/>
  <c r="D886" i="8"/>
  <c r="J885" i="8"/>
  <c r="I885" i="8"/>
  <c r="H885" i="8"/>
  <c r="H891" i="8" s="1"/>
  <c r="G885" i="8"/>
  <c r="F885" i="8"/>
  <c r="E885" i="8"/>
  <c r="D885" i="8"/>
  <c r="J884" i="8"/>
  <c r="I884" i="8"/>
  <c r="H884" i="8"/>
  <c r="G884" i="8"/>
  <c r="F884" i="8"/>
  <c r="E884" i="8"/>
  <c r="D884" i="8"/>
  <c r="J883" i="8"/>
  <c r="I883" i="8"/>
  <c r="H883" i="8"/>
  <c r="G883" i="8"/>
  <c r="F883" i="8"/>
  <c r="E883" i="8"/>
  <c r="D883" i="8"/>
  <c r="J878" i="8"/>
  <c r="I878" i="8"/>
  <c r="H878" i="8"/>
  <c r="G878" i="8"/>
  <c r="F878" i="8"/>
  <c r="E878" i="8"/>
  <c r="D878" i="8"/>
  <c r="J877" i="8"/>
  <c r="I877" i="8"/>
  <c r="H877" i="8"/>
  <c r="G877" i="8"/>
  <c r="F877" i="8"/>
  <c r="E877" i="8"/>
  <c r="D877" i="8"/>
  <c r="J876" i="8"/>
  <c r="I876" i="8"/>
  <c r="H876" i="8"/>
  <c r="G876" i="8"/>
  <c r="F876" i="8"/>
  <c r="E876" i="8"/>
  <c r="D876" i="8"/>
  <c r="J875" i="8"/>
  <c r="I875" i="8"/>
  <c r="H875" i="8"/>
  <c r="G875" i="8"/>
  <c r="F875" i="8"/>
  <c r="E875" i="8"/>
  <c r="D875" i="8"/>
  <c r="J874" i="8"/>
  <c r="I874" i="8"/>
  <c r="I879" i="8" s="1"/>
  <c r="H874" i="8"/>
  <c r="G874" i="8"/>
  <c r="F874" i="8"/>
  <c r="E874" i="8"/>
  <c r="D874" i="8"/>
  <c r="J873" i="8"/>
  <c r="I873" i="8"/>
  <c r="H873" i="8"/>
  <c r="G873" i="8"/>
  <c r="F873" i="8"/>
  <c r="E873" i="8"/>
  <c r="D873" i="8"/>
  <c r="J872" i="8"/>
  <c r="I872" i="8"/>
  <c r="H872" i="8"/>
  <c r="M872" i="8" s="1"/>
  <c r="G872" i="8"/>
  <c r="F872" i="8"/>
  <c r="E872" i="8"/>
  <c r="D872" i="8"/>
  <c r="J871" i="8"/>
  <c r="I871" i="8"/>
  <c r="H871" i="8"/>
  <c r="G871" i="8"/>
  <c r="F871" i="8"/>
  <c r="E871" i="8"/>
  <c r="D871" i="8"/>
  <c r="J866" i="8"/>
  <c r="I866" i="8"/>
  <c r="H866" i="8"/>
  <c r="G866" i="8"/>
  <c r="F866" i="8"/>
  <c r="E866" i="8"/>
  <c r="D866" i="8"/>
  <c r="J865" i="8"/>
  <c r="I865" i="8"/>
  <c r="H865" i="8"/>
  <c r="G865" i="8"/>
  <c r="F865" i="8"/>
  <c r="E865" i="8"/>
  <c r="D865" i="8"/>
  <c r="J864" i="8"/>
  <c r="I864" i="8"/>
  <c r="H864" i="8"/>
  <c r="G864" i="8"/>
  <c r="F864" i="8"/>
  <c r="E864" i="8"/>
  <c r="D864" i="8"/>
  <c r="J863" i="8"/>
  <c r="I863" i="8"/>
  <c r="H863" i="8"/>
  <c r="G863" i="8"/>
  <c r="F863" i="8"/>
  <c r="E863" i="8"/>
  <c r="D863" i="8"/>
  <c r="J862" i="8"/>
  <c r="I862" i="8"/>
  <c r="H862" i="8"/>
  <c r="G862" i="8"/>
  <c r="F862" i="8"/>
  <c r="E862" i="8"/>
  <c r="D862" i="8"/>
  <c r="J861" i="8"/>
  <c r="I861" i="8"/>
  <c r="H861" i="8"/>
  <c r="G861" i="8"/>
  <c r="F861" i="8"/>
  <c r="E861" i="8"/>
  <c r="D861" i="8"/>
  <c r="N860" i="8"/>
  <c r="J860" i="8"/>
  <c r="I860" i="8"/>
  <c r="H860" i="8"/>
  <c r="G860" i="8"/>
  <c r="G867" i="8" s="1"/>
  <c r="F860" i="8"/>
  <c r="E860" i="8"/>
  <c r="D860" i="8"/>
  <c r="J859" i="8"/>
  <c r="I859" i="8"/>
  <c r="H859" i="8"/>
  <c r="G859" i="8"/>
  <c r="F859" i="8"/>
  <c r="E859" i="8"/>
  <c r="D859" i="8"/>
  <c r="J854" i="8"/>
  <c r="I854" i="8"/>
  <c r="H854" i="8"/>
  <c r="G854" i="8"/>
  <c r="F854" i="8"/>
  <c r="E854" i="8"/>
  <c r="D854" i="8"/>
  <c r="J853" i="8"/>
  <c r="I853" i="8"/>
  <c r="H853" i="8"/>
  <c r="G853" i="8"/>
  <c r="F853" i="8"/>
  <c r="E853" i="8"/>
  <c r="D853" i="8"/>
  <c r="J852" i="8"/>
  <c r="I852" i="8"/>
  <c r="H852" i="8"/>
  <c r="G852" i="8"/>
  <c r="F852" i="8"/>
  <c r="E852" i="8"/>
  <c r="D852" i="8"/>
  <c r="J851" i="8"/>
  <c r="I851" i="8"/>
  <c r="H851" i="8"/>
  <c r="G851" i="8"/>
  <c r="F851" i="8"/>
  <c r="E851" i="8"/>
  <c r="D851" i="8"/>
  <c r="J850" i="8"/>
  <c r="I850" i="8"/>
  <c r="H850" i="8"/>
  <c r="G850" i="8"/>
  <c r="F850" i="8"/>
  <c r="E850" i="8"/>
  <c r="D850" i="8"/>
  <c r="J849" i="8"/>
  <c r="I849" i="8"/>
  <c r="H849" i="8"/>
  <c r="G849" i="8"/>
  <c r="G855" i="8" s="1"/>
  <c r="F849" i="8"/>
  <c r="E849" i="8"/>
  <c r="D849" i="8"/>
  <c r="J848" i="8"/>
  <c r="I848" i="8"/>
  <c r="H848" i="8"/>
  <c r="H855" i="8" s="1"/>
  <c r="G848" i="8"/>
  <c r="F848" i="8"/>
  <c r="E848" i="8"/>
  <c r="D848" i="8"/>
  <c r="J847" i="8"/>
  <c r="I847" i="8"/>
  <c r="H847" i="8"/>
  <c r="G847" i="8"/>
  <c r="F847" i="8"/>
  <c r="E847" i="8"/>
  <c r="D847" i="8"/>
  <c r="J842" i="8"/>
  <c r="I842" i="8"/>
  <c r="H842" i="8"/>
  <c r="G842" i="8"/>
  <c r="F842" i="8"/>
  <c r="E842" i="8"/>
  <c r="D842" i="8"/>
  <c r="J841" i="8"/>
  <c r="I841" i="8"/>
  <c r="H841" i="8"/>
  <c r="G841" i="8"/>
  <c r="F841" i="8"/>
  <c r="E841" i="8"/>
  <c r="D841" i="8"/>
  <c r="J840" i="8"/>
  <c r="I840" i="8"/>
  <c r="H840" i="8"/>
  <c r="G840" i="8"/>
  <c r="F840" i="8"/>
  <c r="E840" i="8"/>
  <c r="D840" i="8"/>
  <c r="J839" i="8"/>
  <c r="I839" i="8"/>
  <c r="N836" i="8" s="1"/>
  <c r="H839" i="8"/>
  <c r="G839" i="8"/>
  <c r="F839" i="8"/>
  <c r="E839" i="8"/>
  <c r="D839" i="8"/>
  <c r="J838" i="8"/>
  <c r="I838" i="8"/>
  <c r="H838" i="8"/>
  <c r="H843" i="8" s="1"/>
  <c r="G838" i="8"/>
  <c r="F838" i="8"/>
  <c r="E838" i="8"/>
  <c r="D838" i="8"/>
  <c r="J837" i="8"/>
  <c r="I837" i="8"/>
  <c r="H837" i="8"/>
  <c r="G837" i="8"/>
  <c r="F837" i="8"/>
  <c r="E837" i="8"/>
  <c r="D837" i="8"/>
  <c r="J836" i="8"/>
  <c r="I836" i="8"/>
  <c r="I843" i="8" s="1"/>
  <c r="H836" i="8"/>
  <c r="M836" i="8" s="1"/>
  <c r="G836" i="8"/>
  <c r="F836" i="8"/>
  <c r="E836" i="8"/>
  <c r="D836" i="8"/>
  <c r="J835" i="8"/>
  <c r="I835" i="8"/>
  <c r="H835" i="8"/>
  <c r="G835" i="8"/>
  <c r="F835" i="8"/>
  <c r="E835" i="8"/>
  <c r="D835" i="8"/>
  <c r="J830" i="8"/>
  <c r="I830" i="8"/>
  <c r="H830" i="8"/>
  <c r="G830" i="8"/>
  <c r="F830" i="8"/>
  <c r="E830" i="8"/>
  <c r="D830" i="8"/>
  <c r="J829" i="8"/>
  <c r="I829" i="8"/>
  <c r="H829" i="8"/>
  <c r="G829" i="8"/>
  <c r="F829" i="8"/>
  <c r="E829" i="8"/>
  <c r="D829" i="8"/>
  <c r="J828" i="8"/>
  <c r="I828" i="8"/>
  <c r="H828" i="8"/>
  <c r="G828" i="8"/>
  <c r="F828" i="8"/>
  <c r="E828" i="8"/>
  <c r="D828" i="8"/>
  <c r="J827" i="8"/>
  <c r="I827" i="8"/>
  <c r="I831" i="8" s="1"/>
  <c r="H827" i="8"/>
  <c r="G827" i="8"/>
  <c r="F827" i="8"/>
  <c r="E827" i="8"/>
  <c r="D827" i="8"/>
  <c r="J826" i="8"/>
  <c r="I826" i="8"/>
  <c r="H826" i="8"/>
  <c r="G826" i="8"/>
  <c r="F826" i="8"/>
  <c r="E826" i="8"/>
  <c r="D826" i="8"/>
  <c r="J825" i="8"/>
  <c r="I825" i="8"/>
  <c r="H825" i="8"/>
  <c r="G825" i="8"/>
  <c r="F825" i="8"/>
  <c r="E825" i="8"/>
  <c r="D825" i="8"/>
  <c r="J824" i="8"/>
  <c r="I824" i="8"/>
  <c r="H824" i="8"/>
  <c r="H831" i="8" s="1"/>
  <c r="G824" i="8"/>
  <c r="F824" i="8"/>
  <c r="E824" i="8"/>
  <c r="D824" i="8"/>
  <c r="J823" i="8"/>
  <c r="I823" i="8"/>
  <c r="H823" i="8"/>
  <c r="G823" i="8"/>
  <c r="F823" i="8"/>
  <c r="E823" i="8"/>
  <c r="D823" i="8"/>
  <c r="I819" i="8"/>
  <c r="J818" i="8"/>
  <c r="I818" i="8"/>
  <c r="H818" i="8"/>
  <c r="G818" i="8"/>
  <c r="F818" i="8"/>
  <c r="E818" i="8"/>
  <c r="D818" i="8"/>
  <c r="J817" i="8"/>
  <c r="I817" i="8"/>
  <c r="H817" i="8"/>
  <c r="G817" i="8"/>
  <c r="F817" i="8"/>
  <c r="E817" i="8"/>
  <c r="D817" i="8"/>
  <c r="J816" i="8"/>
  <c r="I816" i="8"/>
  <c r="H816" i="8"/>
  <c r="G816" i="8"/>
  <c r="F816" i="8"/>
  <c r="E816" i="8"/>
  <c r="D816" i="8"/>
  <c r="J815" i="8"/>
  <c r="I815" i="8"/>
  <c r="H815" i="8"/>
  <c r="G815" i="8"/>
  <c r="F815" i="8"/>
  <c r="E815" i="8"/>
  <c r="D815" i="8"/>
  <c r="J814" i="8"/>
  <c r="I814" i="8"/>
  <c r="H814" i="8"/>
  <c r="G814" i="8"/>
  <c r="F814" i="8"/>
  <c r="E814" i="8"/>
  <c r="D814" i="8"/>
  <c r="J813" i="8"/>
  <c r="I813" i="8"/>
  <c r="H813" i="8"/>
  <c r="G813" i="8"/>
  <c r="F813" i="8"/>
  <c r="E813" i="8"/>
  <c r="D813" i="8"/>
  <c r="J812" i="8"/>
  <c r="I812" i="8"/>
  <c r="N812" i="8" s="1"/>
  <c r="H812" i="8"/>
  <c r="H819" i="8" s="1"/>
  <c r="G812" i="8"/>
  <c r="G819" i="8" s="1"/>
  <c r="F812" i="8"/>
  <c r="E812" i="8"/>
  <c r="D812" i="8"/>
  <c r="J811" i="8"/>
  <c r="I811" i="8"/>
  <c r="H811" i="8"/>
  <c r="G811" i="8"/>
  <c r="F811" i="8"/>
  <c r="E811" i="8"/>
  <c r="D811" i="8"/>
  <c r="J806" i="8"/>
  <c r="I806" i="8"/>
  <c r="H806" i="8"/>
  <c r="G806" i="8"/>
  <c r="F806" i="8"/>
  <c r="E806" i="8"/>
  <c r="D806" i="8"/>
  <c r="J805" i="8"/>
  <c r="I805" i="8"/>
  <c r="H805" i="8"/>
  <c r="G805" i="8"/>
  <c r="F805" i="8"/>
  <c r="E805" i="8"/>
  <c r="D805" i="8"/>
  <c r="J804" i="8"/>
  <c r="I804" i="8"/>
  <c r="H804" i="8"/>
  <c r="G804" i="8"/>
  <c r="F804" i="8"/>
  <c r="E804" i="8"/>
  <c r="D804" i="8"/>
  <c r="J803" i="8"/>
  <c r="I803" i="8"/>
  <c r="N800" i="8" s="1"/>
  <c r="H803" i="8"/>
  <c r="G803" i="8"/>
  <c r="F803" i="8"/>
  <c r="E803" i="8"/>
  <c r="D803" i="8"/>
  <c r="J802" i="8"/>
  <c r="I802" i="8"/>
  <c r="H802" i="8"/>
  <c r="G802" i="8"/>
  <c r="F802" i="8"/>
  <c r="E802" i="8"/>
  <c r="D802" i="8"/>
  <c r="J801" i="8"/>
  <c r="I801" i="8"/>
  <c r="H801" i="8"/>
  <c r="G801" i="8"/>
  <c r="G807" i="8" s="1"/>
  <c r="F801" i="8"/>
  <c r="E801" i="8"/>
  <c r="D801" i="8"/>
  <c r="J800" i="8"/>
  <c r="I800" i="8"/>
  <c r="H800" i="8"/>
  <c r="M800" i="8" s="1"/>
  <c r="G800" i="8"/>
  <c r="F800" i="8"/>
  <c r="E800" i="8"/>
  <c r="D800" i="8"/>
  <c r="J799" i="8"/>
  <c r="I799" i="8"/>
  <c r="H799" i="8"/>
  <c r="G799" i="8"/>
  <c r="F799" i="8"/>
  <c r="E799" i="8"/>
  <c r="D799" i="8"/>
  <c r="J794" i="8"/>
  <c r="I794" i="8"/>
  <c r="H794" i="8"/>
  <c r="G794" i="8"/>
  <c r="F794" i="8"/>
  <c r="E794" i="8"/>
  <c r="D794" i="8"/>
  <c r="J793" i="8"/>
  <c r="I793" i="8"/>
  <c r="H793" i="8"/>
  <c r="G793" i="8"/>
  <c r="F793" i="8"/>
  <c r="E793" i="8"/>
  <c r="D793" i="8"/>
  <c r="J792" i="8"/>
  <c r="I792" i="8"/>
  <c r="N788" i="8" s="1"/>
  <c r="H792" i="8"/>
  <c r="G792" i="8"/>
  <c r="F792" i="8"/>
  <c r="E792" i="8"/>
  <c r="D792" i="8"/>
  <c r="J791" i="8"/>
  <c r="I791" i="8"/>
  <c r="H791" i="8"/>
  <c r="G791" i="8"/>
  <c r="F791" i="8"/>
  <c r="E791" i="8"/>
  <c r="D791" i="8"/>
  <c r="J790" i="8"/>
  <c r="I790" i="8"/>
  <c r="H790" i="8"/>
  <c r="G790" i="8"/>
  <c r="F790" i="8"/>
  <c r="E790" i="8"/>
  <c r="D790" i="8"/>
  <c r="J789" i="8"/>
  <c r="I789" i="8"/>
  <c r="H789" i="8"/>
  <c r="G789" i="8"/>
  <c r="F789" i="8"/>
  <c r="E789" i="8"/>
  <c r="D789" i="8"/>
  <c r="J788" i="8"/>
  <c r="I788" i="8"/>
  <c r="I795" i="8" s="1"/>
  <c r="H788" i="8"/>
  <c r="G788" i="8"/>
  <c r="G795" i="8" s="1"/>
  <c r="F788" i="8"/>
  <c r="E788" i="8"/>
  <c r="D788" i="8"/>
  <c r="J787" i="8"/>
  <c r="I787" i="8"/>
  <c r="H787" i="8"/>
  <c r="G787" i="8"/>
  <c r="F787" i="8"/>
  <c r="E787" i="8"/>
  <c r="D787" i="8"/>
  <c r="H783" i="8"/>
  <c r="J782" i="8"/>
  <c r="I782" i="8"/>
  <c r="H782" i="8"/>
  <c r="G782" i="8"/>
  <c r="F782" i="8"/>
  <c r="E782" i="8"/>
  <c r="D782" i="8"/>
  <c r="J781" i="8"/>
  <c r="I781" i="8"/>
  <c r="H781" i="8"/>
  <c r="G781" i="8"/>
  <c r="F781" i="8"/>
  <c r="E781" i="8"/>
  <c r="D781" i="8"/>
  <c r="J780" i="8"/>
  <c r="I780" i="8"/>
  <c r="H780" i="8"/>
  <c r="G780" i="8"/>
  <c r="F780" i="8"/>
  <c r="E780" i="8"/>
  <c r="D780" i="8"/>
  <c r="J779" i="8"/>
  <c r="I779" i="8"/>
  <c r="H779" i="8"/>
  <c r="G779" i="8"/>
  <c r="F779" i="8"/>
  <c r="E779" i="8"/>
  <c r="D779" i="8"/>
  <c r="J778" i="8"/>
  <c r="I778" i="8"/>
  <c r="H778" i="8"/>
  <c r="G778" i="8"/>
  <c r="F778" i="8"/>
  <c r="E778" i="8"/>
  <c r="D778" i="8"/>
  <c r="J777" i="8"/>
  <c r="I777" i="8"/>
  <c r="I783" i="8" s="1"/>
  <c r="H777" i="8"/>
  <c r="G777" i="8"/>
  <c r="F777" i="8"/>
  <c r="E777" i="8"/>
  <c r="D777" i="8"/>
  <c r="J776" i="8"/>
  <c r="I776" i="8"/>
  <c r="H776" i="8"/>
  <c r="M776" i="8" s="1"/>
  <c r="G776" i="8"/>
  <c r="G783" i="8" s="1"/>
  <c r="J783" i="8" s="1"/>
  <c r="F776" i="8"/>
  <c r="E776" i="8"/>
  <c r="D776" i="8"/>
  <c r="J775" i="8"/>
  <c r="I775" i="8"/>
  <c r="H775" i="8"/>
  <c r="G775" i="8"/>
  <c r="F775" i="8"/>
  <c r="E775" i="8"/>
  <c r="D775" i="8"/>
  <c r="J770" i="8"/>
  <c r="I770" i="8"/>
  <c r="H770" i="8"/>
  <c r="G770" i="8"/>
  <c r="F770" i="8"/>
  <c r="E770" i="8"/>
  <c r="D770" i="8"/>
  <c r="J769" i="8"/>
  <c r="I769" i="8"/>
  <c r="H769" i="8"/>
  <c r="G769" i="8"/>
  <c r="F769" i="8"/>
  <c r="E769" i="8"/>
  <c r="D769" i="8"/>
  <c r="J768" i="8"/>
  <c r="I768" i="8"/>
  <c r="H768" i="8"/>
  <c r="G768" i="8"/>
  <c r="F768" i="8"/>
  <c r="E768" i="8"/>
  <c r="D768" i="8"/>
  <c r="J767" i="8"/>
  <c r="I767" i="8"/>
  <c r="H767" i="8"/>
  <c r="G767" i="8"/>
  <c r="F767" i="8"/>
  <c r="E767" i="8"/>
  <c r="D767" i="8"/>
  <c r="J766" i="8"/>
  <c r="I766" i="8"/>
  <c r="H766" i="8"/>
  <c r="G766" i="8"/>
  <c r="F766" i="8"/>
  <c r="E766" i="8"/>
  <c r="D766" i="8"/>
  <c r="J765" i="8"/>
  <c r="I765" i="8"/>
  <c r="I771" i="8" s="1"/>
  <c r="H765" i="8"/>
  <c r="G765" i="8"/>
  <c r="F765" i="8"/>
  <c r="E765" i="8"/>
  <c r="D765" i="8"/>
  <c r="J764" i="8"/>
  <c r="I764" i="8"/>
  <c r="N764" i="8" s="1"/>
  <c r="H764" i="8"/>
  <c r="G764" i="8"/>
  <c r="G771" i="8" s="1"/>
  <c r="F764" i="8"/>
  <c r="E764" i="8"/>
  <c r="D764" i="8"/>
  <c r="J763" i="8"/>
  <c r="I763" i="8"/>
  <c r="H763" i="8"/>
  <c r="G763" i="8"/>
  <c r="F763" i="8"/>
  <c r="E763" i="8"/>
  <c r="D763" i="8"/>
  <c r="J758" i="8"/>
  <c r="I758" i="8"/>
  <c r="H758" i="8"/>
  <c r="G758" i="8"/>
  <c r="F758" i="8"/>
  <c r="E758" i="8"/>
  <c r="D758" i="8"/>
  <c r="J757" i="8"/>
  <c r="I757" i="8"/>
  <c r="H757" i="8"/>
  <c r="G757" i="8"/>
  <c r="F757" i="8"/>
  <c r="E757" i="8"/>
  <c r="D757" i="8"/>
  <c r="J756" i="8"/>
  <c r="I756" i="8"/>
  <c r="H756" i="8"/>
  <c r="G756" i="8"/>
  <c r="F756" i="8"/>
  <c r="E756" i="8"/>
  <c r="D756" i="8"/>
  <c r="J755" i="8"/>
  <c r="I755" i="8"/>
  <c r="H755" i="8"/>
  <c r="G755" i="8"/>
  <c r="F755" i="8"/>
  <c r="E755" i="8"/>
  <c r="D755" i="8"/>
  <c r="J754" i="8"/>
  <c r="I754" i="8"/>
  <c r="H754" i="8"/>
  <c r="G754" i="8"/>
  <c r="G759" i="8" s="1"/>
  <c r="F754" i="8"/>
  <c r="E754" i="8"/>
  <c r="D754" i="8"/>
  <c r="J753" i="8"/>
  <c r="I753" i="8"/>
  <c r="H753" i="8"/>
  <c r="G753" i="8"/>
  <c r="F753" i="8"/>
  <c r="E753" i="8"/>
  <c r="D753" i="8"/>
  <c r="M752" i="8"/>
  <c r="J752" i="8"/>
  <c r="I752" i="8"/>
  <c r="H752" i="8"/>
  <c r="H759" i="8" s="1"/>
  <c r="G752" i="8"/>
  <c r="L752" i="8" s="1"/>
  <c r="F752" i="8"/>
  <c r="E752" i="8"/>
  <c r="D752" i="8"/>
  <c r="J751" i="8"/>
  <c r="I751" i="8"/>
  <c r="H751" i="8"/>
  <c r="G751" i="8"/>
  <c r="F751" i="8"/>
  <c r="E751" i="8"/>
  <c r="D751" i="8"/>
  <c r="J746" i="8"/>
  <c r="I746" i="8"/>
  <c r="H746" i="8"/>
  <c r="G746" i="8"/>
  <c r="F746" i="8"/>
  <c r="E746" i="8"/>
  <c r="D746" i="8"/>
  <c r="J745" i="8"/>
  <c r="I745" i="8"/>
  <c r="H745" i="8"/>
  <c r="G745" i="8"/>
  <c r="F745" i="8"/>
  <c r="E745" i="8"/>
  <c r="D745" i="8"/>
  <c r="J744" i="8"/>
  <c r="I744" i="8"/>
  <c r="H744" i="8"/>
  <c r="G744" i="8"/>
  <c r="F744" i="8"/>
  <c r="E744" i="8"/>
  <c r="D744" i="8"/>
  <c r="J743" i="8"/>
  <c r="I743" i="8"/>
  <c r="H743" i="8"/>
  <c r="G743" i="8"/>
  <c r="F743" i="8"/>
  <c r="E743" i="8"/>
  <c r="D743" i="8"/>
  <c r="J742" i="8"/>
  <c r="I742" i="8"/>
  <c r="H742" i="8"/>
  <c r="G742" i="8"/>
  <c r="F742" i="8"/>
  <c r="E742" i="8"/>
  <c r="D742" i="8"/>
  <c r="J741" i="8"/>
  <c r="I741" i="8"/>
  <c r="H741" i="8"/>
  <c r="H747" i="8" s="1"/>
  <c r="G741" i="8"/>
  <c r="F741" i="8"/>
  <c r="E741" i="8"/>
  <c r="D741" i="8"/>
  <c r="J740" i="8"/>
  <c r="I740" i="8"/>
  <c r="I747" i="8" s="1"/>
  <c r="H740" i="8"/>
  <c r="G740" i="8"/>
  <c r="G747" i="8" s="1"/>
  <c r="J747" i="8" s="1"/>
  <c r="F740" i="8"/>
  <c r="E740" i="8"/>
  <c r="D740" i="8"/>
  <c r="J739" i="8"/>
  <c r="I739" i="8"/>
  <c r="H739" i="8"/>
  <c r="G739" i="8"/>
  <c r="F739" i="8"/>
  <c r="E739" i="8"/>
  <c r="D739" i="8"/>
  <c r="J734" i="8"/>
  <c r="I734" i="8"/>
  <c r="H734" i="8"/>
  <c r="G734" i="8"/>
  <c r="F734" i="8"/>
  <c r="E734" i="8"/>
  <c r="D734" i="8"/>
  <c r="J733" i="8"/>
  <c r="I733" i="8"/>
  <c r="H733" i="8"/>
  <c r="G733" i="8"/>
  <c r="F733" i="8"/>
  <c r="E733" i="8"/>
  <c r="D733" i="8"/>
  <c r="J732" i="8"/>
  <c r="I732" i="8"/>
  <c r="H732" i="8"/>
  <c r="G732" i="8"/>
  <c r="F732" i="8"/>
  <c r="E732" i="8"/>
  <c r="D732" i="8"/>
  <c r="J731" i="8"/>
  <c r="I731" i="8"/>
  <c r="H731" i="8"/>
  <c r="G731" i="8"/>
  <c r="F731" i="8"/>
  <c r="E731" i="8"/>
  <c r="D731" i="8"/>
  <c r="J730" i="8"/>
  <c r="I730" i="8"/>
  <c r="H730" i="8"/>
  <c r="G730" i="8"/>
  <c r="F730" i="8"/>
  <c r="E730" i="8"/>
  <c r="D730" i="8"/>
  <c r="J729" i="8"/>
  <c r="I729" i="8"/>
  <c r="I735" i="8" s="1"/>
  <c r="H729" i="8"/>
  <c r="G729" i="8"/>
  <c r="F729" i="8"/>
  <c r="E729" i="8"/>
  <c r="D729" i="8"/>
  <c r="J728" i="8"/>
  <c r="I728" i="8"/>
  <c r="H728" i="8"/>
  <c r="G728" i="8"/>
  <c r="F728" i="8"/>
  <c r="E728" i="8"/>
  <c r="D728" i="8"/>
  <c r="J727" i="8"/>
  <c r="I727" i="8"/>
  <c r="H727" i="8"/>
  <c r="G727" i="8"/>
  <c r="F727" i="8"/>
  <c r="E727" i="8"/>
  <c r="D727" i="8"/>
  <c r="J722" i="8"/>
  <c r="I722" i="8"/>
  <c r="H722" i="8"/>
  <c r="G722" i="8"/>
  <c r="F722" i="8"/>
  <c r="E722" i="8"/>
  <c r="D722" i="8"/>
  <c r="J721" i="8"/>
  <c r="I721" i="8"/>
  <c r="H721" i="8"/>
  <c r="G721" i="8"/>
  <c r="F721" i="8"/>
  <c r="E721" i="8"/>
  <c r="D721" i="8"/>
  <c r="J720" i="8"/>
  <c r="I720" i="8"/>
  <c r="H720" i="8"/>
  <c r="G720" i="8"/>
  <c r="F720" i="8"/>
  <c r="E720" i="8"/>
  <c r="D720" i="8"/>
  <c r="J719" i="8"/>
  <c r="I719" i="8"/>
  <c r="H719" i="8"/>
  <c r="G719" i="8"/>
  <c r="F719" i="8"/>
  <c r="E719" i="8"/>
  <c r="D719" i="8"/>
  <c r="J718" i="8"/>
  <c r="I718" i="8"/>
  <c r="H718" i="8"/>
  <c r="G718" i="8"/>
  <c r="F718" i="8"/>
  <c r="E718" i="8"/>
  <c r="D718" i="8"/>
  <c r="J717" i="8"/>
  <c r="I717" i="8"/>
  <c r="H717" i="8"/>
  <c r="G717" i="8"/>
  <c r="F717" i="8"/>
  <c r="E717" i="8"/>
  <c r="D717" i="8"/>
  <c r="J716" i="8"/>
  <c r="I716" i="8"/>
  <c r="N716" i="8" s="1"/>
  <c r="H716" i="8"/>
  <c r="G716" i="8"/>
  <c r="F716" i="8"/>
  <c r="E716" i="8"/>
  <c r="D716" i="8"/>
  <c r="J715" i="8"/>
  <c r="I715" i="8"/>
  <c r="H715" i="8"/>
  <c r="G715" i="8"/>
  <c r="F715" i="8"/>
  <c r="E715" i="8"/>
  <c r="D715" i="8"/>
  <c r="J710" i="8"/>
  <c r="I710" i="8"/>
  <c r="H710" i="8"/>
  <c r="G710" i="8"/>
  <c r="F710" i="8"/>
  <c r="E710" i="8"/>
  <c r="D710" i="8"/>
  <c r="J709" i="8"/>
  <c r="I709" i="8"/>
  <c r="H709" i="8"/>
  <c r="G709" i="8"/>
  <c r="F709" i="8"/>
  <c r="E709" i="8"/>
  <c r="D709" i="8"/>
  <c r="J708" i="8"/>
  <c r="I708" i="8"/>
  <c r="H708" i="8"/>
  <c r="M704" i="8" s="1"/>
  <c r="G708" i="8"/>
  <c r="F708" i="8"/>
  <c r="E708" i="8"/>
  <c r="D708" i="8"/>
  <c r="J707" i="8"/>
  <c r="I707" i="8"/>
  <c r="H707" i="8"/>
  <c r="G707" i="8"/>
  <c r="F707" i="8"/>
  <c r="E707" i="8"/>
  <c r="D707" i="8"/>
  <c r="J706" i="8"/>
  <c r="I706" i="8"/>
  <c r="H706" i="8"/>
  <c r="G706" i="8"/>
  <c r="F706" i="8"/>
  <c r="E706" i="8"/>
  <c r="D706" i="8"/>
  <c r="J705" i="8"/>
  <c r="I705" i="8"/>
  <c r="H705" i="8"/>
  <c r="G705" i="8"/>
  <c r="F705" i="8"/>
  <c r="E705" i="8"/>
  <c r="D705" i="8"/>
  <c r="J704" i="8"/>
  <c r="I704" i="8"/>
  <c r="N704" i="8" s="1"/>
  <c r="H704" i="8"/>
  <c r="H711" i="8" s="1"/>
  <c r="G704" i="8"/>
  <c r="F704" i="8"/>
  <c r="E704" i="8"/>
  <c r="D704" i="8"/>
  <c r="J703" i="8"/>
  <c r="I703" i="8"/>
  <c r="H703" i="8"/>
  <c r="G703" i="8"/>
  <c r="F703" i="8"/>
  <c r="E703" i="8"/>
  <c r="D703" i="8"/>
  <c r="I699" i="8"/>
  <c r="J698" i="8"/>
  <c r="I698" i="8"/>
  <c r="H698" i="8"/>
  <c r="G698" i="8"/>
  <c r="F698" i="8"/>
  <c r="E698" i="8"/>
  <c r="D698" i="8"/>
  <c r="J697" i="8"/>
  <c r="I697" i="8"/>
  <c r="H697" i="8"/>
  <c r="G697" i="8"/>
  <c r="F697" i="8"/>
  <c r="E697" i="8"/>
  <c r="D697" i="8"/>
  <c r="J696" i="8"/>
  <c r="I696" i="8"/>
  <c r="H696" i="8"/>
  <c r="G696" i="8"/>
  <c r="F696" i="8"/>
  <c r="E696" i="8"/>
  <c r="D696" i="8"/>
  <c r="J695" i="8"/>
  <c r="I695" i="8"/>
  <c r="H695" i="8"/>
  <c r="G695" i="8"/>
  <c r="F695" i="8"/>
  <c r="E695" i="8"/>
  <c r="D695" i="8"/>
  <c r="J694" i="8"/>
  <c r="I694" i="8"/>
  <c r="H694" i="8"/>
  <c r="G694" i="8"/>
  <c r="F694" i="8"/>
  <c r="E694" i="8"/>
  <c r="D694" i="8"/>
  <c r="J693" i="8"/>
  <c r="I693" i="8"/>
  <c r="H693" i="8"/>
  <c r="H699" i="8" s="1"/>
  <c r="G693" i="8"/>
  <c r="F693" i="8"/>
  <c r="E693" i="8"/>
  <c r="D693" i="8"/>
  <c r="J692" i="8"/>
  <c r="I692" i="8"/>
  <c r="H692" i="8"/>
  <c r="G692" i="8"/>
  <c r="G699" i="8" s="1"/>
  <c r="J699" i="8" s="1"/>
  <c r="F692" i="8"/>
  <c r="E692" i="8"/>
  <c r="D692" i="8"/>
  <c r="J691" i="8"/>
  <c r="I691" i="8"/>
  <c r="H691" i="8"/>
  <c r="G691" i="8"/>
  <c r="F691" i="8"/>
  <c r="E691" i="8"/>
  <c r="D691" i="8"/>
  <c r="J686" i="8"/>
  <c r="I686" i="8"/>
  <c r="H686" i="8"/>
  <c r="G686" i="8"/>
  <c r="F686" i="8"/>
  <c r="E686" i="8"/>
  <c r="D686" i="8"/>
  <c r="J685" i="8"/>
  <c r="I685" i="8"/>
  <c r="H685" i="8"/>
  <c r="G685" i="8"/>
  <c r="F685" i="8"/>
  <c r="E685" i="8"/>
  <c r="D685" i="8"/>
  <c r="J684" i="8"/>
  <c r="I684" i="8"/>
  <c r="H684" i="8"/>
  <c r="G684" i="8"/>
  <c r="F684" i="8"/>
  <c r="E684" i="8"/>
  <c r="D684" i="8"/>
  <c r="J683" i="8"/>
  <c r="I683" i="8"/>
  <c r="H683" i="8"/>
  <c r="G683" i="8"/>
  <c r="F683" i="8"/>
  <c r="E683" i="8"/>
  <c r="D683" i="8"/>
  <c r="J682" i="8"/>
  <c r="I682" i="8"/>
  <c r="I687" i="8" s="1"/>
  <c r="H682" i="8"/>
  <c r="G682" i="8"/>
  <c r="F682" i="8"/>
  <c r="E682" i="8"/>
  <c r="D682" i="8"/>
  <c r="J681" i="8"/>
  <c r="I681" i="8"/>
  <c r="H681" i="8"/>
  <c r="G681" i="8"/>
  <c r="F681" i="8"/>
  <c r="E681" i="8"/>
  <c r="D681" i="8"/>
  <c r="J680" i="8"/>
  <c r="I680" i="8"/>
  <c r="N680" i="8" s="1"/>
  <c r="H680" i="8"/>
  <c r="M680" i="8" s="1"/>
  <c r="G680" i="8"/>
  <c r="F680" i="8"/>
  <c r="E680" i="8"/>
  <c r="D680" i="8"/>
  <c r="J679" i="8"/>
  <c r="I679" i="8"/>
  <c r="H679" i="8"/>
  <c r="G679" i="8"/>
  <c r="F679" i="8"/>
  <c r="E679" i="8"/>
  <c r="D679" i="8"/>
  <c r="J674" i="8"/>
  <c r="I674" i="8"/>
  <c r="H674" i="8"/>
  <c r="G674" i="8"/>
  <c r="F674" i="8"/>
  <c r="E674" i="8"/>
  <c r="D674" i="8"/>
  <c r="J673" i="8"/>
  <c r="I673" i="8"/>
  <c r="H673" i="8"/>
  <c r="G673" i="8"/>
  <c r="F673" i="8"/>
  <c r="E673" i="8"/>
  <c r="D673" i="8"/>
  <c r="J672" i="8"/>
  <c r="I672" i="8"/>
  <c r="H672" i="8"/>
  <c r="G672" i="8"/>
  <c r="F672" i="8"/>
  <c r="E672" i="8"/>
  <c r="D672" i="8"/>
  <c r="J671" i="8"/>
  <c r="I671" i="8"/>
  <c r="H671" i="8"/>
  <c r="G671" i="8"/>
  <c r="F671" i="8"/>
  <c r="E671" i="8"/>
  <c r="D671" i="8"/>
  <c r="J670" i="8"/>
  <c r="I670" i="8"/>
  <c r="H670" i="8"/>
  <c r="G670" i="8"/>
  <c r="F670" i="8"/>
  <c r="E670" i="8"/>
  <c r="D670" i="8"/>
  <c r="J669" i="8"/>
  <c r="I669" i="8"/>
  <c r="H669" i="8"/>
  <c r="G669" i="8"/>
  <c r="F669" i="8"/>
  <c r="E669" i="8"/>
  <c r="D669" i="8"/>
  <c r="J668" i="8"/>
  <c r="I668" i="8"/>
  <c r="H668" i="8"/>
  <c r="G668" i="8"/>
  <c r="F668" i="8"/>
  <c r="E668" i="8"/>
  <c r="D668" i="8"/>
  <c r="J667" i="8"/>
  <c r="I667" i="8"/>
  <c r="H667" i="8"/>
  <c r="G667" i="8"/>
  <c r="F667" i="8"/>
  <c r="E667" i="8"/>
  <c r="D667" i="8"/>
  <c r="J662" i="8"/>
  <c r="I662" i="8"/>
  <c r="H662" i="8"/>
  <c r="G662" i="8"/>
  <c r="F662" i="8"/>
  <c r="E662" i="8"/>
  <c r="D662" i="8"/>
  <c r="J661" i="8"/>
  <c r="I661" i="8"/>
  <c r="H661" i="8"/>
  <c r="G661" i="8"/>
  <c r="F661" i="8"/>
  <c r="E661" i="8"/>
  <c r="D661" i="8"/>
  <c r="J660" i="8"/>
  <c r="I660" i="8"/>
  <c r="H660" i="8"/>
  <c r="G660" i="8"/>
  <c r="F660" i="8"/>
  <c r="E660" i="8"/>
  <c r="D660" i="8"/>
  <c r="J659" i="8"/>
  <c r="I659" i="8"/>
  <c r="H659" i="8"/>
  <c r="G659" i="8"/>
  <c r="F659" i="8"/>
  <c r="E659" i="8"/>
  <c r="D659" i="8"/>
  <c r="J658" i="8"/>
  <c r="I658" i="8"/>
  <c r="H658" i="8"/>
  <c r="G658" i="8"/>
  <c r="F658" i="8"/>
  <c r="E658" i="8"/>
  <c r="D658" i="8"/>
  <c r="J657" i="8"/>
  <c r="I657" i="8"/>
  <c r="H657" i="8"/>
  <c r="G657" i="8"/>
  <c r="G663" i="8" s="1"/>
  <c r="F657" i="8"/>
  <c r="E657" i="8"/>
  <c r="D657" i="8"/>
  <c r="J656" i="8"/>
  <c r="I656" i="8"/>
  <c r="H656" i="8"/>
  <c r="H663" i="8" s="1"/>
  <c r="G656" i="8"/>
  <c r="F656" i="8"/>
  <c r="E656" i="8"/>
  <c r="D656" i="8"/>
  <c r="J655" i="8"/>
  <c r="I655" i="8"/>
  <c r="H655" i="8"/>
  <c r="G655" i="8"/>
  <c r="F655" i="8"/>
  <c r="E655" i="8"/>
  <c r="D655" i="8"/>
  <c r="J650" i="8"/>
  <c r="I650" i="8"/>
  <c r="H650" i="8"/>
  <c r="G650" i="8"/>
  <c r="F650" i="8"/>
  <c r="E650" i="8"/>
  <c r="D650" i="8"/>
  <c r="J649" i="8"/>
  <c r="I649" i="8"/>
  <c r="H649" i="8"/>
  <c r="G649" i="8"/>
  <c r="F649" i="8"/>
  <c r="E649" i="8"/>
  <c r="D649" i="8"/>
  <c r="J648" i="8"/>
  <c r="I648" i="8"/>
  <c r="H648" i="8"/>
  <c r="G648" i="8"/>
  <c r="F648" i="8"/>
  <c r="E648" i="8"/>
  <c r="D648" i="8"/>
  <c r="J647" i="8"/>
  <c r="I647" i="8"/>
  <c r="N644" i="8" s="1"/>
  <c r="H647" i="8"/>
  <c r="G647" i="8"/>
  <c r="F647" i="8"/>
  <c r="E647" i="8"/>
  <c r="D647" i="8"/>
  <c r="J646" i="8"/>
  <c r="I646" i="8"/>
  <c r="H646" i="8"/>
  <c r="H651" i="8" s="1"/>
  <c r="G646" i="8"/>
  <c r="F646" i="8"/>
  <c r="E646" i="8"/>
  <c r="D646" i="8"/>
  <c r="J645" i="8"/>
  <c r="I645" i="8"/>
  <c r="H645" i="8"/>
  <c r="G645" i="8"/>
  <c r="F645" i="8"/>
  <c r="E645" i="8"/>
  <c r="D645" i="8"/>
  <c r="J644" i="8"/>
  <c r="I644" i="8"/>
  <c r="H644" i="8"/>
  <c r="M644" i="8" s="1"/>
  <c r="G644" i="8"/>
  <c r="F644" i="8"/>
  <c r="E644" i="8"/>
  <c r="D644" i="8"/>
  <c r="J643" i="8"/>
  <c r="I643" i="8"/>
  <c r="H643" i="8"/>
  <c r="G643" i="8"/>
  <c r="F643" i="8"/>
  <c r="E643" i="8"/>
  <c r="D643" i="8"/>
  <c r="J638" i="8"/>
  <c r="I638" i="8"/>
  <c r="H638" i="8"/>
  <c r="G638" i="8"/>
  <c r="F638" i="8"/>
  <c r="E638" i="8"/>
  <c r="D638" i="8"/>
  <c r="J637" i="8"/>
  <c r="I637" i="8"/>
  <c r="H637" i="8"/>
  <c r="G637" i="8"/>
  <c r="F637" i="8"/>
  <c r="E637" i="8"/>
  <c r="D637" i="8"/>
  <c r="J636" i="8"/>
  <c r="I636" i="8"/>
  <c r="H636" i="8"/>
  <c r="G636" i="8"/>
  <c r="F636" i="8"/>
  <c r="E636" i="8"/>
  <c r="D636" i="8"/>
  <c r="J635" i="8"/>
  <c r="I635" i="8"/>
  <c r="I639" i="8" s="1"/>
  <c r="H635" i="8"/>
  <c r="G635" i="8"/>
  <c r="F635" i="8"/>
  <c r="E635" i="8"/>
  <c r="D635" i="8"/>
  <c r="J634" i="8"/>
  <c r="I634" i="8"/>
  <c r="H634" i="8"/>
  <c r="G634" i="8"/>
  <c r="F634" i="8"/>
  <c r="E634" i="8"/>
  <c r="D634" i="8"/>
  <c r="J633" i="8"/>
  <c r="I633" i="8"/>
  <c r="H633" i="8"/>
  <c r="G633" i="8"/>
  <c r="F633" i="8"/>
  <c r="E633" i="8"/>
  <c r="D633" i="8"/>
  <c r="J632" i="8"/>
  <c r="I632" i="8"/>
  <c r="H632" i="8"/>
  <c r="G632" i="8"/>
  <c r="F632" i="8"/>
  <c r="E632" i="8"/>
  <c r="D632" i="8"/>
  <c r="J631" i="8"/>
  <c r="I631" i="8"/>
  <c r="H631" i="8"/>
  <c r="G631" i="8"/>
  <c r="F631" i="8"/>
  <c r="E631" i="8"/>
  <c r="D631" i="8"/>
  <c r="I627" i="8"/>
  <c r="J626" i="8"/>
  <c r="I626" i="8"/>
  <c r="H626" i="8"/>
  <c r="G626" i="8"/>
  <c r="F626" i="8"/>
  <c r="E626" i="8"/>
  <c r="D626" i="8"/>
  <c r="J625" i="8"/>
  <c r="I625" i="8"/>
  <c r="H625" i="8"/>
  <c r="G625" i="8"/>
  <c r="F625" i="8"/>
  <c r="E625" i="8"/>
  <c r="D625" i="8"/>
  <c r="J624" i="8"/>
  <c r="I624" i="8"/>
  <c r="H624" i="8"/>
  <c r="G624" i="8"/>
  <c r="F624" i="8"/>
  <c r="E624" i="8"/>
  <c r="D624" i="8"/>
  <c r="J623" i="8"/>
  <c r="I623" i="8"/>
  <c r="H623" i="8"/>
  <c r="G623" i="8"/>
  <c r="F623" i="8"/>
  <c r="E623" i="8"/>
  <c r="D623" i="8"/>
  <c r="J622" i="8"/>
  <c r="I622" i="8"/>
  <c r="H622" i="8"/>
  <c r="G622" i="8"/>
  <c r="F622" i="8"/>
  <c r="E622" i="8"/>
  <c r="D622" i="8"/>
  <c r="J621" i="8"/>
  <c r="I621" i="8"/>
  <c r="H621" i="8"/>
  <c r="G621" i="8"/>
  <c r="F621" i="8"/>
  <c r="E621" i="8"/>
  <c r="D621" i="8"/>
  <c r="J620" i="8"/>
  <c r="I620" i="8"/>
  <c r="N620" i="8" s="1"/>
  <c r="H620" i="8"/>
  <c r="G620" i="8"/>
  <c r="G627" i="8" s="1"/>
  <c r="F620" i="8"/>
  <c r="E620" i="8"/>
  <c r="D620" i="8"/>
  <c r="J619" i="8"/>
  <c r="I619" i="8"/>
  <c r="H619" i="8"/>
  <c r="G619" i="8"/>
  <c r="F619" i="8"/>
  <c r="E619" i="8"/>
  <c r="D619" i="8"/>
  <c r="J614" i="8"/>
  <c r="I614" i="8"/>
  <c r="H614" i="8"/>
  <c r="G614" i="8"/>
  <c r="F614" i="8"/>
  <c r="E614" i="8"/>
  <c r="D614" i="8"/>
  <c r="J613" i="8"/>
  <c r="I613" i="8"/>
  <c r="H613" i="8"/>
  <c r="G613" i="8"/>
  <c r="F613" i="8"/>
  <c r="E613" i="8"/>
  <c r="D613" i="8"/>
  <c r="J612" i="8"/>
  <c r="I612" i="8"/>
  <c r="H612" i="8"/>
  <c r="G612" i="8"/>
  <c r="F612" i="8"/>
  <c r="E612" i="8"/>
  <c r="D612" i="8"/>
  <c r="J611" i="8"/>
  <c r="I611" i="8"/>
  <c r="N608" i="8" s="1"/>
  <c r="H611" i="8"/>
  <c r="G611" i="8"/>
  <c r="F611" i="8"/>
  <c r="E611" i="8"/>
  <c r="D611" i="8"/>
  <c r="J610" i="8"/>
  <c r="I610" i="8"/>
  <c r="H610" i="8"/>
  <c r="G610" i="8"/>
  <c r="F610" i="8"/>
  <c r="E610" i="8"/>
  <c r="D610" i="8"/>
  <c r="J609" i="8"/>
  <c r="I609" i="8"/>
  <c r="H609" i="8"/>
  <c r="G609" i="8"/>
  <c r="G615" i="8" s="1"/>
  <c r="F609" i="8"/>
  <c r="E609" i="8"/>
  <c r="D609" i="8"/>
  <c r="J608" i="8"/>
  <c r="I608" i="8"/>
  <c r="H608" i="8"/>
  <c r="G608" i="8"/>
  <c r="F608" i="8"/>
  <c r="E608" i="8"/>
  <c r="D608" i="8"/>
  <c r="J607" i="8"/>
  <c r="I607" i="8"/>
  <c r="H607" i="8"/>
  <c r="G607" i="8"/>
  <c r="F607" i="8"/>
  <c r="E607" i="8"/>
  <c r="D607" i="8"/>
  <c r="J602" i="8"/>
  <c r="I602" i="8"/>
  <c r="H602" i="8"/>
  <c r="G602" i="8"/>
  <c r="F602" i="8"/>
  <c r="E602" i="8"/>
  <c r="D602" i="8"/>
  <c r="J601" i="8"/>
  <c r="I601" i="8"/>
  <c r="H601" i="8"/>
  <c r="G601" i="8"/>
  <c r="F601" i="8"/>
  <c r="E601" i="8"/>
  <c r="D601" i="8"/>
  <c r="J600" i="8"/>
  <c r="I600" i="8"/>
  <c r="N596" i="8" s="1"/>
  <c r="H600" i="8"/>
  <c r="G600" i="8"/>
  <c r="F600" i="8"/>
  <c r="E600" i="8"/>
  <c r="D600" i="8"/>
  <c r="J599" i="8"/>
  <c r="I599" i="8"/>
  <c r="H599" i="8"/>
  <c r="G599" i="8"/>
  <c r="F599" i="8"/>
  <c r="E599" i="8"/>
  <c r="D599" i="8"/>
  <c r="J598" i="8"/>
  <c r="I598" i="8"/>
  <c r="H598" i="8"/>
  <c r="H603" i="8" s="1"/>
  <c r="G598" i="8"/>
  <c r="F598" i="8"/>
  <c r="E598" i="8"/>
  <c r="D598" i="8"/>
  <c r="J597" i="8"/>
  <c r="I597" i="8"/>
  <c r="H597" i="8"/>
  <c r="G597" i="8"/>
  <c r="F597" i="8"/>
  <c r="E597" i="8"/>
  <c r="D597" i="8"/>
  <c r="J596" i="8"/>
  <c r="I596" i="8"/>
  <c r="I603" i="8" s="1"/>
  <c r="H596" i="8"/>
  <c r="G596" i="8"/>
  <c r="G603" i="8" s="1"/>
  <c r="J603" i="8" s="1"/>
  <c r="F596" i="8"/>
  <c r="E596" i="8"/>
  <c r="D596" i="8"/>
  <c r="J595" i="8"/>
  <c r="I595" i="8"/>
  <c r="H595" i="8"/>
  <c r="G595" i="8"/>
  <c r="F595" i="8"/>
  <c r="E595" i="8"/>
  <c r="D595" i="8"/>
  <c r="H591" i="8"/>
  <c r="J590" i="8"/>
  <c r="I590" i="8"/>
  <c r="H590" i="8"/>
  <c r="G590" i="8"/>
  <c r="F590" i="8"/>
  <c r="E590" i="8"/>
  <c r="D590" i="8"/>
  <c r="J589" i="8"/>
  <c r="I589" i="8"/>
  <c r="H589" i="8"/>
  <c r="G589" i="8"/>
  <c r="F589" i="8"/>
  <c r="E589" i="8"/>
  <c r="D589" i="8"/>
  <c r="J588" i="8"/>
  <c r="I588" i="8"/>
  <c r="H588" i="8"/>
  <c r="G588" i="8"/>
  <c r="F588" i="8"/>
  <c r="E588" i="8"/>
  <c r="D588" i="8"/>
  <c r="J587" i="8"/>
  <c r="I587" i="8"/>
  <c r="H587" i="8"/>
  <c r="G587" i="8"/>
  <c r="F587" i="8"/>
  <c r="E587" i="8"/>
  <c r="D587" i="8"/>
  <c r="J586" i="8"/>
  <c r="I586" i="8"/>
  <c r="H586" i="8"/>
  <c r="G586" i="8"/>
  <c r="F586" i="8"/>
  <c r="E586" i="8"/>
  <c r="D586" i="8"/>
  <c r="J585" i="8"/>
  <c r="I585" i="8"/>
  <c r="I591" i="8" s="1"/>
  <c r="H585" i="8"/>
  <c r="G585" i="8"/>
  <c r="F585" i="8"/>
  <c r="E585" i="8"/>
  <c r="D585" i="8"/>
  <c r="J584" i="8"/>
  <c r="I584" i="8"/>
  <c r="H584" i="8"/>
  <c r="M584" i="8" s="1"/>
  <c r="G584" i="8"/>
  <c r="G591" i="8" s="1"/>
  <c r="F584" i="8"/>
  <c r="E584" i="8"/>
  <c r="D584" i="8"/>
  <c r="J583" i="8"/>
  <c r="I583" i="8"/>
  <c r="H583" i="8"/>
  <c r="G583" i="8"/>
  <c r="F583" i="8"/>
  <c r="E583" i="8"/>
  <c r="D583" i="8"/>
  <c r="J578" i="8"/>
  <c r="I578" i="8"/>
  <c r="H578" i="8"/>
  <c r="G578" i="8"/>
  <c r="F578" i="8"/>
  <c r="E578" i="8"/>
  <c r="D578" i="8"/>
  <c r="J577" i="8"/>
  <c r="I577" i="8"/>
  <c r="H577" i="8"/>
  <c r="G577" i="8"/>
  <c r="F577" i="8"/>
  <c r="E577" i="8"/>
  <c r="D577" i="8"/>
  <c r="J576" i="8"/>
  <c r="I576" i="8"/>
  <c r="H576" i="8"/>
  <c r="G576" i="8"/>
  <c r="F576" i="8"/>
  <c r="E576" i="8"/>
  <c r="D576" i="8"/>
  <c r="J575" i="8"/>
  <c r="I575" i="8"/>
  <c r="H575" i="8"/>
  <c r="G575" i="8"/>
  <c r="F575" i="8"/>
  <c r="E575" i="8"/>
  <c r="D575" i="8"/>
  <c r="J574" i="8"/>
  <c r="I574" i="8"/>
  <c r="H574" i="8"/>
  <c r="G574" i="8"/>
  <c r="F574" i="8"/>
  <c r="E574" i="8"/>
  <c r="D574" i="8"/>
  <c r="J573" i="8"/>
  <c r="I573" i="8"/>
  <c r="I579" i="8" s="1"/>
  <c r="H573" i="8"/>
  <c r="G573" i="8"/>
  <c r="F573" i="8"/>
  <c r="E573" i="8"/>
  <c r="D573" i="8"/>
  <c r="J572" i="8"/>
  <c r="I572" i="8"/>
  <c r="N572" i="8" s="1"/>
  <c r="H572" i="8"/>
  <c r="G572" i="8"/>
  <c r="G579" i="8" s="1"/>
  <c r="F572" i="8"/>
  <c r="E572" i="8"/>
  <c r="D572" i="8"/>
  <c r="J571" i="8"/>
  <c r="I571" i="8"/>
  <c r="H571" i="8"/>
  <c r="G571" i="8"/>
  <c r="F571" i="8"/>
  <c r="E571" i="8"/>
  <c r="D571" i="8"/>
  <c r="J566" i="8"/>
  <c r="I566" i="8"/>
  <c r="H566" i="8"/>
  <c r="G566" i="8"/>
  <c r="F566" i="8"/>
  <c r="E566" i="8"/>
  <c r="D566" i="8"/>
  <c r="J565" i="8"/>
  <c r="I565" i="8"/>
  <c r="H565" i="8"/>
  <c r="G565" i="8"/>
  <c r="F565" i="8"/>
  <c r="E565" i="8"/>
  <c r="D565" i="8"/>
  <c r="J564" i="8"/>
  <c r="I564" i="8"/>
  <c r="H564" i="8"/>
  <c r="G564" i="8"/>
  <c r="F564" i="8"/>
  <c r="E564" i="8"/>
  <c r="D564" i="8"/>
  <c r="J563" i="8"/>
  <c r="I563" i="8"/>
  <c r="H563" i="8"/>
  <c r="M560" i="8" s="1"/>
  <c r="G563" i="8"/>
  <c r="F563" i="8"/>
  <c r="E563" i="8"/>
  <c r="D563" i="8"/>
  <c r="J562" i="8"/>
  <c r="I562" i="8"/>
  <c r="H562" i="8"/>
  <c r="G562" i="8"/>
  <c r="G567" i="8" s="1"/>
  <c r="F562" i="8"/>
  <c r="E562" i="8"/>
  <c r="D562" i="8"/>
  <c r="J561" i="8"/>
  <c r="I561" i="8"/>
  <c r="H561" i="8"/>
  <c r="G561" i="8"/>
  <c r="F561" i="8"/>
  <c r="E561" i="8"/>
  <c r="D561" i="8"/>
  <c r="J560" i="8"/>
  <c r="I560" i="8"/>
  <c r="H560" i="8"/>
  <c r="G560" i="8"/>
  <c r="F560" i="8"/>
  <c r="E560" i="8"/>
  <c r="D560" i="8"/>
  <c r="J559" i="8"/>
  <c r="I559" i="8"/>
  <c r="H559" i="8"/>
  <c r="G559" i="8"/>
  <c r="F559" i="8"/>
  <c r="E559" i="8"/>
  <c r="D559" i="8"/>
  <c r="J554" i="8"/>
  <c r="I554" i="8"/>
  <c r="H554" i="8"/>
  <c r="G554" i="8"/>
  <c r="F554" i="8"/>
  <c r="E554" i="8"/>
  <c r="D554" i="8"/>
  <c r="J553" i="8"/>
  <c r="I553" i="8"/>
  <c r="H553" i="8"/>
  <c r="G553" i="8"/>
  <c r="F553" i="8"/>
  <c r="E553" i="8"/>
  <c r="D553" i="8"/>
  <c r="J552" i="8"/>
  <c r="I552" i="8"/>
  <c r="H552" i="8"/>
  <c r="G552" i="8"/>
  <c r="F552" i="8"/>
  <c r="E552" i="8"/>
  <c r="D552" i="8"/>
  <c r="J551" i="8"/>
  <c r="I551" i="8"/>
  <c r="H551" i="8"/>
  <c r="G551" i="8"/>
  <c r="F551" i="8"/>
  <c r="E551" i="8"/>
  <c r="D551" i="8"/>
  <c r="J550" i="8"/>
  <c r="I550" i="8"/>
  <c r="H550" i="8"/>
  <c r="G550" i="8"/>
  <c r="G555" i="8" s="1"/>
  <c r="F550" i="8"/>
  <c r="E550" i="8"/>
  <c r="D550" i="8"/>
  <c r="J549" i="8"/>
  <c r="I549" i="8"/>
  <c r="H549" i="8"/>
  <c r="G549" i="8"/>
  <c r="F549" i="8"/>
  <c r="E549" i="8"/>
  <c r="D549" i="8"/>
  <c r="N548" i="8"/>
  <c r="J548" i="8"/>
  <c r="I548" i="8"/>
  <c r="H548" i="8"/>
  <c r="M548" i="8" s="1"/>
  <c r="G548" i="8"/>
  <c r="L548" i="8" s="1"/>
  <c r="F548" i="8"/>
  <c r="E548" i="8"/>
  <c r="D548" i="8"/>
  <c r="J547" i="8"/>
  <c r="I547" i="8"/>
  <c r="H547" i="8"/>
  <c r="G547" i="8"/>
  <c r="F547" i="8"/>
  <c r="E547" i="8"/>
  <c r="D547" i="8"/>
  <c r="J542" i="8"/>
  <c r="I542" i="8"/>
  <c r="H542" i="8"/>
  <c r="G542" i="8"/>
  <c r="F542" i="8"/>
  <c r="E542" i="8"/>
  <c r="D542" i="8"/>
  <c r="J541" i="8"/>
  <c r="I541" i="8"/>
  <c r="H541" i="8"/>
  <c r="G541" i="8"/>
  <c r="F541" i="8"/>
  <c r="E541" i="8"/>
  <c r="D541" i="8"/>
  <c r="J540" i="8"/>
  <c r="I540" i="8"/>
  <c r="H540" i="8"/>
  <c r="G540" i="8"/>
  <c r="F540" i="8"/>
  <c r="E540" i="8"/>
  <c r="D540" i="8"/>
  <c r="J539" i="8"/>
  <c r="I539" i="8"/>
  <c r="H539" i="8"/>
  <c r="G539" i="8"/>
  <c r="F539" i="8"/>
  <c r="E539" i="8"/>
  <c r="D539" i="8"/>
  <c r="J538" i="8"/>
  <c r="I538" i="8"/>
  <c r="H538" i="8"/>
  <c r="H543" i="8" s="1"/>
  <c r="G538" i="8"/>
  <c r="F538" i="8"/>
  <c r="E538" i="8"/>
  <c r="D538" i="8"/>
  <c r="J537" i="8"/>
  <c r="I537" i="8"/>
  <c r="H537" i="8"/>
  <c r="G537" i="8"/>
  <c r="G543" i="8" s="1"/>
  <c r="F537" i="8"/>
  <c r="E537" i="8"/>
  <c r="D537" i="8"/>
  <c r="J536" i="8"/>
  <c r="I536" i="8"/>
  <c r="N536" i="8" s="1"/>
  <c r="H536" i="8"/>
  <c r="M536" i="8" s="1"/>
  <c r="G536" i="8"/>
  <c r="F536" i="8"/>
  <c r="E536" i="8"/>
  <c r="D536" i="8"/>
  <c r="J535" i="8"/>
  <c r="I535" i="8"/>
  <c r="H535" i="8"/>
  <c r="G535" i="8"/>
  <c r="F535" i="8"/>
  <c r="E535" i="8"/>
  <c r="D535" i="8"/>
  <c r="J530" i="8"/>
  <c r="I530" i="8"/>
  <c r="H530" i="8"/>
  <c r="G530" i="8"/>
  <c r="F530" i="8"/>
  <c r="E530" i="8"/>
  <c r="D530" i="8"/>
  <c r="J529" i="8"/>
  <c r="I529" i="8"/>
  <c r="H529" i="8"/>
  <c r="G529" i="8"/>
  <c r="F529" i="8"/>
  <c r="E529" i="8"/>
  <c r="D529" i="8"/>
  <c r="J528" i="8"/>
  <c r="I528" i="8"/>
  <c r="H528" i="8"/>
  <c r="G528" i="8"/>
  <c r="F528" i="8"/>
  <c r="E528" i="8"/>
  <c r="D528" i="8"/>
  <c r="J527" i="8"/>
  <c r="I527" i="8"/>
  <c r="H527" i="8"/>
  <c r="G527" i="8"/>
  <c r="F527" i="8"/>
  <c r="E527" i="8"/>
  <c r="D527" i="8"/>
  <c r="J526" i="8"/>
  <c r="I526" i="8"/>
  <c r="I531" i="8" s="1"/>
  <c r="H526" i="8"/>
  <c r="G526" i="8"/>
  <c r="F526" i="8"/>
  <c r="E526" i="8"/>
  <c r="D526" i="8"/>
  <c r="J525" i="8"/>
  <c r="I525" i="8"/>
  <c r="H525" i="8"/>
  <c r="H531" i="8" s="1"/>
  <c r="G525" i="8"/>
  <c r="F525" i="8"/>
  <c r="E525" i="8"/>
  <c r="D525" i="8"/>
  <c r="J524" i="8"/>
  <c r="I524" i="8"/>
  <c r="N524" i="8" s="1"/>
  <c r="H524" i="8"/>
  <c r="G524" i="8"/>
  <c r="F524" i="8"/>
  <c r="E524" i="8"/>
  <c r="D524" i="8"/>
  <c r="J523" i="8"/>
  <c r="I523" i="8"/>
  <c r="H523" i="8"/>
  <c r="G523" i="8"/>
  <c r="F523" i="8"/>
  <c r="E523" i="8"/>
  <c r="D523" i="8"/>
  <c r="J518" i="8"/>
  <c r="I518" i="8"/>
  <c r="H518" i="8"/>
  <c r="G518" i="8"/>
  <c r="F518" i="8"/>
  <c r="E518" i="8"/>
  <c r="D518" i="8"/>
  <c r="J517" i="8"/>
  <c r="I517" i="8"/>
  <c r="H517" i="8"/>
  <c r="G517" i="8"/>
  <c r="F517" i="8"/>
  <c r="E517" i="8"/>
  <c r="D517" i="8"/>
  <c r="J516" i="8"/>
  <c r="I516" i="8"/>
  <c r="H516" i="8"/>
  <c r="G516" i="8"/>
  <c r="F516" i="8"/>
  <c r="E516" i="8"/>
  <c r="D516" i="8"/>
  <c r="J515" i="8"/>
  <c r="I515" i="8"/>
  <c r="H515" i="8"/>
  <c r="G515" i="8"/>
  <c r="F515" i="8"/>
  <c r="E515" i="8"/>
  <c r="D515" i="8"/>
  <c r="J514" i="8"/>
  <c r="I514" i="8"/>
  <c r="H514" i="8"/>
  <c r="G514" i="8"/>
  <c r="F514" i="8"/>
  <c r="E514" i="8"/>
  <c r="D514" i="8"/>
  <c r="J513" i="8"/>
  <c r="I513" i="8"/>
  <c r="I519" i="8" s="1"/>
  <c r="H513" i="8"/>
  <c r="G513" i="8"/>
  <c r="F513" i="8"/>
  <c r="E513" i="8"/>
  <c r="D513" i="8"/>
  <c r="J512" i="8"/>
  <c r="I512" i="8"/>
  <c r="N512" i="8" s="1"/>
  <c r="H512" i="8"/>
  <c r="G512" i="8"/>
  <c r="L512" i="8" s="1"/>
  <c r="F512" i="8"/>
  <c r="E512" i="8"/>
  <c r="D512" i="8"/>
  <c r="J511" i="8"/>
  <c r="I511" i="8"/>
  <c r="H511" i="8"/>
  <c r="G511" i="8"/>
  <c r="F511" i="8"/>
  <c r="E511" i="8"/>
  <c r="D511" i="8"/>
  <c r="J506" i="8"/>
  <c r="I506" i="8"/>
  <c r="H506" i="8"/>
  <c r="G506" i="8"/>
  <c r="F506" i="8"/>
  <c r="E506" i="8"/>
  <c r="D506" i="8"/>
  <c r="J505" i="8"/>
  <c r="I505" i="8"/>
  <c r="H505" i="8"/>
  <c r="G505" i="8"/>
  <c r="F505" i="8"/>
  <c r="E505" i="8"/>
  <c r="D505" i="8"/>
  <c r="J504" i="8"/>
  <c r="I504" i="8"/>
  <c r="H504" i="8"/>
  <c r="G504" i="8"/>
  <c r="F504" i="8"/>
  <c r="E504" i="8"/>
  <c r="D504" i="8"/>
  <c r="J503" i="8"/>
  <c r="I503" i="8"/>
  <c r="H503" i="8"/>
  <c r="G503" i="8"/>
  <c r="F503" i="8"/>
  <c r="E503" i="8"/>
  <c r="D503" i="8"/>
  <c r="J502" i="8"/>
  <c r="I502" i="8"/>
  <c r="H502" i="8"/>
  <c r="G502" i="8"/>
  <c r="G507" i="8" s="1"/>
  <c r="F502" i="8"/>
  <c r="E502" i="8"/>
  <c r="D502" i="8"/>
  <c r="J501" i="8"/>
  <c r="I501" i="8"/>
  <c r="H501" i="8"/>
  <c r="G501" i="8"/>
  <c r="F501" i="8"/>
  <c r="E501" i="8"/>
  <c r="D501" i="8"/>
  <c r="J500" i="8"/>
  <c r="I500" i="8"/>
  <c r="H500" i="8"/>
  <c r="M500" i="8" s="1"/>
  <c r="G500" i="8"/>
  <c r="L500" i="8" s="1"/>
  <c r="F500" i="8"/>
  <c r="E500" i="8"/>
  <c r="D500" i="8"/>
  <c r="J499" i="8"/>
  <c r="I499" i="8"/>
  <c r="H499" i="8"/>
  <c r="G499" i="8"/>
  <c r="F499" i="8"/>
  <c r="E499" i="8"/>
  <c r="D499" i="8"/>
  <c r="H495" i="8"/>
  <c r="J494" i="8"/>
  <c r="I494" i="8"/>
  <c r="H494" i="8"/>
  <c r="G494" i="8"/>
  <c r="F494" i="8"/>
  <c r="E494" i="8"/>
  <c r="D494" i="8"/>
  <c r="J493" i="8"/>
  <c r="I493" i="8"/>
  <c r="H493" i="8"/>
  <c r="G493" i="8"/>
  <c r="F493" i="8"/>
  <c r="E493" i="8"/>
  <c r="D493" i="8"/>
  <c r="J492" i="8"/>
  <c r="I492" i="8"/>
  <c r="H492" i="8"/>
  <c r="G492" i="8"/>
  <c r="F492" i="8"/>
  <c r="E492" i="8"/>
  <c r="D492" i="8"/>
  <c r="J491" i="8"/>
  <c r="I491" i="8"/>
  <c r="H491" i="8"/>
  <c r="G491" i="8"/>
  <c r="F491" i="8"/>
  <c r="E491" i="8"/>
  <c r="D491" i="8"/>
  <c r="J490" i="8"/>
  <c r="I490" i="8"/>
  <c r="H490" i="8"/>
  <c r="G490" i="8"/>
  <c r="F490" i="8"/>
  <c r="E490" i="8"/>
  <c r="D490" i="8"/>
  <c r="J489" i="8"/>
  <c r="I489" i="8"/>
  <c r="H489" i="8"/>
  <c r="G489" i="8"/>
  <c r="G495" i="8" s="1"/>
  <c r="F489" i="8"/>
  <c r="E489" i="8"/>
  <c r="D489" i="8"/>
  <c r="J488" i="8"/>
  <c r="I488" i="8"/>
  <c r="N488" i="8" s="1"/>
  <c r="H488" i="8"/>
  <c r="M488" i="8" s="1"/>
  <c r="G488" i="8"/>
  <c r="L488" i="8" s="1"/>
  <c r="O488" i="8" s="1"/>
  <c r="F488" i="8"/>
  <c r="E488" i="8"/>
  <c r="D488" i="8"/>
  <c r="J487" i="8"/>
  <c r="I487" i="8"/>
  <c r="H487" i="8"/>
  <c r="G487" i="8"/>
  <c r="F487" i="8"/>
  <c r="E487" i="8"/>
  <c r="D487" i="8"/>
  <c r="I483" i="8"/>
  <c r="J482" i="8"/>
  <c r="I482" i="8"/>
  <c r="H482" i="8"/>
  <c r="G482" i="8"/>
  <c r="F482" i="8"/>
  <c r="E482" i="8"/>
  <c r="D482" i="8"/>
  <c r="J481" i="8"/>
  <c r="I481" i="8"/>
  <c r="H481" i="8"/>
  <c r="G481" i="8"/>
  <c r="F481" i="8"/>
  <c r="E481" i="8"/>
  <c r="D481" i="8"/>
  <c r="J480" i="8"/>
  <c r="I480" i="8"/>
  <c r="H480" i="8"/>
  <c r="G480" i="8"/>
  <c r="F480" i="8"/>
  <c r="E480" i="8"/>
  <c r="D480" i="8"/>
  <c r="J479" i="8"/>
  <c r="I479" i="8"/>
  <c r="H479" i="8"/>
  <c r="G479" i="8"/>
  <c r="F479" i="8"/>
  <c r="E479" i="8"/>
  <c r="D479" i="8"/>
  <c r="J478" i="8"/>
  <c r="I478" i="8"/>
  <c r="H478" i="8"/>
  <c r="G478" i="8"/>
  <c r="F478" i="8"/>
  <c r="E478" i="8"/>
  <c r="D478" i="8"/>
  <c r="J477" i="8"/>
  <c r="I477" i="8"/>
  <c r="H477" i="8"/>
  <c r="H483" i="8" s="1"/>
  <c r="G477" i="8"/>
  <c r="F477" i="8"/>
  <c r="E477" i="8"/>
  <c r="D477" i="8"/>
  <c r="J476" i="8"/>
  <c r="I476" i="8"/>
  <c r="N476" i="8" s="1"/>
  <c r="H476" i="8"/>
  <c r="M476" i="8" s="1"/>
  <c r="G476" i="8"/>
  <c r="G483" i="8" s="1"/>
  <c r="J483" i="8" s="1"/>
  <c r="F476" i="8"/>
  <c r="E476" i="8"/>
  <c r="D476" i="8"/>
  <c r="J475" i="8"/>
  <c r="I475" i="8"/>
  <c r="H475" i="8"/>
  <c r="G475" i="8"/>
  <c r="F475" i="8"/>
  <c r="E475" i="8"/>
  <c r="D475" i="8"/>
  <c r="J470" i="8"/>
  <c r="I470" i="8"/>
  <c r="H470" i="8"/>
  <c r="G470" i="8"/>
  <c r="F470" i="8"/>
  <c r="E470" i="8"/>
  <c r="D470" i="8"/>
  <c r="J469" i="8"/>
  <c r="I469" i="8"/>
  <c r="H469" i="8"/>
  <c r="G469" i="8"/>
  <c r="F469" i="8"/>
  <c r="E469" i="8"/>
  <c r="D469" i="8"/>
  <c r="J468" i="8"/>
  <c r="I468" i="8"/>
  <c r="H468" i="8"/>
  <c r="G468" i="8"/>
  <c r="F468" i="8"/>
  <c r="E468" i="8"/>
  <c r="D468" i="8"/>
  <c r="J467" i="8"/>
  <c r="I467" i="8"/>
  <c r="H467" i="8"/>
  <c r="G467" i="8"/>
  <c r="F467" i="8"/>
  <c r="E467" i="8"/>
  <c r="D467" i="8"/>
  <c r="J466" i="8"/>
  <c r="I466" i="8"/>
  <c r="H466" i="8"/>
  <c r="G466" i="8"/>
  <c r="F466" i="8"/>
  <c r="E466" i="8"/>
  <c r="D466" i="8"/>
  <c r="J465" i="8"/>
  <c r="I465" i="8"/>
  <c r="I471" i="8" s="1"/>
  <c r="H465" i="8"/>
  <c r="G465" i="8"/>
  <c r="F465" i="8"/>
  <c r="E465" i="8"/>
  <c r="D465" i="8"/>
  <c r="J464" i="8"/>
  <c r="I464" i="8"/>
  <c r="N464" i="8" s="1"/>
  <c r="H464" i="8"/>
  <c r="H471" i="8" s="1"/>
  <c r="G464" i="8"/>
  <c r="F464" i="8"/>
  <c r="E464" i="8"/>
  <c r="D464" i="8"/>
  <c r="J463" i="8"/>
  <c r="I463" i="8"/>
  <c r="H463" i="8"/>
  <c r="G463" i="8"/>
  <c r="F463" i="8"/>
  <c r="E463" i="8"/>
  <c r="D463" i="8"/>
  <c r="J458" i="8"/>
  <c r="I458" i="8"/>
  <c r="H458" i="8"/>
  <c r="G458" i="8"/>
  <c r="F458" i="8"/>
  <c r="E458" i="8"/>
  <c r="D458" i="8"/>
  <c r="J457" i="8"/>
  <c r="I457" i="8"/>
  <c r="H457" i="8"/>
  <c r="G457" i="8"/>
  <c r="F457" i="8"/>
  <c r="E457" i="8"/>
  <c r="D457" i="8"/>
  <c r="J456" i="8"/>
  <c r="I456" i="8"/>
  <c r="H456" i="8"/>
  <c r="G456" i="8"/>
  <c r="F456" i="8"/>
  <c r="E456" i="8"/>
  <c r="D456" i="8"/>
  <c r="J455" i="8"/>
  <c r="I455" i="8"/>
  <c r="H455" i="8"/>
  <c r="G455" i="8"/>
  <c r="F455" i="8"/>
  <c r="E455" i="8"/>
  <c r="D455" i="8"/>
  <c r="J454" i="8"/>
  <c r="I454" i="8"/>
  <c r="H454" i="8"/>
  <c r="G454" i="8"/>
  <c r="G459" i="8" s="1"/>
  <c r="F454" i="8"/>
  <c r="E454" i="8"/>
  <c r="D454" i="8"/>
  <c r="J453" i="8"/>
  <c r="I453" i="8"/>
  <c r="H453" i="8"/>
  <c r="G453" i="8"/>
  <c r="F453" i="8"/>
  <c r="E453" i="8"/>
  <c r="D453" i="8"/>
  <c r="J452" i="8"/>
  <c r="I452" i="8"/>
  <c r="I459" i="8" s="1"/>
  <c r="H452" i="8"/>
  <c r="G452" i="8"/>
  <c r="L452" i="8" s="1"/>
  <c r="F452" i="8"/>
  <c r="E452" i="8"/>
  <c r="D452" i="8"/>
  <c r="J451" i="8"/>
  <c r="I451" i="8"/>
  <c r="H451" i="8"/>
  <c r="G451" i="8"/>
  <c r="F451" i="8"/>
  <c r="E451" i="8"/>
  <c r="D451" i="8"/>
  <c r="H447" i="8"/>
  <c r="J446" i="8"/>
  <c r="I446" i="8"/>
  <c r="H446" i="8"/>
  <c r="G446" i="8"/>
  <c r="F446" i="8"/>
  <c r="E446" i="8"/>
  <c r="D446" i="8"/>
  <c r="J445" i="8"/>
  <c r="I445" i="8"/>
  <c r="H445" i="8"/>
  <c r="G445" i="8"/>
  <c r="F445" i="8"/>
  <c r="E445" i="8"/>
  <c r="D445" i="8"/>
  <c r="J444" i="8"/>
  <c r="I444" i="8"/>
  <c r="H444" i="8"/>
  <c r="G444" i="8"/>
  <c r="F444" i="8"/>
  <c r="E444" i="8"/>
  <c r="D444" i="8"/>
  <c r="J443" i="8"/>
  <c r="I443" i="8"/>
  <c r="H443" i="8"/>
  <c r="G443" i="8"/>
  <c r="F443" i="8"/>
  <c r="E443" i="8"/>
  <c r="D443" i="8"/>
  <c r="J442" i="8"/>
  <c r="I442" i="8"/>
  <c r="H442" i="8"/>
  <c r="G442" i="8"/>
  <c r="F442" i="8"/>
  <c r="E442" i="8"/>
  <c r="D442" i="8"/>
  <c r="J441" i="8"/>
  <c r="I441" i="8"/>
  <c r="H441" i="8"/>
  <c r="G441" i="8"/>
  <c r="G447" i="8" s="1"/>
  <c r="F441" i="8"/>
  <c r="E441" i="8"/>
  <c r="D441" i="8"/>
  <c r="J440" i="8"/>
  <c r="I440" i="8"/>
  <c r="H440" i="8"/>
  <c r="M440" i="8" s="1"/>
  <c r="G440" i="8"/>
  <c r="L440" i="8" s="1"/>
  <c r="F440" i="8"/>
  <c r="E440" i="8"/>
  <c r="D440" i="8"/>
  <c r="J439" i="8"/>
  <c r="I439" i="8"/>
  <c r="H439" i="8"/>
  <c r="G439" i="8"/>
  <c r="F439" i="8"/>
  <c r="E439" i="8"/>
  <c r="D439" i="8"/>
  <c r="J434" i="8"/>
  <c r="I434" i="8"/>
  <c r="H434" i="8"/>
  <c r="G434" i="8"/>
  <c r="F434" i="8"/>
  <c r="E434" i="8"/>
  <c r="D434" i="8"/>
  <c r="J433" i="8"/>
  <c r="I433" i="8"/>
  <c r="H433" i="8"/>
  <c r="G433" i="8"/>
  <c r="F433" i="8"/>
  <c r="E433" i="8"/>
  <c r="D433" i="8"/>
  <c r="J432" i="8"/>
  <c r="I432" i="8"/>
  <c r="H432" i="8"/>
  <c r="G432" i="8"/>
  <c r="F432" i="8"/>
  <c r="E432" i="8"/>
  <c r="D432" i="8"/>
  <c r="J431" i="8"/>
  <c r="I431" i="8"/>
  <c r="H431" i="8"/>
  <c r="G431" i="8"/>
  <c r="F431" i="8"/>
  <c r="E431" i="8"/>
  <c r="D431" i="8"/>
  <c r="J430" i="8"/>
  <c r="I430" i="8"/>
  <c r="I435" i="8" s="1"/>
  <c r="H430" i="8"/>
  <c r="G430" i="8"/>
  <c r="F430" i="8"/>
  <c r="E430" i="8"/>
  <c r="D430" i="8"/>
  <c r="J429" i="8"/>
  <c r="I429" i="8"/>
  <c r="H429" i="8"/>
  <c r="H435" i="8" s="1"/>
  <c r="G429" i="8"/>
  <c r="F429" i="8"/>
  <c r="E429" i="8"/>
  <c r="D429" i="8"/>
  <c r="J428" i="8"/>
  <c r="I428" i="8"/>
  <c r="N428" i="8" s="1"/>
  <c r="H428" i="8"/>
  <c r="M428" i="8" s="1"/>
  <c r="G428" i="8"/>
  <c r="G435" i="8" s="1"/>
  <c r="F428" i="8"/>
  <c r="E428" i="8"/>
  <c r="D428" i="8"/>
  <c r="J427" i="8"/>
  <c r="I427" i="8"/>
  <c r="H427" i="8"/>
  <c r="G427" i="8"/>
  <c r="F427" i="8"/>
  <c r="E427" i="8"/>
  <c r="D427" i="8"/>
  <c r="J422" i="8"/>
  <c r="I422" i="8"/>
  <c r="H422" i="8"/>
  <c r="G422" i="8"/>
  <c r="F422" i="8"/>
  <c r="E422" i="8"/>
  <c r="D422" i="8"/>
  <c r="J421" i="8"/>
  <c r="I421" i="8"/>
  <c r="H421" i="8"/>
  <c r="G421" i="8"/>
  <c r="F421" i="8"/>
  <c r="E421" i="8"/>
  <c r="D421" i="8"/>
  <c r="J420" i="8"/>
  <c r="I420" i="8"/>
  <c r="H420" i="8"/>
  <c r="M416" i="8" s="1"/>
  <c r="G420" i="8"/>
  <c r="F420" i="8"/>
  <c r="E420" i="8"/>
  <c r="D420" i="8"/>
  <c r="J419" i="8"/>
  <c r="I419" i="8"/>
  <c r="H419" i="8"/>
  <c r="G419" i="8"/>
  <c r="F419" i="8"/>
  <c r="E419" i="8"/>
  <c r="D419" i="8"/>
  <c r="J418" i="8"/>
  <c r="I418" i="8"/>
  <c r="H418" i="8"/>
  <c r="G418" i="8"/>
  <c r="F418" i="8"/>
  <c r="E418" i="8"/>
  <c r="D418" i="8"/>
  <c r="J417" i="8"/>
  <c r="I417" i="8"/>
  <c r="I423" i="8" s="1"/>
  <c r="H417" i="8"/>
  <c r="G417" i="8"/>
  <c r="F417" i="8"/>
  <c r="E417" i="8"/>
  <c r="D417" i="8"/>
  <c r="J416" i="8"/>
  <c r="I416" i="8"/>
  <c r="H416" i="8"/>
  <c r="G416" i="8"/>
  <c r="F416" i="8"/>
  <c r="E416" i="8"/>
  <c r="D416" i="8"/>
  <c r="J415" i="8"/>
  <c r="I415" i="8"/>
  <c r="H415" i="8"/>
  <c r="G415" i="8"/>
  <c r="F415" i="8"/>
  <c r="E415" i="8"/>
  <c r="D415" i="8"/>
  <c r="J410" i="8"/>
  <c r="I410" i="8"/>
  <c r="H410" i="8"/>
  <c r="G410" i="8"/>
  <c r="F410" i="8"/>
  <c r="E410" i="8"/>
  <c r="D410" i="8"/>
  <c r="J409" i="8"/>
  <c r="I409" i="8"/>
  <c r="H409" i="8"/>
  <c r="G409" i="8"/>
  <c r="F409" i="8"/>
  <c r="E409" i="8"/>
  <c r="D409" i="8"/>
  <c r="J408" i="8"/>
  <c r="I408" i="8"/>
  <c r="H408" i="8"/>
  <c r="G408" i="8"/>
  <c r="F408" i="8"/>
  <c r="E408" i="8"/>
  <c r="D408" i="8"/>
  <c r="J407" i="8"/>
  <c r="I407" i="8"/>
  <c r="H407" i="8"/>
  <c r="G407" i="8"/>
  <c r="F407" i="8"/>
  <c r="E407" i="8"/>
  <c r="D407" i="8"/>
  <c r="J406" i="8"/>
  <c r="I406" i="8"/>
  <c r="H406" i="8"/>
  <c r="G406" i="8"/>
  <c r="G411" i="8" s="1"/>
  <c r="F406" i="8"/>
  <c r="E406" i="8"/>
  <c r="D406" i="8"/>
  <c r="J405" i="8"/>
  <c r="I405" i="8"/>
  <c r="H405" i="8"/>
  <c r="G405" i="8"/>
  <c r="F405" i="8"/>
  <c r="E405" i="8"/>
  <c r="D405" i="8"/>
  <c r="N404" i="8"/>
  <c r="J404" i="8"/>
  <c r="I404" i="8"/>
  <c r="H404" i="8"/>
  <c r="G404" i="8"/>
  <c r="L404" i="8" s="1"/>
  <c r="F404" i="8"/>
  <c r="E404" i="8"/>
  <c r="D404" i="8"/>
  <c r="J403" i="8"/>
  <c r="I403" i="8"/>
  <c r="H403" i="8"/>
  <c r="G403" i="8"/>
  <c r="F403" i="8"/>
  <c r="E403" i="8"/>
  <c r="D403" i="8"/>
  <c r="J398" i="8"/>
  <c r="I398" i="8"/>
  <c r="H398" i="8"/>
  <c r="G398" i="8"/>
  <c r="F398" i="8"/>
  <c r="E398" i="8"/>
  <c r="D398" i="8"/>
  <c r="J397" i="8"/>
  <c r="I397" i="8"/>
  <c r="H397" i="8"/>
  <c r="G397" i="8"/>
  <c r="F397" i="8"/>
  <c r="E397" i="8"/>
  <c r="D397" i="8"/>
  <c r="J396" i="8"/>
  <c r="I396" i="8"/>
  <c r="H396" i="8"/>
  <c r="G396" i="8"/>
  <c r="F396" i="8"/>
  <c r="E396" i="8"/>
  <c r="D396" i="8"/>
  <c r="J395" i="8"/>
  <c r="I395" i="8"/>
  <c r="H395" i="8"/>
  <c r="G395" i="8"/>
  <c r="F395" i="8"/>
  <c r="E395" i="8"/>
  <c r="D395" i="8"/>
  <c r="J394" i="8"/>
  <c r="I394" i="8"/>
  <c r="H394" i="8"/>
  <c r="H399" i="8" s="1"/>
  <c r="G394" i="8"/>
  <c r="F394" i="8"/>
  <c r="E394" i="8"/>
  <c r="D394" i="8"/>
  <c r="J393" i="8"/>
  <c r="I393" i="8"/>
  <c r="H393" i="8"/>
  <c r="G393" i="8"/>
  <c r="G399" i="8" s="1"/>
  <c r="F393" i="8"/>
  <c r="E393" i="8"/>
  <c r="D393" i="8"/>
  <c r="J392" i="8"/>
  <c r="I392" i="8"/>
  <c r="H392" i="8"/>
  <c r="G392" i="8"/>
  <c r="F392" i="8"/>
  <c r="E392" i="8"/>
  <c r="D392" i="8"/>
  <c r="J391" i="8"/>
  <c r="I391" i="8"/>
  <c r="H391" i="8"/>
  <c r="G391" i="8"/>
  <c r="F391" i="8"/>
  <c r="E391" i="8"/>
  <c r="D391" i="8"/>
  <c r="J386" i="8"/>
  <c r="I386" i="8"/>
  <c r="H386" i="8"/>
  <c r="G386" i="8"/>
  <c r="F386" i="8"/>
  <c r="E386" i="8"/>
  <c r="D386" i="8"/>
  <c r="J385" i="8"/>
  <c r="I385" i="8"/>
  <c r="H385" i="8"/>
  <c r="G385" i="8"/>
  <c r="F385" i="8"/>
  <c r="E385" i="8"/>
  <c r="D385" i="8"/>
  <c r="J384" i="8"/>
  <c r="I384" i="8"/>
  <c r="H384" i="8"/>
  <c r="G384" i="8"/>
  <c r="F384" i="8"/>
  <c r="E384" i="8"/>
  <c r="D384" i="8"/>
  <c r="J383" i="8"/>
  <c r="I383" i="8"/>
  <c r="H383" i="8"/>
  <c r="G383" i="8"/>
  <c r="F383" i="8"/>
  <c r="E383" i="8"/>
  <c r="D383" i="8"/>
  <c r="J382" i="8"/>
  <c r="I382" i="8"/>
  <c r="I387" i="8" s="1"/>
  <c r="H382" i="8"/>
  <c r="G382" i="8"/>
  <c r="F382" i="8"/>
  <c r="E382" i="8"/>
  <c r="D382" i="8"/>
  <c r="J381" i="8"/>
  <c r="I381" i="8"/>
  <c r="H381" i="8"/>
  <c r="H387" i="8" s="1"/>
  <c r="G381" i="8"/>
  <c r="F381" i="8"/>
  <c r="E381" i="8"/>
  <c r="D381" i="8"/>
  <c r="J380" i="8"/>
  <c r="I380" i="8"/>
  <c r="H380" i="8"/>
  <c r="G380" i="8"/>
  <c r="F380" i="8"/>
  <c r="E380" i="8"/>
  <c r="D380" i="8"/>
  <c r="J379" i="8"/>
  <c r="I379" i="8"/>
  <c r="H379" i="8"/>
  <c r="G379" i="8"/>
  <c r="F379" i="8"/>
  <c r="E379" i="8"/>
  <c r="D379" i="8"/>
  <c r="J374" i="8"/>
  <c r="I374" i="8"/>
  <c r="H374" i="8"/>
  <c r="G374" i="8"/>
  <c r="F374" i="8"/>
  <c r="E374" i="8"/>
  <c r="D374" i="8"/>
  <c r="J373" i="8"/>
  <c r="I373" i="8"/>
  <c r="H373" i="8"/>
  <c r="G373" i="8"/>
  <c r="F373" i="8"/>
  <c r="E373" i="8"/>
  <c r="D373" i="8"/>
  <c r="J372" i="8"/>
  <c r="I372" i="8"/>
  <c r="H372" i="8"/>
  <c r="G372" i="8"/>
  <c r="F372" i="8"/>
  <c r="E372" i="8"/>
  <c r="D372" i="8"/>
  <c r="J371" i="8"/>
  <c r="I371" i="8"/>
  <c r="H371" i="8"/>
  <c r="G371" i="8"/>
  <c r="F371" i="8"/>
  <c r="E371" i="8"/>
  <c r="D371" i="8"/>
  <c r="J370" i="8"/>
  <c r="I370" i="8"/>
  <c r="H370" i="8"/>
  <c r="G370" i="8"/>
  <c r="F370" i="8"/>
  <c r="E370" i="8"/>
  <c r="D370" i="8"/>
  <c r="J369" i="8"/>
  <c r="I369" i="8"/>
  <c r="I375" i="8" s="1"/>
  <c r="H369" i="8"/>
  <c r="G369" i="8"/>
  <c r="F369" i="8"/>
  <c r="E369" i="8"/>
  <c r="D369" i="8"/>
  <c r="M368" i="8"/>
  <c r="J368" i="8"/>
  <c r="I368" i="8"/>
  <c r="H368" i="8"/>
  <c r="G368" i="8"/>
  <c r="L368" i="8" s="1"/>
  <c r="F368" i="8"/>
  <c r="E368" i="8"/>
  <c r="D368" i="8"/>
  <c r="J367" i="8"/>
  <c r="I367" i="8"/>
  <c r="H367" i="8"/>
  <c r="G367" i="8"/>
  <c r="F367" i="8"/>
  <c r="E367" i="8"/>
  <c r="D367" i="8"/>
  <c r="J362" i="8"/>
  <c r="I362" i="8"/>
  <c r="H362" i="8"/>
  <c r="G362" i="8"/>
  <c r="F362" i="8"/>
  <c r="E362" i="8"/>
  <c r="D362" i="8"/>
  <c r="J361" i="8"/>
  <c r="I361" i="8"/>
  <c r="H361" i="8"/>
  <c r="G361" i="8"/>
  <c r="F361" i="8"/>
  <c r="E361" i="8"/>
  <c r="D361" i="8"/>
  <c r="J360" i="8"/>
  <c r="I360" i="8"/>
  <c r="H360" i="8"/>
  <c r="G360" i="8"/>
  <c r="F360" i="8"/>
  <c r="E360" i="8"/>
  <c r="D360" i="8"/>
  <c r="J359" i="8"/>
  <c r="I359" i="8"/>
  <c r="H359" i="8"/>
  <c r="G359" i="8"/>
  <c r="F359" i="8"/>
  <c r="E359" i="8"/>
  <c r="D359" i="8"/>
  <c r="J358" i="8"/>
  <c r="I358" i="8"/>
  <c r="H358" i="8"/>
  <c r="G358" i="8"/>
  <c r="G363" i="8" s="1"/>
  <c r="F358" i="8"/>
  <c r="E358" i="8"/>
  <c r="D358" i="8"/>
  <c r="J357" i="8"/>
  <c r="I357" i="8"/>
  <c r="H357" i="8"/>
  <c r="G357" i="8"/>
  <c r="F357" i="8"/>
  <c r="E357" i="8"/>
  <c r="D357" i="8"/>
  <c r="N356" i="8"/>
  <c r="J356" i="8"/>
  <c r="I356" i="8"/>
  <c r="H356" i="8"/>
  <c r="M356" i="8" s="1"/>
  <c r="G356" i="8"/>
  <c r="L356" i="8" s="1"/>
  <c r="F356" i="8"/>
  <c r="E356" i="8"/>
  <c r="D356" i="8"/>
  <c r="J355" i="8"/>
  <c r="I355" i="8"/>
  <c r="H355" i="8"/>
  <c r="G355" i="8"/>
  <c r="F355" i="8"/>
  <c r="E355" i="8"/>
  <c r="D355" i="8"/>
  <c r="J350" i="8"/>
  <c r="I350" i="8"/>
  <c r="H350" i="8"/>
  <c r="G350" i="8"/>
  <c r="F350" i="8"/>
  <c r="E350" i="8"/>
  <c r="D350" i="8"/>
  <c r="J349" i="8"/>
  <c r="I349" i="8"/>
  <c r="H349" i="8"/>
  <c r="G349" i="8"/>
  <c r="F349" i="8"/>
  <c r="E349" i="8"/>
  <c r="D349" i="8"/>
  <c r="J348" i="8"/>
  <c r="I348" i="8"/>
  <c r="H348" i="8"/>
  <c r="G348" i="8"/>
  <c r="F348" i="8"/>
  <c r="E348" i="8"/>
  <c r="D348" i="8"/>
  <c r="J347" i="8"/>
  <c r="I347" i="8"/>
  <c r="H347" i="8"/>
  <c r="G347" i="8"/>
  <c r="F347" i="8"/>
  <c r="E347" i="8"/>
  <c r="D347" i="8"/>
  <c r="J346" i="8"/>
  <c r="I346" i="8"/>
  <c r="H346" i="8"/>
  <c r="H351" i="8" s="1"/>
  <c r="G346" i="8"/>
  <c r="F346" i="8"/>
  <c r="E346" i="8"/>
  <c r="D346" i="8"/>
  <c r="J345" i="8"/>
  <c r="I345" i="8"/>
  <c r="H345" i="8"/>
  <c r="G345" i="8"/>
  <c r="G351" i="8" s="1"/>
  <c r="F345" i="8"/>
  <c r="E345" i="8"/>
  <c r="D345" i="8"/>
  <c r="J344" i="8"/>
  <c r="I344" i="8"/>
  <c r="N344" i="8" s="1"/>
  <c r="H344" i="8"/>
  <c r="M344" i="8" s="1"/>
  <c r="G344" i="8"/>
  <c r="F344" i="8"/>
  <c r="E344" i="8"/>
  <c r="D344" i="8"/>
  <c r="J343" i="8"/>
  <c r="I343" i="8"/>
  <c r="H343" i="8"/>
  <c r="G343" i="8"/>
  <c r="F343" i="8"/>
  <c r="E343" i="8"/>
  <c r="D343" i="8"/>
  <c r="J338" i="8"/>
  <c r="I338" i="8"/>
  <c r="H338" i="8"/>
  <c r="G338" i="8"/>
  <c r="F338" i="8"/>
  <c r="E338" i="8"/>
  <c r="D338" i="8"/>
  <c r="J337" i="8"/>
  <c r="I337" i="8"/>
  <c r="H337" i="8"/>
  <c r="G337" i="8"/>
  <c r="F337" i="8"/>
  <c r="E337" i="8"/>
  <c r="D337" i="8"/>
  <c r="J336" i="8"/>
  <c r="I336" i="8"/>
  <c r="H336" i="8"/>
  <c r="G336" i="8"/>
  <c r="F336" i="8"/>
  <c r="E336" i="8"/>
  <c r="D336" i="8"/>
  <c r="J335" i="8"/>
  <c r="I335" i="8"/>
  <c r="H335" i="8"/>
  <c r="G335" i="8"/>
  <c r="F335" i="8"/>
  <c r="E335" i="8"/>
  <c r="D335" i="8"/>
  <c r="J334" i="8"/>
  <c r="I334" i="8"/>
  <c r="I339" i="8" s="1"/>
  <c r="H334" i="8"/>
  <c r="G334" i="8"/>
  <c r="F334" i="8"/>
  <c r="E334" i="8"/>
  <c r="D334" i="8"/>
  <c r="J333" i="8"/>
  <c r="I333" i="8"/>
  <c r="H333" i="8"/>
  <c r="H339" i="8" s="1"/>
  <c r="G333" i="8"/>
  <c r="F333" i="8"/>
  <c r="E333" i="8"/>
  <c r="D333" i="8"/>
  <c r="J332" i="8"/>
  <c r="I332" i="8"/>
  <c r="N332" i="8" s="1"/>
  <c r="H332" i="8"/>
  <c r="G332" i="8"/>
  <c r="F332" i="8"/>
  <c r="E332" i="8"/>
  <c r="D332" i="8"/>
  <c r="J331" i="8"/>
  <c r="I331" i="8"/>
  <c r="H331" i="8"/>
  <c r="G331" i="8"/>
  <c r="F331" i="8"/>
  <c r="E331" i="8"/>
  <c r="D331" i="8"/>
  <c r="J326" i="8"/>
  <c r="I326" i="8"/>
  <c r="H326" i="8"/>
  <c r="G326" i="8"/>
  <c r="F326" i="8"/>
  <c r="E326" i="8"/>
  <c r="D326" i="8"/>
  <c r="J325" i="8"/>
  <c r="I325" i="8"/>
  <c r="H325" i="8"/>
  <c r="G325" i="8"/>
  <c r="F325" i="8"/>
  <c r="E325" i="8"/>
  <c r="D325" i="8"/>
  <c r="J324" i="8"/>
  <c r="I324" i="8"/>
  <c r="H324" i="8"/>
  <c r="G324" i="8"/>
  <c r="F324" i="8"/>
  <c r="E324" i="8"/>
  <c r="D324" i="8"/>
  <c r="J323" i="8"/>
  <c r="I323" i="8"/>
  <c r="H323" i="8"/>
  <c r="G323" i="8"/>
  <c r="F323" i="8"/>
  <c r="E323" i="8"/>
  <c r="D323" i="8"/>
  <c r="J322" i="8"/>
  <c r="I322" i="8"/>
  <c r="H322" i="8"/>
  <c r="G322" i="8"/>
  <c r="F322" i="8"/>
  <c r="E322" i="8"/>
  <c r="D322" i="8"/>
  <c r="J321" i="8"/>
  <c r="I321" i="8"/>
  <c r="H321" i="8"/>
  <c r="G321" i="8"/>
  <c r="F321" i="8"/>
  <c r="E321" i="8"/>
  <c r="D321" i="8"/>
  <c r="J320" i="8"/>
  <c r="I320" i="8"/>
  <c r="H320" i="8"/>
  <c r="G320" i="8"/>
  <c r="F320" i="8"/>
  <c r="E320" i="8"/>
  <c r="D320" i="8"/>
  <c r="J319" i="8"/>
  <c r="I319" i="8"/>
  <c r="H319" i="8"/>
  <c r="G319" i="8"/>
  <c r="F319" i="8"/>
  <c r="E319" i="8"/>
  <c r="D319" i="8"/>
  <c r="J314" i="8"/>
  <c r="I314" i="8"/>
  <c r="H314" i="8"/>
  <c r="G314" i="8"/>
  <c r="F314" i="8"/>
  <c r="E314" i="8"/>
  <c r="D314" i="8"/>
  <c r="J313" i="8"/>
  <c r="I313" i="8"/>
  <c r="H313" i="8"/>
  <c r="G313" i="8"/>
  <c r="F313" i="8"/>
  <c r="E313" i="8"/>
  <c r="D313" i="8"/>
  <c r="J312" i="8"/>
  <c r="I312" i="8"/>
  <c r="H312" i="8"/>
  <c r="G312" i="8"/>
  <c r="F312" i="8"/>
  <c r="E312" i="8"/>
  <c r="D312" i="8"/>
  <c r="J311" i="8"/>
  <c r="I311" i="8"/>
  <c r="H311" i="8"/>
  <c r="G311" i="8"/>
  <c r="F311" i="8"/>
  <c r="E311" i="8"/>
  <c r="D311" i="8"/>
  <c r="J310" i="8"/>
  <c r="I310" i="8"/>
  <c r="H310" i="8"/>
  <c r="G310" i="8"/>
  <c r="F310" i="8"/>
  <c r="E310" i="8"/>
  <c r="D310" i="8"/>
  <c r="J309" i="8"/>
  <c r="I309" i="8"/>
  <c r="H309" i="8"/>
  <c r="G309" i="8"/>
  <c r="F309" i="8"/>
  <c r="E309" i="8"/>
  <c r="D309" i="8"/>
  <c r="J308" i="8"/>
  <c r="I308" i="8"/>
  <c r="H308" i="8"/>
  <c r="G308" i="8"/>
  <c r="F308" i="8"/>
  <c r="E308" i="8"/>
  <c r="D308" i="8"/>
  <c r="J307" i="8"/>
  <c r="I307" i="8"/>
  <c r="H307" i="8"/>
  <c r="G307" i="8"/>
  <c r="F307" i="8"/>
  <c r="E307" i="8"/>
  <c r="D307" i="8"/>
  <c r="J306" i="8"/>
  <c r="I306" i="8"/>
  <c r="I315" i="8" s="1"/>
  <c r="H306" i="8"/>
  <c r="H315" i="8" s="1"/>
  <c r="G306" i="8"/>
  <c r="G315" i="8" s="1"/>
  <c r="J315" i="8" s="1"/>
  <c r="F306" i="8"/>
  <c r="E306" i="8"/>
  <c r="D306" i="8"/>
  <c r="J305" i="8"/>
  <c r="I305" i="8"/>
  <c r="H305" i="8"/>
  <c r="G305" i="8"/>
  <c r="F305" i="8"/>
  <c r="E305" i="8"/>
  <c r="D305" i="8"/>
  <c r="J300" i="8"/>
  <c r="I300" i="8"/>
  <c r="H300" i="8"/>
  <c r="G300" i="8"/>
  <c r="F300" i="8"/>
  <c r="E300" i="8"/>
  <c r="D300" i="8"/>
  <c r="J299" i="8"/>
  <c r="I299" i="8"/>
  <c r="H299" i="8"/>
  <c r="G299" i="8"/>
  <c r="F299" i="8"/>
  <c r="E299" i="8"/>
  <c r="D299" i="8"/>
  <c r="J298" i="8"/>
  <c r="I298" i="8"/>
  <c r="H298" i="8"/>
  <c r="G298" i="8"/>
  <c r="F298" i="8"/>
  <c r="E298" i="8"/>
  <c r="D298" i="8"/>
  <c r="J297" i="8"/>
  <c r="I297" i="8"/>
  <c r="H297" i="8"/>
  <c r="G297" i="8"/>
  <c r="F297" i="8"/>
  <c r="E297" i="8"/>
  <c r="D297" i="8"/>
  <c r="J296" i="8"/>
  <c r="I296" i="8"/>
  <c r="H296" i="8"/>
  <c r="G296" i="8"/>
  <c r="F296" i="8"/>
  <c r="E296" i="8"/>
  <c r="D296" i="8"/>
  <c r="J295" i="8"/>
  <c r="I295" i="8"/>
  <c r="I301" i="8" s="1"/>
  <c r="H295" i="8"/>
  <c r="G295" i="8"/>
  <c r="F295" i="8"/>
  <c r="E295" i="8"/>
  <c r="D295" i="8"/>
  <c r="J294" i="8"/>
  <c r="I294" i="8"/>
  <c r="H294" i="8"/>
  <c r="M294" i="8" s="1"/>
  <c r="G294" i="8"/>
  <c r="F294" i="8"/>
  <c r="E294" i="8"/>
  <c r="D294" i="8"/>
  <c r="J293" i="8"/>
  <c r="I293" i="8"/>
  <c r="H293" i="8"/>
  <c r="G293" i="8"/>
  <c r="F293" i="8"/>
  <c r="E293" i="8"/>
  <c r="D293" i="8"/>
  <c r="J288" i="8"/>
  <c r="I288" i="8"/>
  <c r="H288" i="8"/>
  <c r="G288" i="8"/>
  <c r="F288" i="8"/>
  <c r="E288" i="8"/>
  <c r="D288" i="8"/>
  <c r="J287" i="8"/>
  <c r="I287" i="8"/>
  <c r="H287" i="8"/>
  <c r="G287" i="8"/>
  <c r="F287" i="8"/>
  <c r="E287" i="8"/>
  <c r="D287" i="8"/>
  <c r="J286" i="8"/>
  <c r="I286" i="8"/>
  <c r="H286" i="8"/>
  <c r="G286" i="8"/>
  <c r="F286" i="8"/>
  <c r="E286" i="8"/>
  <c r="D286" i="8"/>
  <c r="J285" i="8"/>
  <c r="I285" i="8"/>
  <c r="H285" i="8"/>
  <c r="G285" i="8"/>
  <c r="F285" i="8"/>
  <c r="E285" i="8"/>
  <c r="D285" i="8"/>
  <c r="J284" i="8"/>
  <c r="I284" i="8"/>
  <c r="H284" i="8"/>
  <c r="G284" i="8"/>
  <c r="G289" i="8" s="1"/>
  <c r="F284" i="8"/>
  <c r="E284" i="8"/>
  <c r="D284" i="8"/>
  <c r="J283" i="8"/>
  <c r="I283" i="8"/>
  <c r="H283" i="8"/>
  <c r="G283" i="8"/>
  <c r="F283" i="8"/>
  <c r="E283" i="8"/>
  <c r="D283" i="8"/>
  <c r="N282" i="8"/>
  <c r="M282" i="8"/>
  <c r="J282" i="8"/>
  <c r="I282" i="8"/>
  <c r="H282" i="8"/>
  <c r="H289" i="8" s="1"/>
  <c r="G282" i="8"/>
  <c r="L282" i="8" s="1"/>
  <c r="O282" i="8" s="1"/>
  <c r="F282" i="8"/>
  <c r="E282" i="8"/>
  <c r="D282" i="8"/>
  <c r="J281" i="8"/>
  <c r="I281" i="8"/>
  <c r="H281" i="8"/>
  <c r="G281" i="8"/>
  <c r="F281" i="8"/>
  <c r="E281" i="8"/>
  <c r="D281" i="8"/>
  <c r="J276" i="8"/>
  <c r="I276" i="8"/>
  <c r="H276" i="8"/>
  <c r="G276" i="8"/>
  <c r="F276" i="8"/>
  <c r="E276" i="8"/>
  <c r="D276" i="8"/>
  <c r="J275" i="8"/>
  <c r="I275" i="8"/>
  <c r="H275" i="8"/>
  <c r="G275" i="8"/>
  <c r="F275" i="8"/>
  <c r="E275" i="8"/>
  <c r="D275" i="8"/>
  <c r="J274" i="8"/>
  <c r="I274" i="8"/>
  <c r="H274" i="8"/>
  <c r="G274" i="8"/>
  <c r="F274" i="8"/>
  <c r="E274" i="8"/>
  <c r="D274" i="8"/>
  <c r="J273" i="8"/>
  <c r="I273" i="8"/>
  <c r="H273" i="8"/>
  <c r="G273" i="8"/>
  <c r="F273" i="8"/>
  <c r="E273" i="8"/>
  <c r="D273" i="8"/>
  <c r="J272" i="8"/>
  <c r="I272" i="8"/>
  <c r="H272" i="8"/>
  <c r="H277" i="8" s="1"/>
  <c r="G272" i="8"/>
  <c r="G277" i="8" s="1"/>
  <c r="F272" i="8"/>
  <c r="E272" i="8"/>
  <c r="D272" i="8"/>
  <c r="J271" i="8"/>
  <c r="I271" i="8"/>
  <c r="H271" i="8"/>
  <c r="G271" i="8"/>
  <c r="F271" i="8"/>
  <c r="E271" i="8"/>
  <c r="D271" i="8"/>
  <c r="J270" i="8"/>
  <c r="I270" i="8"/>
  <c r="H270" i="8"/>
  <c r="G270" i="8"/>
  <c r="F270" i="8"/>
  <c r="E270" i="8"/>
  <c r="D270" i="8"/>
  <c r="J269" i="8"/>
  <c r="I269" i="8"/>
  <c r="H269" i="8"/>
  <c r="G269" i="8"/>
  <c r="F269" i="8"/>
  <c r="E269" i="8"/>
  <c r="D269" i="8"/>
  <c r="J264" i="8"/>
  <c r="I264" i="8"/>
  <c r="H264" i="8"/>
  <c r="G264" i="8"/>
  <c r="F264" i="8"/>
  <c r="E264" i="8"/>
  <c r="D264" i="8"/>
  <c r="J263" i="8"/>
  <c r="I263" i="8"/>
  <c r="H263" i="8"/>
  <c r="G263" i="8"/>
  <c r="F263" i="8"/>
  <c r="E263" i="8"/>
  <c r="D263" i="8"/>
  <c r="J262" i="8"/>
  <c r="I262" i="8"/>
  <c r="H262" i="8"/>
  <c r="G262" i="8"/>
  <c r="F262" i="8"/>
  <c r="E262" i="8"/>
  <c r="D262" i="8"/>
  <c r="J261" i="8"/>
  <c r="I261" i="8"/>
  <c r="H261" i="8"/>
  <c r="G261" i="8"/>
  <c r="F261" i="8"/>
  <c r="E261" i="8"/>
  <c r="D261" i="8"/>
  <c r="J260" i="8"/>
  <c r="I260" i="8"/>
  <c r="I265" i="8" s="1"/>
  <c r="H260" i="8"/>
  <c r="G260" i="8"/>
  <c r="F260" i="8"/>
  <c r="E260" i="8"/>
  <c r="D260" i="8"/>
  <c r="J259" i="8"/>
  <c r="I259" i="8"/>
  <c r="H259" i="8"/>
  <c r="H265" i="8" s="1"/>
  <c r="G259" i="8"/>
  <c r="F259" i="8"/>
  <c r="E259" i="8"/>
  <c r="D259" i="8"/>
  <c r="J258" i="8"/>
  <c r="I258" i="8"/>
  <c r="H258" i="8"/>
  <c r="G258" i="8"/>
  <c r="F258" i="8"/>
  <c r="E258" i="8"/>
  <c r="D258" i="8"/>
  <c r="J257" i="8"/>
  <c r="I257" i="8"/>
  <c r="H257" i="8"/>
  <c r="G257" i="8"/>
  <c r="F257" i="8"/>
  <c r="E257" i="8"/>
  <c r="D257" i="8"/>
  <c r="J252" i="8"/>
  <c r="I252" i="8"/>
  <c r="H252" i="8"/>
  <c r="G252" i="8"/>
  <c r="F252" i="8"/>
  <c r="E252" i="8"/>
  <c r="D252" i="8"/>
  <c r="J251" i="8"/>
  <c r="I251" i="8"/>
  <c r="H251" i="8"/>
  <c r="G251" i="8"/>
  <c r="F251" i="8"/>
  <c r="E251" i="8"/>
  <c r="D251" i="8"/>
  <c r="J250" i="8"/>
  <c r="I250" i="8"/>
  <c r="H250" i="8"/>
  <c r="G250" i="8"/>
  <c r="F250" i="8"/>
  <c r="E250" i="8"/>
  <c r="D250" i="8"/>
  <c r="J249" i="8"/>
  <c r="I249" i="8"/>
  <c r="H249" i="8"/>
  <c r="G249" i="8"/>
  <c r="F249" i="8"/>
  <c r="E249" i="8"/>
  <c r="D249" i="8"/>
  <c r="J248" i="8"/>
  <c r="I248" i="8"/>
  <c r="I253" i="8" s="1"/>
  <c r="H248" i="8"/>
  <c r="G248" i="8"/>
  <c r="F248" i="8"/>
  <c r="E248" i="8"/>
  <c r="D248" i="8"/>
  <c r="J247" i="8"/>
  <c r="I247" i="8"/>
  <c r="H247" i="8"/>
  <c r="G247" i="8"/>
  <c r="F247" i="8"/>
  <c r="E247" i="8"/>
  <c r="D247" i="8"/>
  <c r="J246" i="8"/>
  <c r="I246" i="8"/>
  <c r="N246" i="8" s="1"/>
  <c r="H246" i="8"/>
  <c r="G246" i="8"/>
  <c r="G253" i="8" s="1"/>
  <c r="F246" i="8"/>
  <c r="E246" i="8"/>
  <c r="D246" i="8"/>
  <c r="J245" i="8"/>
  <c r="I245" i="8"/>
  <c r="H245" i="8"/>
  <c r="G245" i="8"/>
  <c r="F245" i="8"/>
  <c r="E245" i="8"/>
  <c r="D245" i="8"/>
  <c r="J240" i="8"/>
  <c r="I240" i="8"/>
  <c r="H240" i="8"/>
  <c r="G240" i="8"/>
  <c r="F240" i="8"/>
  <c r="E240" i="8"/>
  <c r="D240" i="8"/>
  <c r="J239" i="8"/>
  <c r="I239" i="8"/>
  <c r="H239" i="8"/>
  <c r="G239" i="8"/>
  <c r="F239" i="8"/>
  <c r="E239" i="8"/>
  <c r="D239" i="8"/>
  <c r="J238" i="8"/>
  <c r="I238" i="8"/>
  <c r="H238" i="8"/>
  <c r="G238" i="8"/>
  <c r="F238" i="8"/>
  <c r="E238" i="8"/>
  <c r="D238" i="8"/>
  <c r="J237" i="8"/>
  <c r="I237" i="8"/>
  <c r="H237" i="8"/>
  <c r="G237" i="8"/>
  <c r="F237" i="8"/>
  <c r="E237" i="8"/>
  <c r="D237" i="8"/>
  <c r="J236" i="8"/>
  <c r="I236" i="8"/>
  <c r="H236" i="8"/>
  <c r="G236" i="8"/>
  <c r="G241" i="8" s="1"/>
  <c r="F236" i="8"/>
  <c r="E236" i="8"/>
  <c r="D236" i="8"/>
  <c r="J235" i="8"/>
  <c r="I235" i="8"/>
  <c r="H235" i="8"/>
  <c r="G235" i="8"/>
  <c r="F235" i="8"/>
  <c r="E235" i="8"/>
  <c r="D235" i="8"/>
  <c r="J234" i="8"/>
  <c r="I234" i="8"/>
  <c r="H234" i="8"/>
  <c r="M234" i="8" s="1"/>
  <c r="G234" i="8"/>
  <c r="F234" i="8"/>
  <c r="E234" i="8"/>
  <c r="D234" i="8"/>
  <c r="J233" i="8"/>
  <c r="I233" i="8"/>
  <c r="H233" i="8"/>
  <c r="G233" i="8"/>
  <c r="F233" i="8"/>
  <c r="E233" i="8"/>
  <c r="D233" i="8"/>
  <c r="J228" i="8"/>
  <c r="I228" i="8"/>
  <c r="H228" i="8"/>
  <c r="G228" i="8"/>
  <c r="F228" i="8"/>
  <c r="E228" i="8"/>
  <c r="D228" i="8"/>
  <c r="J227" i="8"/>
  <c r="I227" i="8"/>
  <c r="H227" i="8"/>
  <c r="G227" i="8"/>
  <c r="F227" i="8"/>
  <c r="E227" i="8"/>
  <c r="D227" i="8"/>
  <c r="J226" i="8"/>
  <c r="I226" i="8"/>
  <c r="H226" i="8"/>
  <c r="G226" i="8"/>
  <c r="F226" i="8"/>
  <c r="E226" i="8"/>
  <c r="D226" i="8"/>
  <c r="J225" i="8"/>
  <c r="I225" i="8"/>
  <c r="H225" i="8"/>
  <c r="G225" i="8"/>
  <c r="F225" i="8"/>
  <c r="E225" i="8"/>
  <c r="D225" i="8"/>
  <c r="J224" i="8"/>
  <c r="I224" i="8"/>
  <c r="H224" i="8"/>
  <c r="H229" i="8" s="1"/>
  <c r="G224" i="8"/>
  <c r="F224" i="8"/>
  <c r="E224" i="8"/>
  <c r="D224" i="8"/>
  <c r="J223" i="8"/>
  <c r="I223" i="8"/>
  <c r="H223" i="8"/>
  <c r="G223" i="8"/>
  <c r="F223" i="8"/>
  <c r="E223" i="8"/>
  <c r="D223" i="8"/>
  <c r="J222" i="8"/>
  <c r="I222" i="8"/>
  <c r="H222" i="8"/>
  <c r="G222" i="8"/>
  <c r="F222" i="8"/>
  <c r="E222" i="8"/>
  <c r="D222" i="8"/>
  <c r="J221" i="8"/>
  <c r="I221" i="8"/>
  <c r="G221" i="8"/>
  <c r="G229" i="8" s="1"/>
  <c r="J229" i="8" s="1"/>
  <c r="F221" i="8"/>
  <c r="D221" i="8"/>
  <c r="J220" i="8"/>
  <c r="I220" i="8"/>
  <c r="H220" i="8"/>
  <c r="G220" i="8"/>
  <c r="F220" i="8"/>
  <c r="E220" i="8"/>
  <c r="D220" i="8"/>
  <c r="J219" i="8"/>
  <c r="I219" i="8"/>
  <c r="I229" i="8" s="1"/>
  <c r="H219" i="8"/>
  <c r="G219" i="8"/>
  <c r="F219" i="8"/>
  <c r="E219" i="8"/>
  <c r="D219" i="8"/>
  <c r="J218" i="8"/>
  <c r="I218" i="8"/>
  <c r="H218" i="8"/>
  <c r="G218" i="8"/>
  <c r="F218" i="8"/>
  <c r="E218" i="8"/>
  <c r="D218" i="8"/>
  <c r="J213" i="8"/>
  <c r="I213" i="8"/>
  <c r="H213" i="8"/>
  <c r="G213" i="8"/>
  <c r="F213" i="8"/>
  <c r="E213" i="8"/>
  <c r="D213" i="8"/>
  <c r="J212" i="8"/>
  <c r="I212" i="8"/>
  <c r="H212" i="8"/>
  <c r="G212" i="8"/>
  <c r="F212" i="8"/>
  <c r="E212" i="8"/>
  <c r="D212" i="8"/>
  <c r="J211" i="8"/>
  <c r="I211" i="8"/>
  <c r="H211" i="8"/>
  <c r="G211" i="8"/>
  <c r="F211" i="8"/>
  <c r="E211" i="8"/>
  <c r="D211" i="8"/>
  <c r="J210" i="8"/>
  <c r="I210" i="8"/>
  <c r="H210" i="8"/>
  <c r="G210" i="8"/>
  <c r="F210" i="8"/>
  <c r="E210" i="8"/>
  <c r="D210" i="8"/>
  <c r="J209" i="8"/>
  <c r="I209" i="8"/>
  <c r="H209" i="8"/>
  <c r="G209" i="8"/>
  <c r="F209" i="8"/>
  <c r="E209" i="8"/>
  <c r="D209" i="8"/>
  <c r="J208" i="8"/>
  <c r="I208" i="8"/>
  <c r="H208" i="8"/>
  <c r="G208" i="8"/>
  <c r="F208" i="8"/>
  <c r="E208" i="8"/>
  <c r="D208" i="8"/>
  <c r="J207" i="8"/>
  <c r="I207" i="8"/>
  <c r="H207" i="8"/>
  <c r="G207" i="8"/>
  <c r="F207" i="8"/>
  <c r="E207" i="8"/>
  <c r="D207" i="8"/>
  <c r="J206" i="8"/>
  <c r="I206" i="8"/>
  <c r="H206" i="8"/>
  <c r="G206" i="8"/>
  <c r="F206" i="8"/>
  <c r="E206" i="8"/>
  <c r="D206" i="8"/>
  <c r="J205" i="8"/>
  <c r="I205" i="8"/>
  <c r="I214" i="8" s="1"/>
  <c r="H205" i="8"/>
  <c r="G205" i="8"/>
  <c r="F205" i="8"/>
  <c r="E205" i="8"/>
  <c r="D205" i="8"/>
  <c r="J204" i="8"/>
  <c r="I204" i="8"/>
  <c r="H204" i="8"/>
  <c r="G204" i="8"/>
  <c r="F204" i="8"/>
  <c r="E204" i="8"/>
  <c r="D204" i="8"/>
  <c r="J203" i="8"/>
  <c r="I203" i="8"/>
  <c r="H203" i="8"/>
  <c r="G203" i="8"/>
  <c r="F203" i="8"/>
  <c r="E203" i="8"/>
  <c r="D203" i="8"/>
  <c r="J198" i="8"/>
  <c r="I198" i="8"/>
  <c r="H198" i="8"/>
  <c r="G198" i="8"/>
  <c r="F198" i="8"/>
  <c r="E198" i="8"/>
  <c r="D198" i="8"/>
  <c r="J197" i="8"/>
  <c r="I197" i="8"/>
  <c r="H197" i="8"/>
  <c r="G197" i="8"/>
  <c r="F197" i="8"/>
  <c r="E197" i="8"/>
  <c r="D197" i="8"/>
  <c r="J196" i="8"/>
  <c r="I196" i="8"/>
  <c r="H196" i="8"/>
  <c r="G196" i="8"/>
  <c r="F196" i="8"/>
  <c r="E196" i="8"/>
  <c r="D196" i="8"/>
  <c r="J195" i="8"/>
  <c r="I195" i="8"/>
  <c r="H195" i="8"/>
  <c r="G195" i="8"/>
  <c r="F195" i="8"/>
  <c r="E195" i="8"/>
  <c r="D195" i="8"/>
  <c r="J194" i="8"/>
  <c r="I194" i="8"/>
  <c r="H194" i="8"/>
  <c r="G194" i="8"/>
  <c r="F194" i="8"/>
  <c r="E194" i="8"/>
  <c r="D194" i="8"/>
  <c r="J193" i="8"/>
  <c r="I193" i="8"/>
  <c r="H193" i="8"/>
  <c r="G193" i="8"/>
  <c r="F193" i="8"/>
  <c r="E193" i="8"/>
  <c r="D193" i="8"/>
  <c r="J192" i="8"/>
  <c r="I192" i="8"/>
  <c r="N192" i="8" s="1"/>
  <c r="H192" i="8"/>
  <c r="G192" i="8"/>
  <c r="G199" i="8" s="1"/>
  <c r="F192" i="8"/>
  <c r="E192" i="8"/>
  <c r="D192" i="8"/>
  <c r="J191" i="8"/>
  <c r="I191" i="8"/>
  <c r="H191" i="8"/>
  <c r="G191" i="8"/>
  <c r="F191" i="8"/>
  <c r="E191" i="8"/>
  <c r="D191" i="8"/>
  <c r="J186" i="8"/>
  <c r="I186" i="8"/>
  <c r="H186" i="8"/>
  <c r="G186" i="8"/>
  <c r="F186" i="8"/>
  <c r="E186" i="8"/>
  <c r="D186" i="8"/>
  <c r="J185" i="8"/>
  <c r="I185" i="8"/>
  <c r="H185" i="8"/>
  <c r="G185" i="8"/>
  <c r="F185" i="8"/>
  <c r="E185" i="8"/>
  <c r="D185" i="8"/>
  <c r="J184" i="8"/>
  <c r="I184" i="8"/>
  <c r="H184" i="8"/>
  <c r="M180" i="8" s="1"/>
  <c r="G184" i="8"/>
  <c r="F184" i="8"/>
  <c r="E184" i="8"/>
  <c r="D184" i="8"/>
  <c r="J183" i="8"/>
  <c r="I183" i="8"/>
  <c r="H183" i="8"/>
  <c r="G183" i="8"/>
  <c r="F183" i="8"/>
  <c r="E183" i="8"/>
  <c r="D183" i="8"/>
  <c r="J182" i="8"/>
  <c r="I182" i="8"/>
  <c r="H182" i="8"/>
  <c r="G182" i="8"/>
  <c r="G187" i="8" s="1"/>
  <c r="F182" i="8"/>
  <c r="E182" i="8"/>
  <c r="D182" i="8"/>
  <c r="J181" i="8"/>
  <c r="I181" i="8"/>
  <c r="H181" i="8"/>
  <c r="G181" i="8"/>
  <c r="F181" i="8"/>
  <c r="E181" i="8"/>
  <c r="D181" i="8"/>
  <c r="J180" i="8"/>
  <c r="I180" i="8"/>
  <c r="N180" i="8" s="1"/>
  <c r="H180" i="8"/>
  <c r="H187" i="8" s="1"/>
  <c r="G180" i="8"/>
  <c r="F180" i="8"/>
  <c r="E180" i="8"/>
  <c r="D180" i="8"/>
  <c r="J179" i="8"/>
  <c r="I179" i="8"/>
  <c r="H179" i="8"/>
  <c r="G179" i="8"/>
  <c r="F179" i="8"/>
  <c r="E179" i="8"/>
  <c r="D179" i="8"/>
  <c r="I175" i="8"/>
  <c r="J174" i="8"/>
  <c r="I174" i="8"/>
  <c r="H174" i="8"/>
  <c r="G174" i="8"/>
  <c r="F174" i="8"/>
  <c r="E174" i="8"/>
  <c r="D174" i="8"/>
  <c r="J173" i="8"/>
  <c r="I173" i="8"/>
  <c r="H173" i="8"/>
  <c r="G173" i="8"/>
  <c r="F173" i="8"/>
  <c r="E173" i="8"/>
  <c r="D173" i="8"/>
  <c r="J172" i="8"/>
  <c r="I172" i="8"/>
  <c r="H172" i="8"/>
  <c r="G172" i="8"/>
  <c r="F172" i="8"/>
  <c r="E172" i="8"/>
  <c r="D172" i="8"/>
  <c r="J171" i="8"/>
  <c r="I171" i="8"/>
  <c r="H171" i="8"/>
  <c r="G171" i="8"/>
  <c r="F171" i="8"/>
  <c r="E171" i="8"/>
  <c r="D171" i="8"/>
  <c r="J170" i="8"/>
  <c r="I170" i="8"/>
  <c r="H170" i="8"/>
  <c r="G170" i="8"/>
  <c r="F170" i="8"/>
  <c r="E170" i="8"/>
  <c r="D170" i="8"/>
  <c r="J169" i="8"/>
  <c r="I169" i="8"/>
  <c r="H169" i="8"/>
  <c r="G169" i="8"/>
  <c r="F169" i="8"/>
  <c r="E169" i="8"/>
  <c r="D169" i="8"/>
  <c r="J168" i="8"/>
  <c r="I168" i="8"/>
  <c r="H168" i="8"/>
  <c r="G168" i="8"/>
  <c r="G175" i="8" s="1"/>
  <c r="F168" i="8"/>
  <c r="E168" i="8"/>
  <c r="D168" i="8"/>
  <c r="N167" i="8"/>
  <c r="J167" i="8"/>
  <c r="I167" i="8"/>
  <c r="H167" i="8"/>
  <c r="G167" i="8"/>
  <c r="F167" i="8"/>
  <c r="E167" i="8"/>
  <c r="D167" i="8"/>
  <c r="J166" i="8"/>
  <c r="I166" i="8"/>
  <c r="H166" i="8"/>
  <c r="G166" i="8"/>
  <c r="F166" i="8"/>
  <c r="E166" i="8"/>
  <c r="D166" i="8"/>
  <c r="J161" i="8"/>
  <c r="I161" i="8"/>
  <c r="H161" i="8"/>
  <c r="G161" i="8"/>
  <c r="F161" i="8"/>
  <c r="E161" i="8"/>
  <c r="D161" i="8"/>
  <c r="J160" i="8"/>
  <c r="I160" i="8"/>
  <c r="H160" i="8"/>
  <c r="G160" i="8"/>
  <c r="F160" i="8"/>
  <c r="E160" i="8"/>
  <c r="D160" i="8"/>
  <c r="J159" i="8"/>
  <c r="I159" i="8"/>
  <c r="H159" i="8"/>
  <c r="G159" i="8"/>
  <c r="F159" i="8"/>
  <c r="E159" i="8"/>
  <c r="D159" i="8"/>
  <c r="J158" i="8"/>
  <c r="I158" i="8"/>
  <c r="H158" i="8"/>
  <c r="M154" i="8" s="1"/>
  <c r="G158" i="8"/>
  <c r="F158" i="8"/>
  <c r="E158" i="8"/>
  <c r="D158" i="8"/>
  <c r="J157" i="8"/>
  <c r="I157" i="8"/>
  <c r="H157" i="8"/>
  <c r="G157" i="8"/>
  <c r="G162" i="8" s="1"/>
  <c r="F157" i="8"/>
  <c r="E157" i="8"/>
  <c r="D157" i="8"/>
  <c r="J156" i="8"/>
  <c r="I156" i="8"/>
  <c r="H156" i="8"/>
  <c r="G156" i="8"/>
  <c r="F156" i="8"/>
  <c r="E156" i="8"/>
  <c r="D156" i="8"/>
  <c r="J155" i="8"/>
  <c r="I155" i="8"/>
  <c r="H155" i="8"/>
  <c r="G155" i="8"/>
  <c r="F155" i="8"/>
  <c r="E155" i="8"/>
  <c r="D155" i="8"/>
  <c r="J154" i="8"/>
  <c r="I154" i="8"/>
  <c r="I162" i="8" s="1"/>
  <c r="H154" i="8"/>
  <c r="G154" i="8"/>
  <c r="F154" i="8"/>
  <c r="E154" i="8"/>
  <c r="D154" i="8"/>
  <c r="J153" i="8"/>
  <c r="I153" i="8"/>
  <c r="H153" i="8"/>
  <c r="G153" i="8"/>
  <c r="F153" i="8"/>
  <c r="E153" i="8"/>
  <c r="D153" i="8"/>
  <c r="J148" i="8"/>
  <c r="I148" i="8"/>
  <c r="H148" i="8"/>
  <c r="G148" i="8"/>
  <c r="F148" i="8"/>
  <c r="E148" i="8"/>
  <c r="D148" i="8"/>
  <c r="J147" i="8"/>
  <c r="I147" i="8"/>
  <c r="H147" i="8"/>
  <c r="G147" i="8"/>
  <c r="F147" i="8"/>
  <c r="E147" i="8"/>
  <c r="D147" i="8"/>
  <c r="J146" i="8"/>
  <c r="I146" i="8"/>
  <c r="H146" i="8"/>
  <c r="G146" i="8"/>
  <c r="J145" i="8"/>
  <c r="I145" i="8"/>
  <c r="H145" i="8"/>
  <c r="G145" i="8"/>
  <c r="F145" i="8"/>
  <c r="E145" i="8"/>
  <c r="D145" i="8"/>
  <c r="J144" i="8"/>
  <c r="I144" i="8"/>
  <c r="H144" i="8"/>
  <c r="G144" i="8"/>
  <c r="F144" i="8"/>
  <c r="E144" i="8"/>
  <c r="D144" i="8"/>
  <c r="J143" i="8"/>
  <c r="I143" i="8"/>
  <c r="I149" i="8" s="1"/>
  <c r="H143" i="8"/>
  <c r="G143" i="8"/>
  <c r="F143" i="8"/>
  <c r="E143" i="8"/>
  <c r="D143" i="8"/>
  <c r="J142" i="8"/>
  <c r="I142" i="8"/>
  <c r="H142" i="8"/>
  <c r="G142" i="8"/>
  <c r="F142" i="8"/>
  <c r="E142" i="8"/>
  <c r="D142" i="8"/>
  <c r="J141" i="8"/>
  <c r="I141" i="8"/>
  <c r="H141" i="8"/>
  <c r="G141" i="8"/>
  <c r="F141" i="8"/>
  <c r="E141" i="8"/>
  <c r="D141" i="8"/>
  <c r="J136" i="8"/>
  <c r="I136" i="8"/>
  <c r="H136" i="8"/>
  <c r="G136" i="8"/>
  <c r="F136" i="8"/>
  <c r="E136" i="8"/>
  <c r="D136" i="8"/>
  <c r="J135" i="8"/>
  <c r="I135" i="8"/>
  <c r="H135" i="8"/>
  <c r="G135" i="8"/>
  <c r="F135" i="8"/>
  <c r="E135" i="8"/>
  <c r="D135" i="8"/>
  <c r="J134" i="8"/>
  <c r="I134" i="8"/>
  <c r="H134" i="8"/>
  <c r="G134" i="8"/>
  <c r="F134" i="8"/>
  <c r="E134" i="8"/>
  <c r="D134" i="8"/>
  <c r="J133" i="8"/>
  <c r="I133" i="8"/>
  <c r="H133" i="8"/>
  <c r="G133" i="8"/>
  <c r="F133" i="8"/>
  <c r="E133" i="8"/>
  <c r="D133" i="8"/>
  <c r="J132" i="8"/>
  <c r="I132" i="8"/>
  <c r="H132" i="8"/>
  <c r="G132" i="8"/>
  <c r="F132" i="8"/>
  <c r="E132" i="8"/>
  <c r="D132" i="8"/>
  <c r="J131" i="8"/>
  <c r="I131" i="8"/>
  <c r="H131" i="8"/>
  <c r="G131" i="8"/>
  <c r="F131" i="8"/>
  <c r="E131" i="8"/>
  <c r="D131" i="8"/>
  <c r="J130" i="8"/>
  <c r="I130" i="8"/>
  <c r="N130" i="8" s="1"/>
  <c r="H130" i="8"/>
  <c r="G130" i="8"/>
  <c r="F130" i="8"/>
  <c r="E130" i="8"/>
  <c r="D130" i="8"/>
  <c r="J129" i="8"/>
  <c r="I129" i="8"/>
  <c r="H129" i="8"/>
  <c r="G129" i="8"/>
  <c r="F129" i="8"/>
  <c r="E129" i="8"/>
  <c r="D129" i="8"/>
  <c r="J127" i="8"/>
  <c r="I127" i="8"/>
  <c r="H127" i="8"/>
  <c r="G127" i="8"/>
  <c r="F127" i="8"/>
  <c r="E127" i="8"/>
  <c r="D127" i="8"/>
  <c r="J126" i="8"/>
  <c r="I126" i="8"/>
  <c r="H126" i="8"/>
  <c r="G126" i="8"/>
  <c r="F126" i="8"/>
  <c r="E126" i="8"/>
  <c r="D126" i="8"/>
  <c r="J125" i="8"/>
  <c r="I125" i="8"/>
  <c r="H125" i="8"/>
  <c r="G125" i="8"/>
  <c r="F125" i="8"/>
  <c r="E125" i="8"/>
  <c r="D125" i="8"/>
  <c r="J124" i="8"/>
  <c r="I124" i="8"/>
  <c r="H124" i="8"/>
  <c r="G124" i="8"/>
  <c r="F124" i="8"/>
  <c r="E124" i="8"/>
  <c r="D124" i="8"/>
  <c r="J123" i="8"/>
  <c r="I123" i="8"/>
  <c r="H123" i="8"/>
  <c r="G123" i="8"/>
  <c r="F123" i="8"/>
  <c r="E123" i="8"/>
  <c r="D123" i="8"/>
  <c r="J122" i="8"/>
  <c r="I122" i="8"/>
  <c r="H122" i="8"/>
  <c r="G122" i="8"/>
  <c r="F122" i="8"/>
  <c r="E122" i="8"/>
  <c r="D122" i="8"/>
  <c r="J121" i="8"/>
  <c r="I121" i="8"/>
  <c r="N121" i="8" s="1"/>
  <c r="H121" i="8"/>
  <c r="M121" i="8" s="1"/>
  <c r="G121" i="8"/>
  <c r="F121" i="8"/>
  <c r="E121" i="8"/>
  <c r="D121" i="8"/>
  <c r="J120" i="8"/>
  <c r="I120" i="8"/>
  <c r="H120" i="8"/>
  <c r="G120" i="8"/>
  <c r="F120" i="8"/>
  <c r="E120" i="8"/>
  <c r="D120" i="8"/>
  <c r="J115" i="8"/>
  <c r="I115" i="8"/>
  <c r="H115" i="8"/>
  <c r="G115" i="8"/>
  <c r="F115" i="8"/>
  <c r="E115" i="8"/>
  <c r="D115" i="8"/>
  <c r="J114" i="8"/>
  <c r="I114" i="8"/>
  <c r="H114" i="8"/>
  <c r="G114" i="8"/>
  <c r="F114" i="8"/>
  <c r="E114" i="8"/>
  <c r="D114" i="8"/>
  <c r="J113" i="8"/>
  <c r="I113" i="8"/>
  <c r="H113" i="8"/>
  <c r="G113" i="8"/>
  <c r="F113" i="8"/>
  <c r="E113" i="8"/>
  <c r="D113" i="8"/>
  <c r="J112" i="8"/>
  <c r="I112" i="8"/>
  <c r="N109" i="8" s="1"/>
  <c r="H112" i="8"/>
  <c r="G112" i="8"/>
  <c r="F112" i="8"/>
  <c r="E112" i="8"/>
  <c r="D112" i="8"/>
  <c r="J111" i="8"/>
  <c r="I111" i="8"/>
  <c r="H111" i="8"/>
  <c r="H116" i="8" s="1"/>
  <c r="G111" i="8"/>
  <c r="F111" i="8"/>
  <c r="E111" i="8"/>
  <c r="D111" i="8"/>
  <c r="J110" i="8"/>
  <c r="I110" i="8"/>
  <c r="H110" i="8"/>
  <c r="G110" i="8"/>
  <c r="F110" i="8"/>
  <c r="E110" i="8"/>
  <c r="D110" i="8"/>
  <c r="J109" i="8"/>
  <c r="I109" i="8"/>
  <c r="I116" i="8" s="1"/>
  <c r="H109" i="8"/>
  <c r="M109" i="8" s="1"/>
  <c r="G109" i="8"/>
  <c r="F109" i="8"/>
  <c r="E109" i="8"/>
  <c r="D109" i="8"/>
  <c r="J108" i="8"/>
  <c r="I108" i="8"/>
  <c r="H108" i="8"/>
  <c r="G108" i="8"/>
  <c r="F108" i="8"/>
  <c r="E108" i="8"/>
  <c r="D108" i="8"/>
  <c r="J103" i="8"/>
  <c r="I103" i="8"/>
  <c r="H103" i="8"/>
  <c r="G103" i="8"/>
  <c r="F103" i="8"/>
  <c r="E103" i="8"/>
  <c r="D103" i="8"/>
  <c r="J102" i="8"/>
  <c r="I102" i="8"/>
  <c r="H102" i="8"/>
  <c r="G102" i="8"/>
  <c r="F102" i="8"/>
  <c r="E102" i="8"/>
  <c r="D102" i="8"/>
  <c r="J101" i="8"/>
  <c r="I101" i="8"/>
  <c r="H101" i="8"/>
  <c r="G101" i="8"/>
  <c r="F101" i="8"/>
  <c r="E101" i="8"/>
  <c r="D101" i="8"/>
  <c r="J100" i="8"/>
  <c r="I100" i="8"/>
  <c r="I104" i="8" s="1"/>
  <c r="H100" i="8"/>
  <c r="G100" i="8"/>
  <c r="F100" i="8"/>
  <c r="E100" i="8"/>
  <c r="D100" i="8"/>
  <c r="J99" i="8"/>
  <c r="I99" i="8"/>
  <c r="H99" i="8"/>
  <c r="G99" i="8"/>
  <c r="F99" i="8"/>
  <c r="E99" i="8"/>
  <c r="D99" i="8"/>
  <c r="J98" i="8"/>
  <c r="I98" i="8"/>
  <c r="H98" i="8"/>
  <c r="G98" i="8"/>
  <c r="F98" i="8"/>
  <c r="E98" i="8"/>
  <c r="D98" i="8"/>
  <c r="J97" i="8"/>
  <c r="I97" i="8"/>
  <c r="H97" i="8"/>
  <c r="H104" i="8" s="1"/>
  <c r="G97" i="8"/>
  <c r="F97" i="8"/>
  <c r="E97" i="8"/>
  <c r="D97" i="8"/>
  <c r="J96" i="8"/>
  <c r="I96" i="8"/>
  <c r="H96" i="8"/>
  <c r="G96" i="8"/>
  <c r="F96" i="8"/>
  <c r="E96" i="8"/>
  <c r="D96" i="8"/>
  <c r="I92" i="8"/>
  <c r="J91" i="8"/>
  <c r="I91" i="8"/>
  <c r="H91" i="8"/>
  <c r="G91" i="8"/>
  <c r="F91" i="8"/>
  <c r="E91" i="8"/>
  <c r="D91" i="8"/>
  <c r="J90" i="8"/>
  <c r="I90" i="8"/>
  <c r="H90" i="8"/>
  <c r="G90" i="8"/>
  <c r="F90" i="8"/>
  <c r="E90" i="8"/>
  <c r="D90" i="8"/>
  <c r="J89" i="8"/>
  <c r="I89" i="8"/>
  <c r="H89" i="8"/>
  <c r="G89" i="8"/>
  <c r="F89" i="8"/>
  <c r="E89" i="8"/>
  <c r="D89" i="8"/>
  <c r="J88" i="8"/>
  <c r="I88" i="8"/>
  <c r="H88" i="8"/>
  <c r="G88" i="8"/>
  <c r="F88" i="8"/>
  <c r="E88" i="8"/>
  <c r="D88" i="8"/>
  <c r="J87" i="8"/>
  <c r="I87" i="8"/>
  <c r="H87" i="8"/>
  <c r="G87" i="8"/>
  <c r="F87" i="8"/>
  <c r="E87" i="8"/>
  <c r="D87" i="8"/>
  <c r="J86" i="8"/>
  <c r="I86" i="8"/>
  <c r="H86" i="8"/>
  <c r="G86" i="8"/>
  <c r="F86" i="8"/>
  <c r="E86" i="8"/>
  <c r="D86" i="8"/>
  <c r="J85" i="8"/>
  <c r="I85" i="8"/>
  <c r="N85" i="8" s="1"/>
  <c r="H85" i="8"/>
  <c r="G85" i="8"/>
  <c r="G92" i="8" s="1"/>
  <c r="F85" i="8"/>
  <c r="E85" i="8"/>
  <c r="D85" i="8"/>
  <c r="J84" i="8"/>
  <c r="I84" i="8"/>
  <c r="H84" i="8"/>
  <c r="G84" i="8"/>
  <c r="F84" i="8"/>
  <c r="E84" i="8"/>
  <c r="D84" i="8"/>
  <c r="J79" i="8"/>
  <c r="I79" i="8"/>
  <c r="H79" i="8"/>
  <c r="G79" i="8"/>
  <c r="F79" i="8"/>
  <c r="E79" i="8"/>
  <c r="D79" i="8"/>
  <c r="J78" i="8"/>
  <c r="I78" i="8"/>
  <c r="H78" i="8"/>
  <c r="G78" i="8"/>
  <c r="F78" i="8"/>
  <c r="E78" i="8"/>
  <c r="D78" i="8"/>
  <c r="J77" i="8"/>
  <c r="I77" i="8"/>
  <c r="H77" i="8"/>
  <c r="G77" i="8"/>
  <c r="F77" i="8"/>
  <c r="E77" i="8"/>
  <c r="D77" i="8"/>
  <c r="J76" i="8"/>
  <c r="I76" i="8"/>
  <c r="H76" i="8"/>
  <c r="G76" i="8"/>
  <c r="F76" i="8"/>
  <c r="E76" i="8"/>
  <c r="D76" i="8"/>
  <c r="J75" i="8"/>
  <c r="I75" i="8"/>
  <c r="H75" i="8"/>
  <c r="G75" i="8"/>
  <c r="F75" i="8"/>
  <c r="E75" i="8"/>
  <c r="D75" i="8"/>
  <c r="J74" i="8"/>
  <c r="I74" i="8"/>
  <c r="H74" i="8"/>
  <c r="G74" i="8"/>
  <c r="F74" i="8"/>
  <c r="E74" i="8"/>
  <c r="D74" i="8"/>
  <c r="J73" i="8"/>
  <c r="I73" i="8"/>
  <c r="H73" i="8"/>
  <c r="G73" i="8"/>
  <c r="G80" i="8" s="1"/>
  <c r="S11" i="6" s="1"/>
  <c r="F73" i="8"/>
  <c r="E73" i="8"/>
  <c r="D73" i="8"/>
  <c r="J72" i="8"/>
  <c r="I72" i="8"/>
  <c r="H72" i="8"/>
  <c r="G72" i="8"/>
  <c r="F72" i="8"/>
  <c r="E72" i="8"/>
  <c r="D72" i="8"/>
  <c r="J67" i="8"/>
  <c r="I67" i="8"/>
  <c r="H67" i="8"/>
  <c r="G67" i="8"/>
  <c r="F67" i="8"/>
  <c r="E67" i="8"/>
  <c r="D67" i="8"/>
  <c r="J66" i="8"/>
  <c r="I66" i="8"/>
  <c r="H66" i="8"/>
  <c r="G66" i="8"/>
  <c r="F66" i="8"/>
  <c r="E66" i="8"/>
  <c r="D66" i="8"/>
  <c r="J65" i="8"/>
  <c r="I65" i="8"/>
  <c r="H65" i="8"/>
  <c r="G65" i="8"/>
  <c r="F65" i="8"/>
  <c r="E65" i="8"/>
  <c r="D65" i="8"/>
  <c r="J64" i="8"/>
  <c r="I64" i="8"/>
  <c r="H64" i="8"/>
  <c r="G64" i="8"/>
  <c r="F64" i="8"/>
  <c r="E64" i="8"/>
  <c r="D64" i="8"/>
  <c r="J63" i="8"/>
  <c r="I63" i="8"/>
  <c r="H63" i="8"/>
  <c r="G63" i="8"/>
  <c r="G68" i="8" s="1"/>
  <c r="F63" i="8"/>
  <c r="E63" i="8"/>
  <c r="D63" i="8"/>
  <c r="J62" i="8"/>
  <c r="I62" i="8"/>
  <c r="H62" i="8"/>
  <c r="G62" i="8"/>
  <c r="F62" i="8"/>
  <c r="E62" i="8"/>
  <c r="D62" i="8"/>
  <c r="J61" i="8"/>
  <c r="I61" i="8"/>
  <c r="I68" i="8" s="1"/>
  <c r="H61" i="8"/>
  <c r="G61" i="8"/>
  <c r="F61" i="8"/>
  <c r="E61" i="8"/>
  <c r="D61" i="8"/>
  <c r="J60" i="8"/>
  <c r="I60" i="8"/>
  <c r="H60" i="8"/>
  <c r="G60" i="8"/>
  <c r="F60" i="8"/>
  <c r="E60" i="8"/>
  <c r="D60" i="8"/>
  <c r="H56" i="8"/>
  <c r="J55" i="8"/>
  <c r="I55" i="8"/>
  <c r="H55" i="8"/>
  <c r="G55" i="8"/>
  <c r="F55" i="8"/>
  <c r="E55" i="8"/>
  <c r="D55" i="8"/>
  <c r="J54" i="8"/>
  <c r="I54" i="8"/>
  <c r="H54" i="8"/>
  <c r="G54" i="8"/>
  <c r="F54" i="8"/>
  <c r="E54" i="8"/>
  <c r="D54" i="8"/>
  <c r="J53" i="8"/>
  <c r="I53" i="8"/>
  <c r="H53" i="8"/>
  <c r="G53" i="8"/>
  <c r="F53" i="8"/>
  <c r="E53" i="8"/>
  <c r="D53" i="8"/>
  <c r="J52" i="8"/>
  <c r="I52" i="8"/>
  <c r="H52" i="8"/>
  <c r="G52" i="8"/>
  <c r="F52" i="8"/>
  <c r="E52" i="8"/>
  <c r="D52" i="8"/>
  <c r="J51" i="8"/>
  <c r="I51" i="8"/>
  <c r="H51" i="8"/>
  <c r="G51" i="8"/>
  <c r="F51" i="8"/>
  <c r="E51" i="8"/>
  <c r="D51" i="8"/>
  <c r="J50" i="8"/>
  <c r="I50" i="8"/>
  <c r="H50" i="8"/>
  <c r="G50" i="8"/>
  <c r="F50" i="8"/>
  <c r="E50" i="8"/>
  <c r="D50" i="8"/>
  <c r="J49" i="8"/>
  <c r="I49" i="8"/>
  <c r="I56" i="8" s="1"/>
  <c r="H49" i="8"/>
  <c r="G49" i="8"/>
  <c r="G56" i="8" s="1"/>
  <c r="J56" i="8" s="1"/>
  <c r="V9" i="6" s="1"/>
  <c r="F49" i="8"/>
  <c r="E49" i="8"/>
  <c r="D49" i="8"/>
  <c r="J48" i="8"/>
  <c r="I48" i="8"/>
  <c r="H48" i="8"/>
  <c r="G48" i="8"/>
  <c r="F48" i="8"/>
  <c r="E48" i="8"/>
  <c r="D48" i="8"/>
  <c r="H45" i="8"/>
  <c r="H46" i="8" s="1"/>
  <c r="X8" i="6" s="1"/>
  <c r="J43" i="8"/>
  <c r="I43" i="8"/>
  <c r="H43" i="8"/>
  <c r="G43" i="8"/>
  <c r="F43" i="8"/>
  <c r="E43" i="8"/>
  <c r="D43" i="8"/>
  <c r="J42" i="8"/>
  <c r="I42" i="8"/>
  <c r="H42" i="8"/>
  <c r="G42" i="8"/>
  <c r="F42" i="8"/>
  <c r="E42" i="8"/>
  <c r="D42" i="8"/>
  <c r="J41" i="8"/>
  <c r="I41" i="8"/>
  <c r="H41" i="8"/>
  <c r="H44" i="8" s="1"/>
  <c r="T8" i="6" s="1"/>
  <c r="G41" i="8"/>
  <c r="F41" i="8"/>
  <c r="E41" i="8"/>
  <c r="D41" i="8"/>
  <c r="J40" i="8"/>
  <c r="I40" i="8"/>
  <c r="H40" i="8"/>
  <c r="G40" i="8"/>
  <c r="F40" i="8"/>
  <c r="E40" i="8"/>
  <c r="D40" i="8"/>
  <c r="J39" i="8"/>
  <c r="I39" i="8"/>
  <c r="I44" i="8" s="1"/>
  <c r="H39" i="8"/>
  <c r="G39" i="8"/>
  <c r="F39" i="8"/>
  <c r="E39" i="8"/>
  <c r="D39" i="8"/>
  <c r="J38" i="8"/>
  <c r="I38" i="8"/>
  <c r="H38" i="8"/>
  <c r="G38" i="8"/>
  <c r="F38" i="8"/>
  <c r="E38" i="8"/>
  <c r="D38" i="8"/>
  <c r="J33" i="8"/>
  <c r="I33" i="8"/>
  <c r="H33" i="8"/>
  <c r="G33" i="8"/>
  <c r="F33" i="8"/>
  <c r="E33" i="8"/>
  <c r="D33" i="8"/>
  <c r="J32" i="8"/>
  <c r="I32" i="8"/>
  <c r="H32" i="8"/>
  <c r="G32" i="8"/>
  <c r="F32" i="8"/>
  <c r="E32" i="8"/>
  <c r="D32" i="8"/>
  <c r="J31" i="8"/>
  <c r="I31" i="8"/>
  <c r="H31" i="8"/>
  <c r="G31" i="8"/>
  <c r="F31" i="8"/>
  <c r="E31" i="8"/>
  <c r="D31" i="8"/>
  <c r="J30" i="8"/>
  <c r="I30" i="8"/>
  <c r="H30" i="8"/>
  <c r="G30" i="8"/>
  <c r="F30" i="8"/>
  <c r="E30" i="8"/>
  <c r="D30" i="8"/>
  <c r="J29" i="8"/>
  <c r="I29" i="8"/>
  <c r="I34" i="8" s="1"/>
  <c r="U7" i="6" s="1"/>
  <c r="H29" i="8"/>
  <c r="H34" i="8" s="1"/>
  <c r="T7" i="6" s="1"/>
  <c r="G29" i="8"/>
  <c r="G34" i="8" s="1"/>
  <c r="S7" i="6" s="1"/>
  <c r="F29" i="8"/>
  <c r="E29" i="8"/>
  <c r="D29" i="8"/>
  <c r="J28" i="8"/>
  <c r="I28" i="8"/>
  <c r="H28" i="8"/>
  <c r="G28" i="8"/>
  <c r="F28" i="8"/>
  <c r="E28" i="8"/>
  <c r="D28" i="8"/>
  <c r="J23" i="8"/>
  <c r="I23" i="8"/>
  <c r="H23" i="8"/>
  <c r="H24" i="8" s="1"/>
  <c r="T6" i="6" s="1"/>
  <c r="G23" i="8"/>
  <c r="F23" i="8"/>
  <c r="E23" i="8"/>
  <c r="D23" i="8"/>
  <c r="J22" i="8"/>
  <c r="I22" i="8"/>
  <c r="H22" i="8"/>
  <c r="G22" i="8"/>
  <c r="F22" i="8"/>
  <c r="E22" i="8"/>
  <c r="D22" i="8"/>
  <c r="J21" i="8"/>
  <c r="I21" i="8"/>
  <c r="H21" i="8"/>
  <c r="G21" i="8"/>
  <c r="F21" i="8"/>
  <c r="E21" i="8"/>
  <c r="D21" i="8"/>
  <c r="J20" i="8"/>
  <c r="I20" i="8"/>
  <c r="I24" i="8" s="1"/>
  <c r="H20" i="8"/>
  <c r="G20" i="8"/>
  <c r="G24" i="8" s="1"/>
  <c r="F20" i="8"/>
  <c r="E20" i="8"/>
  <c r="D20" i="8"/>
  <c r="A20" i="8"/>
  <c r="A29" i="8" s="1"/>
  <c r="A39" i="8" s="1"/>
  <c r="A49" i="8" s="1"/>
  <c r="J19" i="8"/>
  <c r="I19" i="8"/>
  <c r="H19" i="8"/>
  <c r="G19" i="8"/>
  <c r="F19" i="8"/>
  <c r="E19" i="8"/>
  <c r="D19" i="8"/>
  <c r="J16" i="8"/>
  <c r="I16" i="8"/>
  <c r="H16" i="8"/>
  <c r="H17" i="8" s="1"/>
  <c r="T5" i="6" s="1"/>
  <c r="G16" i="8"/>
  <c r="F16" i="8"/>
  <c r="E16" i="8"/>
  <c r="D16" i="8"/>
  <c r="J15" i="8"/>
  <c r="I15" i="8"/>
  <c r="H15" i="8"/>
  <c r="G15" i="8"/>
  <c r="G17" i="8" s="1"/>
  <c r="F15" i="8"/>
  <c r="E15" i="8"/>
  <c r="D15" i="8"/>
  <c r="J14" i="8"/>
  <c r="J17" i="8" s="1"/>
  <c r="V5" i="6" s="1"/>
  <c r="I14" i="8"/>
  <c r="I17" i="8" s="1"/>
  <c r="H14" i="8"/>
  <c r="G14" i="8"/>
  <c r="F14" i="8"/>
  <c r="E14" i="8"/>
  <c r="D14" i="8"/>
  <c r="J13" i="8"/>
  <c r="I13" i="8"/>
  <c r="H13" i="8"/>
  <c r="G13" i="8"/>
  <c r="F13" i="8"/>
  <c r="E13" i="8"/>
  <c r="D13" i="8"/>
  <c r="J10" i="8"/>
  <c r="I10" i="8"/>
  <c r="H10" i="8"/>
  <c r="H11" i="8" s="1"/>
  <c r="T4" i="6" s="1"/>
  <c r="G10" i="8"/>
  <c r="G11" i="8" s="1"/>
  <c r="S4" i="6" s="1"/>
  <c r="F10" i="8"/>
  <c r="E10" i="8"/>
  <c r="D10" i="8"/>
  <c r="J9" i="8"/>
  <c r="J11" i="8" s="1"/>
  <c r="I9" i="8"/>
  <c r="I11" i="8" s="1"/>
  <c r="H9" i="8"/>
  <c r="G9" i="8"/>
  <c r="F9" i="8"/>
  <c r="E9" i="8"/>
  <c r="D9" i="8"/>
  <c r="J8" i="8"/>
  <c r="I8" i="8"/>
  <c r="H8" i="8"/>
  <c r="G8" i="8"/>
  <c r="F8" i="8"/>
  <c r="E8" i="8"/>
  <c r="D8" i="8"/>
  <c r="J5" i="8"/>
  <c r="I5" i="8"/>
  <c r="H5" i="8"/>
  <c r="G5" i="8"/>
  <c r="G6" i="8" s="1"/>
  <c r="S3" i="6" s="1"/>
  <c r="F5" i="8"/>
  <c r="E5" i="8"/>
  <c r="D5" i="8"/>
  <c r="J4" i="8"/>
  <c r="I4" i="8"/>
  <c r="H4" i="8"/>
  <c r="G4" i="8"/>
  <c r="F4" i="8"/>
  <c r="E4" i="8"/>
  <c r="D4" i="8"/>
  <c r="J3" i="8"/>
  <c r="I3" i="8"/>
  <c r="H3" i="8"/>
  <c r="G3" i="8"/>
  <c r="F3" i="8"/>
  <c r="E3" i="8"/>
  <c r="D3" i="8"/>
  <c r="J2" i="8"/>
  <c r="I2" i="8"/>
  <c r="I6" i="8" s="1"/>
  <c r="U3" i="6" s="1"/>
  <c r="H2" i="8"/>
  <c r="H6" i="8" s="1"/>
  <c r="G2" i="8"/>
  <c r="F2" i="8"/>
  <c r="E2" i="8"/>
  <c r="D2" i="8"/>
  <c r="J1" i="8"/>
  <c r="I1" i="8"/>
  <c r="H1" i="8"/>
  <c r="G1" i="8"/>
  <c r="F1" i="8"/>
  <c r="E1" i="8"/>
  <c r="D1" i="8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O31" i="7"/>
  <c r="M31" i="7"/>
  <c r="L31" i="7"/>
  <c r="K31" i="7"/>
  <c r="J31" i="7"/>
  <c r="I31" i="7"/>
  <c r="I30" i="7"/>
  <c r="I29" i="7"/>
  <c r="I28" i="7"/>
  <c r="I27" i="7"/>
  <c r="I26" i="7"/>
  <c r="I25" i="7"/>
  <c r="N24" i="7"/>
  <c r="L24" i="7"/>
  <c r="O24" i="7" s="1"/>
  <c r="K24" i="7"/>
  <c r="J24" i="7"/>
  <c r="M24" i="7" s="1"/>
  <c r="I24" i="7"/>
  <c r="I23" i="7"/>
  <c r="I22" i="7"/>
  <c r="N21" i="7"/>
  <c r="L21" i="7"/>
  <c r="K21" i="7"/>
  <c r="J21" i="7"/>
  <c r="M21" i="7" s="1"/>
  <c r="I21" i="7"/>
  <c r="I20" i="7"/>
  <c r="I19" i="7"/>
  <c r="N18" i="7"/>
  <c r="L18" i="7"/>
  <c r="K18" i="7"/>
  <c r="J18" i="7"/>
  <c r="M18" i="7" s="1"/>
  <c r="I18" i="7"/>
  <c r="I17" i="7"/>
  <c r="I16" i="7"/>
  <c r="L15" i="7"/>
  <c r="K15" i="7"/>
  <c r="N15" i="7" s="1"/>
  <c r="J15" i="7"/>
  <c r="I15" i="7"/>
  <c r="I14" i="7"/>
  <c r="I13" i="7"/>
  <c r="I12" i="7"/>
  <c r="I11" i="7"/>
  <c r="I10" i="7"/>
  <c r="I9" i="7"/>
  <c r="I8" i="7"/>
  <c r="I7" i="7"/>
  <c r="I6" i="7"/>
  <c r="I5" i="7"/>
  <c r="I4" i="7"/>
  <c r="L3" i="7"/>
  <c r="K3" i="7"/>
  <c r="J3" i="7"/>
  <c r="M15" i="7" s="1"/>
  <c r="B3" i="7"/>
  <c r="A3" i="7"/>
  <c r="B2" i="7"/>
  <c r="A2" i="7"/>
  <c r="AB111" i="6"/>
  <c r="O111" i="6"/>
  <c r="AB110" i="6"/>
  <c r="O110" i="6"/>
  <c r="AB109" i="6"/>
  <c r="O109" i="6"/>
  <c r="AB108" i="6"/>
  <c r="O108" i="6"/>
  <c r="AB107" i="6"/>
  <c r="O107" i="6"/>
  <c r="AB106" i="6"/>
  <c r="O106" i="6"/>
  <c r="AB105" i="6"/>
  <c r="O105" i="6"/>
  <c r="AB104" i="6"/>
  <c r="O104" i="6"/>
  <c r="AB103" i="6"/>
  <c r="O103" i="6"/>
  <c r="AB102" i="6"/>
  <c r="O102" i="6"/>
  <c r="AB101" i="6"/>
  <c r="O101" i="6"/>
  <c r="AB100" i="6"/>
  <c r="O100" i="6"/>
  <c r="AB99" i="6"/>
  <c r="O99" i="6"/>
  <c r="AB98" i="6"/>
  <c r="O98" i="6"/>
  <c r="AB97" i="6"/>
  <c r="O97" i="6"/>
  <c r="AB96" i="6"/>
  <c r="O96" i="6"/>
  <c r="AB95" i="6"/>
  <c r="O95" i="6"/>
  <c r="AB94" i="6"/>
  <c r="O94" i="6"/>
  <c r="AB93" i="6"/>
  <c r="O93" i="6"/>
  <c r="AB92" i="6"/>
  <c r="O92" i="6"/>
  <c r="AB91" i="6"/>
  <c r="O91" i="6"/>
  <c r="AB90" i="6"/>
  <c r="O90" i="6"/>
  <c r="AB89" i="6"/>
  <c r="O89" i="6"/>
  <c r="AB88" i="6"/>
  <c r="O88" i="6"/>
  <c r="AB87" i="6"/>
  <c r="O87" i="6"/>
  <c r="AB86" i="6"/>
  <c r="O86" i="6"/>
  <c r="AB85" i="6"/>
  <c r="O85" i="6"/>
  <c r="AB84" i="6"/>
  <c r="O84" i="6"/>
  <c r="AB83" i="6"/>
  <c r="O83" i="6"/>
  <c r="AB82" i="6"/>
  <c r="O82" i="6"/>
  <c r="AB81" i="6"/>
  <c r="O81" i="6"/>
  <c r="AB80" i="6"/>
  <c r="O80" i="6"/>
  <c r="AB79" i="6"/>
  <c r="O79" i="6"/>
  <c r="AB78" i="6"/>
  <c r="O78" i="6"/>
  <c r="AB77" i="6"/>
  <c r="O77" i="6"/>
  <c r="AB76" i="6"/>
  <c r="O76" i="6"/>
  <c r="AB75" i="6"/>
  <c r="O75" i="6"/>
  <c r="AB74" i="6"/>
  <c r="O74" i="6"/>
  <c r="AB73" i="6"/>
  <c r="O73" i="6"/>
  <c r="AB72" i="6"/>
  <c r="O72" i="6"/>
  <c r="AB71" i="6"/>
  <c r="O71" i="6"/>
  <c r="AB70" i="6"/>
  <c r="O70" i="6"/>
  <c r="AB69" i="6"/>
  <c r="O69" i="6"/>
  <c r="AB68" i="6"/>
  <c r="O68" i="6"/>
  <c r="AB67" i="6"/>
  <c r="O67" i="6"/>
  <c r="AB66" i="6"/>
  <c r="O66" i="6"/>
  <c r="AB65" i="6"/>
  <c r="O65" i="6"/>
  <c r="AB64" i="6"/>
  <c r="O64" i="6"/>
  <c r="AB63" i="6"/>
  <c r="O63" i="6"/>
  <c r="AB62" i="6"/>
  <c r="O62" i="6"/>
  <c r="AB61" i="6"/>
  <c r="O61" i="6"/>
  <c r="AB60" i="6"/>
  <c r="O60" i="6"/>
  <c r="AB59" i="6"/>
  <c r="O59" i="6"/>
  <c r="AB58" i="6"/>
  <c r="O58" i="6"/>
  <c r="AB57" i="6"/>
  <c r="O57" i="6"/>
  <c r="AB56" i="6"/>
  <c r="O56" i="6"/>
  <c r="AB55" i="6"/>
  <c r="O55" i="6"/>
  <c r="AB54" i="6"/>
  <c r="O54" i="6"/>
  <c r="AB53" i="6"/>
  <c r="O53" i="6"/>
  <c r="AB52" i="6"/>
  <c r="O52" i="6"/>
  <c r="AB51" i="6"/>
  <c r="O51" i="6"/>
  <c r="AB50" i="6"/>
  <c r="O50" i="6"/>
  <c r="AB49" i="6"/>
  <c r="O49" i="6"/>
  <c r="AB48" i="6"/>
  <c r="O48" i="6"/>
  <c r="AB47" i="6"/>
  <c r="O47" i="6"/>
  <c r="AB46" i="6"/>
  <c r="O46" i="6"/>
  <c r="AB45" i="6"/>
  <c r="O45" i="6"/>
  <c r="AB44" i="6"/>
  <c r="O44" i="6"/>
  <c r="AB43" i="6"/>
  <c r="O43" i="6"/>
  <c r="AB42" i="6"/>
  <c r="O42" i="6"/>
  <c r="AB41" i="6"/>
  <c r="O41" i="6"/>
  <c r="AB40" i="6"/>
  <c r="O40" i="6"/>
  <c r="AB39" i="6"/>
  <c r="O39" i="6"/>
  <c r="AB38" i="6"/>
  <c r="O38" i="6"/>
  <c r="AB37" i="6"/>
  <c r="O37" i="6"/>
  <c r="AB36" i="6"/>
  <c r="O36" i="6"/>
  <c r="AB35" i="6"/>
  <c r="O35" i="6"/>
  <c r="AB34" i="6"/>
  <c r="O34" i="6"/>
  <c r="AB33" i="6"/>
  <c r="O33" i="6"/>
  <c r="AB32" i="6"/>
  <c r="O32" i="6"/>
  <c r="AB31" i="6"/>
  <c r="O31" i="6"/>
  <c r="AB30" i="6"/>
  <c r="O30" i="6"/>
  <c r="AB29" i="6"/>
  <c r="O29" i="6"/>
  <c r="AB28" i="6"/>
  <c r="O28" i="6"/>
  <c r="AB27" i="6"/>
  <c r="O27" i="6"/>
  <c r="AB26" i="6"/>
  <c r="O26" i="6"/>
  <c r="AB25" i="6"/>
  <c r="O25" i="6"/>
  <c r="AB24" i="6"/>
  <c r="O24" i="6"/>
  <c r="AB23" i="6"/>
  <c r="O23" i="6"/>
  <c r="AB22" i="6"/>
  <c r="O22" i="6"/>
  <c r="AB21" i="6"/>
  <c r="O21" i="6"/>
  <c r="AB20" i="6"/>
  <c r="O20" i="6"/>
  <c r="AB19" i="6"/>
  <c r="O19" i="6"/>
  <c r="AB18" i="6"/>
  <c r="O18" i="6"/>
  <c r="AB17" i="6"/>
  <c r="O17" i="6"/>
  <c r="AB16" i="6"/>
  <c r="O16" i="6"/>
  <c r="AB15" i="6"/>
  <c r="O15" i="6"/>
  <c r="AB14" i="6"/>
  <c r="O14" i="6"/>
  <c r="AB13" i="6"/>
  <c r="O13" i="6"/>
  <c r="AB12" i="6"/>
  <c r="O12" i="6"/>
  <c r="AB11" i="6"/>
  <c r="O11" i="6"/>
  <c r="AB10" i="6"/>
  <c r="U10" i="6"/>
  <c r="O10" i="6"/>
  <c r="AB9" i="6"/>
  <c r="U9" i="6"/>
  <c r="T9" i="6"/>
  <c r="S9" i="6"/>
  <c r="O9" i="6"/>
  <c r="AB8" i="6"/>
  <c r="U8" i="6"/>
  <c r="O8" i="6"/>
  <c r="AB7" i="6"/>
  <c r="O7" i="6"/>
  <c r="H35" i="8" s="1"/>
  <c r="H36" i="8" s="1"/>
  <c r="X7" i="6" s="1"/>
  <c r="AB6" i="6"/>
  <c r="U6" i="6"/>
  <c r="S6" i="6"/>
  <c r="O6" i="6"/>
  <c r="AB5" i="6"/>
  <c r="U5" i="6"/>
  <c r="S5" i="6"/>
  <c r="O5" i="6"/>
  <c r="H25" i="8" s="1"/>
  <c r="A5" i="6"/>
  <c r="AB4" i="6"/>
  <c r="V4" i="6"/>
  <c r="U4" i="6"/>
  <c r="O4" i="6"/>
  <c r="X4" i="6" s="1"/>
  <c r="B4" i="6"/>
  <c r="B4" i="7" s="1"/>
  <c r="A4" i="6"/>
  <c r="A4" i="7" s="1"/>
  <c r="AC3" i="6"/>
  <c r="AB3" i="6"/>
  <c r="T3" i="6"/>
  <c r="X3" i="6" s="1"/>
  <c r="O3" i="6"/>
  <c r="C3" i="6"/>
  <c r="Z2" i="6"/>
  <c r="Y2" i="6"/>
  <c r="X2" i="6"/>
  <c r="V2" i="6"/>
  <c r="U2" i="6"/>
  <c r="T2" i="6"/>
  <c r="B10" i="5"/>
  <c r="B9" i="5"/>
  <c r="B4" i="5" s="1"/>
  <c r="B5" i="5" s="1"/>
  <c r="B8" i="5"/>
  <c r="B7" i="5"/>
  <c r="C12" i="4"/>
  <c r="D12" i="4" s="1"/>
  <c r="C11" i="4"/>
  <c r="D11" i="4" s="1"/>
  <c r="C10" i="4"/>
  <c r="D10" i="4" s="1"/>
  <c r="D9" i="4"/>
  <c r="C9" i="4"/>
  <c r="C8" i="4"/>
  <c r="D8" i="4" s="1"/>
  <c r="G15" i="3"/>
  <c r="B11" i="3"/>
  <c r="G14" i="3" s="1"/>
  <c r="B10" i="3"/>
  <c r="B9" i="3"/>
  <c r="B8" i="3"/>
  <c r="B5" i="3"/>
  <c r="B17" i="2"/>
  <c r="D17" i="2" s="1"/>
  <c r="D16" i="2"/>
  <c r="B16" i="2"/>
  <c r="B15" i="2"/>
  <c r="D15" i="2" s="1"/>
  <c r="D14" i="2"/>
  <c r="B14" i="2"/>
  <c r="B13" i="2"/>
  <c r="D13" i="2" s="1"/>
  <c r="B8" i="2"/>
  <c r="B10" i="2" s="1"/>
  <c r="B11" i="2" s="1"/>
  <c r="B7" i="2"/>
  <c r="N320" i="8" l="1"/>
  <c r="L320" i="8"/>
  <c r="I327" i="8"/>
  <c r="D18" i="2"/>
  <c r="B4" i="2" s="1"/>
  <c r="B5" i="2" s="1"/>
  <c r="G3" i="6" s="1"/>
  <c r="J162" i="8"/>
  <c r="J80" i="8"/>
  <c r="V11" i="6" s="1"/>
  <c r="D80" i="8"/>
  <c r="B14" i="3"/>
  <c r="O440" i="8"/>
  <c r="C10" i="2"/>
  <c r="S10" i="6"/>
  <c r="I507" i="8"/>
  <c r="N500" i="8"/>
  <c r="J507" i="8"/>
  <c r="H519" i="8"/>
  <c r="M512" i="8"/>
  <c r="B4" i="4"/>
  <c r="X5" i="6"/>
  <c r="O15" i="7"/>
  <c r="O21" i="7"/>
  <c r="L85" i="8"/>
  <c r="H162" i="8"/>
  <c r="I241" i="8"/>
  <c r="N234" i="8"/>
  <c r="H327" i="8"/>
  <c r="M320" i="8"/>
  <c r="L560" i="8"/>
  <c r="J591" i="8"/>
  <c r="L584" i="8"/>
  <c r="M608" i="8"/>
  <c r="H615" i="8"/>
  <c r="J615" i="8" s="1"/>
  <c r="I855" i="8"/>
  <c r="J855" i="8" s="1"/>
  <c r="N848" i="8"/>
  <c r="N896" i="8"/>
  <c r="G987" i="8"/>
  <c r="J987" i="8" s="1"/>
  <c r="B13" i="3"/>
  <c r="B4" i="3" s="1"/>
  <c r="B6" i="3" s="1"/>
  <c r="A5" i="7"/>
  <c r="A6" i="6"/>
  <c r="A61" i="8"/>
  <c r="H68" i="8"/>
  <c r="T10" i="6" s="1"/>
  <c r="H80" i="8"/>
  <c r="M97" i="8"/>
  <c r="G116" i="8"/>
  <c r="J116" i="8" s="1"/>
  <c r="G149" i="8"/>
  <c r="H175" i="8"/>
  <c r="M167" i="8"/>
  <c r="J175" i="8"/>
  <c r="G214" i="8"/>
  <c r="G265" i="8"/>
  <c r="J265" i="8" s="1"/>
  <c r="L258" i="8"/>
  <c r="I277" i="8"/>
  <c r="J277" i="8" s="1"/>
  <c r="N270" i="8"/>
  <c r="N380" i="8"/>
  <c r="M392" i="8"/>
  <c r="H639" i="8"/>
  <c r="M632" i="8"/>
  <c r="J795" i="8"/>
  <c r="B5" i="6"/>
  <c r="H26" i="8"/>
  <c r="X6" i="6"/>
  <c r="W2" i="6"/>
  <c r="S2" i="6"/>
  <c r="J24" i="8"/>
  <c r="V6" i="6" s="1"/>
  <c r="J34" i="8"/>
  <c r="V7" i="6" s="1"/>
  <c r="G137" i="8"/>
  <c r="M142" i="8"/>
  <c r="H149" i="8"/>
  <c r="M204" i="8"/>
  <c r="H214" i="8"/>
  <c r="J289" i="8"/>
  <c r="H301" i="8"/>
  <c r="J459" i="8"/>
  <c r="L476" i="8"/>
  <c r="O476" i="8" s="1"/>
  <c r="H627" i="8"/>
  <c r="M620" i="8"/>
  <c r="I675" i="8"/>
  <c r="N668" i="8"/>
  <c r="O1040" i="8"/>
  <c r="G44" i="8"/>
  <c r="H92" i="8"/>
  <c r="J92" i="8" s="1"/>
  <c r="M85" i="8"/>
  <c r="N97" i="8"/>
  <c r="L130" i="8"/>
  <c r="L142" i="8"/>
  <c r="L154" i="8"/>
  <c r="O154" i="8" s="1"/>
  <c r="L180" i="8"/>
  <c r="O180" i="8" s="1"/>
  <c r="L192" i="8"/>
  <c r="L204" i="8"/>
  <c r="L219" i="8"/>
  <c r="O219" i="8" s="1"/>
  <c r="M219" i="8"/>
  <c r="L246" i="8"/>
  <c r="M258" i="8"/>
  <c r="N294" i="8"/>
  <c r="G339" i="8"/>
  <c r="J339" i="8" s="1"/>
  <c r="L332" i="8"/>
  <c r="I363" i="8"/>
  <c r="H375" i="8"/>
  <c r="N392" i="8"/>
  <c r="M404" i="8"/>
  <c r="O404" i="8" s="1"/>
  <c r="L416" i="8"/>
  <c r="J447" i="8"/>
  <c r="N452" i="8"/>
  <c r="G531" i="8"/>
  <c r="J531" i="8" s="1"/>
  <c r="L524" i="8"/>
  <c r="I555" i="8"/>
  <c r="H567" i="8"/>
  <c r="J567" i="8" s="1"/>
  <c r="I651" i="8"/>
  <c r="I663" i="8"/>
  <c r="J663" i="8" s="1"/>
  <c r="N656" i="8"/>
  <c r="L764" i="8"/>
  <c r="L788" i="8"/>
  <c r="N884" i="8"/>
  <c r="G903" i="8"/>
  <c r="G915" i="8"/>
  <c r="M920" i="8"/>
  <c r="H927" i="8"/>
  <c r="H987" i="8"/>
  <c r="M1088" i="8"/>
  <c r="N31" i="7"/>
  <c r="O18" i="7"/>
  <c r="J6" i="8"/>
  <c r="V3" i="6" s="1"/>
  <c r="I80" i="8"/>
  <c r="L121" i="8"/>
  <c r="O121" i="8" s="1"/>
  <c r="H137" i="8"/>
  <c r="M130" i="8"/>
  <c r="I137" i="8"/>
  <c r="N154" i="8"/>
  <c r="H199" i="8"/>
  <c r="J199" i="8" s="1"/>
  <c r="M192" i="8"/>
  <c r="I199" i="8"/>
  <c r="N219" i="8"/>
  <c r="L234" i="8"/>
  <c r="O234" i="8" s="1"/>
  <c r="H253" i="8"/>
  <c r="J253" i="8" s="1"/>
  <c r="M246" i="8"/>
  <c r="N258" i="8"/>
  <c r="L270" i="8"/>
  <c r="O270" i="8" s="1"/>
  <c r="I289" i="8"/>
  <c r="L306" i="8"/>
  <c r="M332" i="8"/>
  <c r="L344" i="8"/>
  <c r="O344" i="8" s="1"/>
  <c r="N368" i="8"/>
  <c r="O368" i="8" s="1"/>
  <c r="G387" i="8"/>
  <c r="J387" i="8" s="1"/>
  <c r="L380" i="8"/>
  <c r="I411" i="8"/>
  <c r="H423" i="8"/>
  <c r="N440" i="8"/>
  <c r="M452" i="8"/>
  <c r="O452" i="8" s="1"/>
  <c r="L464" i="8"/>
  <c r="O464" i="8" s="1"/>
  <c r="M464" i="8"/>
  <c r="O500" i="8"/>
  <c r="M524" i="8"/>
  <c r="L536" i="8"/>
  <c r="O536" i="8" s="1"/>
  <c r="L572" i="8"/>
  <c r="L596" i="8"/>
  <c r="G675" i="8"/>
  <c r="J675" i="8" s="1"/>
  <c r="N692" i="8"/>
  <c r="G711" i="8"/>
  <c r="G723" i="8"/>
  <c r="M728" i="8"/>
  <c r="H735" i="8"/>
  <c r="N752" i="8"/>
  <c r="H795" i="8"/>
  <c r="H807" i="8"/>
  <c r="J807" i="8" s="1"/>
  <c r="J819" i="8"/>
  <c r="M812" i="8"/>
  <c r="M824" i="8"/>
  <c r="G843" i="8"/>
  <c r="J843" i="8" s="1"/>
  <c r="N872" i="8"/>
  <c r="I891" i="8"/>
  <c r="O944" i="8"/>
  <c r="N956" i="8"/>
  <c r="J975" i="8"/>
  <c r="L968" i="8"/>
  <c r="I987" i="8"/>
  <c r="L1100" i="8"/>
  <c r="G104" i="8"/>
  <c r="J104" i="8" s="1"/>
  <c r="L97" i="8"/>
  <c r="O97" i="8" s="1"/>
  <c r="L109" i="8"/>
  <c r="O109" i="8" s="1"/>
  <c r="N142" i="8"/>
  <c r="L167" i="8"/>
  <c r="O167" i="8" s="1"/>
  <c r="I187" i="8"/>
  <c r="J187" i="8" s="1"/>
  <c r="N204" i="8"/>
  <c r="H241" i="8"/>
  <c r="J241" i="8" s="1"/>
  <c r="M270" i="8"/>
  <c r="G301" i="8"/>
  <c r="J301" i="8" s="1"/>
  <c r="L294" i="8"/>
  <c r="O356" i="8"/>
  <c r="M380" i="8"/>
  <c r="L392" i="8"/>
  <c r="N416" i="8"/>
  <c r="J435" i="8"/>
  <c r="L428" i="8"/>
  <c r="O428" i="8" s="1"/>
  <c r="O512" i="8"/>
  <c r="O548" i="8"/>
  <c r="N560" i="8"/>
  <c r="J627" i="8"/>
  <c r="G651" i="8"/>
  <c r="J651" i="8" s="1"/>
  <c r="O752" i="8"/>
  <c r="L776" i="8"/>
  <c r="I867" i="8"/>
  <c r="G891" i="8"/>
  <c r="J891" i="8" s="1"/>
  <c r="H903" i="8"/>
  <c r="J939" i="8"/>
  <c r="H951" i="8"/>
  <c r="J951" i="8" s="1"/>
  <c r="I963" i="8"/>
  <c r="M306" i="8"/>
  <c r="G327" i="8"/>
  <c r="I351" i="8"/>
  <c r="J351" i="8" s="1"/>
  <c r="H363" i="8"/>
  <c r="J363" i="8" s="1"/>
  <c r="G375" i="8"/>
  <c r="I399" i="8"/>
  <c r="J399" i="8" s="1"/>
  <c r="H411" i="8"/>
  <c r="J411" i="8" s="1"/>
  <c r="G423" i="8"/>
  <c r="J423" i="8" s="1"/>
  <c r="I447" i="8"/>
  <c r="H459" i="8"/>
  <c r="G471" i="8"/>
  <c r="J471" i="8" s="1"/>
  <c r="I495" i="8"/>
  <c r="J495" i="8" s="1"/>
  <c r="H507" i="8"/>
  <c r="G519" i="8"/>
  <c r="J519" i="8" s="1"/>
  <c r="I543" i="8"/>
  <c r="J543" i="8" s="1"/>
  <c r="H555" i="8"/>
  <c r="J555" i="8" s="1"/>
  <c r="H579" i="8"/>
  <c r="J579" i="8" s="1"/>
  <c r="M572" i="8"/>
  <c r="M596" i="8"/>
  <c r="I615" i="8"/>
  <c r="N632" i="8"/>
  <c r="L704" i="8"/>
  <c r="O704" i="8" s="1"/>
  <c r="L716" i="8"/>
  <c r="G735" i="8"/>
  <c r="J735" i="8" s="1"/>
  <c r="L728" i="8"/>
  <c r="L740" i="8"/>
  <c r="H771" i="8"/>
  <c r="J771" i="8" s="1"/>
  <c r="M764" i="8"/>
  <c r="M788" i="8"/>
  <c r="I807" i="8"/>
  <c r="N824" i="8"/>
  <c r="L896" i="8"/>
  <c r="O896" i="8" s="1"/>
  <c r="L908" i="8"/>
  <c r="G927" i="8"/>
  <c r="L920" i="8"/>
  <c r="L932" i="8"/>
  <c r="O932" i="8" s="1"/>
  <c r="H963" i="8"/>
  <c r="J963" i="8" s="1"/>
  <c r="M956" i="8"/>
  <c r="O956" i="8" s="1"/>
  <c r="M980" i="8"/>
  <c r="O980" i="8" s="1"/>
  <c r="I999" i="8"/>
  <c r="J999" i="8" s="1"/>
  <c r="N1016" i="8"/>
  <c r="M1040" i="8"/>
  <c r="I1059" i="8"/>
  <c r="J1059" i="8" s="1"/>
  <c r="H1071" i="8"/>
  <c r="J1071" i="8" s="1"/>
  <c r="I1095" i="8"/>
  <c r="J1095" i="8" s="1"/>
  <c r="H1107" i="8"/>
  <c r="J1107" i="8" s="1"/>
  <c r="G1119" i="8"/>
  <c r="O1136" i="8"/>
  <c r="J1167" i="8"/>
  <c r="O1196" i="8"/>
  <c r="J1215" i="8"/>
  <c r="J1251" i="8"/>
  <c r="J1263" i="8"/>
  <c r="J1287" i="8"/>
  <c r="N306" i="8"/>
  <c r="I567" i="8"/>
  <c r="N584" i="8"/>
  <c r="L656" i="8"/>
  <c r="O656" i="8" s="1"/>
  <c r="M656" i="8"/>
  <c r="L668" i="8"/>
  <c r="G687" i="8"/>
  <c r="J687" i="8" s="1"/>
  <c r="L680" i="8"/>
  <c r="O680" i="8" s="1"/>
  <c r="H687" i="8"/>
  <c r="L692" i="8"/>
  <c r="H723" i="8"/>
  <c r="M716" i="8"/>
  <c r="I723" i="8"/>
  <c r="M740" i="8"/>
  <c r="N740" i="8"/>
  <c r="I759" i="8"/>
  <c r="J759" i="8" s="1"/>
  <c r="N776" i="8"/>
  <c r="L848" i="8"/>
  <c r="M848" i="8"/>
  <c r="L860" i="8"/>
  <c r="O860" i="8" s="1"/>
  <c r="G879" i="8"/>
  <c r="L872" i="8"/>
  <c r="O872" i="8" s="1"/>
  <c r="H879" i="8"/>
  <c r="L884" i="8"/>
  <c r="H915" i="8"/>
  <c r="M908" i="8"/>
  <c r="I915" i="8"/>
  <c r="M932" i="8"/>
  <c r="N932" i="8"/>
  <c r="I951" i="8"/>
  <c r="N968" i="8"/>
  <c r="G1035" i="8"/>
  <c r="J1035" i="8" s="1"/>
  <c r="L1028" i="8"/>
  <c r="O1028" i="8" s="1"/>
  <c r="I1047" i="8"/>
  <c r="J1047" i="8" s="1"/>
  <c r="N1064" i="8"/>
  <c r="G1083" i="8"/>
  <c r="J1083" i="8" s="1"/>
  <c r="L1076" i="8"/>
  <c r="I1107" i="8"/>
  <c r="H1119" i="8"/>
  <c r="L608" i="8"/>
  <c r="O608" i="8" s="1"/>
  <c r="L620" i="8"/>
  <c r="G639" i="8"/>
  <c r="J639" i="8" s="1"/>
  <c r="L632" i="8"/>
  <c r="O632" i="8" s="1"/>
  <c r="L644" i="8"/>
  <c r="O644" i="8" s="1"/>
  <c r="H675" i="8"/>
  <c r="M668" i="8"/>
  <c r="M692" i="8"/>
  <c r="I711" i="8"/>
  <c r="N728" i="8"/>
  <c r="L800" i="8"/>
  <c r="O800" i="8" s="1"/>
  <c r="L812" i="8"/>
  <c r="O812" i="8" s="1"/>
  <c r="G831" i="8"/>
  <c r="J831" i="8" s="1"/>
  <c r="L824" i="8"/>
  <c r="O824" i="8" s="1"/>
  <c r="L836" i="8"/>
  <c r="O836" i="8" s="1"/>
  <c r="H867" i="8"/>
  <c r="J867" i="8" s="1"/>
  <c r="M860" i="8"/>
  <c r="M884" i="8"/>
  <c r="I903" i="8"/>
  <c r="N920" i="8"/>
  <c r="L992" i="8"/>
  <c r="O992" i="8" s="1"/>
  <c r="L1004" i="8"/>
  <c r="O1004" i="8" s="1"/>
  <c r="G1023" i="8"/>
  <c r="J1023" i="8" s="1"/>
  <c r="L1016" i="8"/>
  <c r="O1016" i="8" s="1"/>
  <c r="O1052" i="8"/>
  <c r="M1076" i="8"/>
  <c r="L1088" i="8"/>
  <c r="N1112" i="8"/>
  <c r="L1124" i="8"/>
  <c r="O1124" i="8" s="1"/>
  <c r="J1155" i="8"/>
  <c r="J1203" i="8"/>
  <c r="M1052" i="8"/>
  <c r="L1064" i="8"/>
  <c r="N1088" i="8"/>
  <c r="M1100" i="8"/>
  <c r="L1112" i="8"/>
  <c r="O1112" i="8" s="1"/>
  <c r="N1136" i="8"/>
  <c r="M1148" i="8"/>
  <c r="O1148" i="8" s="1"/>
  <c r="L1160" i="8"/>
  <c r="N1184" i="8"/>
  <c r="O1184" i="8" s="1"/>
  <c r="M1196" i="8"/>
  <c r="L1208" i="8"/>
  <c r="O1208" i="8" s="1"/>
  <c r="N1232" i="8"/>
  <c r="O1232" i="8" s="1"/>
  <c r="M1244" i="8"/>
  <c r="O1244" i="8" s="1"/>
  <c r="J1250" i="8"/>
  <c r="L1256" i="8"/>
  <c r="O1256" i="8" s="1"/>
  <c r="J1259" i="8"/>
  <c r="J1268" i="8"/>
  <c r="J1272" i="8"/>
  <c r="N1280" i="8"/>
  <c r="O1280" i="8" s="1"/>
  <c r="J1281" i="8"/>
  <c r="J1285" i="8"/>
  <c r="H1299" i="8"/>
  <c r="M1292" i="8"/>
  <c r="J1294" i="8"/>
  <c r="J1298" i="8"/>
  <c r="N1148" i="8"/>
  <c r="M1160" i="8"/>
  <c r="L1172" i="8"/>
  <c r="O1172" i="8" s="1"/>
  <c r="N1196" i="8"/>
  <c r="M1208" i="8"/>
  <c r="L1220" i="8"/>
  <c r="O1220" i="8" s="1"/>
  <c r="N1244" i="8"/>
  <c r="M1256" i="8"/>
  <c r="L1268" i="8"/>
  <c r="O1268" i="8" s="1"/>
  <c r="N1292" i="8"/>
  <c r="J1209" i="8"/>
  <c r="J1213" i="8"/>
  <c r="J1222" i="8"/>
  <c r="J1226" i="8"/>
  <c r="J1235" i="8"/>
  <c r="J1244" i="8"/>
  <c r="J1248" i="8"/>
  <c r="J1257" i="8"/>
  <c r="J1261" i="8"/>
  <c r="J1270" i="8"/>
  <c r="J1274" i="8"/>
  <c r="J1283" i="8"/>
  <c r="J1292" i="8"/>
  <c r="G1299" i="8"/>
  <c r="J1299" i="8" s="1"/>
  <c r="L1292" i="8"/>
  <c r="O1292" i="8" s="1"/>
  <c r="E3" i="10"/>
  <c r="G3" i="10" s="1"/>
  <c r="H3" i="10" s="1"/>
  <c r="C4" i="10" s="1"/>
  <c r="F3" i="10"/>
  <c r="O320" i="8" l="1"/>
  <c r="F4" i="10"/>
  <c r="E4" i="10"/>
  <c r="G4" i="10" s="1"/>
  <c r="H4" i="10" s="1"/>
  <c r="C5" i="10" s="1"/>
  <c r="O85" i="8"/>
  <c r="O1064" i="8"/>
  <c r="O620" i="8"/>
  <c r="O848" i="8"/>
  <c r="O692" i="8"/>
  <c r="O668" i="8"/>
  <c r="J1119" i="8"/>
  <c r="O920" i="8"/>
  <c r="O716" i="8"/>
  <c r="J723" i="8"/>
  <c r="O596" i="8"/>
  <c r="O380" i="8"/>
  <c r="O788" i="8"/>
  <c r="O416" i="8"/>
  <c r="O204" i="8"/>
  <c r="O142" i="8"/>
  <c r="O258" i="8"/>
  <c r="A6" i="7"/>
  <c r="A7" i="6"/>
  <c r="O560" i="8"/>
  <c r="J68" i="8"/>
  <c r="V10" i="6" s="1"/>
  <c r="A73" i="8"/>
  <c r="O1076" i="8"/>
  <c r="J879" i="8"/>
  <c r="J927" i="8"/>
  <c r="O740" i="8"/>
  <c r="J327" i="8"/>
  <c r="O392" i="8"/>
  <c r="O1100" i="8"/>
  <c r="O968" i="8"/>
  <c r="J711" i="8"/>
  <c r="O572" i="8"/>
  <c r="O306" i="8"/>
  <c r="F80" i="8"/>
  <c r="U11" i="6"/>
  <c r="J915" i="8"/>
  <c r="O764" i="8"/>
  <c r="O332" i="8"/>
  <c r="O246" i="8"/>
  <c r="O192" i="8"/>
  <c r="O130" i="8"/>
  <c r="J44" i="8"/>
  <c r="V8" i="6" s="1"/>
  <c r="S8" i="6"/>
  <c r="B5" i="7"/>
  <c r="B6" i="6"/>
  <c r="E80" i="8"/>
  <c r="T11" i="6"/>
  <c r="O524" i="8"/>
  <c r="O1160" i="8"/>
  <c r="O1088" i="8"/>
  <c r="O884" i="8"/>
  <c r="O908" i="8"/>
  <c r="O728" i="8"/>
  <c r="J375" i="8"/>
  <c r="O776" i="8"/>
  <c r="O294" i="8"/>
  <c r="J903" i="8"/>
  <c r="J137" i="8"/>
  <c r="J214" i="8"/>
  <c r="J149" i="8"/>
  <c r="D3" i="6"/>
  <c r="B1" i="6"/>
  <c r="B5" i="4"/>
  <c r="B6" i="4" s="1"/>
  <c r="O584" i="8"/>
  <c r="F5" i="10" l="1"/>
  <c r="E5" i="10"/>
  <c r="G5" i="10" s="1"/>
  <c r="M109" i="6"/>
  <c r="P109" i="6" s="1"/>
  <c r="M105" i="6"/>
  <c r="P105" i="6" s="1"/>
  <c r="M101" i="6"/>
  <c r="P101" i="6" s="1"/>
  <c r="M97" i="6"/>
  <c r="P97" i="6" s="1"/>
  <c r="M93" i="6"/>
  <c r="P93" i="6" s="1"/>
  <c r="M89" i="6"/>
  <c r="P89" i="6" s="1"/>
  <c r="M85" i="6"/>
  <c r="P85" i="6" s="1"/>
  <c r="M81" i="6"/>
  <c r="P81" i="6" s="1"/>
  <c r="M77" i="6"/>
  <c r="P77" i="6" s="1"/>
  <c r="M103" i="6"/>
  <c r="P103" i="6" s="1"/>
  <c r="M100" i="6"/>
  <c r="P100" i="6" s="1"/>
  <c r="M98" i="6"/>
  <c r="P98" i="6" s="1"/>
  <c r="M87" i="6"/>
  <c r="P87" i="6" s="1"/>
  <c r="M110" i="6"/>
  <c r="P110" i="6" s="1"/>
  <c r="M99" i="6"/>
  <c r="P99" i="6" s="1"/>
  <c r="M96" i="6"/>
  <c r="P96" i="6" s="1"/>
  <c r="M94" i="6"/>
  <c r="P94" i="6" s="1"/>
  <c r="M83" i="6"/>
  <c r="P83" i="6" s="1"/>
  <c r="M80" i="6"/>
  <c r="P80" i="6" s="1"/>
  <c r="M78" i="6"/>
  <c r="P78" i="6" s="1"/>
  <c r="M70" i="6"/>
  <c r="P70" i="6" s="1"/>
  <c r="M66" i="6"/>
  <c r="P66" i="6" s="1"/>
  <c r="M62" i="6"/>
  <c r="P62" i="6" s="1"/>
  <c r="M58" i="6"/>
  <c r="P58" i="6" s="1"/>
  <c r="M54" i="6"/>
  <c r="P54" i="6" s="1"/>
  <c r="M50" i="6"/>
  <c r="P50" i="6" s="1"/>
  <c r="M46" i="6"/>
  <c r="P46" i="6" s="1"/>
  <c r="M42" i="6"/>
  <c r="P42" i="6" s="1"/>
  <c r="M38" i="6"/>
  <c r="P38" i="6" s="1"/>
  <c r="M34" i="6"/>
  <c r="P34" i="6" s="1"/>
  <c r="M30" i="6"/>
  <c r="P30" i="6" s="1"/>
  <c r="M26" i="6"/>
  <c r="P26" i="6" s="1"/>
  <c r="M23" i="6"/>
  <c r="P23" i="6" s="1"/>
  <c r="M21" i="6"/>
  <c r="P21" i="6" s="1"/>
  <c r="M19" i="6"/>
  <c r="P19" i="6" s="1"/>
  <c r="M17" i="6"/>
  <c r="P17" i="6" s="1"/>
  <c r="M15" i="6"/>
  <c r="P15" i="6" s="1"/>
  <c r="M13" i="6"/>
  <c r="P13" i="6" s="1"/>
  <c r="M11" i="6"/>
  <c r="P11" i="6" s="1"/>
  <c r="M9" i="6"/>
  <c r="P9" i="6" s="1"/>
  <c r="M7" i="6"/>
  <c r="P7" i="6" s="1"/>
  <c r="I35" i="8" s="1"/>
  <c r="I36" i="8" s="1"/>
  <c r="Y7" i="6" s="1"/>
  <c r="M5" i="6"/>
  <c r="P5" i="6" s="1"/>
  <c r="M3" i="6"/>
  <c r="P3" i="6" s="1"/>
  <c r="Y3" i="6" s="1"/>
  <c r="M111" i="6"/>
  <c r="P111" i="6" s="1"/>
  <c r="M106" i="6"/>
  <c r="P106" i="6" s="1"/>
  <c r="M95" i="6"/>
  <c r="P95" i="6" s="1"/>
  <c r="M92" i="6"/>
  <c r="P92" i="6" s="1"/>
  <c r="M90" i="6"/>
  <c r="P90" i="6" s="1"/>
  <c r="M79" i="6"/>
  <c r="P79" i="6" s="1"/>
  <c r="M76" i="6"/>
  <c r="P76" i="6" s="1"/>
  <c r="M74" i="6"/>
  <c r="P74" i="6" s="1"/>
  <c r="M73" i="6"/>
  <c r="P73" i="6" s="1"/>
  <c r="M69" i="6"/>
  <c r="P69" i="6" s="1"/>
  <c r="M61" i="6"/>
  <c r="P61" i="6" s="1"/>
  <c r="M53" i="6"/>
  <c r="P53" i="6" s="1"/>
  <c r="M41" i="6"/>
  <c r="P41" i="6" s="1"/>
  <c r="M29" i="6"/>
  <c r="P29" i="6" s="1"/>
  <c r="M108" i="6"/>
  <c r="P108" i="6" s="1"/>
  <c r="M65" i="6"/>
  <c r="P65" i="6" s="1"/>
  <c r="M57" i="6"/>
  <c r="P57" i="6" s="1"/>
  <c r="M49" i="6"/>
  <c r="P49" i="6" s="1"/>
  <c r="M45" i="6"/>
  <c r="P45" i="6" s="1"/>
  <c r="M37" i="6"/>
  <c r="P37" i="6" s="1"/>
  <c r="M33" i="6"/>
  <c r="P33" i="6" s="1"/>
  <c r="M25" i="6"/>
  <c r="P25" i="6" s="1"/>
  <c r="M91" i="6"/>
  <c r="P91" i="6" s="1"/>
  <c r="M86" i="6"/>
  <c r="P86" i="6" s="1"/>
  <c r="M75" i="6"/>
  <c r="P75" i="6" s="1"/>
  <c r="M72" i="6"/>
  <c r="P72" i="6" s="1"/>
  <c r="M64" i="6"/>
  <c r="P64" i="6" s="1"/>
  <c r="M56" i="6"/>
  <c r="P56" i="6" s="1"/>
  <c r="M48" i="6"/>
  <c r="P48" i="6" s="1"/>
  <c r="M40" i="6"/>
  <c r="P40" i="6" s="1"/>
  <c r="M32" i="6"/>
  <c r="P32" i="6" s="1"/>
  <c r="M24" i="6"/>
  <c r="P24" i="6" s="1"/>
  <c r="M22" i="6"/>
  <c r="P22" i="6" s="1"/>
  <c r="M20" i="6"/>
  <c r="P20" i="6" s="1"/>
  <c r="M18" i="6"/>
  <c r="P18" i="6" s="1"/>
  <c r="M16" i="6"/>
  <c r="P16" i="6" s="1"/>
  <c r="M14" i="6"/>
  <c r="P14" i="6" s="1"/>
  <c r="M12" i="6"/>
  <c r="P12" i="6" s="1"/>
  <c r="M10" i="6"/>
  <c r="P10" i="6" s="1"/>
  <c r="M104" i="6"/>
  <c r="P104" i="6" s="1"/>
  <c r="M67" i="6"/>
  <c r="P67" i="6" s="1"/>
  <c r="M59" i="6"/>
  <c r="P59" i="6" s="1"/>
  <c r="M51" i="6"/>
  <c r="P51" i="6" s="1"/>
  <c r="M43" i="6"/>
  <c r="P43" i="6" s="1"/>
  <c r="M35" i="6"/>
  <c r="P35" i="6" s="1"/>
  <c r="M27" i="6"/>
  <c r="P27" i="6" s="1"/>
  <c r="M8" i="6"/>
  <c r="P8" i="6" s="1"/>
  <c r="I45" i="8" s="1"/>
  <c r="I46" i="8" s="1"/>
  <c r="Y8" i="6" s="1"/>
  <c r="M88" i="6"/>
  <c r="P88" i="6" s="1"/>
  <c r="M82" i="6"/>
  <c r="P82" i="6" s="1"/>
  <c r="M68" i="6"/>
  <c r="P68" i="6" s="1"/>
  <c r="M60" i="6"/>
  <c r="P60" i="6" s="1"/>
  <c r="M52" i="6"/>
  <c r="P52" i="6" s="1"/>
  <c r="M44" i="6"/>
  <c r="P44" i="6" s="1"/>
  <c r="M36" i="6"/>
  <c r="P36" i="6" s="1"/>
  <c r="M28" i="6"/>
  <c r="P28" i="6" s="1"/>
  <c r="M6" i="6"/>
  <c r="P6" i="6" s="1"/>
  <c r="Y6" i="6" s="1"/>
  <c r="M107" i="6"/>
  <c r="P107" i="6" s="1"/>
  <c r="M102" i="6"/>
  <c r="P102" i="6" s="1"/>
  <c r="M84" i="6"/>
  <c r="P84" i="6" s="1"/>
  <c r="M71" i="6"/>
  <c r="P71" i="6" s="1"/>
  <c r="M63" i="6"/>
  <c r="P63" i="6" s="1"/>
  <c r="M55" i="6"/>
  <c r="P55" i="6" s="1"/>
  <c r="M47" i="6"/>
  <c r="P47" i="6" s="1"/>
  <c r="M31" i="6"/>
  <c r="P31" i="6" s="1"/>
  <c r="M4" i="6"/>
  <c r="P4" i="6" s="1"/>
  <c r="Y4" i="6" s="1"/>
  <c r="M39" i="6"/>
  <c r="P39" i="6" s="1"/>
  <c r="A8" i="6"/>
  <c r="A7" i="7"/>
  <c r="D108" i="6"/>
  <c r="D104" i="6"/>
  <c r="D100" i="6"/>
  <c r="D96" i="6"/>
  <c r="D92" i="6"/>
  <c r="D88" i="6"/>
  <c r="D84" i="6"/>
  <c r="D80" i="6"/>
  <c r="D76" i="6"/>
  <c r="D107" i="6"/>
  <c r="D102" i="6"/>
  <c r="D97" i="6"/>
  <c r="D91" i="6"/>
  <c r="D86" i="6"/>
  <c r="D109" i="6"/>
  <c r="D103" i="6"/>
  <c r="D98" i="6"/>
  <c r="D93" i="6"/>
  <c r="D87" i="6"/>
  <c r="D82" i="6"/>
  <c r="D77" i="6"/>
  <c r="D73" i="6"/>
  <c r="D69" i="6"/>
  <c r="D65" i="6"/>
  <c r="D61" i="6"/>
  <c r="D57" i="6"/>
  <c r="D53" i="6"/>
  <c r="D49" i="6"/>
  <c r="D45" i="6"/>
  <c r="D41" i="6"/>
  <c r="D37" i="6"/>
  <c r="D33" i="6"/>
  <c r="D29" i="6"/>
  <c r="D25" i="6"/>
  <c r="D110" i="6"/>
  <c r="D105" i="6"/>
  <c r="D99" i="6"/>
  <c r="D94" i="6"/>
  <c r="D89" i="6"/>
  <c r="D83" i="6"/>
  <c r="D78" i="6"/>
  <c r="D72" i="6"/>
  <c r="D64" i="6"/>
  <c r="D60" i="6"/>
  <c r="D52" i="6"/>
  <c r="D48" i="6"/>
  <c r="D44" i="6"/>
  <c r="D40" i="6"/>
  <c r="D36" i="6"/>
  <c r="D32" i="6"/>
  <c r="D28" i="6"/>
  <c r="D24" i="6"/>
  <c r="D18" i="6"/>
  <c r="D12" i="6"/>
  <c r="D68" i="6"/>
  <c r="D56" i="6"/>
  <c r="D22" i="6"/>
  <c r="D20" i="6"/>
  <c r="D16" i="6"/>
  <c r="D14" i="6"/>
  <c r="D10" i="6"/>
  <c r="D95" i="6"/>
  <c r="D67" i="6"/>
  <c r="D59" i="6"/>
  <c r="D51" i="6"/>
  <c r="D43" i="6"/>
  <c r="D35" i="6"/>
  <c r="D27" i="6"/>
  <c r="D4" i="6"/>
  <c r="E3" i="6"/>
  <c r="H3" i="6" s="1"/>
  <c r="D74" i="6"/>
  <c r="D66" i="6"/>
  <c r="D58" i="6"/>
  <c r="D50" i="6"/>
  <c r="D42" i="6"/>
  <c r="D34" i="6"/>
  <c r="D26" i="6"/>
  <c r="D23" i="6"/>
  <c r="D21" i="6"/>
  <c r="D19" i="6"/>
  <c r="D17" i="6"/>
  <c r="D15" i="6"/>
  <c r="D13" i="6"/>
  <c r="D11" i="6"/>
  <c r="D9" i="6"/>
  <c r="D106" i="6"/>
  <c r="D101" i="6"/>
  <c r="D71" i="6"/>
  <c r="D63" i="6"/>
  <c r="D55" i="6"/>
  <c r="D47" i="6"/>
  <c r="D39" i="6"/>
  <c r="D31" i="6"/>
  <c r="D8" i="6"/>
  <c r="D7" i="6"/>
  <c r="D111" i="6"/>
  <c r="D90" i="6"/>
  <c r="D85" i="6"/>
  <c r="D81" i="6"/>
  <c r="D79" i="6"/>
  <c r="D75" i="6"/>
  <c r="D70" i="6"/>
  <c r="D62" i="6"/>
  <c r="D54" i="6"/>
  <c r="D30" i="6"/>
  <c r="D46" i="6"/>
  <c r="D38" i="6"/>
  <c r="D6" i="6"/>
  <c r="D5" i="6"/>
  <c r="B6" i="7"/>
  <c r="B7" i="6"/>
  <c r="A85" i="8"/>
  <c r="A97" i="8" l="1"/>
  <c r="H5" i="10"/>
  <c r="C6" i="10" s="1"/>
  <c r="J3" i="6"/>
  <c r="I3" i="6"/>
  <c r="N3" i="6" s="1"/>
  <c r="B7" i="7"/>
  <c r="B8" i="6"/>
  <c r="A8" i="7"/>
  <c r="A9" i="6"/>
  <c r="I25" i="8"/>
  <c r="I26" i="8" s="1"/>
  <c r="Y5" i="6"/>
  <c r="B8" i="7" l="1"/>
  <c r="B9" i="6"/>
  <c r="A109" i="8"/>
  <c r="C7" i="10"/>
  <c r="F6" i="10"/>
  <c r="E6" i="10"/>
  <c r="G6" i="10" s="1"/>
  <c r="H6" i="10" s="1"/>
  <c r="A10" i="6"/>
  <c r="A9" i="7"/>
  <c r="I57" i="8"/>
  <c r="I58" i="8" s="1"/>
  <c r="Y9" i="6" s="1"/>
  <c r="I69" i="8"/>
  <c r="I70" i="8" s="1"/>
  <c r="Y10" i="6" s="1"/>
  <c r="H57" i="8"/>
  <c r="H58" i="8" s="1"/>
  <c r="X9" i="6" s="1"/>
  <c r="Q3" i="6"/>
  <c r="K3" i="6"/>
  <c r="W3" i="6"/>
  <c r="Z3" i="6" s="1"/>
  <c r="AA3" i="6" s="1"/>
  <c r="C4" i="6" s="1"/>
  <c r="H69" i="8" l="1"/>
  <c r="H70" i="8" s="1"/>
  <c r="X10" i="6" s="1"/>
  <c r="C8" i="10"/>
  <c r="F7" i="10"/>
  <c r="E7" i="10"/>
  <c r="G7" i="10" s="1"/>
  <c r="H7" i="10" s="1"/>
  <c r="A10" i="7"/>
  <c r="A11" i="6"/>
  <c r="E4" i="6"/>
  <c r="H4" i="6" s="1"/>
  <c r="AC4" i="6"/>
  <c r="G4" i="6"/>
  <c r="I4" i="6" s="1"/>
  <c r="N4" i="6" s="1"/>
  <c r="I81" i="8"/>
  <c r="I82" i="8" s="1"/>
  <c r="Y11" i="6" s="1"/>
  <c r="H81" i="8"/>
  <c r="H82" i="8" s="1"/>
  <c r="X11" i="6" s="1"/>
  <c r="A121" i="8"/>
  <c r="B9" i="7"/>
  <c r="B10" i="6"/>
  <c r="A130" i="8" l="1"/>
  <c r="K4" i="6"/>
  <c r="W4" i="6"/>
  <c r="Z4" i="6" s="1"/>
  <c r="Q4" i="6"/>
  <c r="B11" i="6"/>
  <c r="B10" i="7"/>
  <c r="J4" i="6"/>
  <c r="AA4" i="6"/>
  <c r="C5" i="6" s="1"/>
  <c r="A11" i="7"/>
  <c r="A12" i="6"/>
  <c r="C9" i="10"/>
  <c r="F8" i="10"/>
  <c r="E8" i="10"/>
  <c r="G8" i="10" s="1"/>
  <c r="H8" i="10" s="1"/>
  <c r="F9" i="10" l="1"/>
  <c r="E9" i="10"/>
  <c r="G9" i="10" s="1"/>
  <c r="H9" i="10" s="1"/>
  <c r="C10" i="10" s="1"/>
  <c r="B11" i="7"/>
  <c r="B12" i="6"/>
  <c r="A142" i="8"/>
  <c r="G5" i="6"/>
  <c r="I5" i="6" s="1"/>
  <c r="N5" i="6" s="1"/>
  <c r="AC5" i="6"/>
  <c r="E5" i="6"/>
  <c r="H5" i="6" s="1"/>
  <c r="A12" i="7"/>
  <c r="T12" i="6"/>
  <c r="S12" i="6"/>
  <c r="U12" i="6"/>
  <c r="A13" i="6"/>
  <c r="V12" i="6"/>
  <c r="I93" i="8"/>
  <c r="I94" i="8" s="1"/>
  <c r="Q85" i="8"/>
  <c r="U85" i="8" s="1"/>
  <c r="X12" i="6" s="1"/>
  <c r="H93" i="8"/>
  <c r="H94" i="8" s="1"/>
  <c r="I105" i="8"/>
  <c r="I106" i="8" s="1"/>
  <c r="H105" i="8"/>
  <c r="H106" i="8" s="1"/>
  <c r="R85" i="8"/>
  <c r="V85" i="8" s="1"/>
  <c r="Y12" i="6" s="1"/>
  <c r="F10" i="10" l="1"/>
  <c r="E10" i="10"/>
  <c r="G10" i="10" s="1"/>
  <c r="H10" i="10" s="1"/>
  <c r="C11" i="10" s="1"/>
  <c r="Q5" i="6"/>
  <c r="J25" i="8" s="1"/>
  <c r="J26" i="8" s="1"/>
  <c r="G25" i="8"/>
  <c r="G26" i="8" s="1"/>
  <c r="K5" i="6"/>
  <c r="W5" i="6"/>
  <c r="Z5" i="6" s="1"/>
  <c r="A13" i="7"/>
  <c r="A14" i="6"/>
  <c r="V13" i="6"/>
  <c r="U13" i="6"/>
  <c r="T13" i="6"/>
  <c r="S13" i="6"/>
  <c r="R97" i="8"/>
  <c r="Y13" i="6" s="1"/>
  <c r="Q97" i="8"/>
  <c r="X13" i="6" s="1"/>
  <c r="AA5" i="6"/>
  <c r="C6" i="6" s="1"/>
  <c r="J5" i="6"/>
  <c r="A154" i="8"/>
  <c r="B12" i="7"/>
  <c r="B13" i="6"/>
  <c r="F11" i="10" l="1"/>
  <c r="E11" i="10"/>
  <c r="G11" i="10" s="1"/>
  <c r="H11" i="10" s="1"/>
  <c r="C12" i="10" s="1"/>
  <c r="E6" i="6"/>
  <c r="H6" i="6" s="1"/>
  <c r="AC6" i="6"/>
  <c r="G6" i="6"/>
  <c r="I6" i="6" s="1"/>
  <c r="N6" i="6" s="1"/>
  <c r="A167" i="8"/>
  <c r="B13" i="7"/>
  <c r="B14" i="6"/>
  <c r="T14" i="6"/>
  <c r="A14" i="7"/>
  <c r="S14" i="6"/>
  <c r="U14" i="6"/>
  <c r="A15" i="6"/>
  <c r="V14" i="6"/>
  <c r="Q109" i="8"/>
  <c r="X14" i="6" s="1"/>
  <c r="H117" i="8"/>
  <c r="H118" i="8" s="1"/>
  <c r="R109" i="8"/>
  <c r="Y14" i="6" s="1"/>
  <c r="I117" i="8"/>
  <c r="I118" i="8" s="1"/>
  <c r="F12" i="10" l="1"/>
  <c r="E12" i="10"/>
  <c r="G12" i="10" s="1"/>
  <c r="H12" i="10" s="1"/>
  <c r="C13" i="10" s="1"/>
  <c r="B14" i="7"/>
  <c r="B15" i="6"/>
  <c r="W6" i="6"/>
  <c r="Z6" i="6" s="1"/>
  <c r="AA6" i="6" s="1"/>
  <c r="C7" i="6" s="1"/>
  <c r="Q6" i="6"/>
  <c r="K6" i="6"/>
  <c r="J6" i="6"/>
  <c r="A16" i="6"/>
  <c r="V15" i="6"/>
  <c r="U15" i="6"/>
  <c r="A15" i="7"/>
  <c r="T15" i="6"/>
  <c r="S15" i="6"/>
  <c r="Q121" i="8"/>
  <c r="X15" i="6" s="1"/>
  <c r="R121" i="8"/>
  <c r="Y15" i="6" s="1"/>
  <c r="H138" i="8"/>
  <c r="H139" i="8" s="1"/>
  <c r="R130" i="8"/>
  <c r="A180" i="8"/>
  <c r="F13" i="10" l="1"/>
  <c r="E13" i="10"/>
  <c r="G13" i="10" s="1"/>
  <c r="H13" i="10" s="1"/>
  <c r="C14" i="10" s="1"/>
  <c r="G7" i="6"/>
  <c r="I7" i="6" s="1"/>
  <c r="N7" i="6" s="1"/>
  <c r="AC7" i="6"/>
  <c r="E7" i="6"/>
  <c r="H7" i="6" s="1"/>
  <c r="A192" i="8"/>
  <c r="T16" i="6"/>
  <c r="S16" i="6"/>
  <c r="U16" i="6"/>
  <c r="A17" i="6"/>
  <c r="Y16" i="6"/>
  <c r="A16" i="7"/>
  <c r="V16" i="6"/>
  <c r="Q130" i="8"/>
  <c r="X16" i="6" s="1"/>
  <c r="I138" i="8"/>
  <c r="I139" i="8" s="1"/>
  <c r="R142" i="8"/>
  <c r="B15" i="7"/>
  <c r="B16" i="6"/>
  <c r="F14" i="10" l="1"/>
  <c r="E14" i="10"/>
  <c r="G14" i="10" s="1"/>
  <c r="B17" i="6"/>
  <c r="B16" i="7"/>
  <c r="A204" i="8"/>
  <c r="Q7" i="6"/>
  <c r="J35" i="8" s="1"/>
  <c r="J36" i="8" s="1"/>
  <c r="Z7" i="6" s="1"/>
  <c r="G35" i="8"/>
  <c r="G36" i="8" s="1"/>
  <c r="W7" i="6" s="1"/>
  <c r="K7" i="6"/>
  <c r="A17" i="7"/>
  <c r="A18" i="6"/>
  <c r="V17" i="6"/>
  <c r="U17" i="6"/>
  <c r="Y17" i="6"/>
  <c r="T17" i="6"/>
  <c r="S17" i="6"/>
  <c r="H163" i="8"/>
  <c r="H164" i="8" s="1"/>
  <c r="I163" i="8"/>
  <c r="I164" i="8" s="1"/>
  <c r="H150" i="8"/>
  <c r="H151" i="8" s="1"/>
  <c r="I150" i="8"/>
  <c r="I151" i="8" s="1"/>
  <c r="Q142" i="8"/>
  <c r="X17" i="6" s="1"/>
  <c r="Q154" i="8"/>
  <c r="J7" i="6"/>
  <c r="AA7" i="6"/>
  <c r="C8" i="6" s="1"/>
  <c r="B17" i="7" l="1"/>
  <c r="B18" i="6"/>
  <c r="A18" i="7"/>
  <c r="X18" i="6"/>
  <c r="T18" i="6"/>
  <c r="S18" i="6"/>
  <c r="U18" i="6"/>
  <c r="A19" i="6"/>
  <c r="V18" i="6"/>
  <c r="I176" i="8"/>
  <c r="I177" i="8" s="1"/>
  <c r="R154" i="8"/>
  <c r="Y18" i="6" s="1"/>
  <c r="H14" i="10"/>
  <c r="C15" i="10" s="1"/>
  <c r="E8" i="6"/>
  <c r="H8" i="6" s="1"/>
  <c r="AC8" i="6"/>
  <c r="G8" i="6"/>
  <c r="I8" i="6" s="1"/>
  <c r="N8" i="6" s="1"/>
  <c r="A219" i="8"/>
  <c r="J8" i="6" l="1"/>
  <c r="A234" i="8"/>
  <c r="A20" i="6"/>
  <c r="V19" i="6"/>
  <c r="A19" i="7"/>
  <c r="U19" i="6"/>
  <c r="T19" i="6"/>
  <c r="S19" i="6"/>
  <c r="H176" i="8"/>
  <c r="H177" i="8" s="1"/>
  <c r="Q167" i="8"/>
  <c r="X19" i="6" s="1"/>
  <c r="R167" i="8"/>
  <c r="Y19" i="6" s="1"/>
  <c r="H188" i="8"/>
  <c r="H189" i="8" s="1"/>
  <c r="B18" i="7"/>
  <c r="B19" i="6"/>
  <c r="G45" i="8"/>
  <c r="G46" i="8" s="1"/>
  <c r="W8" i="6" s="1"/>
  <c r="Q8" i="6"/>
  <c r="J45" i="8" s="1"/>
  <c r="J46" i="8" s="1"/>
  <c r="Z8" i="6" s="1"/>
  <c r="AA8" i="6" s="1"/>
  <c r="C9" i="6" s="1"/>
  <c r="K8" i="6"/>
  <c r="E15" i="10"/>
  <c r="G15" i="10" s="1"/>
  <c r="F15" i="10"/>
  <c r="Q180" i="8"/>
  <c r="AC9" i="6" l="1"/>
  <c r="E9" i="6"/>
  <c r="H9" i="6" s="1"/>
  <c r="G9" i="6"/>
  <c r="I9" i="6" s="1"/>
  <c r="N9" i="6" s="1"/>
  <c r="A20" i="7"/>
  <c r="X20" i="6"/>
  <c r="T20" i="6"/>
  <c r="S20" i="6"/>
  <c r="U20" i="6"/>
  <c r="A21" i="6"/>
  <c r="V20" i="6"/>
  <c r="I188" i="8"/>
  <c r="I189" i="8" s="1"/>
  <c r="H15" i="10"/>
  <c r="C16" i="10" s="1"/>
  <c r="R180" i="8"/>
  <c r="Y20" i="6" s="1"/>
  <c r="H200" i="8"/>
  <c r="H201" i="8" s="1"/>
  <c r="A246" i="8"/>
  <c r="B19" i="7"/>
  <c r="B20" i="6"/>
  <c r="A21" i="7" l="1"/>
  <c r="A22" i="6"/>
  <c r="V21" i="6"/>
  <c r="U21" i="6"/>
  <c r="T21" i="6"/>
  <c r="S21" i="6"/>
  <c r="I200" i="8"/>
  <c r="I201" i="8" s="1"/>
  <c r="R192" i="8"/>
  <c r="Y21" i="6" s="1"/>
  <c r="Q192" i="8"/>
  <c r="X21" i="6" s="1"/>
  <c r="Q204" i="8"/>
  <c r="Q9" i="6"/>
  <c r="J57" i="8" s="1"/>
  <c r="J58" i="8" s="1"/>
  <c r="Z9" i="6" s="1"/>
  <c r="AA9" i="6" s="1"/>
  <c r="C10" i="6" s="1"/>
  <c r="K9" i="6"/>
  <c r="G57" i="8"/>
  <c r="G58" i="8" s="1"/>
  <c r="W9" i="6" s="1"/>
  <c r="B21" i="6"/>
  <c r="B20" i="7"/>
  <c r="F16" i="10"/>
  <c r="E16" i="10"/>
  <c r="G16" i="10" s="1"/>
  <c r="R204" i="8"/>
  <c r="J9" i="6"/>
  <c r="A258" i="8"/>
  <c r="E10" i="6" l="1"/>
  <c r="H10" i="6" s="1"/>
  <c r="G10" i="6"/>
  <c r="AC10" i="6"/>
  <c r="B21" i="7"/>
  <c r="B22" i="6"/>
  <c r="H16" i="10"/>
  <c r="C17" i="10" s="1"/>
  <c r="A22" i="7"/>
  <c r="X22" i="6"/>
  <c r="T22" i="6"/>
  <c r="S22" i="6"/>
  <c r="U22" i="6"/>
  <c r="A23" i="6"/>
  <c r="Y22" i="6"/>
  <c r="V22" i="6"/>
  <c r="H230" i="8"/>
  <c r="H231" i="8" s="1"/>
  <c r="H215" i="8"/>
  <c r="H216" i="8" s="1"/>
  <c r="I215" i="8"/>
  <c r="I216" i="8" s="1"/>
  <c r="A270" i="8"/>
  <c r="A24" i="6" l="1"/>
  <c r="V23" i="6"/>
  <c r="U23" i="6"/>
  <c r="A23" i="7"/>
  <c r="T23" i="6"/>
  <c r="S23" i="6"/>
  <c r="Q219" i="8"/>
  <c r="X23" i="6" s="1"/>
  <c r="I230" i="8"/>
  <c r="I231" i="8" s="1"/>
  <c r="R219" i="8"/>
  <c r="Y23" i="6" s="1"/>
  <c r="E17" i="10"/>
  <c r="G17" i="10" s="1"/>
  <c r="F17" i="10"/>
  <c r="I10" i="6"/>
  <c r="N10" i="6" s="1"/>
  <c r="A282" i="8"/>
  <c r="B22" i="7"/>
  <c r="B23" i="6"/>
  <c r="J10" i="6"/>
  <c r="A294" i="8" l="1"/>
  <c r="H17" i="10"/>
  <c r="C18" i="10" s="1"/>
  <c r="Q10" i="6"/>
  <c r="J69" i="8" s="1"/>
  <c r="J70" i="8" s="1"/>
  <c r="Z10" i="6" s="1"/>
  <c r="AA10" i="6" s="1"/>
  <c r="C11" i="6" s="1"/>
  <c r="K10" i="6"/>
  <c r="G69" i="8"/>
  <c r="G70" i="8" s="1"/>
  <c r="W10" i="6" s="1"/>
  <c r="R234" i="8"/>
  <c r="Y24" i="6" s="1"/>
  <c r="B23" i="7"/>
  <c r="B24" i="6"/>
  <c r="A24" i="7"/>
  <c r="T24" i="6"/>
  <c r="S24" i="6"/>
  <c r="U24" i="6"/>
  <c r="A25" i="6"/>
  <c r="V24" i="6"/>
  <c r="I242" i="8"/>
  <c r="I243" i="8" s="1"/>
  <c r="Q234" i="8"/>
  <c r="X24" i="6" s="1"/>
  <c r="H242" i="8"/>
  <c r="H243" i="8" s="1"/>
  <c r="G11" i="6" l="1"/>
  <c r="AC11" i="6"/>
  <c r="E11" i="6"/>
  <c r="H11" i="6" s="1"/>
  <c r="I254" i="8"/>
  <c r="I255" i="8" s="1"/>
  <c r="F18" i="10"/>
  <c r="E18" i="10"/>
  <c r="G18" i="10" s="1"/>
  <c r="H18" i="10" s="1"/>
  <c r="C19" i="10" s="1"/>
  <c r="B24" i="7"/>
  <c r="B25" i="6"/>
  <c r="A306" i="8"/>
  <c r="A25" i="7"/>
  <c r="S25" i="6"/>
  <c r="V25" i="6"/>
  <c r="A26" i="6"/>
  <c r="U25" i="6"/>
  <c r="T25" i="6"/>
  <c r="R246" i="8"/>
  <c r="Y25" i="6" s="1"/>
  <c r="H254" i="8"/>
  <c r="H255" i="8" s="1"/>
  <c r="Q246" i="8"/>
  <c r="X25" i="6" s="1"/>
  <c r="Q270" i="8" l="1"/>
  <c r="E19" i="10"/>
  <c r="G19" i="10" s="1"/>
  <c r="F19" i="10"/>
  <c r="I11" i="6"/>
  <c r="N11" i="6" s="1"/>
  <c r="H278" i="8"/>
  <c r="H279" i="8" s="1"/>
  <c r="B25" i="7"/>
  <c r="B26" i="6"/>
  <c r="R258" i="8"/>
  <c r="Y26" i="6" s="1"/>
  <c r="H266" i="8"/>
  <c r="H267" i="8" s="1"/>
  <c r="J11" i="6"/>
  <c r="V26" i="6"/>
  <c r="A27" i="6"/>
  <c r="U26" i="6"/>
  <c r="A26" i="7"/>
  <c r="T26" i="6"/>
  <c r="S26" i="6"/>
  <c r="Q258" i="8"/>
  <c r="X26" i="6" s="1"/>
  <c r="A320" i="8"/>
  <c r="I266" i="8"/>
  <c r="I267" i="8" s="1"/>
  <c r="A332" i="8" l="1"/>
  <c r="B27" i="6"/>
  <c r="B26" i="7"/>
  <c r="A27" i="7"/>
  <c r="A28" i="6"/>
  <c r="U27" i="6"/>
  <c r="T27" i="6"/>
  <c r="X27" i="6"/>
  <c r="V27" i="6"/>
  <c r="S27" i="6"/>
  <c r="R270" i="8"/>
  <c r="Y27" i="6" s="1"/>
  <c r="Q11" i="6"/>
  <c r="J81" i="8" s="1"/>
  <c r="J82" i="8" s="1"/>
  <c r="Z11" i="6" s="1"/>
  <c r="AA11" i="6" s="1"/>
  <c r="C12" i="6" s="1"/>
  <c r="K11" i="6"/>
  <c r="G81" i="8"/>
  <c r="G82" i="8" s="1"/>
  <c r="W11" i="6" s="1"/>
  <c r="I278" i="8"/>
  <c r="I279" i="8" s="1"/>
  <c r="R282" i="8"/>
  <c r="Q282" i="8"/>
  <c r="H19" i="10"/>
  <c r="C20" i="10" s="1"/>
  <c r="A344" i="8" l="1"/>
  <c r="E12" i="6"/>
  <c r="H12" i="6" s="1"/>
  <c r="AC12" i="6"/>
  <c r="G12" i="6"/>
  <c r="B27" i="7"/>
  <c r="B28" i="6"/>
  <c r="F20" i="10"/>
  <c r="E20" i="10"/>
  <c r="G20" i="10" s="1"/>
  <c r="A28" i="7"/>
  <c r="X28" i="6"/>
  <c r="T28" i="6"/>
  <c r="S28" i="6"/>
  <c r="Y28" i="6"/>
  <c r="A29" i="6"/>
  <c r="V28" i="6"/>
  <c r="U28" i="6"/>
  <c r="I302" i="8"/>
  <c r="I303" i="8" s="1"/>
  <c r="H290" i="8"/>
  <c r="H291" i="8" s="1"/>
  <c r="R294" i="8"/>
  <c r="H302" i="8"/>
  <c r="H303" i="8" s="1"/>
  <c r="I290" i="8"/>
  <c r="I291" i="8" s="1"/>
  <c r="Q294" i="8"/>
  <c r="I12" i="6" l="1"/>
  <c r="N12" i="6" s="1"/>
  <c r="K12" i="6" s="1"/>
  <c r="H20" i="10"/>
  <c r="C21" i="10" s="1"/>
  <c r="B28" i="7"/>
  <c r="B29" i="6"/>
  <c r="J12" i="6"/>
  <c r="P85" i="8"/>
  <c r="T85" i="8" s="1"/>
  <c r="W12" i="6" s="1"/>
  <c r="S29" i="6"/>
  <c r="V29" i="6"/>
  <c r="A29" i="7"/>
  <c r="A30" i="6"/>
  <c r="U29" i="6"/>
  <c r="T29" i="6"/>
  <c r="Y29" i="6"/>
  <c r="X29" i="6"/>
  <c r="A356" i="8"/>
  <c r="G93" i="8" l="1"/>
  <c r="G94" i="8" s="1"/>
  <c r="Q12" i="6"/>
  <c r="J93" i="8" s="1"/>
  <c r="J94" i="8" s="1"/>
  <c r="B29" i="7"/>
  <c r="B30" i="6"/>
  <c r="A368" i="8"/>
  <c r="A30" i="7"/>
  <c r="V30" i="6"/>
  <c r="A31" i="6"/>
  <c r="U30" i="6"/>
  <c r="T30" i="6"/>
  <c r="S30" i="6"/>
  <c r="H316" i="8"/>
  <c r="H317" i="8" s="1"/>
  <c r="Q320" i="8"/>
  <c r="R320" i="8"/>
  <c r="Q306" i="8"/>
  <c r="X30" i="6" s="1"/>
  <c r="I328" i="8"/>
  <c r="I329" i="8" s="1"/>
  <c r="R306" i="8"/>
  <c r="Y30" i="6" s="1"/>
  <c r="I316" i="8"/>
  <c r="I317" i="8" s="1"/>
  <c r="H328" i="8"/>
  <c r="H329" i="8" s="1"/>
  <c r="E21" i="10"/>
  <c r="G21" i="10" s="1"/>
  <c r="H21" i="10" s="1"/>
  <c r="F21" i="10"/>
  <c r="C22" i="10"/>
  <c r="A32" i="6" l="1"/>
  <c r="Y31" i="6"/>
  <c r="U31" i="6"/>
  <c r="T31" i="6"/>
  <c r="A31" i="7"/>
  <c r="X31" i="6"/>
  <c r="V31" i="6"/>
  <c r="S31" i="6"/>
  <c r="H340" i="8"/>
  <c r="H341" i="8" s="1"/>
  <c r="A380" i="8"/>
  <c r="E22" i="10"/>
  <c r="G22" i="10" s="1"/>
  <c r="F22" i="10"/>
  <c r="B30" i="7"/>
  <c r="B31" i="6"/>
  <c r="H22" i="10" l="1"/>
  <c r="C23" i="10" s="1"/>
  <c r="A392" i="8"/>
  <c r="B31" i="7"/>
  <c r="B32" i="6"/>
  <c r="T32" i="6"/>
  <c r="A32" i="7"/>
  <c r="S32" i="6"/>
  <c r="U32" i="6"/>
  <c r="A33" i="6"/>
  <c r="V32" i="6"/>
  <c r="R332" i="8"/>
  <c r="Y32" i="6" s="1"/>
  <c r="I340" i="8"/>
  <c r="I341" i="8" s="1"/>
  <c r="Q332" i="8"/>
  <c r="X32" i="6" s="1"/>
  <c r="B32" i="7" l="1"/>
  <c r="B33" i="6"/>
  <c r="A404" i="8"/>
  <c r="S33" i="6"/>
  <c r="V33" i="6"/>
  <c r="A33" i="7"/>
  <c r="A34" i="6"/>
  <c r="I364" i="8" s="1"/>
  <c r="I365" i="8" s="1"/>
  <c r="U33" i="6"/>
  <c r="T33" i="6"/>
  <c r="R344" i="8"/>
  <c r="Y33" i="6" s="1"/>
  <c r="H352" i="8"/>
  <c r="H353" i="8" s="1"/>
  <c r="I352" i="8"/>
  <c r="I353" i="8" s="1"/>
  <c r="R356" i="8"/>
  <c r="Q344" i="8"/>
  <c r="X33" i="6" s="1"/>
  <c r="Q356" i="8"/>
  <c r="E23" i="10"/>
  <c r="G23" i="10" s="1"/>
  <c r="H23" i="10" s="1"/>
  <c r="C24" i="10" s="1"/>
  <c r="F23" i="10"/>
  <c r="F24" i="10" l="1"/>
  <c r="E24" i="10"/>
  <c r="G24" i="10" s="1"/>
  <c r="A416" i="8"/>
  <c r="A34" i="7"/>
  <c r="V34" i="6"/>
  <c r="Y34" i="6"/>
  <c r="U34" i="6"/>
  <c r="A35" i="6"/>
  <c r="X34" i="6"/>
  <c r="T34" i="6"/>
  <c r="S34" i="6"/>
  <c r="H364" i="8"/>
  <c r="H365" i="8" s="1"/>
  <c r="B34" i="6"/>
  <c r="B33" i="7"/>
  <c r="B34" i="7" l="1"/>
  <c r="B35" i="6"/>
  <c r="A36" i="6"/>
  <c r="U35" i="6"/>
  <c r="A35" i="7"/>
  <c r="T35" i="6"/>
  <c r="V35" i="6"/>
  <c r="S35" i="6"/>
  <c r="Q368" i="8"/>
  <c r="X35" i="6" s="1"/>
  <c r="R368" i="8"/>
  <c r="Y35" i="6" s="1"/>
  <c r="R380" i="8"/>
  <c r="Q380" i="8"/>
  <c r="H376" i="8"/>
  <c r="H377" i="8" s="1"/>
  <c r="I376" i="8"/>
  <c r="I377" i="8" s="1"/>
  <c r="I388" i="8"/>
  <c r="I389" i="8" s="1"/>
  <c r="H24" i="10"/>
  <c r="C25" i="10" s="1"/>
  <c r="A428" i="8"/>
  <c r="E25" i="10" l="1"/>
  <c r="G25" i="10" s="1"/>
  <c r="H25" i="10" s="1"/>
  <c r="C26" i="10" s="1"/>
  <c r="F25" i="10"/>
  <c r="A36" i="7"/>
  <c r="X36" i="6"/>
  <c r="T36" i="6"/>
  <c r="S36" i="6"/>
  <c r="Y36" i="6"/>
  <c r="A37" i="6"/>
  <c r="V36" i="6"/>
  <c r="U36" i="6"/>
  <c r="Q392" i="8"/>
  <c r="H388" i="8"/>
  <c r="H389" i="8" s="1"/>
  <c r="A440" i="8"/>
  <c r="B35" i="7"/>
  <c r="B36" i="6"/>
  <c r="E26" i="10" l="1"/>
  <c r="G26" i="10" s="1"/>
  <c r="H26" i="10" s="1"/>
  <c r="C27" i="10" s="1"/>
  <c r="F26" i="10"/>
  <c r="B37" i="6"/>
  <c r="B36" i="7"/>
  <c r="A452" i="8"/>
  <c r="A37" i="7"/>
  <c r="S37" i="6"/>
  <c r="V37" i="6"/>
  <c r="A38" i="6"/>
  <c r="U37" i="6"/>
  <c r="T37" i="6"/>
  <c r="X37" i="6"/>
  <c r="R392" i="8"/>
  <c r="Y37" i="6" s="1"/>
  <c r="H412" i="8"/>
  <c r="H413" i="8" s="1"/>
  <c r="I400" i="8"/>
  <c r="I401" i="8" s="1"/>
  <c r="H400" i="8"/>
  <c r="H401" i="8" s="1"/>
  <c r="E27" i="10" l="1"/>
  <c r="G27" i="10" s="1"/>
  <c r="H27" i="10" s="1"/>
  <c r="C28" i="10" s="1"/>
  <c r="F27" i="10"/>
  <c r="A38" i="7"/>
  <c r="V38" i="6"/>
  <c r="A39" i="6"/>
  <c r="U38" i="6"/>
  <c r="T38" i="6"/>
  <c r="S38" i="6"/>
  <c r="A464" i="8"/>
  <c r="B37" i="7"/>
  <c r="B38" i="6"/>
  <c r="H424" i="8"/>
  <c r="H425" i="8" s="1"/>
  <c r="Q416" i="8"/>
  <c r="Q404" i="8"/>
  <c r="X38" i="6" s="1"/>
  <c r="R404" i="8"/>
  <c r="Y38" i="6" s="1"/>
  <c r="I412" i="8"/>
  <c r="I413" i="8" s="1"/>
  <c r="E28" i="10" l="1"/>
  <c r="G28" i="10" s="1"/>
  <c r="H28" i="10" s="1"/>
  <c r="C29" i="10" s="1"/>
  <c r="F28" i="10"/>
  <c r="A476" i="8"/>
  <c r="A39" i="7"/>
  <c r="A40" i="6"/>
  <c r="U39" i="6"/>
  <c r="T39" i="6"/>
  <c r="X39" i="6"/>
  <c r="V39" i="6"/>
  <c r="S39" i="6"/>
  <c r="I424" i="8"/>
  <c r="I425" i="8" s="1"/>
  <c r="R416" i="8"/>
  <c r="Y39" i="6" s="1"/>
  <c r="B39" i="6"/>
  <c r="B38" i="7"/>
  <c r="E29" i="10" l="1"/>
  <c r="G29" i="10" s="1"/>
  <c r="H29" i="10" s="1"/>
  <c r="C30" i="10" s="1"/>
  <c r="F29" i="10"/>
  <c r="A488" i="8"/>
  <c r="B39" i="7"/>
  <c r="B40" i="6"/>
  <c r="T40" i="6"/>
  <c r="A40" i="7"/>
  <c r="S40" i="6"/>
  <c r="U40" i="6"/>
  <c r="V40" i="6"/>
  <c r="A41" i="6"/>
  <c r="H436" i="8"/>
  <c r="H437" i="8" s="1"/>
  <c r="Q428" i="8"/>
  <c r="X40" i="6" s="1"/>
  <c r="I436" i="8"/>
  <c r="I437" i="8" s="1"/>
  <c r="R428" i="8"/>
  <c r="Y40" i="6" s="1"/>
  <c r="H448" i="8"/>
  <c r="H449" i="8" s="1"/>
  <c r="E30" i="10" l="1"/>
  <c r="G30" i="10" s="1"/>
  <c r="H30" i="10" s="1"/>
  <c r="C31" i="10" s="1"/>
  <c r="F30" i="10"/>
  <c r="A500" i="8"/>
  <c r="S41" i="6"/>
  <c r="V41" i="6"/>
  <c r="A41" i="7"/>
  <c r="X41" i="6"/>
  <c r="A42" i="6"/>
  <c r="U41" i="6"/>
  <c r="T41" i="6"/>
  <c r="I448" i="8"/>
  <c r="I449" i="8" s="1"/>
  <c r="H460" i="8"/>
  <c r="H461" i="8" s="1"/>
  <c r="Q452" i="8"/>
  <c r="Q440" i="8"/>
  <c r="B40" i="7"/>
  <c r="B41" i="6"/>
  <c r="R440" i="8"/>
  <c r="Y41" i="6" s="1"/>
  <c r="E31" i="10" l="1"/>
  <c r="G31" i="10" s="1"/>
  <c r="F31" i="10"/>
  <c r="B41" i="7"/>
  <c r="B42" i="6"/>
  <c r="A42" i="7"/>
  <c r="V42" i="6"/>
  <c r="U42" i="6"/>
  <c r="A43" i="6"/>
  <c r="X42" i="6"/>
  <c r="T42" i="6"/>
  <c r="S42" i="6"/>
  <c r="R452" i="8"/>
  <c r="Y42" i="6" s="1"/>
  <c r="I460" i="8"/>
  <c r="I461" i="8" s="1"/>
  <c r="A512" i="8"/>
  <c r="A524" i="8" l="1"/>
  <c r="A44" i="6"/>
  <c r="U43" i="6"/>
  <c r="A43" i="7"/>
  <c r="T43" i="6"/>
  <c r="V43" i="6"/>
  <c r="S43" i="6"/>
  <c r="I472" i="8"/>
  <c r="I473" i="8" s="1"/>
  <c r="H484" i="8"/>
  <c r="H485" i="8" s="1"/>
  <c r="R464" i="8"/>
  <c r="Y43" i="6" s="1"/>
  <c r="R476" i="8"/>
  <c r="Q464" i="8"/>
  <c r="X43" i="6" s="1"/>
  <c r="H472" i="8"/>
  <c r="H473" i="8" s="1"/>
  <c r="I484" i="8"/>
  <c r="I485" i="8" s="1"/>
  <c r="B42" i="7"/>
  <c r="B43" i="6"/>
  <c r="H31" i="10"/>
  <c r="C32" i="10" s="1"/>
  <c r="B43" i="7" l="1"/>
  <c r="B44" i="6"/>
  <c r="A536" i="8"/>
  <c r="E32" i="10"/>
  <c r="G32" i="10" s="1"/>
  <c r="H32" i="10" s="1"/>
  <c r="C33" i="10"/>
  <c r="F32" i="10"/>
  <c r="A44" i="7"/>
  <c r="T44" i="6"/>
  <c r="S44" i="6"/>
  <c r="Y44" i="6"/>
  <c r="A45" i="6"/>
  <c r="V44" i="6"/>
  <c r="U44" i="6"/>
  <c r="R488" i="8"/>
  <c r="Q476" i="8"/>
  <c r="X44" i="6" s="1"/>
  <c r="E33" i="10" l="1"/>
  <c r="G33" i="10" s="1"/>
  <c r="F33" i="10"/>
  <c r="A548" i="8"/>
  <c r="Q488" i="8"/>
  <c r="X45" i="6" s="1"/>
  <c r="I496" i="8"/>
  <c r="I497" i="8" s="1"/>
  <c r="B44" i="7"/>
  <c r="B45" i="6"/>
  <c r="A45" i="7"/>
  <c r="S45" i="6"/>
  <c r="V45" i="6"/>
  <c r="A46" i="6"/>
  <c r="U45" i="6"/>
  <c r="T45" i="6"/>
  <c r="Y45" i="6"/>
  <c r="H496" i="8"/>
  <c r="H497" i="8" s="1"/>
  <c r="H508" i="8"/>
  <c r="H509" i="8" s="1"/>
  <c r="I508" i="8"/>
  <c r="I509" i="8" s="1"/>
  <c r="Q500" i="8"/>
  <c r="A46" i="7" l="1"/>
  <c r="V46" i="6"/>
  <c r="A47" i="6"/>
  <c r="U46" i="6"/>
  <c r="T46" i="6"/>
  <c r="S46" i="6"/>
  <c r="X46" i="6"/>
  <c r="R500" i="8"/>
  <c r="Y46" i="6" s="1"/>
  <c r="I520" i="8"/>
  <c r="I521" i="8" s="1"/>
  <c r="A560" i="8"/>
  <c r="R512" i="8"/>
  <c r="H33" i="10"/>
  <c r="C34" i="10" s="1"/>
  <c r="B45" i="7"/>
  <c r="B46" i="6"/>
  <c r="A47" i="7" l="1"/>
  <c r="A48" i="6"/>
  <c r="Y47" i="6"/>
  <c r="U47" i="6"/>
  <c r="T47" i="6"/>
  <c r="V47" i="6"/>
  <c r="S47" i="6"/>
  <c r="H520" i="8"/>
  <c r="H521" i="8" s="1"/>
  <c r="Q512" i="8"/>
  <c r="X47" i="6" s="1"/>
  <c r="Q524" i="8"/>
  <c r="E34" i="10"/>
  <c r="G34" i="10" s="1"/>
  <c r="F34" i="10"/>
  <c r="B47" i="6"/>
  <c r="B46" i="7"/>
  <c r="A572" i="8"/>
  <c r="I532" i="8"/>
  <c r="I533" i="8" s="1"/>
  <c r="A584" i="8" l="1"/>
  <c r="B47" i="7"/>
  <c r="B48" i="6"/>
  <c r="H34" i="10"/>
  <c r="C35" i="10" s="1"/>
  <c r="X48" i="6"/>
  <c r="T48" i="6"/>
  <c r="A48" i="7"/>
  <c r="S48" i="6"/>
  <c r="U48" i="6"/>
  <c r="A49" i="6"/>
  <c r="V48" i="6"/>
  <c r="H532" i="8"/>
  <c r="H533" i="8" s="1"/>
  <c r="R524" i="8"/>
  <c r="Y48" i="6" s="1"/>
  <c r="R536" i="8"/>
  <c r="B48" i="7" l="1"/>
  <c r="B49" i="6"/>
  <c r="R548" i="8"/>
  <c r="E35" i="10"/>
  <c r="G35" i="10" s="1"/>
  <c r="H35" i="10" s="1"/>
  <c r="C36" i="10" s="1"/>
  <c r="F35" i="10"/>
  <c r="H556" i="8"/>
  <c r="H557" i="8" s="1"/>
  <c r="S49" i="6"/>
  <c r="V49" i="6"/>
  <c r="Y49" i="6"/>
  <c r="A49" i="7"/>
  <c r="A50" i="6"/>
  <c r="U49" i="6"/>
  <c r="T49" i="6"/>
  <c r="I544" i="8"/>
  <c r="I545" i="8" s="1"/>
  <c r="Q536" i="8"/>
  <c r="X49" i="6" s="1"/>
  <c r="Q548" i="8"/>
  <c r="H544" i="8"/>
  <c r="H545" i="8" s="1"/>
  <c r="A596" i="8"/>
  <c r="E36" i="10" l="1"/>
  <c r="G36" i="10" s="1"/>
  <c r="F36" i="10"/>
  <c r="A608" i="8"/>
  <c r="B50" i="6"/>
  <c r="B49" i="7"/>
  <c r="A50" i="7"/>
  <c r="V50" i="6"/>
  <c r="A51" i="6"/>
  <c r="U50" i="6"/>
  <c r="Y50" i="6"/>
  <c r="X50" i="6"/>
  <c r="T50" i="6"/>
  <c r="S50" i="6"/>
  <c r="I556" i="8"/>
  <c r="I557" i="8" s="1"/>
  <c r="A620" i="8" l="1"/>
  <c r="A52" i="6"/>
  <c r="U51" i="6"/>
  <c r="A51" i="7"/>
  <c r="T51" i="6"/>
  <c r="V51" i="6"/>
  <c r="S51" i="6"/>
  <c r="Q560" i="8"/>
  <c r="X51" i="6" s="1"/>
  <c r="I568" i="8"/>
  <c r="I569" i="8" s="1"/>
  <c r="Q572" i="8"/>
  <c r="H568" i="8"/>
  <c r="H569" i="8" s="1"/>
  <c r="H580" i="8"/>
  <c r="H581" i="8" s="1"/>
  <c r="R560" i="8"/>
  <c r="Y51" i="6" s="1"/>
  <c r="I580" i="8"/>
  <c r="I581" i="8" s="1"/>
  <c r="B50" i="7"/>
  <c r="B51" i="6"/>
  <c r="H36" i="10"/>
  <c r="C37" i="10" s="1"/>
  <c r="E37" i="10" l="1"/>
  <c r="G37" i="10" s="1"/>
  <c r="H37" i="10" s="1"/>
  <c r="C38" i="10" s="1"/>
  <c r="F37" i="10"/>
  <c r="A632" i="8"/>
  <c r="A52" i="7"/>
  <c r="X52" i="6"/>
  <c r="T52" i="6"/>
  <c r="S52" i="6"/>
  <c r="A53" i="6"/>
  <c r="V52" i="6"/>
  <c r="U52" i="6"/>
  <c r="R572" i="8"/>
  <c r="Y52" i="6" s="1"/>
  <c r="B51" i="7"/>
  <c r="B52" i="6"/>
  <c r="E38" i="10" l="1"/>
  <c r="G38" i="10" s="1"/>
  <c r="F38" i="10"/>
  <c r="B53" i="6"/>
  <c r="B52" i="7"/>
  <c r="A53" i="7"/>
  <c r="S53" i="6"/>
  <c r="V53" i="6"/>
  <c r="A54" i="6"/>
  <c r="U53" i="6"/>
  <c r="T53" i="6"/>
  <c r="Y53" i="6"/>
  <c r="Q584" i="8"/>
  <c r="X53" i="6" s="1"/>
  <c r="R584" i="8"/>
  <c r="I592" i="8"/>
  <c r="I593" i="8" s="1"/>
  <c r="H592" i="8"/>
  <c r="H593" i="8" s="1"/>
  <c r="I604" i="8"/>
  <c r="I605" i="8" s="1"/>
  <c r="Q596" i="8"/>
  <c r="A644" i="8"/>
  <c r="A656" i="8" l="1"/>
  <c r="B53" i="7"/>
  <c r="B54" i="6"/>
  <c r="A54" i="7"/>
  <c r="V54" i="6"/>
  <c r="U54" i="6"/>
  <c r="A55" i="6"/>
  <c r="T54" i="6"/>
  <c r="S54" i="6"/>
  <c r="X54" i="6"/>
  <c r="H604" i="8"/>
  <c r="H605" i="8" s="1"/>
  <c r="R596" i="8"/>
  <c r="Y54" i="6" s="1"/>
  <c r="I616" i="8"/>
  <c r="I617" i="8" s="1"/>
  <c r="H38" i="10"/>
  <c r="C39" i="10" s="1"/>
  <c r="E39" i="10" l="1"/>
  <c r="G39" i="10" s="1"/>
  <c r="H39" i="10" s="1"/>
  <c r="F39" i="10"/>
  <c r="C40" i="10"/>
  <c r="B55" i="6"/>
  <c r="B54" i="7"/>
  <c r="A668" i="8"/>
  <c r="A55" i="7"/>
  <c r="A56" i="6"/>
  <c r="U55" i="6"/>
  <c r="T55" i="6"/>
  <c r="V55" i="6"/>
  <c r="S55" i="6"/>
  <c r="Q608" i="8"/>
  <c r="X55" i="6" s="1"/>
  <c r="H616" i="8"/>
  <c r="H617" i="8" s="1"/>
  <c r="R608" i="8"/>
  <c r="Y55" i="6" s="1"/>
  <c r="Q632" i="8" l="1"/>
  <c r="B55" i="7"/>
  <c r="B56" i="6"/>
  <c r="H640" i="8"/>
  <c r="H641" i="8" s="1"/>
  <c r="A680" i="8"/>
  <c r="T56" i="6"/>
  <c r="A56" i="7"/>
  <c r="S56" i="6"/>
  <c r="U56" i="6"/>
  <c r="A57" i="6"/>
  <c r="V56" i="6"/>
  <c r="Q620" i="8"/>
  <c r="X56" i="6" s="1"/>
  <c r="R620" i="8"/>
  <c r="Y56" i="6" s="1"/>
  <c r="H628" i="8"/>
  <c r="H629" i="8" s="1"/>
  <c r="E40" i="10"/>
  <c r="G40" i="10" s="1"/>
  <c r="F40" i="10"/>
  <c r="R632" i="8"/>
  <c r="B56" i="7" l="1"/>
  <c r="B57" i="6"/>
  <c r="H40" i="10"/>
  <c r="C41" i="10" s="1"/>
  <c r="S57" i="6"/>
  <c r="V57" i="6"/>
  <c r="A57" i="7"/>
  <c r="Y57" i="6"/>
  <c r="X57" i="6"/>
  <c r="A58" i="6"/>
  <c r="U57" i="6"/>
  <c r="T57" i="6"/>
  <c r="I640" i="8"/>
  <c r="I641" i="8" s="1"/>
  <c r="A692" i="8"/>
  <c r="H652" i="8"/>
  <c r="H653" i="8" s="1"/>
  <c r="A58" i="7" l="1"/>
  <c r="V58" i="6"/>
  <c r="A59" i="6"/>
  <c r="U58" i="6"/>
  <c r="T58" i="6"/>
  <c r="S58" i="6"/>
  <c r="Q644" i="8"/>
  <c r="X58" i="6" s="1"/>
  <c r="I664" i="8"/>
  <c r="I665" i="8" s="1"/>
  <c r="R644" i="8"/>
  <c r="Y58" i="6" s="1"/>
  <c r="I652" i="8"/>
  <c r="I653" i="8" s="1"/>
  <c r="E41" i="10"/>
  <c r="G41" i="10" s="1"/>
  <c r="F41" i="10"/>
  <c r="A704" i="8"/>
  <c r="R656" i="8"/>
  <c r="B58" i="6"/>
  <c r="B57" i="7"/>
  <c r="A60" i="6" l="1"/>
  <c r="Y59" i="6"/>
  <c r="U59" i="6"/>
  <c r="A59" i="7"/>
  <c r="T59" i="6"/>
  <c r="V59" i="6"/>
  <c r="S59" i="6"/>
  <c r="H676" i="8"/>
  <c r="H677" i="8" s="1"/>
  <c r="H664" i="8"/>
  <c r="H665" i="8" s="1"/>
  <c r="Q668" i="8"/>
  <c r="R668" i="8"/>
  <c r="I676" i="8"/>
  <c r="I677" i="8" s="1"/>
  <c r="Q656" i="8"/>
  <c r="X59" i="6" s="1"/>
  <c r="H41" i="10"/>
  <c r="C42" i="10" s="1"/>
  <c r="B58" i="7"/>
  <c r="B59" i="6"/>
  <c r="A716" i="8"/>
  <c r="E42" i="10" l="1"/>
  <c r="G42" i="10" s="1"/>
  <c r="H42" i="10" s="1"/>
  <c r="C43" i="10" s="1"/>
  <c r="F42" i="10"/>
  <c r="B59" i="7"/>
  <c r="B60" i="6"/>
  <c r="A728" i="8"/>
  <c r="A60" i="7"/>
  <c r="X60" i="6"/>
  <c r="T60" i="6"/>
  <c r="S60" i="6"/>
  <c r="Y60" i="6"/>
  <c r="A61" i="6"/>
  <c r="V60" i="6"/>
  <c r="U60" i="6"/>
  <c r="E43" i="10" l="1"/>
  <c r="G43" i="10" s="1"/>
  <c r="F43" i="10"/>
  <c r="A740" i="8"/>
  <c r="A61" i="7"/>
  <c r="S61" i="6"/>
  <c r="V61" i="6"/>
  <c r="A62" i="6"/>
  <c r="U61" i="6"/>
  <c r="T61" i="6"/>
  <c r="R680" i="8"/>
  <c r="Y61" i="6" s="1"/>
  <c r="Q692" i="8"/>
  <c r="R692" i="8"/>
  <c r="I688" i="8"/>
  <c r="I689" i="8" s="1"/>
  <c r="H688" i="8"/>
  <c r="H689" i="8" s="1"/>
  <c r="Q680" i="8"/>
  <c r="X61" i="6" s="1"/>
  <c r="B60" i="7"/>
  <c r="B61" i="6"/>
  <c r="A752" i="8" l="1"/>
  <c r="B61" i="7"/>
  <c r="B62" i="6"/>
  <c r="A62" i="7"/>
  <c r="V62" i="6"/>
  <c r="A63" i="6"/>
  <c r="U62" i="6"/>
  <c r="Y62" i="6"/>
  <c r="T62" i="6"/>
  <c r="S62" i="6"/>
  <c r="X62" i="6"/>
  <c r="I700" i="8"/>
  <c r="I701" i="8" s="1"/>
  <c r="H700" i="8"/>
  <c r="H701" i="8" s="1"/>
  <c r="H43" i="10"/>
  <c r="C44" i="10" s="1"/>
  <c r="A764" i="8" l="1"/>
  <c r="A63" i="7"/>
  <c r="A64" i="6"/>
  <c r="U63" i="6"/>
  <c r="T63" i="6"/>
  <c r="V63" i="6"/>
  <c r="S63" i="6"/>
  <c r="I712" i="8"/>
  <c r="I713" i="8" s="1"/>
  <c r="Q704" i="8"/>
  <c r="X63" i="6" s="1"/>
  <c r="R704" i="8"/>
  <c r="Y63" i="6" s="1"/>
  <c r="H712" i="8"/>
  <c r="H713" i="8" s="1"/>
  <c r="R716" i="8"/>
  <c r="B63" i="6"/>
  <c r="B62" i="7"/>
  <c r="E44" i="10"/>
  <c r="G44" i="10" s="1"/>
  <c r="F44" i="10"/>
  <c r="T64" i="6" l="1"/>
  <c r="S64" i="6"/>
  <c r="A64" i="7"/>
  <c r="U64" i="6"/>
  <c r="Y64" i="6"/>
  <c r="A65" i="6"/>
  <c r="V64" i="6"/>
  <c r="Q716" i="8"/>
  <c r="X64" i="6" s="1"/>
  <c r="H724" i="8"/>
  <c r="H725" i="8" s="1"/>
  <c r="Q728" i="8"/>
  <c r="R728" i="8"/>
  <c r="I724" i="8"/>
  <c r="I725" i="8" s="1"/>
  <c r="A776" i="8"/>
  <c r="H44" i="10"/>
  <c r="C45" i="10" s="1"/>
  <c r="B63" i="7"/>
  <c r="B64" i="6"/>
  <c r="B64" i="7" l="1"/>
  <c r="B65" i="6"/>
  <c r="E45" i="10"/>
  <c r="G45" i="10" s="1"/>
  <c r="F45" i="10"/>
  <c r="A788" i="8"/>
  <c r="S65" i="6"/>
  <c r="V65" i="6"/>
  <c r="Y65" i="6"/>
  <c r="X65" i="6"/>
  <c r="A65" i="7"/>
  <c r="A66" i="6"/>
  <c r="U65" i="6"/>
  <c r="T65" i="6"/>
  <c r="H736" i="8"/>
  <c r="H737" i="8" s="1"/>
  <c r="R740" i="8"/>
  <c r="I736" i="8"/>
  <c r="I737" i="8" s="1"/>
  <c r="Q740" i="8"/>
  <c r="H45" i="10" l="1"/>
  <c r="C46" i="10" s="1"/>
  <c r="A66" i="7"/>
  <c r="V66" i="6"/>
  <c r="A67" i="6"/>
  <c r="U66" i="6"/>
  <c r="Y66" i="6"/>
  <c r="X66" i="6"/>
  <c r="T66" i="6"/>
  <c r="S66" i="6"/>
  <c r="H748" i="8"/>
  <c r="H749" i="8" s="1"/>
  <c r="I748" i="8"/>
  <c r="I749" i="8" s="1"/>
  <c r="I760" i="8"/>
  <c r="I761" i="8" s="1"/>
  <c r="B65" i="7"/>
  <c r="B66" i="6"/>
  <c r="A800" i="8"/>
  <c r="A68" i="6" l="1"/>
  <c r="U67" i="6"/>
  <c r="A67" i="7"/>
  <c r="T67" i="6"/>
  <c r="V67" i="6"/>
  <c r="S67" i="6"/>
  <c r="R752" i="8"/>
  <c r="Y67" i="6" s="1"/>
  <c r="H760" i="8"/>
  <c r="H761" i="8" s="1"/>
  <c r="Q752" i="8"/>
  <c r="X67" i="6" s="1"/>
  <c r="E46" i="10"/>
  <c r="G46" i="10" s="1"/>
  <c r="H46" i="10" s="1"/>
  <c r="C47" i="10" s="1"/>
  <c r="F46" i="10"/>
  <c r="A812" i="8"/>
  <c r="B66" i="7"/>
  <c r="B67" i="6"/>
  <c r="E47" i="10" l="1"/>
  <c r="G47" i="10" s="1"/>
  <c r="H47" i="10" s="1"/>
  <c r="C48" i="10" s="1"/>
  <c r="F47" i="10"/>
  <c r="B67" i="7"/>
  <c r="B68" i="6"/>
  <c r="A824" i="8"/>
  <c r="A68" i="7"/>
  <c r="T68" i="6"/>
  <c r="S68" i="6"/>
  <c r="A69" i="6"/>
  <c r="V68" i="6"/>
  <c r="U68" i="6"/>
  <c r="R776" i="8"/>
  <c r="H772" i="8"/>
  <c r="H773" i="8" s="1"/>
  <c r="R764" i="8"/>
  <c r="Y68" i="6" s="1"/>
  <c r="Q776" i="8"/>
  <c r="I772" i="8"/>
  <c r="I773" i="8" s="1"/>
  <c r="Q764" i="8"/>
  <c r="X68" i="6" s="1"/>
  <c r="E48" i="10" l="1"/>
  <c r="G48" i="10" s="1"/>
  <c r="H48" i="10" s="1"/>
  <c r="C49" i="10" s="1"/>
  <c r="F48" i="10"/>
  <c r="A836" i="8"/>
  <c r="I784" i="8"/>
  <c r="I785" i="8" s="1"/>
  <c r="A69" i="7"/>
  <c r="S69" i="6"/>
  <c r="V69" i="6"/>
  <c r="A70" i="6"/>
  <c r="U69" i="6"/>
  <c r="T69" i="6"/>
  <c r="Y69" i="6"/>
  <c r="X69" i="6"/>
  <c r="H784" i="8"/>
  <c r="H785" i="8" s="1"/>
  <c r="B69" i="6"/>
  <c r="B68" i="7"/>
  <c r="E49" i="10" l="1"/>
  <c r="G49" i="10" s="1"/>
  <c r="F49" i="10"/>
  <c r="A70" i="7"/>
  <c r="V70" i="6"/>
  <c r="A71" i="6"/>
  <c r="U70" i="6"/>
  <c r="T70" i="6"/>
  <c r="S70" i="6"/>
  <c r="I796" i="8"/>
  <c r="I797" i="8" s="1"/>
  <c r="H796" i="8"/>
  <c r="H797" i="8" s="1"/>
  <c r="R788" i="8"/>
  <c r="Y70" i="6" s="1"/>
  <c r="Q788" i="8"/>
  <c r="X70" i="6" s="1"/>
  <c r="B69" i="7"/>
  <c r="B70" i="6"/>
  <c r="A848" i="8"/>
  <c r="A71" i="7" l="1"/>
  <c r="A72" i="6"/>
  <c r="R812" i="8" s="1"/>
  <c r="U71" i="6"/>
  <c r="T71" i="6"/>
  <c r="V71" i="6"/>
  <c r="S71" i="6"/>
  <c r="Q800" i="8"/>
  <c r="X71" i="6" s="1"/>
  <c r="H808" i="8"/>
  <c r="H809" i="8" s="1"/>
  <c r="R800" i="8"/>
  <c r="Y71" i="6" s="1"/>
  <c r="I808" i="8"/>
  <c r="I809" i="8" s="1"/>
  <c r="B71" i="6"/>
  <c r="B70" i="7"/>
  <c r="H49" i="10"/>
  <c r="C50" i="10" s="1"/>
  <c r="A860" i="8"/>
  <c r="Q812" i="8"/>
  <c r="H820" i="8"/>
  <c r="H821" i="8" s="1"/>
  <c r="B71" i="7" l="1"/>
  <c r="B72" i="6"/>
  <c r="E50" i="10"/>
  <c r="G50" i="10" s="1"/>
  <c r="F50" i="10"/>
  <c r="X72" i="6"/>
  <c r="T72" i="6"/>
  <c r="A72" i="7"/>
  <c r="S72" i="6"/>
  <c r="U72" i="6"/>
  <c r="Y72" i="6"/>
  <c r="A73" i="6"/>
  <c r="V72" i="6"/>
  <c r="H832" i="8"/>
  <c r="H833" i="8" s="1"/>
  <c r="A872" i="8"/>
  <c r="I832" i="8"/>
  <c r="I833" i="8" s="1"/>
  <c r="I820" i="8"/>
  <c r="I821" i="8" s="1"/>
  <c r="H50" i="10" l="1"/>
  <c r="C51" i="10" s="1"/>
  <c r="A884" i="8"/>
  <c r="S73" i="6"/>
  <c r="V73" i="6"/>
  <c r="A73" i="7"/>
  <c r="A74" i="6"/>
  <c r="U73" i="6"/>
  <c r="T73" i="6"/>
  <c r="R824" i="8"/>
  <c r="Y73" i="6" s="1"/>
  <c r="Q836" i="8"/>
  <c r="B72" i="7"/>
  <c r="B73" i="6"/>
  <c r="Q824" i="8"/>
  <c r="X73" i="6" s="1"/>
  <c r="A896" i="8" l="1"/>
  <c r="B73" i="7"/>
  <c r="B74" i="6"/>
  <c r="A74" i="7"/>
  <c r="A75" i="6"/>
  <c r="U74" i="6"/>
  <c r="T74" i="6"/>
  <c r="X74" i="6"/>
  <c r="S74" i="6"/>
  <c r="V74" i="6"/>
  <c r="H844" i="8"/>
  <c r="H845" i="8" s="1"/>
  <c r="Q848" i="8"/>
  <c r="R836" i="8"/>
  <c r="Y74" i="6" s="1"/>
  <c r="I856" i="8"/>
  <c r="I857" i="8" s="1"/>
  <c r="I844" i="8"/>
  <c r="I845" i="8" s="1"/>
  <c r="H856" i="8"/>
  <c r="H857" i="8" s="1"/>
  <c r="E51" i="10"/>
  <c r="G51" i="10" s="1"/>
  <c r="H51" i="10" s="1"/>
  <c r="F51" i="10"/>
  <c r="C52" i="10"/>
  <c r="X75" i="6" l="1"/>
  <c r="T75" i="6"/>
  <c r="U75" i="6"/>
  <c r="A76" i="6"/>
  <c r="S75" i="6"/>
  <c r="A75" i="7"/>
  <c r="V75" i="6"/>
  <c r="R848" i="8"/>
  <c r="Y75" i="6" s="1"/>
  <c r="A908" i="8"/>
  <c r="E52" i="10"/>
  <c r="G52" i="10" s="1"/>
  <c r="F52" i="10"/>
  <c r="B74" i="7"/>
  <c r="B75" i="6"/>
  <c r="S76" i="6" l="1"/>
  <c r="A76" i="7"/>
  <c r="U76" i="6"/>
  <c r="T76" i="6"/>
  <c r="V76" i="6"/>
  <c r="A77" i="6"/>
  <c r="R860" i="8"/>
  <c r="Y76" i="6" s="1"/>
  <c r="Q860" i="8"/>
  <c r="X76" i="6" s="1"/>
  <c r="Q872" i="8"/>
  <c r="H868" i="8"/>
  <c r="H869" i="8" s="1"/>
  <c r="I868" i="8"/>
  <c r="I869" i="8" s="1"/>
  <c r="A920" i="8"/>
  <c r="B75" i="7"/>
  <c r="B76" i="6"/>
  <c r="H52" i="10"/>
  <c r="C53" i="10" s="1"/>
  <c r="H880" i="8" l="1"/>
  <c r="H881" i="8" s="1"/>
  <c r="E53" i="10"/>
  <c r="G53" i="10" s="1"/>
  <c r="F53" i="10"/>
  <c r="B77" i="6"/>
  <c r="B76" i="7"/>
  <c r="A932" i="8"/>
  <c r="V77" i="6"/>
  <c r="A77" i="7"/>
  <c r="U77" i="6"/>
  <c r="S77" i="6"/>
  <c r="X77" i="6"/>
  <c r="A78" i="6"/>
  <c r="T77" i="6"/>
  <c r="I880" i="8"/>
  <c r="I881" i="8" s="1"/>
  <c r="R872" i="8"/>
  <c r="Y77" i="6" s="1"/>
  <c r="A944" i="8" l="1"/>
  <c r="I904" i="8"/>
  <c r="I905" i="8" s="1"/>
  <c r="H53" i="10"/>
  <c r="C54" i="10" s="1"/>
  <c r="B78" i="6"/>
  <c r="B77" i="7"/>
  <c r="A78" i="7"/>
  <c r="A79" i="6"/>
  <c r="U78" i="6"/>
  <c r="S78" i="6"/>
  <c r="V78" i="6"/>
  <c r="T78" i="6"/>
  <c r="R884" i="8"/>
  <c r="Y78" i="6" s="1"/>
  <c r="I892" i="8"/>
  <c r="I893" i="8" s="1"/>
  <c r="Q884" i="8"/>
  <c r="X78" i="6" s="1"/>
  <c r="H892" i="8"/>
  <c r="H893" i="8" s="1"/>
  <c r="E54" i="10" l="1"/>
  <c r="G54" i="10" s="1"/>
  <c r="H54" i="10" s="1"/>
  <c r="F54" i="10"/>
  <c r="C55" i="10"/>
  <c r="B79" i="6"/>
  <c r="B78" i="7"/>
  <c r="A956" i="8"/>
  <c r="T79" i="6"/>
  <c r="A79" i="7"/>
  <c r="A80" i="6"/>
  <c r="S79" i="6"/>
  <c r="V79" i="6"/>
  <c r="U79" i="6"/>
  <c r="H904" i="8"/>
  <c r="H905" i="8" s="1"/>
  <c r="R896" i="8"/>
  <c r="Y79" i="6" s="1"/>
  <c r="Q896" i="8"/>
  <c r="X79" i="6" s="1"/>
  <c r="S80" i="6" l="1"/>
  <c r="T80" i="6"/>
  <c r="A80" i="7"/>
  <c r="A81" i="6"/>
  <c r="R920" i="8" s="1"/>
  <c r="V80" i="6"/>
  <c r="U80" i="6"/>
  <c r="I916" i="8"/>
  <c r="I917" i="8" s="1"/>
  <c r="H916" i="8"/>
  <c r="H917" i="8" s="1"/>
  <c r="Q908" i="8"/>
  <c r="X80" i="6" s="1"/>
  <c r="R908" i="8"/>
  <c r="Y80" i="6" s="1"/>
  <c r="A968" i="8"/>
  <c r="E55" i="10"/>
  <c r="G55" i="10" s="1"/>
  <c r="H55" i="10" s="1"/>
  <c r="C56" i="10" s="1"/>
  <c r="F55" i="10"/>
  <c r="Q920" i="8"/>
  <c r="B79" i="7"/>
  <c r="B80" i="6"/>
  <c r="C57" i="10" l="1"/>
  <c r="E56" i="10"/>
  <c r="G56" i="10" s="1"/>
  <c r="H56" i="10" s="1"/>
  <c r="F56" i="10"/>
  <c r="I928" i="8"/>
  <c r="I929" i="8" s="1"/>
  <c r="B80" i="7"/>
  <c r="B81" i="6"/>
  <c r="V81" i="6"/>
  <c r="U81" i="6"/>
  <c r="Y81" i="6"/>
  <c r="T81" i="6"/>
  <c r="A82" i="6"/>
  <c r="S81" i="6"/>
  <c r="A81" i="7"/>
  <c r="X81" i="6"/>
  <c r="A980" i="8"/>
  <c r="H928" i="8"/>
  <c r="H929" i="8" s="1"/>
  <c r="A992" i="8" l="1"/>
  <c r="Q932" i="8"/>
  <c r="X82" i="6" s="1"/>
  <c r="A82" i="7"/>
  <c r="A83" i="6"/>
  <c r="U82" i="6"/>
  <c r="V82" i="6"/>
  <c r="T82" i="6"/>
  <c r="S82" i="6"/>
  <c r="H952" i="8"/>
  <c r="H953" i="8" s="1"/>
  <c r="I952" i="8"/>
  <c r="I953" i="8" s="1"/>
  <c r="R944" i="8"/>
  <c r="H940" i="8"/>
  <c r="H941" i="8" s="1"/>
  <c r="R932" i="8"/>
  <c r="Y82" i="6" s="1"/>
  <c r="I940" i="8"/>
  <c r="I941" i="8" s="1"/>
  <c r="B82" i="6"/>
  <c r="B81" i="7"/>
  <c r="E57" i="10"/>
  <c r="G57" i="10" s="1"/>
  <c r="F57" i="10"/>
  <c r="A1004" i="8" l="1"/>
  <c r="H57" i="10"/>
  <c r="C58" i="10" s="1"/>
  <c r="B82" i="7"/>
  <c r="B83" i="6"/>
  <c r="T83" i="6"/>
  <c r="A83" i="7"/>
  <c r="V83" i="6"/>
  <c r="S83" i="6"/>
  <c r="Y83" i="6"/>
  <c r="A84" i="6"/>
  <c r="U83" i="6"/>
  <c r="R956" i="8"/>
  <c r="Q956" i="8"/>
  <c r="B83" i="7" l="1"/>
  <c r="B84" i="6"/>
  <c r="S84" i="6"/>
  <c r="A84" i="7"/>
  <c r="A85" i="6"/>
  <c r="X84" i="6"/>
  <c r="V84" i="6"/>
  <c r="U84" i="6"/>
  <c r="T84" i="6"/>
  <c r="Y84" i="6"/>
  <c r="R968" i="8"/>
  <c r="I964" i="8"/>
  <c r="I965" i="8" s="1"/>
  <c r="Q968" i="8"/>
  <c r="H964" i="8"/>
  <c r="H965" i="8" s="1"/>
  <c r="A1016" i="8"/>
  <c r="H976" i="8"/>
  <c r="H977" i="8" s="1"/>
  <c r="F58" i="10"/>
  <c r="E58" i="10"/>
  <c r="G58" i="10" s="1"/>
  <c r="B85" i="6" l="1"/>
  <c r="B84" i="7"/>
  <c r="A1028" i="8"/>
  <c r="V85" i="6"/>
  <c r="U85" i="6"/>
  <c r="A85" i="7"/>
  <c r="Y85" i="6"/>
  <c r="T85" i="6"/>
  <c r="A86" i="6"/>
  <c r="X85" i="6"/>
  <c r="S85" i="6"/>
  <c r="I976" i="8"/>
  <c r="I977" i="8" s="1"/>
  <c r="H58" i="10"/>
  <c r="C59" i="10" s="1"/>
  <c r="R980" i="8"/>
  <c r="A1040" i="8" l="1"/>
  <c r="A86" i="7"/>
  <c r="A87" i="6"/>
  <c r="Y86" i="6"/>
  <c r="U86" i="6"/>
  <c r="V86" i="6"/>
  <c r="T86" i="6"/>
  <c r="S86" i="6"/>
  <c r="Q980" i="8"/>
  <c r="X86" i="6" s="1"/>
  <c r="I1000" i="8"/>
  <c r="I1001" i="8" s="1"/>
  <c r="H988" i="8"/>
  <c r="H989" i="8" s="1"/>
  <c r="I988" i="8"/>
  <c r="I989" i="8" s="1"/>
  <c r="Q992" i="8"/>
  <c r="E59" i="10"/>
  <c r="G59" i="10" s="1"/>
  <c r="F59" i="10"/>
  <c r="B86" i="6"/>
  <c r="B85" i="7"/>
  <c r="R992" i="8"/>
  <c r="H59" i="10" l="1"/>
  <c r="C60" i="10" s="1"/>
  <c r="X87" i="6"/>
  <c r="T87" i="6"/>
  <c r="A87" i="7"/>
  <c r="V87" i="6"/>
  <c r="U87" i="6"/>
  <c r="A88" i="6"/>
  <c r="Y87" i="6"/>
  <c r="S87" i="6"/>
  <c r="H1000" i="8"/>
  <c r="H1001" i="8" s="1"/>
  <c r="A1052" i="8"/>
  <c r="B86" i="7"/>
  <c r="B87" i="6"/>
  <c r="B87" i="7" l="1"/>
  <c r="B88" i="6"/>
  <c r="A1064" i="8"/>
  <c r="S88" i="6"/>
  <c r="A89" i="6"/>
  <c r="V88" i="6"/>
  <c r="A88" i="7"/>
  <c r="U88" i="6"/>
  <c r="T88" i="6"/>
  <c r="H1012" i="8"/>
  <c r="H1013" i="8" s="1"/>
  <c r="Q1004" i="8"/>
  <c r="X88" i="6" s="1"/>
  <c r="I1012" i="8"/>
  <c r="I1013" i="8" s="1"/>
  <c r="Q1016" i="8"/>
  <c r="H1024" i="8"/>
  <c r="H1025" i="8" s="1"/>
  <c r="I1024" i="8"/>
  <c r="I1025" i="8" s="1"/>
  <c r="R1004" i="8"/>
  <c r="Y88" i="6" s="1"/>
  <c r="R1016" i="8"/>
  <c r="E60" i="10"/>
  <c r="G60" i="10" s="1"/>
  <c r="F60" i="10"/>
  <c r="A1076" i="8" l="1"/>
  <c r="H60" i="10"/>
  <c r="C61" i="10" s="1"/>
  <c r="V89" i="6"/>
  <c r="Y89" i="6"/>
  <c r="T89" i="6"/>
  <c r="A90" i="6"/>
  <c r="X89" i="6"/>
  <c r="S89" i="6"/>
  <c r="A89" i="7"/>
  <c r="U89" i="6"/>
  <c r="R1028" i="8"/>
  <c r="B88" i="7"/>
  <c r="B89" i="6"/>
  <c r="A1088" i="8" l="1"/>
  <c r="E61" i="10"/>
  <c r="G61" i="10" s="1"/>
  <c r="H61" i="10" s="1"/>
  <c r="C62" i="10" s="1"/>
  <c r="F61" i="10"/>
  <c r="A90" i="7"/>
  <c r="A91" i="6"/>
  <c r="Y90" i="6"/>
  <c r="U90" i="6"/>
  <c r="V90" i="6"/>
  <c r="T90" i="6"/>
  <c r="S90" i="6"/>
  <c r="Q1028" i="8"/>
  <c r="X90" i="6" s="1"/>
  <c r="I1036" i="8"/>
  <c r="I1037" i="8" s="1"/>
  <c r="H1048" i="8"/>
  <c r="H1049" i="8" s="1"/>
  <c r="R1040" i="8"/>
  <c r="I1048" i="8"/>
  <c r="I1049" i="8" s="1"/>
  <c r="B90" i="6"/>
  <c r="B89" i="7"/>
  <c r="Q1040" i="8"/>
  <c r="H1036" i="8"/>
  <c r="H1037" i="8" s="1"/>
  <c r="F62" i="10" l="1"/>
  <c r="E62" i="10"/>
  <c r="G62" i="10" s="1"/>
  <c r="H62" i="10" s="1"/>
  <c r="C63" i="10" s="1"/>
  <c r="A1100" i="8"/>
  <c r="B90" i="7"/>
  <c r="B91" i="6"/>
  <c r="X91" i="6"/>
  <c r="T91" i="6"/>
  <c r="V91" i="6"/>
  <c r="U91" i="6"/>
  <c r="A91" i="7"/>
  <c r="A92" i="6"/>
  <c r="Y91" i="6"/>
  <c r="S91" i="6"/>
  <c r="H1060" i="8"/>
  <c r="H1061" i="8" s="1"/>
  <c r="E63" i="10" l="1"/>
  <c r="G63" i="10" s="1"/>
  <c r="H63" i="10" s="1"/>
  <c r="F63" i="10"/>
  <c r="C64" i="10"/>
  <c r="A1112" i="8"/>
  <c r="S92" i="6"/>
  <c r="A92" i="7"/>
  <c r="V92" i="6"/>
  <c r="U92" i="6"/>
  <c r="T92" i="6"/>
  <c r="A93" i="6"/>
  <c r="I1060" i="8"/>
  <c r="I1061" i="8" s="1"/>
  <c r="Q1052" i="8"/>
  <c r="X92" i="6" s="1"/>
  <c r="R1064" i="8"/>
  <c r="R1052" i="8"/>
  <c r="Y92" i="6" s="1"/>
  <c r="B91" i="7"/>
  <c r="B92" i="6"/>
  <c r="E64" i="10" l="1"/>
  <c r="G64" i="10" s="1"/>
  <c r="H64" i="10" s="1"/>
  <c r="C65" i="10" s="1"/>
  <c r="F64" i="10"/>
  <c r="A1124" i="8"/>
  <c r="B93" i="6"/>
  <c r="B92" i="7"/>
  <c r="V93" i="6"/>
  <c r="A94" i="6"/>
  <c r="S93" i="6"/>
  <c r="A93" i="7"/>
  <c r="U93" i="6"/>
  <c r="Y93" i="6"/>
  <c r="T93" i="6"/>
  <c r="R1076" i="8"/>
  <c r="Q1064" i="8"/>
  <c r="X93" i="6" s="1"/>
  <c r="H1072" i="8"/>
  <c r="H1073" i="8" s="1"/>
  <c r="I1072" i="8"/>
  <c r="I1073" i="8" s="1"/>
  <c r="Q1076" i="8"/>
  <c r="E65" i="10" l="1"/>
  <c r="G65" i="10" s="1"/>
  <c r="F65" i="10"/>
  <c r="A94" i="7"/>
  <c r="A95" i="6"/>
  <c r="Y94" i="6"/>
  <c r="U94" i="6"/>
  <c r="T94" i="6"/>
  <c r="X94" i="6"/>
  <c r="S94" i="6"/>
  <c r="V94" i="6"/>
  <c r="H1096" i="8"/>
  <c r="H1097" i="8" s="1"/>
  <c r="H1084" i="8"/>
  <c r="H1085" i="8" s="1"/>
  <c r="I1096" i="8"/>
  <c r="I1097" i="8" s="1"/>
  <c r="Q1088" i="8"/>
  <c r="B94" i="6"/>
  <c r="B93" i="7"/>
  <c r="R1088" i="8"/>
  <c r="I1084" i="8"/>
  <c r="I1085" i="8" s="1"/>
  <c r="A1136" i="8"/>
  <c r="A1148" i="8" l="1"/>
  <c r="B95" i="6"/>
  <c r="B94" i="7"/>
  <c r="X95" i="6"/>
  <c r="T95" i="6"/>
  <c r="A95" i="7"/>
  <c r="U95" i="6"/>
  <c r="A96" i="6"/>
  <c r="Y95" i="6"/>
  <c r="S95" i="6"/>
  <c r="V95" i="6"/>
  <c r="H65" i="10"/>
  <c r="C66" i="10" s="1"/>
  <c r="B95" i="7" l="1"/>
  <c r="B96" i="6"/>
  <c r="F66" i="10"/>
  <c r="E66" i="10"/>
  <c r="G66" i="10" s="1"/>
  <c r="H66" i="10" s="1"/>
  <c r="C67" i="10"/>
  <c r="S96" i="6"/>
  <c r="U96" i="6"/>
  <c r="T96" i="6"/>
  <c r="A97" i="6"/>
  <c r="A96" i="7"/>
  <c r="V96" i="6"/>
  <c r="I1120" i="8"/>
  <c r="I1121" i="8" s="1"/>
  <c r="Q1100" i="8"/>
  <c r="X96" i="6" s="1"/>
  <c r="R1112" i="8"/>
  <c r="H1108" i="8"/>
  <c r="H1109" i="8" s="1"/>
  <c r="R1100" i="8"/>
  <c r="Y96" i="6" s="1"/>
  <c r="I1108" i="8"/>
  <c r="I1109" i="8" s="1"/>
  <c r="A1160" i="8"/>
  <c r="E67" i="10" l="1"/>
  <c r="G67" i="10" s="1"/>
  <c r="F67" i="10"/>
  <c r="B96" i="7"/>
  <c r="B97" i="6"/>
  <c r="Q1112" i="8"/>
  <c r="H1120" i="8"/>
  <c r="H1121" i="8" s="1"/>
  <c r="V97" i="6"/>
  <c r="U97" i="6"/>
  <c r="Y97" i="6"/>
  <c r="T97" i="6"/>
  <c r="S97" i="6"/>
  <c r="A98" i="6"/>
  <c r="A97" i="7"/>
  <c r="X97" i="6"/>
  <c r="A1172" i="8"/>
  <c r="I1132" i="8"/>
  <c r="I1133" i="8" s="1"/>
  <c r="A1184" i="8" l="1"/>
  <c r="B98" i="6"/>
  <c r="B97" i="7"/>
  <c r="H67" i="10"/>
  <c r="C68" i="10" s="1"/>
  <c r="A98" i="7"/>
  <c r="A99" i="6"/>
  <c r="U98" i="6"/>
  <c r="S98" i="6"/>
  <c r="V98" i="6"/>
  <c r="T98" i="6"/>
  <c r="Q1124" i="8"/>
  <c r="X98" i="6" s="1"/>
  <c r="R1124" i="8"/>
  <c r="Y98" i="6" s="1"/>
  <c r="H1132" i="8"/>
  <c r="H1133" i="8" s="1"/>
  <c r="T99" i="6" l="1"/>
  <c r="A100" i="6"/>
  <c r="S99" i="6"/>
  <c r="A99" i="7"/>
  <c r="V99" i="6"/>
  <c r="U99" i="6"/>
  <c r="H1156" i="8"/>
  <c r="H1157" i="8" s="1"/>
  <c r="H1144" i="8"/>
  <c r="H1145" i="8" s="1"/>
  <c r="I1144" i="8"/>
  <c r="I1145" i="8" s="1"/>
  <c r="Q1136" i="8"/>
  <c r="X99" i="6" s="1"/>
  <c r="R1136" i="8"/>
  <c r="Y99" i="6" s="1"/>
  <c r="B98" i="7"/>
  <c r="B99" i="6"/>
  <c r="A1196" i="8"/>
  <c r="E68" i="10"/>
  <c r="G68" i="10" s="1"/>
  <c r="F68" i="10"/>
  <c r="A1208" i="8" l="1"/>
  <c r="S100" i="6"/>
  <c r="A100" i="7"/>
  <c r="T100" i="6"/>
  <c r="A101" i="6"/>
  <c r="V100" i="6"/>
  <c r="U100" i="6"/>
  <c r="I1156" i="8"/>
  <c r="I1157" i="8" s="1"/>
  <c r="R1148" i="8"/>
  <c r="Y100" i="6" s="1"/>
  <c r="Q1148" i="8"/>
  <c r="X100" i="6" s="1"/>
  <c r="H68" i="10"/>
  <c r="C69" i="10" s="1"/>
  <c r="B99" i="7"/>
  <c r="B100" i="6"/>
  <c r="V101" i="6" l="1"/>
  <c r="U101" i="6"/>
  <c r="A101" i="7"/>
  <c r="T101" i="6"/>
  <c r="A102" i="6"/>
  <c r="S101" i="6"/>
  <c r="R1160" i="8"/>
  <c r="Y101" i="6" s="1"/>
  <c r="H1168" i="8"/>
  <c r="H1169" i="8" s="1"/>
  <c r="I1168" i="8"/>
  <c r="I1169" i="8" s="1"/>
  <c r="Q1160" i="8"/>
  <c r="X101" i="6" s="1"/>
  <c r="I1180" i="8"/>
  <c r="I1181" i="8" s="1"/>
  <c r="Q1172" i="8"/>
  <c r="R1172" i="8"/>
  <c r="A1220" i="8"/>
  <c r="B101" i="6"/>
  <c r="B100" i="7"/>
  <c r="E69" i="10"/>
  <c r="G69" i="10" s="1"/>
  <c r="F69" i="10"/>
  <c r="A1232" i="8" l="1"/>
  <c r="A102" i="7"/>
  <c r="A103" i="6"/>
  <c r="Y102" i="6"/>
  <c r="U102" i="6"/>
  <c r="V102" i="6"/>
  <c r="T102" i="6"/>
  <c r="X102" i="6"/>
  <c r="S102" i="6"/>
  <c r="H1180" i="8"/>
  <c r="H1181" i="8" s="1"/>
  <c r="H69" i="10"/>
  <c r="C70" i="10" s="1"/>
  <c r="B102" i="6"/>
  <c r="B101" i="7"/>
  <c r="T103" i="6" l="1"/>
  <c r="A103" i="7"/>
  <c r="V103" i="6"/>
  <c r="U103" i="6"/>
  <c r="S103" i="6"/>
  <c r="A104" i="6"/>
  <c r="Q1184" i="8"/>
  <c r="X103" i="6" s="1"/>
  <c r="I1192" i="8"/>
  <c r="I1193" i="8" s="1"/>
  <c r="H1192" i="8"/>
  <c r="H1193" i="8" s="1"/>
  <c r="R1196" i="8"/>
  <c r="Q1196" i="8"/>
  <c r="R1184" i="8"/>
  <c r="Y103" i="6" s="1"/>
  <c r="I1204" i="8"/>
  <c r="I1205" i="8" s="1"/>
  <c r="H1204" i="8"/>
  <c r="H1205" i="8" s="1"/>
  <c r="A1244" i="8"/>
  <c r="B102" i="7"/>
  <c r="B103" i="6"/>
  <c r="F70" i="10"/>
  <c r="E70" i="10"/>
  <c r="G70" i="10" s="1"/>
  <c r="B103" i="7" l="1"/>
  <c r="B104" i="6"/>
  <c r="H70" i="10"/>
  <c r="C71" i="10" s="1"/>
  <c r="I1252" i="8"/>
  <c r="I1253" i="8" s="1"/>
  <c r="G1252" i="8"/>
  <c r="G1253" i="8" s="1"/>
  <c r="A1256" i="8"/>
  <c r="S104" i="6"/>
  <c r="A105" i="6"/>
  <c r="X104" i="6"/>
  <c r="V104" i="6"/>
  <c r="A104" i="7"/>
  <c r="U104" i="6"/>
  <c r="Y104" i="6"/>
  <c r="T104" i="6"/>
  <c r="I1228" i="8"/>
  <c r="I1229" i="8" s="1"/>
  <c r="H1228" i="8"/>
  <c r="H1229" i="8" s="1"/>
  <c r="J1228" i="8"/>
  <c r="J1229" i="8" s="1"/>
  <c r="V105" i="6" l="1"/>
  <c r="T105" i="6"/>
  <c r="A106" i="6"/>
  <c r="S105" i="6"/>
  <c r="A105" i="7"/>
  <c r="U105" i="6"/>
  <c r="I1240" i="8"/>
  <c r="I1241" i="8" s="1"/>
  <c r="H1216" i="8"/>
  <c r="H1217" i="8" s="1"/>
  <c r="G1228" i="8"/>
  <c r="G1229" i="8" s="1"/>
  <c r="I1216" i="8"/>
  <c r="I1217" i="8" s="1"/>
  <c r="G1240" i="8"/>
  <c r="G1241" i="8" s="1"/>
  <c r="Q1208" i="8"/>
  <c r="X105" i="6" s="1"/>
  <c r="J1240" i="8"/>
  <c r="J1241" i="8" s="1"/>
  <c r="H1240" i="8"/>
  <c r="H1241" i="8" s="1"/>
  <c r="R1208" i="8"/>
  <c r="Y105" i="6" s="1"/>
  <c r="J1252" i="8"/>
  <c r="J1253" i="8" s="1"/>
  <c r="E71" i="10"/>
  <c r="G71" i="10" s="1"/>
  <c r="F71" i="10"/>
  <c r="H1264" i="8"/>
  <c r="H1265" i="8" s="1"/>
  <c r="G1264" i="8"/>
  <c r="G1265" i="8" s="1"/>
  <c r="A1268" i="8"/>
  <c r="J1264" i="8"/>
  <c r="J1265" i="8" s="1"/>
  <c r="I1264" i="8"/>
  <c r="I1265" i="8" s="1"/>
  <c r="H1252" i="8"/>
  <c r="H1253" i="8" s="1"/>
  <c r="B104" i="7"/>
  <c r="B105" i="6"/>
  <c r="H71" i="10" l="1"/>
  <c r="C72" i="10" s="1"/>
  <c r="G1276" i="8"/>
  <c r="G1277" i="8" s="1"/>
  <c r="A1280" i="8"/>
  <c r="J1276" i="8"/>
  <c r="J1277" i="8" s="1"/>
  <c r="I1276" i="8"/>
  <c r="I1277" i="8" s="1"/>
  <c r="H1276" i="8"/>
  <c r="H1277" i="8" s="1"/>
  <c r="B106" i="6"/>
  <c r="B105" i="7"/>
  <c r="A106" i="7"/>
  <c r="A107" i="6"/>
  <c r="U106" i="6"/>
  <c r="V106" i="6"/>
  <c r="T106" i="6"/>
  <c r="S106" i="6"/>
  <c r="R1220" i="8"/>
  <c r="Y106" i="6" s="1"/>
  <c r="Q1220" i="8"/>
  <c r="X106" i="6" s="1"/>
  <c r="A1292" i="8" l="1"/>
  <c r="J1288" i="8"/>
  <c r="J1289" i="8" s="1"/>
  <c r="I1288" i="8"/>
  <c r="I1289" i="8" s="1"/>
  <c r="H1288" i="8"/>
  <c r="H1289" i="8" s="1"/>
  <c r="G1288" i="8"/>
  <c r="G1289" i="8" s="1"/>
  <c r="B106" i="7"/>
  <c r="B107" i="6"/>
  <c r="T107" i="6"/>
  <c r="V107" i="6"/>
  <c r="U107" i="6"/>
  <c r="A107" i="7"/>
  <c r="A108" i="6"/>
  <c r="S107" i="6"/>
  <c r="Q1232" i="8"/>
  <c r="X107" i="6" s="1"/>
  <c r="R1232" i="8"/>
  <c r="Y107" i="6" s="1"/>
  <c r="E72" i="10"/>
  <c r="G72" i="10" s="1"/>
  <c r="H72" i="10" s="1"/>
  <c r="C73" i="10" s="1"/>
  <c r="F72" i="10"/>
  <c r="E73" i="10" l="1"/>
  <c r="G73" i="10" s="1"/>
  <c r="H73" i="10" s="1"/>
  <c r="C74" i="10"/>
  <c r="F73" i="10"/>
  <c r="S108" i="6"/>
  <c r="A108" i="7"/>
  <c r="V108" i="6"/>
  <c r="U108" i="6"/>
  <c r="T108" i="6"/>
  <c r="A109" i="6"/>
  <c r="Q1244" i="8"/>
  <c r="X108" i="6" s="1"/>
  <c r="Q1256" i="8"/>
  <c r="I1300" i="8"/>
  <c r="I1301" i="8" s="1"/>
  <c r="H1300" i="8"/>
  <c r="H1301" i="8" s="1"/>
  <c r="G1300" i="8"/>
  <c r="G1301" i="8" s="1"/>
  <c r="J1300" i="8"/>
  <c r="J1301" i="8" s="1"/>
  <c r="R1244" i="8"/>
  <c r="Y108" i="6" s="1"/>
  <c r="B107" i="7"/>
  <c r="B108" i="6"/>
  <c r="V109" i="6" l="1"/>
  <c r="A110" i="6"/>
  <c r="X109" i="6"/>
  <c r="S109" i="6"/>
  <c r="A109" i="7"/>
  <c r="U109" i="6"/>
  <c r="T109" i="6"/>
  <c r="R1256" i="8"/>
  <c r="Y109" i="6" s="1"/>
  <c r="B109" i="6"/>
  <c r="B108" i="7"/>
  <c r="F74" i="10"/>
  <c r="E74" i="10"/>
  <c r="G74" i="10" s="1"/>
  <c r="H74" i="10" s="1"/>
  <c r="C75" i="10" s="1"/>
  <c r="E75" i="10" l="1"/>
  <c r="G75" i="10" s="1"/>
  <c r="H75" i="10" s="1"/>
  <c r="F75" i="10"/>
  <c r="C76" i="10"/>
  <c r="B110" i="6"/>
  <c r="B109" i="7"/>
  <c r="A110" i="7"/>
  <c r="A111" i="6"/>
  <c r="U110" i="6"/>
  <c r="T110" i="6"/>
  <c r="S110" i="6"/>
  <c r="V110" i="6"/>
  <c r="S1292" i="8"/>
  <c r="Q1280" i="8"/>
  <c r="R1268" i="8"/>
  <c r="Y110" i="6" s="1"/>
  <c r="Q1268" i="8"/>
  <c r="X110" i="6" s="1"/>
  <c r="B111" i="6" l="1"/>
  <c r="B111" i="7" s="1"/>
  <c r="B110" i="7"/>
  <c r="X111" i="6"/>
  <c r="T111" i="6"/>
  <c r="A111" i="7"/>
  <c r="U111" i="6"/>
  <c r="S111" i="6"/>
  <c r="V111" i="6"/>
  <c r="Q1292" i="8"/>
  <c r="P1292" i="8"/>
  <c r="R1292" i="8"/>
  <c r="F76" i="10"/>
  <c r="E76" i="10"/>
  <c r="G76" i="10" s="1"/>
  <c r="R1280" i="8"/>
  <c r="Y111" i="6" s="1"/>
  <c r="H76" i="10" l="1"/>
  <c r="C77" i="10" s="1"/>
  <c r="E77" i="10" l="1"/>
  <c r="G77" i="10" s="1"/>
  <c r="F77" i="10"/>
  <c r="H77" i="10" l="1"/>
  <c r="C78" i="10" s="1"/>
  <c r="F78" i="10" l="1"/>
  <c r="E78" i="10"/>
  <c r="G78" i="10" s="1"/>
  <c r="H78" i="10" s="1"/>
  <c r="C79" i="10" s="1"/>
  <c r="E79" i="10" l="1"/>
  <c r="G79" i="10" s="1"/>
  <c r="F79" i="10"/>
  <c r="H79" i="10" l="1"/>
  <c r="C80" i="10" s="1"/>
  <c r="E80" i="10" l="1"/>
  <c r="G80" i="10" s="1"/>
  <c r="F80" i="10"/>
  <c r="H80" i="10" l="1"/>
  <c r="C81" i="10" s="1"/>
  <c r="E81" i="10" l="1"/>
  <c r="G81" i="10" s="1"/>
  <c r="F81" i="10"/>
  <c r="H81" i="10" l="1"/>
  <c r="C82" i="10" s="1"/>
  <c r="F82" i="10" l="1"/>
  <c r="E82" i="10"/>
  <c r="G82" i="10" s="1"/>
  <c r="H82" i="10" l="1"/>
  <c r="C83" i="10" s="1"/>
  <c r="E83" i="10" l="1"/>
  <c r="G83" i="10" s="1"/>
  <c r="F83" i="10"/>
  <c r="H83" i="10" l="1"/>
  <c r="C84" i="10" s="1"/>
  <c r="F84" i="10" l="1"/>
  <c r="E84" i="10"/>
  <c r="G84" i="10" s="1"/>
  <c r="H84" i="10" s="1"/>
  <c r="C85" i="10" s="1"/>
  <c r="E85" i="10" l="1"/>
  <c r="G85" i="10" s="1"/>
  <c r="F85" i="10"/>
  <c r="H85" i="10" l="1"/>
  <c r="C86" i="10" s="1"/>
  <c r="F86" i="10" l="1"/>
  <c r="E86" i="10"/>
  <c r="G86" i="10" s="1"/>
  <c r="H86" i="10" l="1"/>
  <c r="C87" i="10" s="1"/>
  <c r="E87" i="10" l="1"/>
  <c r="G87" i="10" s="1"/>
  <c r="F87" i="10"/>
  <c r="H87" i="10" l="1"/>
  <c r="C88" i="10" s="1"/>
  <c r="E88" i="10" l="1"/>
  <c r="G88" i="10" s="1"/>
  <c r="H88" i="10" s="1"/>
  <c r="C89" i="10" s="1"/>
  <c r="F88" i="10"/>
  <c r="E89" i="10" l="1"/>
  <c r="G89" i="10" s="1"/>
  <c r="H89" i="10" s="1"/>
  <c r="C90" i="10"/>
  <c r="F89" i="10"/>
  <c r="F90" i="10" l="1"/>
  <c r="E90" i="10"/>
  <c r="G90" i="10" s="1"/>
  <c r="H90" i="10" s="1"/>
  <c r="C91" i="10" s="1"/>
  <c r="E91" i="10" l="1"/>
  <c r="G91" i="10" s="1"/>
  <c r="H91" i="10" s="1"/>
  <c r="C92" i="10" s="1"/>
  <c r="F91" i="10"/>
  <c r="F92" i="10" l="1"/>
  <c r="E92" i="10"/>
  <c r="G92" i="10" s="1"/>
  <c r="H92" i="10" s="1"/>
  <c r="C93" i="10" s="1"/>
  <c r="E93" i="10" l="1"/>
  <c r="G93" i="10" s="1"/>
  <c r="H93" i="10" s="1"/>
  <c r="C94" i="10" s="1"/>
  <c r="F93" i="10"/>
  <c r="F94" i="10" l="1"/>
  <c r="E94" i="10"/>
  <c r="G94" i="10" s="1"/>
  <c r="H94" i="10" s="1"/>
  <c r="C95" i="10" s="1"/>
  <c r="E95" i="10" l="1"/>
  <c r="G95" i="10" s="1"/>
  <c r="H95" i="10" s="1"/>
  <c r="C96" i="10" s="1"/>
  <c r="F95" i="10"/>
  <c r="F96" i="10" l="1"/>
  <c r="E96" i="10"/>
  <c r="G96" i="10" s="1"/>
  <c r="H96" i="10" s="1"/>
  <c r="C97" i="10" s="1"/>
  <c r="E97" i="10" l="1"/>
  <c r="G97" i="10" s="1"/>
  <c r="H97" i="10" s="1"/>
  <c r="C98" i="10" s="1"/>
  <c r="F97" i="10"/>
  <c r="F98" i="10" l="1"/>
  <c r="E98" i="10"/>
  <c r="G98" i="10" s="1"/>
  <c r="H98" i="10" s="1"/>
  <c r="C99" i="10" s="1"/>
  <c r="E99" i="10" l="1"/>
  <c r="G99" i="10" s="1"/>
  <c r="H99" i="10" s="1"/>
  <c r="C100" i="10" s="1"/>
  <c r="F99" i="10"/>
  <c r="E100" i="10" l="1"/>
  <c r="G100" i="10" s="1"/>
  <c r="H100" i="10" s="1"/>
  <c r="C101" i="10" s="1"/>
  <c r="F100" i="10"/>
  <c r="E101" i="10" l="1"/>
  <c r="G101" i="10" s="1"/>
  <c r="H101" i="10" s="1"/>
  <c r="C102" i="10" s="1"/>
  <c r="F101" i="10"/>
  <c r="F102" i="10" l="1"/>
  <c r="E102" i="10"/>
  <c r="G102" i="10" s="1"/>
  <c r="H102" i="10" s="1"/>
  <c r="C103" i="10" s="1"/>
  <c r="E103" i="10" l="1"/>
  <c r="G103" i="10" s="1"/>
  <c r="F103" i="10"/>
  <c r="H103" i="10" l="1"/>
  <c r="C104" i="10" s="1"/>
  <c r="E104" i="10" l="1"/>
  <c r="G104" i="10" s="1"/>
  <c r="H104" i="10" s="1"/>
  <c r="C105" i="10" s="1"/>
  <c r="F104" i="10"/>
  <c r="E105" i="10" l="1"/>
  <c r="G105" i="10" s="1"/>
  <c r="H105" i="10" s="1"/>
  <c r="C106" i="10" s="1"/>
  <c r="F105" i="10"/>
  <c r="F106" i="10" l="1"/>
  <c r="E106" i="10"/>
  <c r="G106" i="10" s="1"/>
  <c r="H106" i="10" s="1"/>
  <c r="C107" i="10" s="1"/>
  <c r="E107" i="10" l="1"/>
  <c r="G107" i="10" s="1"/>
  <c r="F107" i="10"/>
  <c r="H107" i="10" l="1"/>
  <c r="C108" i="10" s="1"/>
  <c r="E108" i="10" l="1"/>
  <c r="G108" i="10" s="1"/>
  <c r="F108" i="10"/>
  <c r="H108" i="10" l="1"/>
  <c r="C109" i="10" s="1"/>
  <c r="E109" i="10" l="1"/>
  <c r="G109" i="10" s="1"/>
  <c r="H109" i="10" s="1"/>
  <c r="C110" i="10"/>
  <c r="F109" i="10"/>
  <c r="E110" i="10" l="1"/>
  <c r="G110" i="10" s="1"/>
  <c r="H110" i="10" s="1"/>
  <c r="C111" i="10"/>
  <c r="F110" i="10"/>
  <c r="E111" i="10" l="1"/>
  <c r="G111" i="10" s="1"/>
  <c r="F111" i="10"/>
  <c r="H111" i="10" l="1"/>
  <c r="C112" i="10" s="1"/>
  <c r="F112" i="10" l="1"/>
  <c r="E112" i="10"/>
  <c r="G112" i="10" s="1"/>
  <c r="H112" i="10" s="1"/>
  <c r="C113" i="10" s="1"/>
  <c r="E113" i="10" l="1"/>
  <c r="G113" i="10" s="1"/>
  <c r="F113" i="10"/>
  <c r="H113" i="10" l="1"/>
  <c r="C114" i="10" s="1"/>
  <c r="F114" i="10" l="1"/>
  <c r="E114" i="10"/>
  <c r="G114" i="10" s="1"/>
  <c r="H114" i="10" s="1"/>
  <c r="C115" i="10" s="1"/>
  <c r="E115" i="10" l="1"/>
  <c r="G115" i="10" s="1"/>
  <c r="F115" i="10"/>
  <c r="H115" i="10" l="1"/>
  <c r="C116" i="10" s="1"/>
  <c r="E116" i="10" l="1"/>
  <c r="G116" i="10" s="1"/>
  <c r="H116" i="10" s="1"/>
  <c r="C117" i="10" s="1"/>
  <c r="F116" i="10"/>
  <c r="E117" i="10" l="1"/>
  <c r="G117" i="10" s="1"/>
  <c r="H117" i="10" s="1"/>
  <c r="C118" i="10" s="1"/>
  <c r="F117" i="10"/>
  <c r="F118" i="10" l="1"/>
  <c r="E118" i="10"/>
  <c r="G118" i="10" s="1"/>
  <c r="H118" i="10" s="1"/>
  <c r="C119" i="10" s="1"/>
  <c r="E119" i="10" l="1"/>
  <c r="G119" i="10" s="1"/>
  <c r="H119" i="10" s="1"/>
  <c r="C120" i="10" s="1"/>
  <c r="F119" i="10"/>
  <c r="F120" i="10" l="1"/>
  <c r="E120" i="10"/>
  <c r="G120" i="10" s="1"/>
  <c r="H120" i="10" s="1"/>
  <c r="C121" i="10" s="1"/>
  <c r="E121" i="10" l="1"/>
  <c r="G121" i="10" s="1"/>
  <c r="H121" i="10" s="1"/>
  <c r="C122" i="10" s="1"/>
  <c r="F121" i="10"/>
  <c r="F122" i="10" l="1"/>
  <c r="E122" i="10"/>
  <c r="G122" i="10" s="1"/>
  <c r="H122" i="10" l="1"/>
  <c r="C123" i="10" s="1"/>
  <c r="E123" i="10" l="1"/>
  <c r="G123" i="10" s="1"/>
  <c r="H123" i="10" s="1"/>
  <c r="C124" i="10" s="1"/>
  <c r="F123" i="10"/>
  <c r="E124" i="10" l="1"/>
  <c r="G124" i="10" s="1"/>
  <c r="H124" i="10" s="1"/>
  <c r="C125" i="10" s="1"/>
  <c r="F124" i="10"/>
  <c r="E125" i="10" l="1"/>
  <c r="G125" i="10" s="1"/>
  <c r="H125" i="10" s="1"/>
  <c r="C126" i="10" s="1"/>
  <c r="F125" i="10"/>
  <c r="F126" i="10" l="1"/>
  <c r="E126" i="10"/>
  <c r="G126" i="10" s="1"/>
  <c r="H126" i="10" s="1"/>
  <c r="C127" i="10" s="1"/>
  <c r="E127" i="10" l="1"/>
  <c r="G127" i="10" s="1"/>
  <c r="H127" i="10" s="1"/>
  <c r="C128" i="10" s="1"/>
  <c r="F127" i="10"/>
  <c r="E128" i="10" l="1"/>
  <c r="G128" i="10" s="1"/>
  <c r="H128" i="10" s="1"/>
  <c r="C129" i="10" s="1"/>
  <c r="F128" i="10"/>
  <c r="E129" i="10" l="1"/>
  <c r="G129" i="10" s="1"/>
  <c r="H129" i="10" s="1"/>
  <c r="C130" i="10" s="1"/>
  <c r="F129" i="10"/>
  <c r="F130" i="10" l="1"/>
  <c r="E130" i="10"/>
  <c r="G130" i="10" s="1"/>
  <c r="H130" i="10" l="1"/>
  <c r="C131" i="10" s="1"/>
  <c r="E131" i="10" l="1"/>
  <c r="G131" i="10" s="1"/>
  <c r="H131" i="10" s="1"/>
  <c r="C132" i="10" s="1"/>
  <c r="F131" i="10"/>
  <c r="F132" i="10" l="1"/>
  <c r="E132" i="10"/>
  <c r="G132" i="10" s="1"/>
  <c r="H132" i="10" l="1"/>
  <c r="C133" i="10" s="1"/>
  <c r="E133" i="10" l="1"/>
  <c r="G133" i="10" s="1"/>
  <c r="F133" i="10"/>
  <c r="H133" i="10" l="1"/>
  <c r="C134" i="10" s="1"/>
  <c r="E134" i="10" l="1"/>
  <c r="G134" i="10" s="1"/>
  <c r="F134" i="10"/>
  <c r="H134" i="10" l="1"/>
  <c r="C135" i="10" s="1"/>
  <c r="E135" i="10" l="1"/>
  <c r="G135" i="10" s="1"/>
  <c r="F135" i="10"/>
  <c r="H135" i="10" l="1"/>
  <c r="C136" i="10" s="1"/>
  <c r="F136" i="10" l="1"/>
  <c r="E136" i="10"/>
  <c r="G136" i="10" s="1"/>
  <c r="H136" i="10" s="1"/>
  <c r="C137" i="10" s="1"/>
  <c r="E137" i="10" l="1"/>
  <c r="G137" i="10" s="1"/>
  <c r="H137" i="10" s="1"/>
  <c r="C138" i="10" s="1"/>
  <c r="F137" i="10"/>
  <c r="F138" i="10" l="1"/>
  <c r="E138" i="10"/>
  <c r="G138" i="10" s="1"/>
  <c r="H138" i="10" s="1"/>
  <c r="C139" i="10" s="1"/>
  <c r="E139" i="10" l="1"/>
  <c r="G139" i="10" s="1"/>
  <c r="H139" i="10" s="1"/>
  <c r="C140" i="10" s="1"/>
  <c r="F139" i="10"/>
  <c r="F140" i="10" l="1"/>
  <c r="E140" i="10"/>
  <c r="G140" i="10" s="1"/>
  <c r="H140" i="10" l="1"/>
  <c r="C141" i="10" s="1"/>
  <c r="E141" i="10" l="1"/>
  <c r="G141" i="10" s="1"/>
  <c r="H141" i="10" s="1"/>
  <c r="C142" i="10" s="1"/>
  <c r="F141" i="10"/>
  <c r="E142" i="10" l="1"/>
  <c r="G142" i="10" s="1"/>
  <c r="H142" i="10" s="1"/>
  <c r="C143" i="10" s="1"/>
  <c r="F142" i="10"/>
  <c r="E143" i="10" l="1"/>
  <c r="G143" i="10" s="1"/>
  <c r="H143" i="10" s="1"/>
  <c r="C144" i="10" s="1"/>
  <c r="F143" i="10"/>
  <c r="F144" i="10" l="1"/>
  <c r="E144" i="10"/>
  <c r="G144" i="10" s="1"/>
  <c r="H144" i="10" s="1"/>
  <c r="C145" i="10" s="1"/>
  <c r="E145" i="10" l="1"/>
  <c r="G145" i="10" s="1"/>
  <c r="H145" i="10" s="1"/>
  <c r="C146" i="10" s="1"/>
  <c r="F145" i="10"/>
  <c r="F146" i="10" l="1"/>
  <c r="E146" i="10"/>
  <c r="G146" i="10" s="1"/>
  <c r="H146" i="10" l="1"/>
  <c r="C147" i="10" s="1"/>
  <c r="E147" i="10" l="1"/>
  <c r="G147" i="10" s="1"/>
  <c r="H147" i="10" s="1"/>
  <c r="C148" i="10" s="1"/>
  <c r="F147" i="10"/>
  <c r="F148" i="10" l="1"/>
  <c r="E148" i="10"/>
  <c r="G148" i="10" s="1"/>
  <c r="H148" i="10" l="1"/>
  <c r="C149" i="10" s="1"/>
  <c r="E149" i="10" l="1"/>
  <c r="G149" i="10" s="1"/>
  <c r="H149" i="10" s="1"/>
  <c r="C150" i="10" s="1"/>
  <c r="F149" i="10"/>
  <c r="E150" i="10" l="1"/>
  <c r="G150" i="10" s="1"/>
  <c r="H150" i="10" s="1"/>
  <c r="C151" i="10" s="1"/>
  <c r="F150" i="10"/>
  <c r="E151" i="10" l="1"/>
  <c r="G151" i="10" s="1"/>
  <c r="H151" i="10" s="1"/>
  <c r="C152" i="10" s="1"/>
  <c r="F151" i="10"/>
  <c r="F152" i="10" l="1"/>
  <c r="E152" i="10"/>
  <c r="G152" i="10" s="1"/>
  <c r="H152" i="10" l="1"/>
  <c r="C153" i="10" s="1"/>
  <c r="E153" i="10" l="1"/>
  <c r="G153" i="10" s="1"/>
  <c r="H153" i="10" s="1"/>
  <c r="C154" i="10" s="1"/>
  <c r="F153" i="10"/>
  <c r="F154" i="10" l="1"/>
  <c r="E154" i="10"/>
  <c r="G154" i="10" s="1"/>
  <c r="H154" i="10" l="1"/>
  <c r="C155" i="10" s="1"/>
  <c r="E155" i="10" l="1"/>
  <c r="G155" i="10" s="1"/>
  <c r="H155" i="10" s="1"/>
  <c r="C156" i="10" s="1"/>
  <c r="F155" i="10"/>
  <c r="F156" i="10" l="1"/>
  <c r="E156" i="10"/>
  <c r="G156" i="10" s="1"/>
  <c r="H156" i="10" l="1"/>
  <c r="C157" i="10" s="1"/>
  <c r="E157" i="10" l="1"/>
  <c r="G157" i="10" s="1"/>
  <c r="H157" i="10" s="1"/>
  <c r="C158" i="10" s="1"/>
  <c r="F157" i="10"/>
  <c r="E158" i="10" l="1"/>
  <c r="G158" i="10" s="1"/>
  <c r="F158" i="10"/>
  <c r="H158" i="10" l="1"/>
  <c r="C159" i="10" s="1"/>
  <c r="E159" i="10" l="1"/>
  <c r="G159" i="10" s="1"/>
  <c r="F159" i="10"/>
  <c r="H159" i="10" l="1"/>
  <c r="C160" i="10" s="1"/>
  <c r="F160" i="10" l="1"/>
  <c r="E160" i="10"/>
  <c r="G160" i="10" s="1"/>
  <c r="H160" i="10" s="1"/>
  <c r="C161" i="10" s="1"/>
  <c r="E161" i="10" l="1"/>
  <c r="G161" i="10" s="1"/>
  <c r="F161" i="10"/>
  <c r="H161" i="10" l="1"/>
  <c r="C162" i="10" s="1"/>
  <c r="F162" i="10" l="1"/>
  <c r="E162" i="10"/>
  <c r="G162" i="10" s="1"/>
  <c r="H162" i="10" l="1"/>
  <c r="C163" i="10" s="1"/>
  <c r="E163" i="10" l="1"/>
  <c r="G163" i="10" s="1"/>
  <c r="H163" i="10" s="1"/>
  <c r="C164" i="10" s="1"/>
  <c r="F163" i="10"/>
  <c r="F164" i="10" l="1"/>
  <c r="E164" i="10"/>
  <c r="G164" i="10" s="1"/>
  <c r="H164" i="10" s="1"/>
  <c r="C165" i="10" s="1"/>
  <c r="E165" i="10" l="1"/>
  <c r="G165" i="10" s="1"/>
  <c r="F165" i="10"/>
  <c r="H165" i="10" l="1"/>
  <c r="C166" i="10" s="1"/>
  <c r="E166" i="10" l="1"/>
  <c r="G166" i="10" s="1"/>
  <c r="H166" i="10" s="1"/>
  <c r="C167" i="10" s="1"/>
  <c r="F166" i="10"/>
  <c r="E167" i="10" l="1"/>
  <c r="G167" i="10" s="1"/>
  <c r="H167" i="10" s="1"/>
  <c r="C168" i="10" s="1"/>
  <c r="F167" i="10"/>
  <c r="F168" i="10" l="1"/>
  <c r="E168" i="10"/>
  <c r="G168" i="10" s="1"/>
  <c r="H168" i="10" l="1"/>
  <c r="C169" i="10" s="1"/>
  <c r="E169" i="10" l="1"/>
  <c r="G169" i="10" s="1"/>
  <c r="H169" i="10" s="1"/>
  <c r="C170" i="10" s="1"/>
  <c r="F169" i="10"/>
  <c r="F170" i="10" l="1"/>
  <c r="E170" i="10"/>
  <c r="G170" i="10" s="1"/>
  <c r="H170" i="10" l="1"/>
  <c r="C171" i="10" s="1"/>
  <c r="E171" i="10" l="1"/>
  <c r="G171" i="10" s="1"/>
  <c r="H171" i="10" s="1"/>
  <c r="C172" i="10" s="1"/>
  <c r="F171" i="10"/>
  <c r="F172" i="10" l="1"/>
  <c r="E172" i="10"/>
  <c r="G172" i="10" s="1"/>
  <c r="H172" i="10" l="1"/>
  <c r="C173" i="10" s="1"/>
  <c r="E173" i="10" l="1"/>
  <c r="G173" i="10" s="1"/>
  <c r="H173" i="10" s="1"/>
  <c r="C174" i="10" s="1"/>
  <c r="F173" i="10"/>
  <c r="E174" i="10" l="1"/>
  <c r="G174" i="10" s="1"/>
  <c r="H174" i="10" s="1"/>
  <c r="C175" i="10" s="1"/>
  <c r="F174" i="10"/>
  <c r="E175" i="10" l="1"/>
  <c r="G175" i="10" s="1"/>
  <c r="H175" i="10" s="1"/>
  <c r="C176" i="10" s="1"/>
  <c r="F175" i="10"/>
  <c r="F176" i="10" l="1"/>
  <c r="E176" i="10"/>
  <c r="G176" i="10" s="1"/>
  <c r="H176" i="10" s="1"/>
  <c r="C177" i="10" s="1"/>
  <c r="E177" i="10" l="1"/>
  <c r="G177" i="10" s="1"/>
  <c r="H177" i="10" s="1"/>
  <c r="C178" i="10" s="1"/>
  <c r="F177" i="10"/>
  <c r="F178" i="10" l="1"/>
  <c r="E178" i="10"/>
  <c r="G178" i="10" s="1"/>
  <c r="H178" i="10" l="1"/>
  <c r="C179" i="10" s="1"/>
  <c r="E179" i="10" l="1"/>
  <c r="G179" i="10" s="1"/>
  <c r="H179" i="10" s="1"/>
  <c r="C180" i="10" s="1"/>
  <c r="F179" i="10"/>
  <c r="F180" i="10" l="1"/>
  <c r="E180" i="10"/>
  <c r="G180" i="10" s="1"/>
  <c r="H180" i="10" l="1"/>
  <c r="C181" i="10" s="1"/>
  <c r="E181" i="10" l="1"/>
  <c r="G181" i="10" s="1"/>
  <c r="H181" i="10" s="1"/>
  <c r="C182" i="10" s="1"/>
  <c r="F181" i="10"/>
  <c r="E182" i="10" l="1"/>
  <c r="G182" i="10" s="1"/>
  <c r="H182" i="10" s="1"/>
  <c r="C183" i="10" s="1"/>
  <c r="F182" i="10"/>
  <c r="E183" i="10" l="1"/>
  <c r="G183" i="10" s="1"/>
  <c r="H183" i="10" s="1"/>
  <c r="C184" i="10" s="1"/>
  <c r="F183" i="10"/>
  <c r="F184" i="10" l="1"/>
  <c r="E184" i="10"/>
  <c r="G184" i="10" s="1"/>
  <c r="H184" i="10" l="1"/>
  <c r="C185" i="10" s="1"/>
  <c r="E185" i="10" l="1"/>
  <c r="G185" i="10" s="1"/>
  <c r="H185" i="10" s="1"/>
  <c r="C186" i="10" s="1"/>
  <c r="F185" i="10"/>
  <c r="F186" i="10" l="1"/>
  <c r="E186" i="10"/>
  <c r="G186" i="10" s="1"/>
  <c r="H186" i="10" l="1"/>
  <c r="C187" i="10" s="1"/>
  <c r="E187" i="10" l="1"/>
  <c r="G187" i="10" s="1"/>
  <c r="H187" i="10" s="1"/>
  <c r="C188" i="10" s="1"/>
  <c r="F187" i="10"/>
  <c r="F188" i="10" l="1"/>
  <c r="E188" i="10"/>
  <c r="G188" i="10" s="1"/>
  <c r="H188" i="10" l="1"/>
  <c r="C189" i="10" s="1"/>
  <c r="E189" i="10" l="1"/>
  <c r="G189" i="10" s="1"/>
  <c r="H189" i="10" s="1"/>
  <c r="C190" i="10" s="1"/>
  <c r="F189" i="10"/>
  <c r="E190" i="10" l="1"/>
  <c r="G190" i="10" s="1"/>
  <c r="H190" i="10" s="1"/>
  <c r="C191" i="10" s="1"/>
  <c r="F190" i="10"/>
  <c r="E191" i="10" l="1"/>
  <c r="G191" i="10" s="1"/>
  <c r="H191" i="10" s="1"/>
  <c r="C192" i="10" s="1"/>
  <c r="F191" i="10"/>
  <c r="F192" i="10" l="1"/>
  <c r="E192" i="10"/>
  <c r="G192" i="10" s="1"/>
  <c r="H192" i="10" l="1"/>
  <c r="C193" i="10" s="1"/>
  <c r="E193" i="10" l="1"/>
  <c r="G193" i="10" s="1"/>
  <c r="H193" i="10" s="1"/>
  <c r="C194" i="10" s="1"/>
  <c r="F193" i="10"/>
  <c r="F194" i="10" l="1"/>
  <c r="E194" i="10"/>
  <c r="G194" i="10" s="1"/>
  <c r="H194" i="10" l="1"/>
  <c r="C195" i="10" s="1"/>
  <c r="E195" i="10" l="1"/>
  <c r="G195" i="10" s="1"/>
  <c r="H195" i="10" s="1"/>
  <c r="C196" i="10" s="1"/>
  <c r="F195" i="10"/>
  <c r="F196" i="10" l="1"/>
  <c r="E196" i="10"/>
  <c r="G196" i="10" s="1"/>
  <c r="H196" i="10" l="1"/>
  <c r="C197" i="10" s="1"/>
  <c r="E197" i="10" l="1"/>
  <c r="G197" i="10" s="1"/>
  <c r="H197" i="10" s="1"/>
  <c r="C198" i="10" s="1"/>
  <c r="F197" i="10"/>
  <c r="E198" i="10" l="1"/>
  <c r="G198" i="10" s="1"/>
  <c r="H198" i="10" s="1"/>
  <c r="C199" i="10" s="1"/>
  <c r="F198" i="10"/>
  <c r="F199" i="10" l="1"/>
  <c r="E199" i="10"/>
  <c r="G199" i="10" s="1"/>
  <c r="H199" i="10" s="1"/>
  <c r="C200" i="10" s="1"/>
  <c r="E200" i="10" l="1"/>
  <c r="G200" i="10" s="1"/>
  <c r="H200" i="10" s="1"/>
  <c r="C201" i="10" s="1"/>
  <c r="F200" i="10"/>
  <c r="F201" i="10" l="1"/>
  <c r="E201" i="10"/>
  <c r="G201" i="10" s="1"/>
  <c r="H201" i="10" s="1"/>
  <c r="C202" i="10" s="1"/>
  <c r="E202" i="10" l="1"/>
  <c r="G202" i="10" s="1"/>
  <c r="H202" i="10" s="1"/>
  <c r="C203" i="10" s="1"/>
  <c r="F202" i="10"/>
  <c r="F203" i="10" l="1"/>
  <c r="E203" i="10"/>
  <c r="G203" i="10" s="1"/>
  <c r="H203" i="10" s="1"/>
  <c r="C204" i="10" s="1"/>
  <c r="E204" i="10" l="1"/>
  <c r="G204" i="10" s="1"/>
  <c r="H204" i="10" s="1"/>
  <c r="C205" i="10" s="1"/>
  <c r="F204" i="10"/>
  <c r="E205" i="10" l="1"/>
  <c r="G205" i="10" s="1"/>
  <c r="H205" i="10" s="1"/>
  <c r="C206" i="10" s="1"/>
  <c r="F205" i="10"/>
  <c r="E206" i="10" l="1"/>
  <c r="G206" i="10" s="1"/>
  <c r="H206" i="10" s="1"/>
  <c r="C207" i="10" s="1"/>
  <c r="F206" i="10"/>
  <c r="F207" i="10" l="1"/>
  <c r="E207" i="10"/>
  <c r="G207" i="10" s="1"/>
  <c r="H207" i="10" s="1"/>
  <c r="C208" i="10" s="1"/>
  <c r="E208" i="10" l="1"/>
  <c r="G208" i="10" s="1"/>
  <c r="H208" i="10" s="1"/>
  <c r="C209" i="10" s="1"/>
  <c r="F208" i="10"/>
  <c r="E209" i="10" l="1"/>
  <c r="G209" i="10" s="1"/>
  <c r="F209" i="10"/>
  <c r="H209" i="10" l="1"/>
  <c r="C210" i="10" s="1"/>
  <c r="E210" i="10" l="1"/>
  <c r="G210" i="10" s="1"/>
  <c r="H210" i="10" s="1"/>
  <c r="C211" i="10" s="1"/>
  <c r="F210" i="10"/>
  <c r="F211" i="10" l="1"/>
  <c r="E211" i="10"/>
  <c r="G211" i="10" s="1"/>
  <c r="H211" i="10" s="1"/>
  <c r="C212" i="10" s="1"/>
  <c r="E212" i="10" l="1"/>
  <c r="G212" i="10" s="1"/>
  <c r="H212" i="10" s="1"/>
  <c r="C213" i="10" s="1"/>
  <c r="F212" i="10"/>
  <c r="E213" i="10" l="1"/>
  <c r="G213" i="10" s="1"/>
  <c r="F213" i="10"/>
  <c r="H213" i="10" l="1"/>
  <c r="C214" i="10" s="1"/>
  <c r="E214" i="10" l="1"/>
  <c r="G214" i="10" s="1"/>
  <c r="H214" i="10" s="1"/>
  <c r="C215" i="10" s="1"/>
  <c r="F214" i="10"/>
  <c r="E215" i="10" l="1"/>
  <c r="G215" i="10" s="1"/>
  <c r="H215" i="10" s="1"/>
  <c r="C216" i="10" s="1"/>
  <c r="F215" i="10"/>
  <c r="E216" i="10" l="1"/>
  <c r="G216" i="10" s="1"/>
  <c r="H216" i="10" s="1"/>
  <c r="C217" i="10" s="1"/>
  <c r="F216" i="10"/>
  <c r="F217" i="10" l="1"/>
  <c r="E217" i="10"/>
  <c r="G217" i="10" s="1"/>
  <c r="H217" i="10" s="1"/>
  <c r="C218" i="10" s="1"/>
  <c r="E218" i="10" l="1"/>
  <c r="G218" i="10" s="1"/>
  <c r="H218" i="10" s="1"/>
  <c r="C219" i="10" s="1"/>
  <c r="F218" i="10"/>
  <c r="F219" i="10" l="1"/>
  <c r="E219" i="10"/>
  <c r="G219" i="10" s="1"/>
  <c r="H219" i="10" s="1"/>
  <c r="C220" i="10" s="1"/>
  <c r="E220" i="10" l="1"/>
  <c r="G220" i="10" s="1"/>
  <c r="H220" i="10" s="1"/>
  <c r="C221" i="10" s="1"/>
  <c r="F220" i="10"/>
  <c r="E221" i="10" l="1"/>
  <c r="G221" i="10" s="1"/>
  <c r="H221" i="10" s="1"/>
  <c r="C222" i="10" s="1"/>
  <c r="F221" i="10"/>
  <c r="E222" i="10" l="1"/>
  <c r="G222" i="10" s="1"/>
  <c r="H222" i="10" s="1"/>
  <c r="C223" i="10" s="1"/>
  <c r="F222" i="10"/>
  <c r="F223" i="10" l="1"/>
  <c r="E223" i="10"/>
  <c r="G223" i="10" s="1"/>
  <c r="H223" i="10" l="1"/>
  <c r="C224" i="10" s="1"/>
  <c r="E224" i="10" l="1"/>
  <c r="G224" i="10" s="1"/>
  <c r="H224" i="10" s="1"/>
  <c r="C225" i="10" s="1"/>
  <c r="F224" i="10"/>
  <c r="E225" i="10" l="1"/>
  <c r="G225" i="10" s="1"/>
  <c r="H225" i="10" s="1"/>
  <c r="C226" i="10" s="1"/>
  <c r="F225" i="10"/>
  <c r="E226" i="10" l="1"/>
  <c r="G226" i="10" s="1"/>
  <c r="H226" i="10" s="1"/>
  <c r="C227" i="10" s="1"/>
  <c r="F226" i="10"/>
  <c r="F227" i="10" l="1"/>
  <c r="E227" i="10"/>
  <c r="G227" i="10" s="1"/>
  <c r="H227" i="10" l="1"/>
  <c r="C228" i="10" s="1"/>
  <c r="E228" i="10" l="1"/>
  <c r="G228" i="10" s="1"/>
  <c r="H228" i="10" s="1"/>
  <c r="C229" i="10" s="1"/>
  <c r="F228" i="10"/>
  <c r="E229" i="10" l="1"/>
  <c r="G229" i="10" s="1"/>
  <c r="H229" i="10" s="1"/>
  <c r="C230" i="10" s="1"/>
  <c r="F229" i="10"/>
  <c r="E230" i="10" l="1"/>
  <c r="G230" i="10" s="1"/>
  <c r="H230" i="10" s="1"/>
  <c r="C231" i="10" s="1"/>
  <c r="F230" i="10"/>
  <c r="E231" i="10" l="1"/>
  <c r="G231" i="10" s="1"/>
  <c r="H231" i="10" s="1"/>
  <c r="C232" i="10" s="1"/>
  <c r="F231" i="10"/>
  <c r="E232" i="10" l="1"/>
  <c r="G232" i="10" s="1"/>
  <c r="H232" i="10" s="1"/>
  <c r="C233" i="10" s="1"/>
  <c r="F232" i="10"/>
  <c r="F233" i="10" l="1"/>
  <c r="E233" i="10"/>
  <c r="G233" i="10" s="1"/>
  <c r="H233" i="10" s="1"/>
  <c r="C234" i="10" s="1"/>
  <c r="E234" i="10" l="1"/>
  <c r="G234" i="10" s="1"/>
  <c r="F234" i="10"/>
  <c r="H234" i="10" l="1"/>
  <c r="C235" i="10" s="1"/>
  <c r="F235" i="10" l="1"/>
  <c r="E235" i="10"/>
  <c r="G235" i="10" s="1"/>
  <c r="H235" i="10" s="1"/>
  <c r="C236" i="10" s="1"/>
  <c r="E236" i="10" l="1"/>
  <c r="G236" i="10" s="1"/>
  <c r="F236" i="10"/>
  <c r="H236" i="10" l="1"/>
  <c r="C237" i="10" s="1"/>
  <c r="E237" i="10" l="1"/>
  <c r="G237" i="10" s="1"/>
  <c r="H237" i="10" s="1"/>
  <c r="C238" i="10" s="1"/>
  <c r="F237" i="10"/>
  <c r="E238" i="10" l="1"/>
  <c r="G238" i="10" s="1"/>
  <c r="H238" i="10" s="1"/>
  <c r="C239" i="10" s="1"/>
  <c r="F238" i="10"/>
  <c r="F239" i="10" l="1"/>
  <c r="E239" i="10"/>
  <c r="G239" i="10" s="1"/>
  <c r="H239" i="10" l="1"/>
  <c r="C240" i="10" s="1"/>
  <c r="E240" i="10" l="1"/>
  <c r="G240" i="10" s="1"/>
  <c r="H240" i="10" s="1"/>
  <c r="C241" i="10" s="1"/>
  <c r="F240" i="10"/>
  <c r="E241" i="10" l="1"/>
  <c r="G241" i="10" s="1"/>
  <c r="H241" i="10" s="1"/>
  <c r="C242" i="10" s="1"/>
  <c r="F241" i="10"/>
  <c r="E242" i="10" l="1"/>
  <c r="G242" i="10" s="1"/>
  <c r="H242" i="10" s="1"/>
  <c r="C243" i="10" s="1"/>
  <c r="F242" i="10"/>
  <c r="F243" i="10" l="1"/>
  <c r="E243" i="10"/>
  <c r="G243" i="10" s="1"/>
  <c r="H243" i="10" l="1"/>
  <c r="C244" i="10" s="1"/>
  <c r="E244" i="10" l="1"/>
  <c r="G244" i="10" s="1"/>
  <c r="H244" i="10" s="1"/>
  <c r="C245" i="10" s="1"/>
  <c r="F244" i="10"/>
  <c r="E245" i="10" l="1"/>
  <c r="G245" i="10" s="1"/>
  <c r="H245" i="10" s="1"/>
  <c r="C246" i="10" s="1"/>
  <c r="F245" i="10"/>
  <c r="E246" i="10" l="1"/>
  <c r="G246" i="10" s="1"/>
  <c r="H246" i="10" s="1"/>
  <c r="C247" i="10" s="1"/>
  <c r="F246" i="10"/>
  <c r="E247" i="10" l="1"/>
  <c r="G247" i="10" s="1"/>
  <c r="H247" i="10" s="1"/>
  <c r="C248" i="10" s="1"/>
  <c r="F247" i="10"/>
  <c r="E248" i="10" l="1"/>
  <c r="G248" i="10" s="1"/>
  <c r="H248" i="10" s="1"/>
  <c r="C249" i="10" s="1"/>
  <c r="F248" i="10"/>
  <c r="F249" i="10" l="1"/>
  <c r="E249" i="10"/>
  <c r="G249" i="10" s="1"/>
  <c r="H249" i="10" s="1"/>
  <c r="C250" i="10" s="1"/>
  <c r="E250" i="10" l="1"/>
  <c r="G250" i="10" s="1"/>
  <c r="H250" i="10" s="1"/>
  <c r="C251" i="10" s="1"/>
  <c r="F250" i="10"/>
  <c r="F251" i="10" l="1"/>
  <c r="E251" i="10"/>
  <c r="G251" i="10" s="1"/>
  <c r="H251" i="10" s="1"/>
  <c r="C252" i="10" s="1"/>
  <c r="E252" i="10" l="1"/>
  <c r="G252" i="10" s="1"/>
  <c r="H252" i="10" s="1"/>
  <c r="C253" i="10" s="1"/>
  <c r="F252" i="10"/>
  <c r="E253" i="10" l="1"/>
  <c r="G253" i="10" s="1"/>
  <c r="H253" i="10" s="1"/>
  <c r="C254" i="10" s="1"/>
  <c r="F253" i="10"/>
  <c r="F254" i="10" l="1"/>
  <c r="E254" i="10"/>
  <c r="G254" i="10" s="1"/>
  <c r="H254" i="10" l="1"/>
  <c r="C255" i="10" s="1"/>
  <c r="E255" i="10" l="1"/>
  <c r="G255" i="10" s="1"/>
  <c r="H255" i="10" s="1"/>
  <c r="C256" i="10" s="1"/>
  <c r="F255" i="10"/>
  <c r="F256" i="10" l="1"/>
  <c r="E256" i="10"/>
  <c r="G256" i="10" s="1"/>
  <c r="H256" i="10" l="1"/>
  <c r="C257" i="10" s="1"/>
  <c r="E257" i="10" l="1"/>
  <c r="G257" i="10" s="1"/>
  <c r="H257" i="10" s="1"/>
  <c r="C258" i="10" s="1"/>
  <c r="F257" i="10"/>
  <c r="E258" i="10" l="1"/>
  <c r="G258" i="10" s="1"/>
  <c r="H258" i="10" s="1"/>
  <c r="C259" i="10" s="1"/>
  <c r="F258" i="10"/>
  <c r="E259" i="10" l="1"/>
  <c r="G259" i="10" s="1"/>
  <c r="H259" i="10" s="1"/>
  <c r="C260" i="10"/>
  <c r="F259" i="10"/>
  <c r="F260" i="10" l="1"/>
  <c r="E260" i="10"/>
  <c r="G260" i="10" s="1"/>
  <c r="H260" i="10" s="1"/>
  <c r="C261" i="10" s="1"/>
  <c r="E261" i="10" l="1"/>
  <c r="G261" i="10" s="1"/>
  <c r="F261" i="10"/>
  <c r="H261" i="10" l="1"/>
  <c r="C262" i="10" s="1"/>
  <c r="F262" i="10" l="1"/>
  <c r="E262" i="10"/>
  <c r="G262" i="10" s="1"/>
  <c r="H262" i="10" s="1"/>
  <c r="C263" i="10" s="1"/>
  <c r="E263" i="10" l="1"/>
  <c r="G263" i="10" s="1"/>
  <c r="H263" i="10" s="1"/>
  <c r="C264" i="10" s="1"/>
  <c r="F263" i="10"/>
  <c r="F264" i="10" l="1"/>
  <c r="E264" i="10"/>
  <c r="G264" i="10" s="1"/>
  <c r="H264" i="10" s="1"/>
  <c r="C265" i="10" s="1"/>
  <c r="E265" i="10" l="1"/>
  <c r="G265" i="10" s="1"/>
  <c r="F265" i="10"/>
  <c r="H265" i="10" l="1"/>
  <c r="C266" i="10" s="1"/>
  <c r="E266" i="10" l="1"/>
  <c r="G266" i="10" s="1"/>
  <c r="F266" i="10"/>
  <c r="H266" i="10" l="1"/>
  <c r="C267" i="10" s="1"/>
  <c r="E267" i="10" l="1"/>
  <c r="G267" i="10" s="1"/>
  <c r="F267" i="10"/>
  <c r="H267" i="10" l="1"/>
  <c r="C268" i="10" s="1"/>
  <c r="E268" i="10" l="1"/>
  <c r="G268" i="10" s="1"/>
  <c r="H268" i="10" s="1"/>
  <c r="C269" i="10" s="1"/>
  <c r="F268" i="10"/>
  <c r="E269" i="10" l="1"/>
  <c r="G269" i="10" s="1"/>
  <c r="H269" i="10" s="1"/>
  <c r="C270" i="10" s="1"/>
  <c r="F269" i="10"/>
  <c r="F270" i="10" l="1"/>
  <c r="E270" i="10"/>
  <c r="G270" i="10" s="1"/>
  <c r="H270" i="10" s="1"/>
  <c r="C271" i="10" s="1"/>
  <c r="E271" i="10" l="1"/>
  <c r="G271" i="10" s="1"/>
  <c r="F271" i="10"/>
  <c r="H271" i="10" l="1"/>
  <c r="C272" i="10" s="1"/>
  <c r="F272" i="10" l="1"/>
  <c r="E272" i="10"/>
  <c r="G272" i="10" s="1"/>
  <c r="H272" i="10" s="1"/>
  <c r="C273" i="10" s="1"/>
  <c r="E273" i="10" l="1"/>
  <c r="G273" i="10" s="1"/>
  <c r="F273" i="10"/>
  <c r="H273" i="10" l="1"/>
  <c r="C274" i="10" s="1"/>
  <c r="E274" i="10" l="1"/>
  <c r="G274" i="10" s="1"/>
  <c r="F274" i="10"/>
  <c r="H274" i="10" l="1"/>
  <c r="C275" i="10" s="1"/>
  <c r="E275" i="10" l="1"/>
  <c r="G275" i="10" s="1"/>
  <c r="H275" i="10" s="1"/>
  <c r="C276" i="10" s="1"/>
  <c r="F275" i="10"/>
  <c r="E276" i="10" l="1"/>
  <c r="G276" i="10" s="1"/>
  <c r="H276" i="10" s="1"/>
  <c r="C277" i="10" s="1"/>
  <c r="F276" i="10"/>
  <c r="E277" i="10" l="1"/>
  <c r="G277" i="10" s="1"/>
  <c r="F277" i="10"/>
  <c r="H277" i="10" l="1"/>
  <c r="C278" i="10" s="1"/>
  <c r="E278" i="10" l="1"/>
  <c r="G278" i="10" s="1"/>
  <c r="F278" i="10"/>
  <c r="H278" i="10" l="1"/>
  <c r="C279" i="10" s="1"/>
  <c r="E279" i="10" l="1"/>
  <c r="G279" i="10" s="1"/>
  <c r="F279" i="10"/>
  <c r="H279" i="10" l="1"/>
  <c r="C280" i="10" s="1"/>
  <c r="F280" i="10" l="1"/>
  <c r="E280" i="10"/>
  <c r="G280" i="10" s="1"/>
  <c r="H280" i="10" l="1"/>
  <c r="C281" i="10" s="1"/>
  <c r="E281" i="10" l="1"/>
  <c r="G281" i="10" s="1"/>
  <c r="H281" i="10" s="1"/>
  <c r="C282" i="10" s="1"/>
  <c r="F281" i="10"/>
  <c r="E282" i="10" l="1"/>
  <c r="G282" i="10" s="1"/>
  <c r="H282" i="10" s="1"/>
  <c r="C283" i="10" s="1"/>
  <c r="F282" i="10"/>
  <c r="E283" i="10" l="1"/>
  <c r="G283" i="10" s="1"/>
  <c r="H283" i="10" s="1"/>
  <c r="C284" i="10" s="1"/>
  <c r="F283" i="10"/>
  <c r="E284" i="10" l="1"/>
  <c r="G284" i="10" s="1"/>
  <c r="H284" i="10" s="1"/>
  <c r="C285" i="10" s="1"/>
  <c r="F284" i="10"/>
  <c r="E285" i="10" l="1"/>
  <c r="G285" i="10" s="1"/>
  <c r="H285" i="10" s="1"/>
  <c r="C286" i="10" s="1"/>
  <c r="F285" i="10"/>
  <c r="F286" i="10" l="1"/>
  <c r="E286" i="10"/>
  <c r="G286" i="10" s="1"/>
  <c r="H286" i="10" l="1"/>
  <c r="C287" i="10" s="1"/>
  <c r="E287" i="10" l="1"/>
  <c r="G287" i="10" s="1"/>
  <c r="H287" i="10" s="1"/>
  <c r="C288" i="10" s="1"/>
  <c r="F287" i="10"/>
  <c r="F288" i="10" l="1"/>
  <c r="E288" i="10"/>
  <c r="G288" i="10" s="1"/>
  <c r="H288" i="10" s="1"/>
  <c r="C289" i="10" s="1"/>
  <c r="E289" i="10" l="1"/>
  <c r="G289" i="10" s="1"/>
  <c r="H289" i="10" s="1"/>
  <c r="C290" i="10" s="1"/>
  <c r="F289" i="10"/>
  <c r="E290" i="10" l="1"/>
  <c r="G290" i="10" s="1"/>
  <c r="H290" i="10" s="1"/>
  <c r="C291" i="10" s="1"/>
  <c r="F290" i="10"/>
  <c r="E291" i="10" l="1"/>
  <c r="G291" i="10" s="1"/>
  <c r="H291" i="10" s="1"/>
  <c r="C292" i="10" s="1"/>
  <c r="F291" i="10"/>
  <c r="F292" i="10" l="1"/>
  <c r="E292" i="10"/>
  <c r="G292" i="10" s="1"/>
  <c r="H292" i="10" s="1"/>
  <c r="C293" i="10" s="1"/>
  <c r="E293" i="10" l="1"/>
  <c r="G293" i="10" s="1"/>
  <c r="H293" i="10" s="1"/>
  <c r="C294" i="10" s="1"/>
  <c r="F293" i="10"/>
  <c r="F294" i="10" l="1"/>
  <c r="E294" i="10"/>
  <c r="G294" i="10" s="1"/>
  <c r="H294" i="10" s="1"/>
  <c r="C295" i="10" s="1"/>
  <c r="E295" i="10" l="1"/>
  <c r="G295" i="10" s="1"/>
  <c r="H295" i="10" s="1"/>
  <c r="C296" i="10" s="1"/>
  <c r="F295" i="10"/>
  <c r="F296" i="10" l="1"/>
  <c r="E296" i="10"/>
  <c r="G296" i="10" s="1"/>
  <c r="H296" i="10" s="1"/>
  <c r="C297" i="10" s="1"/>
  <c r="E297" i="10" l="1"/>
  <c r="G297" i="10" s="1"/>
  <c r="H297" i="10" s="1"/>
  <c r="C298" i="10" s="1"/>
  <c r="F297" i="10"/>
  <c r="F298" i="10" l="1"/>
  <c r="E298" i="10"/>
  <c r="G298" i="10" s="1"/>
  <c r="H298" i="10" s="1"/>
  <c r="C299" i="10" s="1"/>
  <c r="E299" i="10" l="1"/>
  <c r="G299" i="10" s="1"/>
  <c r="H299" i="10" s="1"/>
  <c r="C300" i="10" s="1"/>
  <c r="F299" i="10"/>
  <c r="F300" i="10" l="1"/>
  <c r="E300" i="10"/>
  <c r="G300" i="10" s="1"/>
  <c r="H300" i="10" l="1"/>
  <c r="C301" i="10" s="1"/>
  <c r="E301" i="10" l="1"/>
  <c r="G301" i="10" s="1"/>
  <c r="H301" i="10" s="1"/>
  <c r="C302" i="10" s="1"/>
  <c r="F301" i="10"/>
  <c r="F302" i="10" l="1"/>
  <c r="E302" i="10"/>
  <c r="G302" i="10" s="1"/>
  <c r="H302" i="10" s="1"/>
  <c r="C303" i="10" s="1"/>
  <c r="E303" i="10" l="1"/>
  <c r="G303" i="10" s="1"/>
  <c r="H303" i="10" s="1"/>
  <c r="C304" i="10" s="1"/>
  <c r="F303" i="10"/>
  <c r="F304" i="10" l="1"/>
  <c r="E304" i="10"/>
  <c r="G304" i="10" s="1"/>
  <c r="H304" i="10" s="1"/>
  <c r="C305" i="10" s="1"/>
  <c r="E305" i="10" l="1"/>
  <c r="G305" i="10" s="1"/>
  <c r="H305" i="10" s="1"/>
  <c r="C306" i="10" s="1"/>
  <c r="F305" i="10"/>
  <c r="F306" i="10" l="1"/>
  <c r="E306" i="10"/>
  <c r="G306" i="10" s="1"/>
  <c r="H306" i="10" s="1"/>
  <c r="C307" i="10" s="1"/>
  <c r="E307" i="10" l="1"/>
  <c r="G307" i="10" s="1"/>
  <c r="H307" i="10" s="1"/>
  <c r="C308" i="10" s="1"/>
  <c r="F307" i="10"/>
  <c r="F308" i="10" l="1"/>
  <c r="E308" i="10"/>
  <c r="G308" i="10" s="1"/>
  <c r="H308" i="10" s="1"/>
  <c r="C309" i="10" s="1"/>
  <c r="E309" i="10" l="1"/>
  <c r="G309" i="10" s="1"/>
  <c r="H309" i="10" s="1"/>
  <c r="C310" i="10" s="1"/>
  <c r="F309" i="10"/>
  <c r="F310" i="10" l="1"/>
  <c r="E310" i="10"/>
  <c r="G310" i="10" s="1"/>
  <c r="H310" i="10" s="1"/>
  <c r="C311" i="10" s="1"/>
  <c r="E311" i="10" l="1"/>
  <c r="G311" i="10" s="1"/>
  <c r="H311" i="10" s="1"/>
  <c r="C312" i="10" s="1"/>
  <c r="F311" i="10"/>
  <c r="F312" i="10" l="1"/>
  <c r="E312" i="10"/>
  <c r="G312" i="10" s="1"/>
  <c r="H312" i="10" s="1"/>
  <c r="C313" i="10" s="1"/>
  <c r="E313" i="10" l="1"/>
  <c r="G313" i="10" s="1"/>
  <c r="H313" i="10" s="1"/>
  <c r="C314" i="10" s="1"/>
  <c r="F313" i="10"/>
  <c r="F314" i="10" l="1"/>
  <c r="E314" i="10"/>
  <c r="G314" i="10" s="1"/>
  <c r="H314" i="10" s="1"/>
  <c r="C315" i="10" s="1"/>
  <c r="E315" i="10" l="1"/>
  <c r="G315" i="10" s="1"/>
  <c r="H315" i="10" s="1"/>
  <c r="C316" i="10" s="1"/>
  <c r="F315" i="10"/>
  <c r="F316" i="10" l="1"/>
  <c r="E316" i="10"/>
  <c r="G316" i="10" s="1"/>
  <c r="H316" i="10" s="1"/>
  <c r="C317" i="10" s="1"/>
  <c r="E317" i="10" l="1"/>
  <c r="G317" i="10" s="1"/>
  <c r="H317" i="10" s="1"/>
  <c r="C318" i="10" s="1"/>
  <c r="F317" i="10"/>
  <c r="F318" i="10" l="1"/>
  <c r="E318" i="10"/>
  <c r="G318" i="10" s="1"/>
  <c r="H318" i="10" s="1"/>
  <c r="C319" i="10" s="1"/>
  <c r="E319" i="10" l="1"/>
  <c r="G319" i="10" s="1"/>
  <c r="H319" i="10" s="1"/>
  <c r="C320" i="10" s="1"/>
  <c r="F319" i="10"/>
  <c r="F320" i="10" l="1"/>
  <c r="E320" i="10"/>
  <c r="G320" i="10" s="1"/>
  <c r="H320" i="10" l="1"/>
  <c r="C321" i="10" s="1"/>
  <c r="E321" i="10" l="1"/>
  <c r="G321" i="10" s="1"/>
  <c r="F321" i="10"/>
  <c r="H321" i="10" l="1"/>
  <c r="C322" i="10" s="1"/>
  <c r="F322" i="10" l="1"/>
  <c r="E322" i="10"/>
  <c r="G322" i="10" s="1"/>
  <c r="H322" i="10" s="1"/>
  <c r="C323" i="10" s="1"/>
  <c r="E323" i="10" l="1"/>
  <c r="G323" i="10" s="1"/>
  <c r="F323" i="10"/>
  <c r="H323" i="10" l="1"/>
  <c r="C324" i="10" s="1"/>
  <c r="F324" i="10" l="1"/>
  <c r="E324" i="10"/>
  <c r="G324" i="10" s="1"/>
  <c r="H324" i="10" s="1"/>
  <c r="C325" i="10" s="1"/>
  <c r="E325" i="10" l="1"/>
  <c r="G325" i="10" s="1"/>
  <c r="F325" i="10"/>
  <c r="H325" i="10" l="1"/>
  <c r="C326" i="10" s="1"/>
  <c r="F326" i="10" l="1"/>
  <c r="E326" i="10"/>
  <c r="G326" i="10" s="1"/>
  <c r="H326" i="10" s="1"/>
  <c r="C327" i="10" s="1"/>
  <c r="E327" i="10" l="1"/>
  <c r="G327" i="10" s="1"/>
  <c r="F327" i="10"/>
  <c r="H327" i="10" l="1"/>
  <c r="C328" i="10" s="1"/>
  <c r="F328" i="10" l="1"/>
  <c r="E328" i="10"/>
  <c r="G328" i="10" s="1"/>
  <c r="H328" i="10" s="1"/>
  <c r="C329" i="10" s="1"/>
  <c r="E329" i="10" l="1"/>
  <c r="G329" i="10" s="1"/>
  <c r="H329" i="10" s="1"/>
  <c r="C330" i="10" s="1"/>
  <c r="F329" i="10"/>
  <c r="F330" i="10" l="1"/>
  <c r="E330" i="10"/>
  <c r="G330" i="10" s="1"/>
  <c r="H330" i="10" s="1"/>
  <c r="C331" i="10" s="1"/>
  <c r="E331" i="10" l="1"/>
  <c r="G331" i="10" s="1"/>
  <c r="H331" i="10" s="1"/>
  <c r="C332" i="10" s="1"/>
  <c r="F331" i="10"/>
  <c r="F332" i="10" l="1"/>
  <c r="E332" i="10"/>
  <c r="G332" i="10" s="1"/>
  <c r="H332" i="10" s="1"/>
  <c r="C333" i="10" s="1"/>
  <c r="F333" i="10" l="1"/>
  <c r="E333" i="10"/>
  <c r="G333" i="10" s="1"/>
  <c r="H333" i="10" s="1"/>
  <c r="C334" i="10" s="1"/>
  <c r="E334" i="10" l="1"/>
  <c r="G334" i="10" s="1"/>
  <c r="H334" i="10" s="1"/>
  <c r="C335" i="10" s="1"/>
  <c r="F334" i="10"/>
  <c r="F335" i="10" l="1"/>
  <c r="E335" i="10"/>
  <c r="G335" i="10" s="1"/>
  <c r="H335" i="10" s="1"/>
  <c r="C336" i="10" s="1"/>
  <c r="F336" i="10" l="1"/>
  <c r="E336" i="10"/>
  <c r="G336" i="10" s="1"/>
  <c r="H336" i="10" s="1"/>
  <c r="C337" i="10" s="1"/>
  <c r="F337" i="10" l="1"/>
  <c r="E337" i="10"/>
  <c r="G337" i="10" s="1"/>
  <c r="H337" i="10" s="1"/>
  <c r="C338" i="10" s="1"/>
  <c r="E338" i="10" l="1"/>
  <c r="G338" i="10" s="1"/>
  <c r="H338" i="10" s="1"/>
  <c r="C339" i="10" s="1"/>
  <c r="F338" i="10"/>
  <c r="F339" i="10" l="1"/>
  <c r="E339" i="10"/>
  <c r="G339" i="10" s="1"/>
  <c r="H339" i="10" s="1"/>
  <c r="C340" i="10" s="1"/>
  <c r="F340" i="10" l="1"/>
  <c r="E340" i="10"/>
  <c r="G340" i="10" s="1"/>
  <c r="H340" i="10" s="1"/>
  <c r="C341" i="10" s="1"/>
  <c r="F341" i="10" l="1"/>
  <c r="E341" i="10"/>
  <c r="G341" i="10" s="1"/>
  <c r="H341" i="10" s="1"/>
  <c r="C342" i="10" s="1"/>
  <c r="F342" i="10" l="1"/>
  <c r="E342" i="10"/>
  <c r="G342" i="10" s="1"/>
  <c r="H342" i="10" s="1"/>
  <c r="C343" i="10" s="1"/>
  <c r="F343" i="10" l="1"/>
  <c r="E343" i="10"/>
  <c r="G343" i="10" s="1"/>
  <c r="H343" i="10" s="1"/>
  <c r="C344" i="10" s="1"/>
  <c r="F344" i="10" l="1"/>
  <c r="E344" i="10"/>
  <c r="G344" i="10" s="1"/>
  <c r="H344" i="10" s="1"/>
  <c r="C345" i="10" s="1"/>
  <c r="F345" i="10" l="1"/>
  <c r="E345" i="10"/>
  <c r="G345" i="10" s="1"/>
  <c r="H345" i="10" s="1"/>
  <c r="C346" i="10" s="1"/>
  <c r="F346" i="10" l="1"/>
  <c r="E346" i="10"/>
  <c r="G346" i="10" s="1"/>
  <c r="H346" i="10" s="1"/>
  <c r="C347" i="10" s="1"/>
  <c r="F347" i="10" l="1"/>
  <c r="E347" i="10"/>
  <c r="G347" i="10" s="1"/>
  <c r="H347" i="10" s="1"/>
  <c r="C348" i="10" s="1"/>
  <c r="F348" i="10" l="1"/>
  <c r="E348" i="10"/>
  <c r="G348" i="10" s="1"/>
  <c r="H348" i="10" l="1"/>
  <c r="C349" i="10" s="1"/>
  <c r="F349" i="10" l="1"/>
  <c r="E349" i="10"/>
  <c r="G349" i="10" s="1"/>
  <c r="H349" i="10" s="1"/>
  <c r="C350" i="10" s="1"/>
  <c r="F350" i="10" l="1"/>
  <c r="E350" i="10"/>
  <c r="G350" i="10" s="1"/>
  <c r="H350" i="10" l="1"/>
  <c r="C351" i="10" s="1"/>
  <c r="F351" i="10" l="1"/>
  <c r="E351" i="10"/>
  <c r="G351" i="10" s="1"/>
  <c r="H351" i="10" s="1"/>
  <c r="C352" i="10" s="1"/>
  <c r="F352" i="10" l="1"/>
  <c r="E352" i="10"/>
  <c r="G352" i="10" s="1"/>
  <c r="H352" i="10" s="1"/>
  <c r="C353" i="10" s="1"/>
  <c r="F353" i="10" l="1"/>
  <c r="E353" i="10"/>
  <c r="G353" i="10" s="1"/>
  <c r="H353" i="10" s="1"/>
  <c r="C354" i="10" s="1"/>
  <c r="F354" i="10" l="1"/>
  <c r="E354" i="10"/>
  <c r="G354" i="10" s="1"/>
  <c r="H354" i="10" s="1"/>
  <c r="C355" i="10" s="1"/>
  <c r="F355" i="10" l="1"/>
  <c r="E355" i="10"/>
  <c r="G355" i="10" s="1"/>
  <c r="H355" i="10" l="1"/>
  <c r="C356" i="10" s="1"/>
  <c r="F356" i="10" l="1"/>
  <c r="E356" i="10"/>
  <c r="G356" i="10" s="1"/>
  <c r="H356" i="10" l="1"/>
  <c r="C357" i="10" s="1"/>
  <c r="F357" i="10" l="1"/>
  <c r="E357" i="10"/>
  <c r="G357" i="10" s="1"/>
  <c r="H357" i="10" s="1"/>
  <c r="C358" i="10" s="1"/>
  <c r="F358" i="10" l="1"/>
  <c r="E358" i="10"/>
  <c r="G358" i="10" s="1"/>
  <c r="H358" i="10" s="1"/>
  <c r="C359" i="10" s="1"/>
  <c r="F359" i="10" l="1"/>
  <c r="E359" i="10"/>
  <c r="G359" i="10" s="1"/>
  <c r="H359" i="10" s="1"/>
  <c r="C360" i="10" s="1"/>
  <c r="F360" i="10" l="1"/>
  <c r="E360" i="10"/>
  <c r="G360" i="10" s="1"/>
  <c r="H360" i="10" s="1"/>
  <c r="C361" i="10" s="1"/>
  <c r="F361" i="10" l="1"/>
  <c r="E361" i="10"/>
  <c r="G361" i="10" s="1"/>
  <c r="H361" i="10" l="1"/>
  <c r="C362" i="10" s="1"/>
  <c r="F362" i="10" l="1"/>
  <c r="E362" i="10"/>
  <c r="G362" i="10" s="1"/>
  <c r="H362" i="10" s="1"/>
  <c r="C363" i="10" s="1"/>
  <c r="F363" i="10" l="1"/>
  <c r="E363" i="10"/>
  <c r="G363" i="10" s="1"/>
  <c r="H363" i="10" l="1"/>
  <c r="C364" i="10" s="1"/>
  <c r="F364" i="10" l="1"/>
  <c r="E364" i="10"/>
  <c r="G364" i="10" s="1"/>
  <c r="H364" i="10" s="1"/>
  <c r="C365" i="10" s="1"/>
  <c r="F365" i="10" l="1"/>
  <c r="E365" i="10"/>
  <c r="G365" i="10" s="1"/>
  <c r="H365" i="10" l="1"/>
  <c r="C366" i="10" s="1"/>
  <c r="F366" i="10" l="1"/>
  <c r="E366" i="10"/>
  <c r="G366" i="10" s="1"/>
  <c r="H366" i="10" l="1"/>
  <c r="C367" i="10" s="1"/>
  <c r="F367" i="10" l="1"/>
  <c r="E367" i="10"/>
  <c r="G367" i="10" s="1"/>
  <c r="H367" i="10" s="1"/>
  <c r="C368" i="10" s="1"/>
  <c r="F368" i="10" l="1"/>
  <c r="E368" i="10"/>
  <c r="G368" i="10" s="1"/>
  <c r="H368" i="10" s="1"/>
  <c r="C369" i="10" s="1"/>
  <c r="F369" i="10" l="1"/>
  <c r="E369" i="10"/>
  <c r="G369" i="10" s="1"/>
  <c r="H369" i="10" s="1"/>
  <c r="C370" i="10" s="1"/>
  <c r="F370" i="10" l="1"/>
  <c r="E370" i="10"/>
  <c r="G370" i="10" s="1"/>
  <c r="H370" i="10" s="1"/>
  <c r="C371" i="10" s="1"/>
  <c r="F371" i="10" l="1"/>
  <c r="E371" i="10"/>
  <c r="G371" i="10" s="1"/>
  <c r="H371" i="10" s="1"/>
  <c r="C372" i="10" s="1"/>
  <c r="F372" i="10" l="1"/>
  <c r="E372" i="10"/>
  <c r="G372" i="10" s="1"/>
  <c r="H372" i="10" s="1"/>
  <c r="C373" i="10" s="1"/>
  <c r="F373" i="10" l="1"/>
  <c r="E373" i="10"/>
  <c r="G373" i="10" s="1"/>
  <c r="H373" i="10" s="1"/>
  <c r="C374" i="10" s="1"/>
  <c r="F374" i="10" l="1"/>
  <c r="E374" i="10"/>
  <c r="G374" i="10" s="1"/>
  <c r="H374" i="10" s="1"/>
  <c r="C375" i="10" s="1"/>
  <c r="F375" i="10" l="1"/>
  <c r="E375" i="10"/>
  <c r="G375" i="10" s="1"/>
  <c r="H375" i="10" s="1"/>
  <c r="C376" i="10" s="1"/>
  <c r="F376" i="10" l="1"/>
  <c r="E376" i="10"/>
  <c r="G376" i="10" s="1"/>
  <c r="H376" i="10" s="1"/>
  <c r="C377" i="10" s="1"/>
  <c r="F377" i="10" l="1"/>
  <c r="E377" i="10"/>
  <c r="G377" i="10" s="1"/>
  <c r="H377" i="10" s="1"/>
  <c r="C378" i="10" s="1"/>
  <c r="F378" i="10" l="1"/>
  <c r="E378" i="10"/>
  <c r="G378" i="10" s="1"/>
  <c r="H378" i="10" s="1"/>
  <c r="C379" i="10" s="1"/>
  <c r="F379" i="10" l="1"/>
  <c r="E379" i="10"/>
  <c r="G379" i="10" s="1"/>
  <c r="H379" i="10" s="1"/>
  <c r="C380" i="10" s="1"/>
  <c r="F380" i="10" l="1"/>
  <c r="E380" i="10"/>
  <c r="G380" i="10" s="1"/>
  <c r="H380" i="10" s="1"/>
  <c r="C381" i="10" s="1"/>
  <c r="F381" i="10" l="1"/>
  <c r="E381" i="10"/>
  <c r="G381" i="10" s="1"/>
  <c r="H381" i="10" s="1"/>
  <c r="C382" i="10" s="1"/>
  <c r="F382" i="10" l="1"/>
  <c r="E382" i="10"/>
  <c r="G382" i="10" s="1"/>
  <c r="H382" i="10" s="1"/>
  <c r="C383" i="10" s="1"/>
  <c r="F383" i="10" l="1"/>
  <c r="E383" i="10"/>
  <c r="G383" i="10" s="1"/>
  <c r="H383" i="10" s="1"/>
  <c r="C384" i="10" s="1"/>
  <c r="F384" i="10" l="1"/>
  <c r="E384" i="10"/>
  <c r="G384" i="10" s="1"/>
  <c r="H384" i="10" l="1"/>
  <c r="C385" i="10" s="1"/>
  <c r="F385" i="10" l="1"/>
  <c r="E385" i="10"/>
  <c r="G385" i="10" s="1"/>
  <c r="H385" i="10" s="1"/>
  <c r="C386" i="10" s="1"/>
  <c r="F386" i="10" l="1"/>
  <c r="E386" i="10"/>
  <c r="G386" i="10" s="1"/>
  <c r="H386" i="10" l="1"/>
  <c r="C387" i="10" s="1"/>
  <c r="F387" i="10" l="1"/>
  <c r="E387" i="10"/>
  <c r="G387" i="10" s="1"/>
  <c r="H387" i="10" s="1"/>
  <c r="C388" i="10" s="1"/>
  <c r="F388" i="10" l="1"/>
  <c r="E388" i="10"/>
  <c r="G388" i="10" s="1"/>
  <c r="H388" i="10" s="1"/>
  <c r="S85" i="8"/>
  <c r="W85" i="8" s="1"/>
  <c r="Z12" i="6" s="1"/>
  <c r="AA12" i="6" s="1"/>
  <c r="C13" i="6" s="1"/>
  <c r="Q944" i="8"/>
  <c r="X83" i="6"/>
  <c r="I628" i="8"/>
  <c r="I629" i="8" s="1"/>
  <c r="G13" i="6" l="1"/>
  <c r="E13" i="6"/>
  <c r="H13" i="6" s="1"/>
  <c r="AC13" i="6"/>
  <c r="I13" i="6" l="1"/>
  <c r="N13" i="6" s="1"/>
  <c r="K13" i="6" s="1"/>
  <c r="J13" i="6"/>
  <c r="Q13" i="6"/>
  <c r="P97" i="8"/>
  <c r="W13" i="6" s="1"/>
  <c r="G105" i="8"/>
  <c r="G106" i="8" s="1"/>
  <c r="S97" i="8" l="1"/>
  <c r="Z13" i="6" s="1"/>
  <c r="AA13" i="6" s="1"/>
  <c r="C14" i="6" s="1"/>
  <c r="J105" i="8"/>
  <c r="J106" i="8" s="1"/>
  <c r="G14" i="6" l="1"/>
  <c r="E14" i="6"/>
  <c r="H14" i="6" s="1"/>
  <c r="AC14" i="6"/>
  <c r="J14" i="6" l="1"/>
  <c r="I14" i="6"/>
  <c r="N14" i="6" s="1"/>
  <c r="Q14" i="6" l="1"/>
  <c r="P109" i="8"/>
  <c r="W14" i="6" s="1"/>
  <c r="K14" i="6"/>
  <c r="G117" i="8"/>
  <c r="G118" i="8" s="1"/>
  <c r="S109" i="8" l="1"/>
  <c r="Z14" i="6" s="1"/>
  <c r="AA14" i="6" s="1"/>
  <c r="C15" i="6" s="1"/>
  <c r="J117" i="8"/>
  <c r="J118" i="8" s="1"/>
  <c r="G15" i="6" l="1"/>
  <c r="E15" i="6"/>
  <c r="H15" i="6" s="1"/>
  <c r="AC15" i="6"/>
  <c r="I15" i="6" l="1"/>
  <c r="N15" i="6" s="1"/>
  <c r="P121" i="8" s="1"/>
  <c r="W15" i="6" s="1"/>
  <c r="Q15" i="6"/>
  <c r="S121" i="8" s="1"/>
  <c r="Z15" i="6" s="1"/>
  <c r="AA15" i="6" s="1"/>
  <c r="C16" i="6" s="1"/>
  <c r="K15" i="6"/>
  <c r="J15" i="6"/>
  <c r="G16" i="6" l="1"/>
  <c r="E16" i="6"/>
  <c r="H16" i="6" s="1"/>
  <c r="AC16" i="6"/>
  <c r="J16" i="6" l="1"/>
  <c r="I16" i="6"/>
  <c r="N16" i="6" s="1"/>
  <c r="Q16" i="6" l="1"/>
  <c r="P130" i="8"/>
  <c r="W16" i="6" s="1"/>
  <c r="K16" i="6"/>
  <c r="G138" i="8"/>
  <c r="G139" i="8" s="1"/>
  <c r="S130" i="8" l="1"/>
  <c r="Z16" i="6" s="1"/>
  <c r="AA16" i="6" s="1"/>
  <c r="C17" i="6" s="1"/>
  <c r="J138" i="8"/>
  <c r="J139" i="8" s="1"/>
  <c r="G17" i="6" l="1"/>
  <c r="E17" i="6"/>
  <c r="H17" i="6" s="1"/>
  <c r="AC17" i="6"/>
  <c r="J17" i="6" l="1"/>
  <c r="I17" i="6"/>
  <c r="N17" i="6" s="1"/>
  <c r="Q17" i="6" l="1"/>
  <c r="K17" i="6"/>
  <c r="P142" i="8"/>
  <c r="W17" i="6" s="1"/>
  <c r="G150" i="8"/>
  <c r="G151" i="8" s="1"/>
  <c r="S142" i="8" l="1"/>
  <c r="Z17" i="6" s="1"/>
  <c r="AA17" i="6" s="1"/>
  <c r="C18" i="6" s="1"/>
  <c r="J150" i="8"/>
  <c r="J151" i="8" s="1"/>
  <c r="G18" i="6" l="1"/>
  <c r="E18" i="6"/>
  <c r="H18" i="6" s="1"/>
  <c r="AC18" i="6"/>
  <c r="J18" i="6" l="1"/>
  <c r="I18" i="6"/>
  <c r="N18" i="6" s="1"/>
  <c r="Q18" i="6" l="1"/>
  <c r="P154" i="8"/>
  <c r="W18" i="6" s="1"/>
  <c r="K18" i="6"/>
  <c r="G163" i="8"/>
  <c r="G164" i="8" s="1"/>
  <c r="S154" i="8" l="1"/>
  <c r="Z18" i="6" s="1"/>
  <c r="AA18" i="6" s="1"/>
  <c r="C19" i="6" s="1"/>
  <c r="J163" i="8"/>
  <c r="J164" i="8" s="1"/>
  <c r="G19" i="6" l="1"/>
  <c r="E19" i="6"/>
  <c r="H19" i="6" s="1"/>
  <c r="AC19" i="6"/>
  <c r="J19" i="6" l="1"/>
  <c r="I19" i="6"/>
  <c r="N19" i="6" s="1"/>
  <c r="Q19" i="6" l="1"/>
  <c r="K19" i="6"/>
  <c r="P167" i="8"/>
  <c r="W19" i="6" s="1"/>
  <c r="G176" i="8"/>
  <c r="G177" i="8" s="1"/>
  <c r="S167" i="8" l="1"/>
  <c r="Z19" i="6" s="1"/>
  <c r="AA19" i="6" s="1"/>
  <c r="C20" i="6" s="1"/>
  <c r="J176" i="8"/>
  <c r="J177" i="8" s="1"/>
  <c r="G20" i="6" l="1"/>
  <c r="E20" i="6"/>
  <c r="H20" i="6" s="1"/>
  <c r="AC20" i="6"/>
  <c r="J20" i="6" l="1"/>
  <c r="I20" i="6"/>
  <c r="N20" i="6" s="1"/>
  <c r="Q20" i="6" l="1"/>
  <c r="P180" i="8"/>
  <c r="W20" i="6" s="1"/>
  <c r="K20" i="6"/>
  <c r="G188" i="8"/>
  <c r="G189" i="8" s="1"/>
  <c r="S180" i="8" l="1"/>
  <c r="Z20" i="6" s="1"/>
  <c r="AA20" i="6" s="1"/>
  <c r="C21" i="6" s="1"/>
  <c r="J188" i="8"/>
  <c r="J189" i="8" s="1"/>
  <c r="G21" i="6" l="1"/>
  <c r="E21" i="6"/>
  <c r="H21" i="6" s="1"/>
  <c r="AC21" i="6"/>
  <c r="I21" i="6" l="1"/>
  <c r="N21" i="6" s="1"/>
  <c r="G200" i="8" s="1"/>
  <c r="G201" i="8" s="1"/>
  <c r="J21" i="6"/>
  <c r="P192" i="8"/>
  <c r="W21" i="6" s="1"/>
  <c r="K21" i="6" l="1"/>
  <c r="Q21" i="6"/>
  <c r="J200" i="8" s="1"/>
  <c r="J201" i="8" s="1"/>
  <c r="S192" i="8"/>
  <c r="Z21" i="6" s="1"/>
  <c r="AA21" i="6" s="1"/>
  <c r="C22" i="6" s="1"/>
  <c r="G22" i="6" l="1"/>
  <c r="E22" i="6"/>
  <c r="H22" i="6" s="1"/>
  <c r="AC22" i="6"/>
  <c r="J22" i="6" l="1"/>
  <c r="I22" i="6"/>
  <c r="N22" i="6" s="1"/>
  <c r="Q22" i="6" l="1"/>
  <c r="P204" i="8"/>
  <c r="W22" i="6" s="1"/>
  <c r="K22" i="6"/>
  <c r="G215" i="8"/>
  <c r="G216" i="8" s="1"/>
  <c r="S204" i="8" l="1"/>
  <c r="Z22" i="6" s="1"/>
  <c r="AA22" i="6" s="1"/>
  <c r="C23" i="6" s="1"/>
  <c r="J215" i="8"/>
  <c r="J216" i="8" s="1"/>
  <c r="G23" i="6" l="1"/>
  <c r="E23" i="6"/>
  <c r="H23" i="6" s="1"/>
  <c r="AC23" i="6"/>
  <c r="J23" i="6" l="1"/>
  <c r="I23" i="6"/>
  <c r="N23" i="6" s="1"/>
  <c r="Q23" i="6" l="1"/>
  <c r="K23" i="6"/>
  <c r="P219" i="8"/>
  <c r="W23" i="6" s="1"/>
  <c r="G230" i="8"/>
  <c r="G231" i="8" s="1"/>
  <c r="S219" i="8" l="1"/>
  <c r="Z23" i="6" s="1"/>
  <c r="AA23" i="6" s="1"/>
  <c r="C24" i="6" s="1"/>
  <c r="J230" i="8"/>
  <c r="J231" i="8" s="1"/>
  <c r="G24" i="6" l="1"/>
  <c r="E24" i="6"/>
  <c r="H24" i="6" s="1"/>
  <c r="I24" i="6" l="1"/>
  <c r="N24" i="6" s="1"/>
  <c r="P234" i="8" s="1"/>
  <c r="W24" i="6" s="1"/>
  <c r="J24" i="6"/>
  <c r="Q24" i="6"/>
  <c r="K24" i="6"/>
  <c r="G242" i="8"/>
  <c r="G243" i="8" s="1"/>
  <c r="S234" i="8" l="1"/>
  <c r="Z24" i="6" s="1"/>
  <c r="AA24" i="6" s="1"/>
  <c r="C25" i="6" s="1"/>
  <c r="J242" i="8"/>
  <c r="J243" i="8" s="1"/>
  <c r="G25" i="6" l="1"/>
  <c r="E25" i="6"/>
  <c r="H25" i="6" s="1"/>
  <c r="I25" i="6" l="1"/>
  <c r="N25" i="6" s="1"/>
  <c r="Q25" i="6" s="1"/>
  <c r="J25" i="6"/>
  <c r="P246" i="8"/>
  <c r="W25" i="6" s="1"/>
  <c r="G254" i="8" l="1"/>
  <c r="G255" i="8" s="1"/>
  <c r="K25" i="6"/>
  <c r="S246" i="8"/>
  <c r="Z25" i="6" s="1"/>
  <c r="AA25" i="6" s="1"/>
  <c r="C26" i="6" s="1"/>
  <c r="J254" i="8"/>
  <c r="J255" i="8" s="1"/>
  <c r="G26" i="6" l="1"/>
  <c r="E26" i="6"/>
  <c r="H26" i="6" s="1"/>
  <c r="I26" i="6" l="1"/>
  <c r="N26" i="6" s="1"/>
  <c r="P258" i="8" s="1"/>
  <c r="W26" i="6" s="1"/>
  <c r="J26" i="6"/>
  <c r="Q26" i="6"/>
  <c r="K26" i="6"/>
  <c r="G266" i="8"/>
  <c r="G267" i="8" s="1"/>
  <c r="S258" i="8" l="1"/>
  <c r="Z26" i="6" s="1"/>
  <c r="AA26" i="6" s="1"/>
  <c r="C27" i="6" s="1"/>
  <c r="J266" i="8"/>
  <c r="J267" i="8" s="1"/>
  <c r="G27" i="6" l="1"/>
  <c r="E27" i="6"/>
  <c r="H27" i="6" s="1"/>
  <c r="I27" i="6" l="1"/>
  <c r="N27" i="6" s="1"/>
  <c r="Q27" i="6" s="1"/>
  <c r="J27" i="6"/>
  <c r="P270" i="8"/>
  <c r="W27" i="6" s="1"/>
  <c r="G278" i="8"/>
  <c r="G279" i="8" s="1"/>
  <c r="K27" i="6" l="1"/>
  <c r="S270" i="8"/>
  <c r="Z27" i="6" s="1"/>
  <c r="AA27" i="6" s="1"/>
  <c r="C28" i="6" s="1"/>
  <c r="J278" i="8"/>
  <c r="J279" i="8" s="1"/>
  <c r="G28" i="6" l="1"/>
  <c r="E28" i="6"/>
  <c r="H28" i="6" s="1"/>
  <c r="J28" i="6" l="1"/>
  <c r="I28" i="6"/>
  <c r="N28" i="6" s="1"/>
  <c r="Q28" i="6" l="1"/>
  <c r="P282" i="8"/>
  <c r="W28" i="6" s="1"/>
  <c r="K28" i="6"/>
  <c r="G290" i="8"/>
  <c r="G291" i="8" s="1"/>
  <c r="S282" i="8" l="1"/>
  <c r="Z28" i="6" s="1"/>
  <c r="AA28" i="6" s="1"/>
  <c r="C29" i="6" s="1"/>
  <c r="J290" i="8"/>
  <c r="J291" i="8" s="1"/>
  <c r="G29" i="6" l="1"/>
  <c r="E29" i="6"/>
  <c r="H29" i="6" s="1"/>
  <c r="J29" i="6" l="1"/>
  <c r="I29" i="6"/>
  <c r="N29" i="6" s="1"/>
  <c r="Q29" i="6" l="1"/>
  <c r="K29" i="6"/>
  <c r="P294" i="8"/>
  <c r="W29" i="6" s="1"/>
  <c r="G302" i="8"/>
  <c r="G303" i="8" s="1"/>
  <c r="S294" i="8" l="1"/>
  <c r="Z29" i="6" s="1"/>
  <c r="AA29" i="6" s="1"/>
  <c r="C30" i="6" s="1"/>
  <c r="J302" i="8"/>
  <c r="J303" i="8" s="1"/>
  <c r="G30" i="6" l="1"/>
  <c r="E30" i="6"/>
  <c r="H30" i="6" s="1"/>
  <c r="J30" i="6" l="1"/>
  <c r="I30" i="6"/>
  <c r="N30" i="6" s="1"/>
  <c r="Q30" i="6" l="1"/>
  <c r="P306" i="8"/>
  <c r="W30" i="6" s="1"/>
  <c r="K30" i="6"/>
  <c r="G316" i="8"/>
  <c r="G317" i="8" s="1"/>
  <c r="S306" i="8" l="1"/>
  <c r="Z30" i="6" s="1"/>
  <c r="AA30" i="6" s="1"/>
  <c r="C31" i="6" s="1"/>
  <c r="J316" i="8"/>
  <c r="J317" i="8" s="1"/>
  <c r="G31" i="6" l="1"/>
  <c r="E31" i="6"/>
  <c r="H31" i="6" s="1"/>
  <c r="I31" i="6" l="1"/>
  <c r="N31" i="6" s="1"/>
  <c r="P320" i="8" s="1"/>
  <c r="W31" i="6" s="1"/>
  <c r="Q31" i="6"/>
  <c r="K31" i="6"/>
  <c r="G328" i="8"/>
  <c r="G329" i="8" s="1"/>
  <c r="J31" i="6"/>
  <c r="S320" i="8" l="1"/>
  <c r="Z31" i="6" s="1"/>
  <c r="AA31" i="6" s="1"/>
  <c r="C32" i="6" s="1"/>
  <c r="J328" i="8"/>
  <c r="J329" i="8" s="1"/>
  <c r="G32" i="6" l="1"/>
  <c r="E32" i="6"/>
  <c r="H32" i="6" s="1"/>
  <c r="J32" i="6" l="1"/>
  <c r="I32" i="6"/>
  <c r="N32" i="6" s="1"/>
  <c r="Q32" i="6" l="1"/>
  <c r="P332" i="8"/>
  <c r="W32" i="6" s="1"/>
  <c r="K32" i="6"/>
  <c r="G340" i="8"/>
  <c r="G341" i="8" s="1"/>
  <c r="S332" i="8" l="1"/>
  <c r="Z32" i="6" s="1"/>
  <c r="AA32" i="6" s="1"/>
  <c r="C33" i="6" s="1"/>
  <c r="J340" i="8"/>
  <c r="J341" i="8" s="1"/>
  <c r="G33" i="6" l="1"/>
  <c r="E33" i="6"/>
  <c r="H33" i="6" s="1"/>
  <c r="J33" i="6" l="1"/>
  <c r="I33" i="6"/>
  <c r="N33" i="6" s="1"/>
  <c r="Q33" i="6" l="1"/>
  <c r="K33" i="6"/>
  <c r="P344" i="8"/>
  <c r="W33" i="6" s="1"/>
  <c r="G352" i="8"/>
  <c r="G353" i="8" s="1"/>
  <c r="S344" i="8" l="1"/>
  <c r="Z33" i="6" s="1"/>
  <c r="AA33" i="6" s="1"/>
  <c r="C34" i="6" s="1"/>
  <c r="J352" i="8"/>
  <c r="J353" i="8" s="1"/>
  <c r="G34" i="6" l="1"/>
  <c r="E34" i="6"/>
  <c r="H34" i="6" s="1"/>
  <c r="J34" i="6" l="1"/>
  <c r="I34" i="6"/>
  <c r="N34" i="6" s="1"/>
  <c r="Q34" i="6" l="1"/>
  <c r="P356" i="8"/>
  <c r="W34" i="6" s="1"/>
  <c r="G364" i="8"/>
  <c r="G365" i="8" s="1"/>
  <c r="K34" i="6"/>
  <c r="S356" i="8" l="1"/>
  <c r="Z34" i="6" s="1"/>
  <c r="AA34" i="6" s="1"/>
  <c r="C35" i="6" s="1"/>
  <c r="J364" i="8"/>
  <c r="J365" i="8" s="1"/>
  <c r="G35" i="6" l="1"/>
  <c r="E35" i="6"/>
  <c r="H35" i="6" s="1"/>
  <c r="I35" i="6" l="1"/>
  <c r="N35" i="6" s="1"/>
  <c r="G376" i="8" s="1"/>
  <c r="G377" i="8" s="1"/>
  <c r="Q35" i="6"/>
  <c r="K35" i="6"/>
  <c r="P368" i="8"/>
  <c r="W35" i="6" s="1"/>
  <c r="J35" i="6"/>
  <c r="S368" i="8" l="1"/>
  <c r="Z35" i="6" s="1"/>
  <c r="AA35" i="6" s="1"/>
  <c r="C36" i="6" s="1"/>
  <c r="J376" i="8"/>
  <c r="J377" i="8" s="1"/>
  <c r="G36" i="6" l="1"/>
  <c r="E36" i="6"/>
  <c r="H36" i="6" s="1"/>
  <c r="J36" i="6" l="1"/>
  <c r="I36" i="6"/>
  <c r="N36" i="6" s="1"/>
  <c r="Q36" i="6" l="1"/>
  <c r="P380" i="8"/>
  <c r="W36" i="6" s="1"/>
  <c r="K36" i="6"/>
  <c r="G388" i="8"/>
  <c r="G389" i="8" s="1"/>
  <c r="S380" i="8" l="1"/>
  <c r="Z36" i="6" s="1"/>
  <c r="AA36" i="6" s="1"/>
  <c r="C37" i="6" s="1"/>
  <c r="J388" i="8"/>
  <c r="J389" i="8" s="1"/>
  <c r="E37" i="6" l="1"/>
  <c r="H37" i="6" s="1"/>
  <c r="G37" i="6"/>
  <c r="I37" i="6" s="1"/>
  <c r="N37" i="6" s="1"/>
  <c r="K37" i="6" l="1"/>
  <c r="P392" i="8"/>
  <c r="W37" i="6" s="1"/>
  <c r="Q37" i="6"/>
  <c r="G400" i="8"/>
  <c r="G401" i="8" s="1"/>
  <c r="J37" i="6"/>
  <c r="S392" i="8" l="1"/>
  <c r="Z37" i="6" s="1"/>
  <c r="AA37" i="6" s="1"/>
  <c r="C38" i="6" s="1"/>
  <c r="J400" i="8"/>
  <c r="J401" i="8" s="1"/>
  <c r="E38" i="6" l="1"/>
  <c r="H38" i="6" s="1"/>
  <c r="G38" i="6"/>
  <c r="I38" i="6" s="1"/>
  <c r="N38" i="6" s="1"/>
  <c r="P404" i="8" l="1"/>
  <c r="W38" i="6" s="1"/>
  <c r="K38" i="6"/>
  <c r="G412" i="8"/>
  <c r="G413" i="8" s="1"/>
  <c r="Q38" i="6"/>
  <c r="J38" i="6"/>
  <c r="S404" i="8" l="1"/>
  <c r="Z38" i="6" s="1"/>
  <c r="AA38" i="6" s="1"/>
  <c r="C39" i="6" s="1"/>
  <c r="J412" i="8"/>
  <c r="J413" i="8" s="1"/>
  <c r="E39" i="6" l="1"/>
  <c r="H39" i="6" s="1"/>
  <c r="G39" i="6"/>
  <c r="J39" i="6" l="1"/>
  <c r="I39" i="6"/>
  <c r="N39" i="6" s="1"/>
  <c r="K39" i="6" l="1"/>
  <c r="P416" i="8"/>
  <c r="W39" i="6" s="1"/>
  <c r="Q39" i="6"/>
  <c r="G424" i="8"/>
  <c r="G425" i="8" s="1"/>
  <c r="S416" i="8" l="1"/>
  <c r="Z39" i="6" s="1"/>
  <c r="AA39" i="6" s="1"/>
  <c r="C40" i="6" s="1"/>
  <c r="J424" i="8"/>
  <c r="J425" i="8" s="1"/>
  <c r="E40" i="6" l="1"/>
  <c r="H40" i="6" s="1"/>
  <c r="G40" i="6"/>
  <c r="J40" i="6" l="1"/>
  <c r="I40" i="6"/>
  <c r="N40" i="6" s="1"/>
  <c r="P428" i="8" l="1"/>
  <c r="W40" i="6" s="1"/>
  <c r="K40" i="6"/>
  <c r="Q40" i="6"/>
  <c r="G436" i="8"/>
  <c r="G437" i="8" s="1"/>
  <c r="S428" i="8" l="1"/>
  <c r="Z40" i="6" s="1"/>
  <c r="AA40" i="6" s="1"/>
  <c r="C41" i="6" s="1"/>
  <c r="J436" i="8"/>
  <c r="J437" i="8" s="1"/>
  <c r="E41" i="6" l="1"/>
  <c r="H41" i="6" s="1"/>
  <c r="G41" i="6"/>
  <c r="I41" i="6" s="1"/>
  <c r="N41" i="6" s="1"/>
  <c r="K41" i="6" l="1"/>
  <c r="P440" i="8"/>
  <c r="W41" i="6" s="1"/>
  <c r="Q41" i="6"/>
  <c r="G448" i="8"/>
  <c r="G449" i="8" s="1"/>
  <c r="J41" i="6"/>
  <c r="S440" i="8" l="1"/>
  <c r="Z41" i="6" s="1"/>
  <c r="AA41" i="6" s="1"/>
  <c r="C42" i="6" s="1"/>
  <c r="J448" i="8"/>
  <c r="J449" i="8" s="1"/>
  <c r="E42" i="6" l="1"/>
  <c r="H42" i="6" s="1"/>
  <c r="G42" i="6"/>
  <c r="I42" i="6" s="1"/>
  <c r="N42" i="6" s="1"/>
  <c r="P452" i="8" l="1"/>
  <c r="W42" i="6" s="1"/>
  <c r="K42" i="6"/>
  <c r="G460" i="8"/>
  <c r="G461" i="8" s="1"/>
  <c r="Q42" i="6"/>
  <c r="J42" i="6"/>
  <c r="S452" i="8" l="1"/>
  <c r="Z42" i="6" s="1"/>
  <c r="AA42" i="6" s="1"/>
  <c r="C43" i="6" s="1"/>
  <c r="J460" i="8"/>
  <c r="J461" i="8" s="1"/>
  <c r="E43" i="6" l="1"/>
  <c r="H43" i="6" s="1"/>
  <c r="G43" i="6"/>
  <c r="I43" i="6" l="1"/>
  <c r="N43" i="6" s="1"/>
  <c r="K43" i="6" s="1"/>
  <c r="P464" i="8"/>
  <c r="W43" i="6" s="1"/>
  <c r="G472" i="8"/>
  <c r="G473" i="8" s="1"/>
  <c r="J43" i="6"/>
  <c r="Q43" i="6" l="1"/>
  <c r="J472" i="8" s="1"/>
  <c r="J473" i="8" s="1"/>
  <c r="S464" i="8"/>
  <c r="Z43" i="6" s="1"/>
  <c r="AA43" i="6" s="1"/>
  <c r="C44" i="6" s="1"/>
  <c r="E44" i="6" l="1"/>
  <c r="H44" i="6" s="1"/>
  <c r="G44" i="6"/>
  <c r="I44" i="6" l="1"/>
  <c r="N44" i="6" s="1"/>
  <c r="P476" i="8" s="1"/>
  <c r="W44" i="6" s="1"/>
  <c r="G484" i="8"/>
  <c r="G485" i="8" s="1"/>
  <c r="J44" i="6"/>
  <c r="Q44" i="6" l="1"/>
  <c r="S476" i="8" s="1"/>
  <c r="Z44" i="6" s="1"/>
  <c r="AA44" i="6" s="1"/>
  <c r="C45" i="6" s="1"/>
  <c r="K44" i="6"/>
  <c r="J484" i="8"/>
  <c r="J485" i="8" s="1"/>
  <c r="E45" i="6" l="1"/>
  <c r="H45" i="6" s="1"/>
  <c r="G45" i="6"/>
  <c r="I45" i="6" l="1"/>
  <c r="N45" i="6" s="1"/>
  <c r="K45" i="6" s="1"/>
  <c r="G496" i="8"/>
  <c r="G497" i="8" s="1"/>
  <c r="J45" i="6"/>
  <c r="Q45" i="6" l="1"/>
  <c r="S488" i="8" s="1"/>
  <c r="Z45" i="6" s="1"/>
  <c r="AA45" i="6" s="1"/>
  <c r="C46" i="6" s="1"/>
  <c r="P488" i="8"/>
  <c r="W45" i="6" s="1"/>
  <c r="J496" i="8" l="1"/>
  <c r="J497" i="8" s="1"/>
  <c r="E46" i="6"/>
  <c r="H46" i="6" s="1"/>
  <c r="G46" i="6"/>
  <c r="I46" i="6" s="1"/>
  <c r="N46" i="6" s="1"/>
  <c r="P500" i="8" l="1"/>
  <c r="W46" i="6" s="1"/>
  <c r="K46" i="6"/>
  <c r="G508" i="8"/>
  <c r="G509" i="8" s="1"/>
  <c r="Q46" i="6"/>
  <c r="J46" i="6"/>
  <c r="S500" i="8" l="1"/>
  <c r="Z46" i="6" s="1"/>
  <c r="AA46" i="6" s="1"/>
  <c r="C47" i="6" s="1"/>
  <c r="J508" i="8"/>
  <c r="J509" i="8" s="1"/>
  <c r="E47" i="6" l="1"/>
  <c r="H47" i="6" s="1"/>
  <c r="G47" i="6"/>
  <c r="I47" i="6" s="1"/>
  <c r="N47" i="6" s="1"/>
  <c r="K47" i="6" l="1"/>
  <c r="P512" i="8"/>
  <c r="W47" i="6" s="1"/>
  <c r="Q47" i="6"/>
  <c r="G520" i="8"/>
  <c r="G521" i="8" s="1"/>
  <c r="J47" i="6"/>
  <c r="S512" i="8" l="1"/>
  <c r="Z47" i="6" s="1"/>
  <c r="AA47" i="6" s="1"/>
  <c r="C48" i="6" s="1"/>
  <c r="J520" i="8"/>
  <c r="J521" i="8" s="1"/>
  <c r="E48" i="6" l="1"/>
  <c r="H48" i="6" s="1"/>
  <c r="G48" i="6"/>
  <c r="I48" i="6" l="1"/>
  <c r="N48" i="6" s="1"/>
  <c r="J48" i="6"/>
  <c r="K48" i="6" l="1"/>
  <c r="P524" i="8"/>
  <c r="W48" i="6" s="1"/>
  <c r="Q48" i="6"/>
  <c r="G532" i="8"/>
  <c r="G533" i="8" s="1"/>
  <c r="S524" i="8" l="1"/>
  <c r="Z48" i="6" s="1"/>
  <c r="AA48" i="6" s="1"/>
  <c r="C49" i="6" s="1"/>
  <c r="J532" i="8"/>
  <c r="J533" i="8" s="1"/>
  <c r="E49" i="6" l="1"/>
  <c r="H49" i="6" s="1"/>
  <c r="G49" i="6"/>
  <c r="I49" i="6" s="1"/>
  <c r="N49" i="6" s="1"/>
  <c r="P536" i="8" l="1"/>
  <c r="W49" i="6" s="1"/>
  <c r="K49" i="6"/>
  <c r="Q49" i="6"/>
  <c r="G544" i="8"/>
  <c r="G545" i="8" s="1"/>
  <c r="J49" i="6"/>
  <c r="S536" i="8" l="1"/>
  <c r="Z49" i="6" s="1"/>
  <c r="AA49" i="6" s="1"/>
  <c r="C50" i="6" s="1"/>
  <c r="J544" i="8"/>
  <c r="J545" i="8" s="1"/>
  <c r="E50" i="6" l="1"/>
  <c r="H50" i="6" s="1"/>
  <c r="G50" i="6"/>
  <c r="I50" i="6" l="1"/>
  <c r="N50" i="6" s="1"/>
  <c r="K50" i="6"/>
  <c r="P548" i="8"/>
  <c r="W50" i="6" s="1"/>
  <c r="Q50" i="6"/>
  <c r="G556" i="8"/>
  <c r="G557" i="8" s="1"/>
  <c r="J50" i="6"/>
  <c r="S548" i="8" l="1"/>
  <c r="Z50" i="6" s="1"/>
  <c r="AA50" i="6" s="1"/>
  <c r="C51" i="6" s="1"/>
  <c r="J556" i="8"/>
  <c r="J557" i="8" s="1"/>
  <c r="E51" i="6" l="1"/>
  <c r="H51" i="6" s="1"/>
  <c r="G51" i="6"/>
  <c r="I51" i="6" s="1"/>
  <c r="N51" i="6" s="1"/>
  <c r="P560" i="8" l="1"/>
  <c r="W51" i="6" s="1"/>
  <c r="K51" i="6"/>
  <c r="Q51" i="6"/>
  <c r="G568" i="8"/>
  <c r="G569" i="8" s="1"/>
  <c r="J51" i="6"/>
  <c r="S560" i="8" l="1"/>
  <c r="Z51" i="6" s="1"/>
  <c r="AA51" i="6" s="1"/>
  <c r="C52" i="6" s="1"/>
  <c r="J568" i="8"/>
  <c r="J569" i="8" s="1"/>
  <c r="E52" i="6" l="1"/>
  <c r="H52" i="6" s="1"/>
  <c r="G52" i="6"/>
  <c r="I52" i="6" l="1"/>
  <c r="N52" i="6" s="1"/>
  <c r="K52" i="6"/>
  <c r="P572" i="8"/>
  <c r="W52" i="6" s="1"/>
  <c r="Q52" i="6"/>
  <c r="G580" i="8"/>
  <c r="G581" i="8" s="1"/>
  <c r="J52" i="6"/>
  <c r="S572" i="8" l="1"/>
  <c r="Z52" i="6" s="1"/>
  <c r="AA52" i="6" s="1"/>
  <c r="C53" i="6" s="1"/>
  <c r="J580" i="8"/>
  <c r="J581" i="8" s="1"/>
  <c r="E53" i="6" l="1"/>
  <c r="H53" i="6" s="1"/>
  <c r="G53" i="6"/>
  <c r="I53" i="6" l="1"/>
  <c r="N53" i="6" s="1"/>
  <c r="K53" i="6" s="1"/>
  <c r="J53" i="6"/>
  <c r="Q53" i="6" l="1"/>
  <c r="G592" i="8"/>
  <c r="G593" i="8" s="1"/>
  <c r="P584" i="8"/>
  <c r="W53" i="6" s="1"/>
  <c r="S584" i="8"/>
  <c r="Z53" i="6" s="1"/>
  <c r="AA53" i="6" s="1"/>
  <c r="C54" i="6" s="1"/>
  <c r="J592" i="8"/>
  <c r="J593" i="8" s="1"/>
  <c r="E54" i="6" l="1"/>
  <c r="H54" i="6" s="1"/>
  <c r="G54" i="6"/>
  <c r="I54" i="6" l="1"/>
  <c r="N54" i="6" s="1"/>
  <c r="K54" i="6"/>
  <c r="P596" i="8"/>
  <c r="W54" i="6" s="1"/>
  <c r="Q54" i="6"/>
  <c r="G604" i="8"/>
  <c r="G605" i="8" s="1"/>
  <c r="J54" i="6"/>
  <c r="S596" i="8" l="1"/>
  <c r="Z54" i="6" s="1"/>
  <c r="AA54" i="6" s="1"/>
  <c r="C55" i="6" s="1"/>
  <c r="J604" i="8"/>
  <c r="J605" i="8" s="1"/>
  <c r="E55" i="6" l="1"/>
  <c r="H55" i="6" s="1"/>
  <c r="G55" i="6"/>
  <c r="I55" i="6" s="1"/>
  <c r="N55" i="6" s="1"/>
  <c r="P608" i="8" l="1"/>
  <c r="W55" i="6" s="1"/>
  <c r="K55" i="6"/>
  <c r="Q55" i="6"/>
  <c r="G616" i="8"/>
  <c r="G617" i="8" s="1"/>
  <c r="J55" i="6"/>
  <c r="S608" i="8" l="1"/>
  <c r="Z55" i="6" s="1"/>
  <c r="AA55" i="6" s="1"/>
  <c r="C56" i="6" s="1"/>
  <c r="J616" i="8"/>
  <c r="J617" i="8" s="1"/>
  <c r="E56" i="6" l="1"/>
  <c r="H56" i="6" s="1"/>
  <c r="G56" i="6"/>
  <c r="I56" i="6" l="1"/>
  <c r="N56" i="6" s="1"/>
  <c r="K56" i="6"/>
  <c r="P620" i="8"/>
  <c r="W56" i="6" s="1"/>
  <c r="Q56" i="6"/>
  <c r="G628" i="8"/>
  <c r="G629" i="8" s="1"/>
  <c r="J56" i="6"/>
  <c r="S620" i="8" l="1"/>
  <c r="Z56" i="6" s="1"/>
  <c r="AA56" i="6" s="1"/>
  <c r="C57" i="6" s="1"/>
  <c r="J628" i="8"/>
  <c r="J629" i="8" s="1"/>
  <c r="E57" i="6" l="1"/>
  <c r="H57" i="6" s="1"/>
  <c r="G57" i="6"/>
  <c r="I57" i="6" s="1"/>
  <c r="N57" i="6" s="1"/>
  <c r="P632" i="8" l="1"/>
  <c r="W57" i="6" s="1"/>
  <c r="K57" i="6"/>
  <c r="Q57" i="6"/>
  <c r="G640" i="8"/>
  <c r="G641" i="8" s="1"/>
  <c r="J57" i="6"/>
  <c r="S632" i="8" l="1"/>
  <c r="Z57" i="6" s="1"/>
  <c r="AA57" i="6" s="1"/>
  <c r="C58" i="6" s="1"/>
  <c r="J640" i="8"/>
  <c r="J641" i="8" s="1"/>
  <c r="E58" i="6" l="1"/>
  <c r="H58" i="6" s="1"/>
  <c r="G58" i="6"/>
  <c r="I58" i="6" l="1"/>
  <c r="N58" i="6" s="1"/>
  <c r="K58" i="6"/>
  <c r="P644" i="8"/>
  <c r="W58" i="6" s="1"/>
  <c r="Q58" i="6"/>
  <c r="G652" i="8"/>
  <c r="G653" i="8" s="1"/>
  <c r="J58" i="6"/>
  <c r="S644" i="8" l="1"/>
  <c r="Z58" i="6" s="1"/>
  <c r="AA58" i="6" s="1"/>
  <c r="C59" i="6" s="1"/>
  <c r="J652" i="8"/>
  <c r="J653" i="8" s="1"/>
  <c r="E59" i="6" l="1"/>
  <c r="H59" i="6" s="1"/>
  <c r="G59" i="6"/>
  <c r="I59" i="6" l="1"/>
  <c r="N59" i="6" s="1"/>
  <c r="K59" i="6" s="1"/>
  <c r="J59" i="6"/>
  <c r="G664" i="8" l="1"/>
  <c r="G665" i="8" s="1"/>
  <c r="P656" i="8"/>
  <c r="W59" i="6" s="1"/>
  <c r="Q59" i="6"/>
  <c r="J664" i="8" s="1"/>
  <c r="J665" i="8" s="1"/>
  <c r="S656" i="8"/>
  <c r="Z59" i="6" s="1"/>
  <c r="AA59" i="6" s="1"/>
  <c r="C60" i="6" s="1"/>
  <c r="E60" i="6" l="1"/>
  <c r="H60" i="6" s="1"/>
  <c r="G60" i="6"/>
  <c r="I60" i="6" l="1"/>
  <c r="N60" i="6" s="1"/>
  <c r="K60" i="6"/>
  <c r="P668" i="8"/>
  <c r="W60" i="6" s="1"/>
  <c r="Q60" i="6"/>
  <c r="G676" i="8"/>
  <c r="G677" i="8" s="1"/>
  <c r="J60" i="6"/>
  <c r="S668" i="8" l="1"/>
  <c r="Z60" i="6" s="1"/>
  <c r="AA60" i="6" s="1"/>
  <c r="C61" i="6" s="1"/>
  <c r="J676" i="8"/>
  <c r="J677" i="8" s="1"/>
  <c r="E61" i="6" l="1"/>
  <c r="H61" i="6" s="1"/>
  <c r="G61" i="6"/>
  <c r="J61" i="6" l="1"/>
  <c r="I61" i="6"/>
  <c r="N61" i="6" s="1"/>
  <c r="P680" i="8" l="1"/>
  <c r="W61" i="6" s="1"/>
  <c r="K61" i="6"/>
  <c r="Q61" i="6"/>
  <c r="G688" i="8"/>
  <c r="G689" i="8" s="1"/>
  <c r="S680" i="8" l="1"/>
  <c r="Z61" i="6" s="1"/>
  <c r="AA61" i="6" s="1"/>
  <c r="C62" i="6" s="1"/>
  <c r="J688" i="8"/>
  <c r="J689" i="8" s="1"/>
  <c r="E62" i="6" l="1"/>
  <c r="H62" i="6" s="1"/>
  <c r="G62" i="6"/>
  <c r="I62" i="6" s="1"/>
  <c r="N62" i="6" s="1"/>
  <c r="K62" i="6" l="1"/>
  <c r="P692" i="8"/>
  <c r="W62" i="6" s="1"/>
  <c r="Q62" i="6"/>
  <c r="G700" i="8"/>
  <c r="G701" i="8" s="1"/>
  <c r="J62" i="6"/>
  <c r="S692" i="8" l="1"/>
  <c r="Z62" i="6" s="1"/>
  <c r="AA62" i="6" s="1"/>
  <c r="C63" i="6" s="1"/>
  <c r="J700" i="8"/>
  <c r="J701" i="8" s="1"/>
  <c r="E63" i="6" l="1"/>
  <c r="H63" i="6" s="1"/>
  <c r="G63" i="6"/>
  <c r="I63" i="6" l="1"/>
  <c r="N63" i="6" s="1"/>
  <c r="P704" i="8"/>
  <c r="W63" i="6" s="1"/>
  <c r="K63" i="6"/>
  <c r="G712" i="8"/>
  <c r="G713" i="8" s="1"/>
  <c r="Q63" i="6"/>
  <c r="J63" i="6"/>
  <c r="S704" i="8" l="1"/>
  <c r="Z63" i="6" s="1"/>
  <c r="AA63" i="6" s="1"/>
  <c r="C64" i="6" s="1"/>
  <c r="J712" i="8"/>
  <c r="J713" i="8" s="1"/>
  <c r="E64" i="6" l="1"/>
  <c r="H64" i="6" s="1"/>
  <c r="G64" i="6"/>
  <c r="J64" i="6" l="1"/>
  <c r="I64" i="6"/>
  <c r="N64" i="6" s="1"/>
  <c r="K64" i="6" l="1"/>
  <c r="P716" i="8"/>
  <c r="W64" i="6" s="1"/>
  <c r="Q64" i="6"/>
  <c r="G724" i="8"/>
  <c r="G725" i="8" s="1"/>
  <c r="S716" i="8" l="1"/>
  <c r="Z64" i="6" s="1"/>
  <c r="AA64" i="6" s="1"/>
  <c r="C65" i="6" s="1"/>
  <c r="J724" i="8"/>
  <c r="J725" i="8" s="1"/>
  <c r="E65" i="6" l="1"/>
  <c r="H65" i="6" s="1"/>
  <c r="G65" i="6"/>
  <c r="I65" i="6" s="1"/>
  <c r="N65" i="6" s="1"/>
  <c r="P728" i="8" l="1"/>
  <c r="W65" i="6" s="1"/>
  <c r="K65" i="6"/>
  <c r="Q65" i="6"/>
  <c r="G736" i="8"/>
  <c r="G737" i="8" s="1"/>
  <c r="J65" i="6"/>
  <c r="S728" i="8" l="1"/>
  <c r="Z65" i="6" s="1"/>
  <c r="AA65" i="6" s="1"/>
  <c r="C66" i="6" s="1"/>
  <c r="J736" i="8"/>
  <c r="J737" i="8" s="1"/>
  <c r="E66" i="6" l="1"/>
  <c r="H66" i="6" s="1"/>
  <c r="G66" i="6"/>
  <c r="I66" i="6" l="1"/>
  <c r="N66" i="6" s="1"/>
  <c r="K66" i="6" s="1"/>
  <c r="P740" i="8"/>
  <c r="W66" i="6" s="1"/>
  <c r="Q66" i="6"/>
  <c r="G748" i="8"/>
  <c r="G749" i="8" s="1"/>
  <c r="J66" i="6"/>
  <c r="S740" i="8" l="1"/>
  <c r="Z66" i="6" s="1"/>
  <c r="AA66" i="6" s="1"/>
  <c r="C67" i="6" s="1"/>
  <c r="J748" i="8"/>
  <c r="J749" i="8" s="1"/>
  <c r="E67" i="6" l="1"/>
  <c r="H67" i="6" s="1"/>
  <c r="G67" i="6"/>
  <c r="I67" i="6" l="1"/>
  <c r="N67" i="6" s="1"/>
  <c r="K67" i="6" s="1"/>
  <c r="P752" i="8"/>
  <c r="W67" i="6" s="1"/>
  <c r="G760" i="8"/>
  <c r="G761" i="8" s="1"/>
  <c r="Q67" i="6"/>
  <c r="J67" i="6"/>
  <c r="S752" i="8" l="1"/>
  <c r="Z67" i="6" s="1"/>
  <c r="AA67" i="6" s="1"/>
  <c r="C68" i="6" s="1"/>
  <c r="J760" i="8"/>
  <c r="J761" i="8" s="1"/>
  <c r="E68" i="6" l="1"/>
  <c r="H68" i="6" s="1"/>
  <c r="G68" i="6"/>
  <c r="J68" i="6" l="1"/>
  <c r="I68" i="6"/>
  <c r="N68" i="6" s="1"/>
  <c r="K68" i="6" l="1"/>
  <c r="P764" i="8"/>
  <c r="W68" i="6" s="1"/>
  <c r="Q68" i="6"/>
  <c r="G772" i="8"/>
  <c r="G773" i="8" s="1"/>
  <c r="S764" i="8" l="1"/>
  <c r="Z68" i="6" s="1"/>
  <c r="AA68" i="6" s="1"/>
  <c r="C69" i="6" s="1"/>
  <c r="J772" i="8"/>
  <c r="J773" i="8" s="1"/>
  <c r="E69" i="6" l="1"/>
  <c r="H69" i="6" s="1"/>
  <c r="G69" i="6"/>
  <c r="J69" i="6" l="1"/>
  <c r="I69" i="6"/>
  <c r="N69" i="6" s="1"/>
  <c r="P776" i="8" l="1"/>
  <c r="W69" i="6" s="1"/>
  <c r="K69" i="6"/>
  <c r="G784" i="8"/>
  <c r="G785" i="8" s="1"/>
  <c r="Q69" i="6"/>
  <c r="S776" i="8" l="1"/>
  <c r="Z69" i="6" s="1"/>
  <c r="AA69" i="6" s="1"/>
  <c r="C70" i="6" s="1"/>
  <c r="J784" i="8"/>
  <c r="J785" i="8" s="1"/>
  <c r="E70" i="6" l="1"/>
  <c r="H70" i="6" s="1"/>
  <c r="G70" i="6"/>
  <c r="I70" i="6" s="1"/>
  <c r="N70" i="6" s="1"/>
  <c r="K70" i="6" l="1"/>
  <c r="P788" i="8"/>
  <c r="W70" i="6" s="1"/>
  <c r="Q70" i="6"/>
  <c r="G796" i="8"/>
  <c r="G797" i="8" s="1"/>
  <c r="J70" i="6"/>
  <c r="S788" i="8" l="1"/>
  <c r="Z70" i="6" s="1"/>
  <c r="AA70" i="6" s="1"/>
  <c r="C71" i="6" s="1"/>
  <c r="J796" i="8"/>
  <c r="J797" i="8" s="1"/>
  <c r="E71" i="6" l="1"/>
  <c r="H71" i="6" s="1"/>
  <c r="G71" i="6"/>
  <c r="I71" i="6" l="1"/>
  <c r="N71" i="6" s="1"/>
  <c r="K71" i="6" s="1"/>
  <c r="P800" i="8"/>
  <c r="W71" i="6" s="1"/>
  <c r="G808" i="8"/>
  <c r="G809" i="8" s="1"/>
  <c r="Q71" i="6"/>
  <c r="J71" i="6"/>
  <c r="S800" i="8" l="1"/>
  <c r="Z71" i="6" s="1"/>
  <c r="AA71" i="6" s="1"/>
  <c r="C72" i="6" s="1"/>
  <c r="J808" i="8"/>
  <c r="J809" i="8" s="1"/>
  <c r="E72" i="6" l="1"/>
  <c r="H72" i="6" s="1"/>
  <c r="G72" i="6"/>
  <c r="J72" i="6" l="1"/>
  <c r="I72" i="6"/>
  <c r="N72" i="6" s="1"/>
  <c r="K72" i="6" l="1"/>
  <c r="P812" i="8"/>
  <c r="W72" i="6" s="1"/>
  <c r="Q72" i="6"/>
  <c r="G820" i="8"/>
  <c r="G821" i="8" s="1"/>
  <c r="S812" i="8" l="1"/>
  <c r="Z72" i="6" s="1"/>
  <c r="AA72" i="6" s="1"/>
  <c r="C73" i="6" s="1"/>
  <c r="J820" i="8"/>
  <c r="J821" i="8" s="1"/>
  <c r="E73" i="6" l="1"/>
  <c r="H73" i="6" s="1"/>
  <c r="G73" i="6"/>
  <c r="J73" i="6" l="1"/>
  <c r="I73" i="6"/>
  <c r="N73" i="6" s="1"/>
  <c r="P824" i="8" l="1"/>
  <c r="W73" i="6" s="1"/>
  <c r="K73" i="6"/>
  <c r="Q73" i="6"/>
  <c r="G832" i="8"/>
  <c r="G833" i="8" s="1"/>
  <c r="S824" i="8" l="1"/>
  <c r="Z73" i="6" s="1"/>
  <c r="AA73" i="6" s="1"/>
  <c r="C74" i="6" s="1"/>
  <c r="J832" i="8"/>
  <c r="J833" i="8" s="1"/>
  <c r="E74" i="6" l="1"/>
  <c r="H74" i="6" s="1"/>
  <c r="G74" i="6"/>
  <c r="I74" i="6" l="1"/>
  <c r="N74" i="6" s="1"/>
  <c r="J74" i="6"/>
  <c r="K74" i="6" l="1"/>
  <c r="P836" i="8"/>
  <c r="W74" i="6" s="1"/>
  <c r="Q74" i="6"/>
  <c r="G844" i="8"/>
  <c r="G845" i="8" s="1"/>
  <c r="S836" i="8" l="1"/>
  <c r="Z74" i="6" s="1"/>
  <c r="AA74" i="6" s="1"/>
  <c r="C75" i="6" s="1"/>
  <c r="J844" i="8"/>
  <c r="J845" i="8" s="1"/>
  <c r="E75" i="6" l="1"/>
  <c r="H75" i="6" s="1"/>
  <c r="G75" i="6"/>
  <c r="I75" i="6" l="1"/>
  <c r="N75" i="6" s="1"/>
  <c r="P848" i="8"/>
  <c r="W75" i="6" s="1"/>
  <c r="K75" i="6"/>
  <c r="G856" i="8"/>
  <c r="G857" i="8" s="1"/>
  <c r="Q75" i="6"/>
  <c r="J75" i="6"/>
  <c r="S848" i="8" l="1"/>
  <c r="Z75" i="6" s="1"/>
  <c r="AA75" i="6" s="1"/>
  <c r="C76" i="6" s="1"/>
  <c r="J856" i="8"/>
  <c r="J857" i="8" s="1"/>
  <c r="E76" i="6" l="1"/>
  <c r="H76" i="6" s="1"/>
  <c r="G76" i="6"/>
  <c r="I76" i="6" l="1"/>
  <c r="N76" i="6" s="1"/>
  <c r="K76" i="6" s="1"/>
  <c r="G868" i="8"/>
  <c r="G869" i="8" s="1"/>
  <c r="J76" i="6"/>
  <c r="Q76" i="6" l="1"/>
  <c r="P860" i="8"/>
  <c r="W76" i="6" s="1"/>
  <c r="S860" i="8"/>
  <c r="Z76" i="6" s="1"/>
  <c r="AA76" i="6" s="1"/>
  <c r="C77" i="6" s="1"/>
  <c r="J868" i="8"/>
  <c r="J869" i="8" s="1"/>
  <c r="E77" i="6" l="1"/>
  <c r="H77" i="6" s="1"/>
  <c r="G77" i="6"/>
  <c r="I77" i="6" l="1"/>
  <c r="N77" i="6" s="1"/>
  <c r="P872" i="8" s="1"/>
  <c r="W77" i="6" s="1"/>
  <c r="G880" i="8"/>
  <c r="G881" i="8" s="1"/>
  <c r="J77" i="6"/>
  <c r="Q77" i="6" l="1"/>
  <c r="S872" i="8" s="1"/>
  <c r="Z77" i="6" s="1"/>
  <c r="AA77" i="6" s="1"/>
  <c r="C78" i="6" s="1"/>
  <c r="K77" i="6"/>
  <c r="J880" i="8"/>
  <c r="J881" i="8" s="1"/>
  <c r="E78" i="6" l="1"/>
  <c r="H78" i="6" s="1"/>
  <c r="G78" i="6"/>
  <c r="I78" i="6" l="1"/>
  <c r="N78" i="6" s="1"/>
  <c r="K78" i="6" s="1"/>
  <c r="P884" i="8"/>
  <c r="W78" i="6" s="1"/>
  <c r="Q78" i="6"/>
  <c r="G892" i="8"/>
  <c r="G893" i="8" s="1"/>
  <c r="J78" i="6"/>
  <c r="S884" i="8" l="1"/>
  <c r="Z78" i="6" s="1"/>
  <c r="AA78" i="6" s="1"/>
  <c r="C79" i="6" s="1"/>
  <c r="J892" i="8"/>
  <c r="J893" i="8" s="1"/>
  <c r="E79" i="6" l="1"/>
  <c r="H79" i="6" s="1"/>
  <c r="G79" i="6"/>
  <c r="I79" i="6" l="1"/>
  <c r="N79" i="6" s="1"/>
  <c r="P896" i="8" s="1"/>
  <c r="W79" i="6" s="1"/>
  <c r="Q79" i="6"/>
  <c r="J79" i="6"/>
  <c r="G904" i="8" l="1"/>
  <c r="G905" i="8" s="1"/>
  <c r="K79" i="6"/>
  <c r="S896" i="8"/>
  <c r="Z79" i="6" s="1"/>
  <c r="AA79" i="6" s="1"/>
  <c r="C80" i="6" s="1"/>
  <c r="J904" i="8"/>
  <c r="J905" i="8" s="1"/>
  <c r="E80" i="6" l="1"/>
  <c r="H80" i="6" s="1"/>
  <c r="G80" i="6"/>
  <c r="I80" i="6" l="1"/>
  <c r="N80" i="6" s="1"/>
  <c r="K80" i="6" s="1"/>
  <c r="J80" i="6"/>
  <c r="G916" i="8" l="1"/>
  <c r="G917" i="8" s="1"/>
  <c r="Q80" i="6"/>
  <c r="P908" i="8"/>
  <c r="W80" i="6" s="1"/>
  <c r="S908" i="8"/>
  <c r="Z80" i="6" s="1"/>
  <c r="AA80" i="6" s="1"/>
  <c r="C81" i="6" s="1"/>
  <c r="J916" i="8"/>
  <c r="J917" i="8" s="1"/>
  <c r="E81" i="6" l="1"/>
  <c r="H81" i="6" s="1"/>
  <c r="G81" i="6"/>
  <c r="I81" i="6" l="1"/>
  <c r="N81" i="6" s="1"/>
  <c r="K81" i="6" s="1"/>
  <c r="J81" i="6"/>
  <c r="G928" i="8" l="1"/>
  <c r="G929" i="8" s="1"/>
  <c r="Q81" i="6"/>
  <c r="P920" i="8"/>
  <c r="W81" i="6" s="1"/>
  <c r="S920" i="8"/>
  <c r="Z81" i="6" s="1"/>
  <c r="AA81" i="6" s="1"/>
  <c r="C82" i="6" s="1"/>
  <c r="J928" i="8"/>
  <c r="J929" i="8" s="1"/>
  <c r="E82" i="6" l="1"/>
  <c r="H82" i="6" s="1"/>
  <c r="G82" i="6"/>
  <c r="I82" i="6" l="1"/>
  <c r="N82" i="6" s="1"/>
  <c r="K82" i="6" s="1"/>
  <c r="G940" i="8"/>
  <c r="G941" i="8" s="1"/>
  <c r="J82" i="6"/>
  <c r="Q82" i="6" l="1"/>
  <c r="P932" i="8"/>
  <c r="W82" i="6" s="1"/>
  <c r="S932" i="8"/>
  <c r="Z82" i="6" s="1"/>
  <c r="AA82" i="6" s="1"/>
  <c r="C83" i="6" s="1"/>
  <c r="J940" i="8"/>
  <c r="J941" i="8" s="1"/>
  <c r="E83" i="6" l="1"/>
  <c r="H83" i="6" s="1"/>
  <c r="G83" i="6"/>
  <c r="I83" i="6" l="1"/>
  <c r="N83" i="6" s="1"/>
  <c r="P944" i="8" s="1"/>
  <c r="W83" i="6" s="1"/>
  <c r="Q83" i="6"/>
  <c r="J83" i="6"/>
  <c r="G952" i="8" l="1"/>
  <c r="G953" i="8" s="1"/>
  <c r="K83" i="6"/>
  <c r="S944" i="8"/>
  <c r="Z83" i="6" s="1"/>
  <c r="AA83" i="6" s="1"/>
  <c r="C84" i="6" s="1"/>
  <c r="J952" i="8"/>
  <c r="J953" i="8" s="1"/>
  <c r="E84" i="6" l="1"/>
  <c r="H84" i="6" s="1"/>
  <c r="G84" i="6"/>
  <c r="I84" i="6" s="1"/>
  <c r="N84" i="6" s="1"/>
  <c r="P956" i="8" l="1"/>
  <c r="W84" i="6" s="1"/>
  <c r="K84" i="6"/>
  <c r="Q84" i="6"/>
  <c r="G964" i="8"/>
  <c r="G965" i="8" s="1"/>
  <c r="J84" i="6"/>
  <c r="S956" i="8" l="1"/>
  <c r="Z84" i="6" s="1"/>
  <c r="AA84" i="6" s="1"/>
  <c r="C85" i="6" s="1"/>
  <c r="J964" i="8"/>
  <c r="J965" i="8" s="1"/>
  <c r="E85" i="6" l="1"/>
  <c r="H85" i="6" s="1"/>
  <c r="G85" i="6"/>
  <c r="I85" i="6" l="1"/>
  <c r="N85" i="6" s="1"/>
  <c r="J85" i="6"/>
  <c r="Q85" i="6" l="1"/>
  <c r="K85" i="6"/>
  <c r="P968" i="8"/>
  <c r="W85" i="6" s="1"/>
  <c r="G976" i="8"/>
  <c r="G977" i="8" s="1"/>
  <c r="J976" i="8" l="1"/>
  <c r="J977" i="8" s="1"/>
  <c r="S968" i="8"/>
  <c r="Z85" i="6" s="1"/>
  <c r="AA85" i="6" s="1"/>
  <c r="C86" i="6" s="1"/>
  <c r="G86" i="6" l="1"/>
  <c r="E86" i="6"/>
  <c r="H86" i="6" s="1"/>
  <c r="J86" i="6" l="1"/>
  <c r="I86" i="6"/>
  <c r="N86" i="6" s="1"/>
  <c r="Q86" i="6" l="1"/>
  <c r="K86" i="6"/>
  <c r="P980" i="8"/>
  <c r="W86" i="6" s="1"/>
  <c r="G988" i="8"/>
  <c r="G989" i="8" s="1"/>
  <c r="J988" i="8" l="1"/>
  <c r="J989" i="8" s="1"/>
  <c r="S980" i="8"/>
  <c r="Z86" i="6" s="1"/>
  <c r="AA86" i="6" s="1"/>
  <c r="C87" i="6" s="1"/>
  <c r="G87" i="6" l="1"/>
  <c r="E87" i="6"/>
  <c r="H87" i="6" s="1"/>
  <c r="J87" i="6" l="1"/>
  <c r="I87" i="6"/>
  <c r="N87" i="6" s="1"/>
  <c r="Q87" i="6" l="1"/>
  <c r="P992" i="8"/>
  <c r="W87" i="6" s="1"/>
  <c r="G1000" i="8"/>
  <c r="G1001" i="8" s="1"/>
  <c r="K87" i="6"/>
  <c r="J1000" i="8" l="1"/>
  <c r="J1001" i="8" s="1"/>
  <c r="S992" i="8"/>
  <c r="Z87" i="6" s="1"/>
  <c r="AA87" i="6" s="1"/>
  <c r="C88" i="6" s="1"/>
  <c r="G88" i="6" l="1"/>
  <c r="E88" i="6"/>
  <c r="H88" i="6" s="1"/>
  <c r="J88" i="6" l="1"/>
  <c r="I88" i="6"/>
  <c r="N88" i="6" s="1"/>
  <c r="Q88" i="6" l="1"/>
  <c r="G1012" i="8"/>
  <c r="G1013" i="8" s="1"/>
  <c r="K88" i="6"/>
  <c r="P1004" i="8"/>
  <c r="W88" i="6" s="1"/>
  <c r="S1004" i="8" l="1"/>
  <c r="Z88" i="6" s="1"/>
  <c r="AA88" i="6" s="1"/>
  <c r="C89" i="6" s="1"/>
  <c r="J1012" i="8"/>
  <c r="J1013" i="8" s="1"/>
  <c r="G89" i="6" l="1"/>
  <c r="E89" i="6"/>
  <c r="H89" i="6" s="1"/>
  <c r="I89" i="6" l="1"/>
  <c r="N89" i="6" s="1"/>
  <c r="P1016" i="8" s="1"/>
  <c r="W89" i="6" s="1"/>
  <c r="J89" i="6"/>
  <c r="K89" i="6"/>
  <c r="G1024" i="8" l="1"/>
  <c r="G1025" i="8" s="1"/>
  <c r="Q89" i="6"/>
  <c r="J1024" i="8"/>
  <c r="J1025" i="8" s="1"/>
  <c r="S1016" i="8"/>
  <c r="Z89" i="6" s="1"/>
  <c r="AA89" i="6" s="1"/>
  <c r="C90" i="6" s="1"/>
  <c r="G90" i="6" l="1"/>
  <c r="E90" i="6"/>
  <c r="H90" i="6" s="1"/>
  <c r="J90" i="6" l="1"/>
  <c r="I90" i="6"/>
  <c r="N90" i="6" s="1"/>
  <c r="Q90" i="6" l="1"/>
  <c r="K90" i="6"/>
  <c r="P1028" i="8"/>
  <c r="W90" i="6" s="1"/>
  <c r="G1036" i="8"/>
  <c r="G1037" i="8" s="1"/>
  <c r="J1036" i="8" l="1"/>
  <c r="J1037" i="8" s="1"/>
  <c r="S1028" i="8"/>
  <c r="Z90" i="6" s="1"/>
  <c r="AA90" i="6" s="1"/>
  <c r="C91" i="6" s="1"/>
  <c r="G91" i="6" l="1"/>
  <c r="E91" i="6"/>
  <c r="H91" i="6" s="1"/>
  <c r="J91" i="6" l="1"/>
  <c r="I91" i="6"/>
  <c r="N91" i="6" s="1"/>
  <c r="Q91" i="6" l="1"/>
  <c r="P1040" i="8"/>
  <c r="W91" i="6" s="1"/>
  <c r="G1048" i="8"/>
  <c r="G1049" i="8" s="1"/>
  <c r="K91" i="6"/>
  <c r="J1048" i="8" l="1"/>
  <c r="J1049" i="8" s="1"/>
  <c r="S1040" i="8"/>
  <c r="Z91" i="6" s="1"/>
  <c r="AA91" i="6" s="1"/>
  <c r="C92" i="6" s="1"/>
  <c r="G92" i="6" l="1"/>
  <c r="E92" i="6"/>
  <c r="H92" i="6" s="1"/>
  <c r="J92" i="6" l="1"/>
  <c r="I92" i="6"/>
  <c r="N92" i="6" s="1"/>
  <c r="Q92" i="6" l="1"/>
  <c r="K92" i="6"/>
  <c r="P1052" i="8"/>
  <c r="W92" i="6" s="1"/>
  <c r="G1060" i="8"/>
  <c r="G1061" i="8" s="1"/>
  <c r="S1052" i="8" l="1"/>
  <c r="Z92" i="6" s="1"/>
  <c r="AA92" i="6" s="1"/>
  <c r="C93" i="6" s="1"/>
  <c r="J1060" i="8"/>
  <c r="J1061" i="8" s="1"/>
  <c r="G93" i="6" l="1"/>
  <c r="E93" i="6"/>
  <c r="H93" i="6" s="1"/>
  <c r="J93" i="6" l="1"/>
  <c r="I93" i="6"/>
  <c r="N93" i="6" s="1"/>
  <c r="Q93" i="6" l="1"/>
  <c r="K93" i="6"/>
  <c r="P1064" i="8"/>
  <c r="W93" i="6" s="1"/>
  <c r="G1072" i="8"/>
  <c r="G1073" i="8" s="1"/>
  <c r="J1072" i="8" l="1"/>
  <c r="J1073" i="8" s="1"/>
  <c r="S1064" i="8"/>
  <c r="Z93" i="6" s="1"/>
  <c r="AA93" i="6" s="1"/>
  <c r="C94" i="6" s="1"/>
  <c r="G94" i="6" l="1"/>
  <c r="E94" i="6"/>
  <c r="H94" i="6" s="1"/>
  <c r="J94" i="6" l="1"/>
  <c r="I94" i="6"/>
  <c r="N94" i="6" s="1"/>
  <c r="Q94" i="6" l="1"/>
  <c r="K94" i="6"/>
  <c r="P1076" i="8"/>
  <c r="W94" i="6" s="1"/>
  <c r="G1084" i="8"/>
  <c r="G1085" i="8" s="1"/>
  <c r="J1084" i="8" l="1"/>
  <c r="J1085" i="8" s="1"/>
  <c r="S1076" i="8"/>
  <c r="Z94" i="6" s="1"/>
  <c r="AA94" i="6" s="1"/>
  <c r="C95" i="6" s="1"/>
  <c r="G95" i="6" l="1"/>
  <c r="E95" i="6"/>
  <c r="H95" i="6" s="1"/>
  <c r="J95" i="6" l="1"/>
  <c r="I95" i="6"/>
  <c r="N95" i="6" s="1"/>
  <c r="Q95" i="6" l="1"/>
  <c r="P1088" i="8"/>
  <c r="W95" i="6" s="1"/>
  <c r="G1096" i="8"/>
  <c r="G1097" i="8" s="1"/>
  <c r="K95" i="6"/>
  <c r="J1096" i="8" l="1"/>
  <c r="J1097" i="8" s="1"/>
  <c r="S1088" i="8"/>
  <c r="Z95" i="6" s="1"/>
  <c r="AA95" i="6" s="1"/>
  <c r="C96" i="6" s="1"/>
  <c r="G96" i="6" l="1"/>
  <c r="E96" i="6"/>
  <c r="H96" i="6" s="1"/>
  <c r="J96" i="6" l="1"/>
  <c r="I96" i="6"/>
  <c r="N96" i="6" s="1"/>
  <c r="Q96" i="6" l="1"/>
  <c r="K96" i="6"/>
  <c r="G1108" i="8"/>
  <c r="G1109" i="8" s="1"/>
  <c r="P1100" i="8"/>
  <c r="W96" i="6" s="1"/>
  <c r="S1100" i="8" l="1"/>
  <c r="Z96" i="6" s="1"/>
  <c r="AA96" i="6" s="1"/>
  <c r="C97" i="6" s="1"/>
  <c r="J1108" i="8"/>
  <c r="J1109" i="8" s="1"/>
  <c r="G97" i="6" l="1"/>
  <c r="E97" i="6"/>
  <c r="H97" i="6" s="1"/>
  <c r="J97" i="6" l="1"/>
  <c r="I97" i="6"/>
  <c r="N97" i="6" s="1"/>
  <c r="Q97" i="6" l="1"/>
  <c r="K97" i="6"/>
  <c r="P1112" i="8"/>
  <c r="W97" i="6" s="1"/>
  <c r="G1120" i="8"/>
  <c r="G1121" i="8" s="1"/>
  <c r="J1120" i="8" l="1"/>
  <c r="J1121" i="8" s="1"/>
  <c r="S1112" i="8"/>
  <c r="Z97" i="6" s="1"/>
  <c r="AA97" i="6" s="1"/>
  <c r="C98" i="6" s="1"/>
  <c r="G98" i="6" l="1"/>
  <c r="E98" i="6"/>
  <c r="H98" i="6" s="1"/>
  <c r="J98" i="6" l="1"/>
  <c r="I98" i="6"/>
  <c r="N98" i="6" s="1"/>
  <c r="Q98" i="6" l="1"/>
  <c r="K98" i="6"/>
  <c r="G1132" i="8"/>
  <c r="G1133" i="8" s="1"/>
  <c r="P1124" i="8"/>
  <c r="W98" i="6" s="1"/>
  <c r="J1132" i="8" l="1"/>
  <c r="J1133" i="8" s="1"/>
  <c r="S1124" i="8"/>
  <c r="Z98" i="6" s="1"/>
  <c r="AA98" i="6" s="1"/>
  <c r="C99" i="6" s="1"/>
  <c r="G99" i="6" l="1"/>
  <c r="E99" i="6"/>
  <c r="H99" i="6" s="1"/>
  <c r="J99" i="6" l="1"/>
  <c r="I99" i="6"/>
  <c r="N99" i="6" s="1"/>
  <c r="Q99" i="6" l="1"/>
  <c r="P1136" i="8"/>
  <c r="W99" i="6" s="1"/>
  <c r="K99" i="6"/>
  <c r="G1144" i="8"/>
  <c r="G1145" i="8" s="1"/>
  <c r="S1136" i="8" l="1"/>
  <c r="Z99" i="6" s="1"/>
  <c r="AA99" i="6" s="1"/>
  <c r="C100" i="6" s="1"/>
  <c r="J1144" i="8"/>
  <c r="J1145" i="8" s="1"/>
  <c r="G100" i="6" l="1"/>
  <c r="E100" i="6"/>
  <c r="H100" i="6" s="1"/>
  <c r="J100" i="6" l="1"/>
  <c r="I100" i="6"/>
  <c r="N100" i="6" s="1"/>
  <c r="Q100" i="6" l="1"/>
  <c r="G1156" i="8"/>
  <c r="G1157" i="8" s="1"/>
  <c r="K100" i="6"/>
  <c r="P1148" i="8"/>
  <c r="W100" i="6" s="1"/>
  <c r="S1148" i="8" l="1"/>
  <c r="Z100" i="6" s="1"/>
  <c r="AA100" i="6" s="1"/>
  <c r="C101" i="6" s="1"/>
  <c r="J1156" i="8"/>
  <c r="J1157" i="8" s="1"/>
  <c r="G101" i="6" l="1"/>
  <c r="E101" i="6"/>
  <c r="H101" i="6" s="1"/>
  <c r="J101" i="6" l="1"/>
  <c r="I101" i="6"/>
  <c r="N101" i="6" s="1"/>
  <c r="Q101" i="6" l="1"/>
  <c r="K101" i="6"/>
  <c r="P1160" i="8"/>
  <c r="W101" i="6" s="1"/>
  <c r="G1168" i="8"/>
  <c r="G1169" i="8" s="1"/>
  <c r="S1160" i="8" l="1"/>
  <c r="Z101" i="6" s="1"/>
  <c r="AA101" i="6" s="1"/>
  <c r="C102" i="6" s="1"/>
  <c r="J1168" i="8"/>
  <c r="J1169" i="8" s="1"/>
  <c r="G102" i="6" l="1"/>
  <c r="E102" i="6"/>
  <c r="H102" i="6" s="1"/>
  <c r="J102" i="6" l="1"/>
  <c r="I102" i="6"/>
  <c r="N102" i="6" s="1"/>
  <c r="Q102" i="6" l="1"/>
  <c r="K102" i="6"/>
  <c r="P1172" i="8"/>
  <c r="W102" i="6" s="1"/>
  <c r="G1180" i="8"/>
  <c r="G1181" i="8" s="1"/>
  <c r="S1172" i="8" l="1"/>
  <c r="Z102" i="6" s="1"/>
  <c r="AA102" i="6" s="1"/>
  <c r="C103" i="6" s="1"/>
  <c r="J1180" i="8"/>
  <c r="J1181" i="8" s="1"/>
  <c r="G103" i="6" l="1"/>
  <c r="E103" i="6"/>
  <c r="H103" i="6" s="1"/>
  <c r="I103" i="6" l="1"/>
  <c r="N103" i="6" s="1"/>
  <c r="Q103" i="6" s="1"/>
  <c r="G1192" i="8"/>
  <c r="G1193" i="8" s="1"/>
  <c r="J103" i="6"/>
  <c r="K103" i="6" l="1"/>
  <c r="P1184" i="8"/>
  <c r="W103" i="6" s="1"/>
  <c r="S1184" i="8"/>
  <c r="Z103" i="6" s="1"/>
  <c r="AA103" i="6" s="1"/>
  <c r="C104" i="6" s="1"/>
  <c r="J1192" i="8"/>
  <c r="J1193" i="8" s="1"/>
  <c r="G104" i="6" l="1"/>
  <c r="E104" i="6"/>
  <c r="H104" i="6" s="1"/>
  <c r="I104" i="6" l="1"/>
  <c r="N104" i="6" s="1"/>
  <c r="G1204" i="8" s="1"/>
  <c r="G1205" i="8" s="1"/>
  <c r="J104" i="6"/>
  <c r="P1196" i="8" l="1"/>
  <c r="W104" i="6" s="1"/>
  <c r="Q104" i="6"/>
  <c r="K104" i="6"/>
  <c r="S1196" i="8"/>
  <c r="Z104" i="6" s="1"/>
  <c r="AA104" i="6" s="1"/>
  <c r="C105" i="6" s="1"/>
  <c r="J1204" i="8"/>
  <c r="J1205" i="8" s="1"/>
  <c r="G105" i="6" l="1"/>
  <c r="E105" i="6"/>
  <c r="H105" i="6" s="1"/>
  <c r="I105" i="6" l="1"/>
  <c r="N105" i="6" s="1"/>
  <c r="K105" i="6" s="1"/>
  <c r="J105" i="6"/>
  <c r="G1216" i="8" l="1"/>
  <c r="G1217" i="8" s="1"/>
  <c r="Q105" i="6"/>
  <c r="S1208" i="8" s="1"/>
  <c r="Z105" i="6" s="1"/>
  <c r="AA105" i="6" s="1"/>
  <c r="C106" i="6" s="1"/>
  <c r="P1208" i="8"/>
  <c r="W105" i="6" s="1"/>
  <c r="J1216" i="8" l="1"/>
  <c r="J1217" i="8" s="1"/>
  <c r="G106" i="6"/>
  <c r="E106" i="6"/>
  <c r="H106" i="6" s="1"/>
  <c r="J106" i="6" l="1"/>
  <c r="I106" i="6"/>
  <c r="N106" i="6" s="1"/>
  <c r="Q106" i="6" l="1"/>
  <c r="S1220" i="8" s="1"/>
  <c r="Z106" i="6" s="1"/>
  <c r="AA106" i="6" s="1"/>
  <c r="C107" i="6" s="1"/>
  <c r="K106" i="6"/>
  <c r="P1220" i="8"/>
  <c r="W106" i="6" s="1"/>
  <c r="G107" i="6" l="1"/>
  <c r="E107" i="6"/>
  <c r="H107" i="6" s="1"/>
  <c r="I107" i="6" l="1"/>
  <c r="N107" i="6" s="1"/>
  <c r="Q107" i="6" s="1"/>
  <c r="S1232" i="8" s="1"/>
  <c r="Z107" i="6" s="1"/>
  <c r="AA107" i="6" s="1"/>
  <c r="C108" i="6" s="1"/>
  <c r="J107" i="6"/>
  <c r="P1232" i="8" l="1"/>
  <c r="W107" i="6" s="1"/>
  <c r="K107" i="6"/>
  <c r="G108" i="6"/>
  <c r="E108" i="6"/>
  <c r="H108" i="6" s="1"/>
  <c r="I108" i="6" l="1"/>
  <c r="N108" i="6" s="1"/>
  <c r="Q108" i="6" s="1"/>
  <c r="S1244" i="8" s="1"/>
  <c r="Z108" i="6" s="1"/>
  <c r="AA108" i="6" s="1"/>
  <c r="C109" i="6" s="1"/>
  <c r="J108" i="6"/>
  <c r="P1244" i="8" l="1"/>
  <c r="W108" i="6" s="1"/>
  <c r="K108" i="6"/>
  <c r="G109" i="6"/>
  <c r="E109" i="6"/>
  <c r="H109" i="6" s="1"/>
  <c r="I109" i="6" l="1"/>
  <c r="N109" i="6" s="1"/>
  <c r="Q109" i="6" s="1"/>
  <c r="S1256" i="8" s="1"/>
  <c r="Z109" i="6" s="1"/>
  <c r="AA109" i="6" s="1"/>
  <c r="C110" i="6" s="1"/>
  <c r="P1256" i="8"/>
  <c r="W109" i="6" s="1"/>
  <c r="J109" i="6"/>
  <c r="K109" i="6" l="1"/>
  <c r="E110" i="6"/>
  <c r="H110" i="6" s="1"/>
  <c r="G110" i="6"/>
  <c r="I110" i="6" l="1"/>
  <c r="N110" i="6" s="1"/>
  <c r="K110" i="6" s="1"/>
  <c r="J110" i="6"/>
  <c r="P1268" i="8"/>
  <c r="W110" i="6" s="1"/>
  <c r="Q110" i="6"/>
  <c r="S1268" i="8" s="1"/>
  <c r="Z110" i="6" s="1"/>
  <c r="AA110" i="6" s="1"/>
  <c r="C111" i="6" s="1"/>
  <c r="E111" i="6" l="1"/>
  <c r="H111" i="6" s="1"/>
  <c r="G111" i="6"/>
  <c r="I111" i="6" l="1"/>
  <c r="N111" i="6" s="1"/>
  <c r="K111" i="6" s="1"/>
  <c r="J111" i="6"/>
  <c r="P1280" i="8"/>
  <c r="W111" i="6" s="1"/>
  <c r="Q111" i="6" l="1"/>
  <c r="S1280" i="8" s="1"/>
  <c r="Z111" i="6" s="1"/>
  <c r="AA111" i="6" s="1"/>
</calcChain>
</file>

<file path=xl/sharedStrings.xml><?xml version="1.0" encoding="utf-8"?>
<sst xmlns="http://schemas.openxmlformats.org/spreadsheetml/2006/main" count="2538" uniqueCount="174">
  <si>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</si>
  <si>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</si>
  <si>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</si>
  <si>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</si>
  <si>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</si>
  <si>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</si>
  <si>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</si>
  <si>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</si>
  <si>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</si>
  <si>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</si>
  <si>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</si>
  <si>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</si>
  <si>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</si>
  <si>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</si>
  <si>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</si>
  <si>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</si>
  <si>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</si>
  <si>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</si>
  <si>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</si>
  <si>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</si>
  <si>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</si>
  <si>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</si>
  <si>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</si>
  <si>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</si>
  <si>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</si>
  <si>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</si>
  <si>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</si>
  <si>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</si>
  <si>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</si>
  <si>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</si>
  <si>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</si>
  <si>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</si>
  <si>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</si>
  <si>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</si>
  <si>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</si>
  <si>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</si>
  <si>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http://www.healthydietbase.com/five-ways-to-estimate-body-fat-percentage-using-a-tape-measure/</t>
  </si>
  <si>
    <t>Starting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</si>
  <si>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</si>
  <si>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</si>
  <si>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</si>
  <si>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</si>
  <si>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</si>
  <si>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</si>
  <si>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</si>
  <si>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</si>
  <si>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</si>
  <si>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</si>
  <si>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</si>
  <si>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</si>
  <si>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</si>
  <si>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</si>
  <si>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</si>
  <si>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</si>
  <si>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</si>
  <si>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</si>
  <si>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</si>
  <si>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</si>
  <si>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</si>
  <si>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Daily Macro Needs</t>
  </si>
  <si>
    <t>Food Calories (FoodLog Actuals)</t>
  </si>
  <si>
    <t>Net (Calc – actual)</t>
  </si>
  <si>
    <t>Scale</t>
  </si>
  <si>
    <t>Date</t>
  </si>
  <si>
    <t>Day</t>
  </si>
  <si>
    <t>Target
Weight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</si>
  <si>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</si>
  <si>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</si>
  <si>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</si>
  <si>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</si>
  <si>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</si>
  <si>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</si>
  <si>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</si>
  <si>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</si>
  <si>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</si>
  <si>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</si>
  <si>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</si>
  <si>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</si>
  <si>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</si>
  <si>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Delta to Weight Goal</t>
  </si>
  <si>
    <t>Scale Measurements</t>
  </si>
  <si>
    <t>BMI</t>
  </si>
  <si>
    <t>Fat%</t>
  </si>
  <si>
    <t>H2O%</t>
  </si>
  <si>
    <t>Muscle
%</t>
  </si>
  <si>
    <t>Maint.
Cals</t>
  </si>
  <si>
    <t>Weight Loss</t>
  </si>
  <si>
    <t>Fat lbs</t>
  </si>
  <si>
    <t>H2O lbs</t>
  </si>
  <si>
    <t>Muscle
lbs</t>
  </si>
  <si>
    <t>Delta Fat Lbs</t>
  </si>
  <si>
    <t>Delta H2O lbs</t>
  </si>
  <si>
    <t>Delta Muscle Lbs</t>
  </si>
  <si>
    <t>Description</t>
  </si>
  <si>
    <t>Servings</t>
  </si>
  <si>
    <t>IsoPure Whey</t>
  </si>
  <si>
    <t>Broccoli (oz)</t>
  </si>
  <si>
    <t>Chia Seeds</t>
  </si>
  <si>
    <t>Totals</t>
  </si>
  <si>
    <t>Chicken Wing (Medium)</t>
  </si>
  <si>
    <t>Kimchi</t>
  </si>
  <si>
    <t>Egg</t>
  </si>
  <si>
    <t>Goal</t>
  </si>
  <si>
    <t>(Loss Chart today)</t>
  </si>
  <si>
    <t>Remainder</t>
  </si>
  <si>
    <t>Turkey Breast</t>
  </si>
  <si>
    <t>Asparagus</t>
  </si>
  <si>
    <t>Fish Oil</t>
  </si>
  <si>
    <t>Air</t>
  </si>
  <si>
    <t>Butter</t>
  </si>
  <si>
    <t>Sum Fat (Cals)</t>
  </si>
  <si>
    <t>Sum Carb (Cals)</t>
  </si>
  <si>
    <t>Sum Prot (Cal)</t>
  </si>
  <si>
    <t>Sum Cals</t>
  </si>
  <si>
    <t>Goal Fat (Cals)</t>
  </si>
  <si>
    <t>Goal Carb (Cals)</t>
  </si>
  <si>
    <t>Goal Protein (Cals)</t>
  </si>
  <si>
    <t>Goal Total (Cals)</t>
  </si>
  <si>
    <t>Remain Fat (Cals)</t>
  </si>
  <si>
    <t>Remain Carb (Cals)</t>
  </si>
  <si>
    <t>Remain Protein (Cals)</t>
  </si>
  <si>
    <t>Remain Total (Cals)</t>
  </si>
  <si>
    <t>Hamburger</t>
  </si>
  <si>
    <t>Pork Rinds</t>
  </si>
  <si>
    <t>Turkey Breast (5 slices)</t>
  </si>
  <si>
    <t>Dymatize Elite Casein</t>
  </si>
  <si>
    <t>Chicken Breast</t>
  </si>
  <si>
    <t>Almond Flour</t>
  </si>
  <si>
    <t>Tomato (Small)</t>
  </si>
  <si>
    <t>Zuccini</t>
  </si>
  <si>
    <t>Banana Pepper</t>
  </si>
  <si>
    <t>Rao’s Marinara Sauce</t>
  </si>
  <si>
    <t>Tuna, seasoned in H2O</t>
  </si>
  <si>
    <t>Creatine</t>
  </si>
  <si>
    <t>Peanuts</t>
  </si>
  <si>
    <t>Cauliflower</t>
  </si>
  <si>
    <t>Size</t>
  </si>
  <si>
    <t xml:space="preserve"> Carbs
(g)</t>
  </si>
  <si>
    <t>Fat
(Cal)</t>
  </si>
  <si>
    <t>Carb
(Cal)</t>
  </si>
  <si>
    <t>Protein
(Cal)</t>
  </si>
  <si>
    <t>Total
Calories</t>
  </si>
  <si>
    <t>¼ cup</t>
  </si>
  <si>
    <t>100g</t>
  </si>
  <si>
    <t>1 oz</t>
  </si>
  <si>
    <t>1T</t>
  </si>
  <si>
    <t>1 med head</t>
  </si>
  <si>
    <t>Chicken Thigh</t>
  </si>
  <si>
    <t>116g</t>
  </si>
  <si>
    <t>Chicken Wing (Large)</t>
  </si>
  <si>
    <t>Chicken Wing (Small)</t>
  </si>
  <si>
    <t>1 Scoop</t>
  </si>
  <si>
    <t>2 Scoops</t>
  </si>
  <si>
    <t>Jack Daniels</t>
  </si>
  <si>
    <t>1 Shot</t>
  </si>
  <si>
    <t>2 oz</t>
  </si>
  <si>
    <t>MCT Oil</t>
  </si>
  <si>
    <t>0.5oz</t>
  </si>
  <si>
    <t>½ cup</t>
  </si>
  <si>
    <t>Sardines</t>
  </si>
  <si>
    <t>3.75oz</t>
  </si>
  <si>
    <t>small</t>
  </si>
  <si>
    <t>Tomato (Medium)</t>
  </si>
  <si>
    <t>medium</t>
  </si>
  <si>
    <t>Tomato (Large)</t>
  </si>
  <si>
    <t>large</t>
  </si>
  <si>
    <t>2.5oz</t>
  </si>
  <si>
    <t>Tuna, White in H2O</t>
  </si>
  <si>
    <t>3oz</t>
  </si>
  <si>
    <t>4 oz</t>
  </si>
  <si>
    <t>5 slices</t>
  </si>
  <si>
    <t>1 Medium</t>
  </si>
  <si>
    <t>Max Body Fat
(Cals Avail)</t>
  </si>
  <si>
    <t>Wt loss
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</si>
</sst>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&quot;TRUE&quot;;&quot;TRUE&quot;;&quot;FALSE&quot;"/>
    <numFmt numFmtId="166" formatCode="0.000000000000000000000"/>
    <numFmt numFmtId="167" formatCode="yyyy\-mm\-dd"/>
    <numFmt numFmtId="168" formatCode="0.0%"/>
    <numFmt numFmtId="169" formatCode="#,##0.0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120">
    <xf numFmtId="0" fontId="0" fillId="0" borderId="0" xfId="0"/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66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7" fontId="0" fillId="0" borderId="14" xfId="0" applyNumberFormat="1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2" fontId="0" fillId="0" borderId="15" xfId="0" applyNumberFormat="1" applyBorder="1"/>
    <xf numFmtId="164" fontId="0" fillId="0" borderId="17" xfId="0" applyNumberFormat="1" applyFont="1" applyBorder="1" applyProtection="1">
      <protection locked="0"/>
    </xf>
    <xf numFmtId="164" fontId="0" fillId="0" borderId="18" xfId="0" applyNumberFormat="1" applyFont="1" applyBorder="1" applyProtection="1">
      <protection locked="0"/>
    </xf>
    <xf numFmtId="164" fontId="0" fillId="0" borderId="19" xfId="0" applyNumberFormat="1" applyFont="1" applyBorder="1" applyProtection="1">
      <protection locked="0"/>
    </xf>
    <xf numFmtId="2" fontId="0" fillId="0" borderId="17" xfId="0" applyNumberFormat="1" applyBorder="1"/>
    <xf numFmtId="0" fontId="0" fillId="0" borderId="18" xfId="0" applyBorder="1" applyProtection="1">
      <protection locked="0"/>
    </xf>
    <xf numFmtId="164" fontId="0" fillId="0" borderId="18" xfId="0" applyNumberFormat="1" applyBorder="1" applyProtection="1">
      <protection locked="0"/>
    </xf>
    <xf numFmtId="167" fontId="0" fillId="0" borderId="20" xfId="0" applyNumberFormat="1" applyBorder="1"/>
    <xf numFmtId="0" fontId="0" fillId="0" borderId="21" xfId="0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0" xfId="0" applyNumberFormat="1" applyBorder="1"/>
    <xf numFmtId="164" fontId="0" fillId="0" borderId="20" xfId="0" applyNumberFormat="1" applyBorder="1" applyProtection="1">
      <protection locked="0"/>
    </xf>
    <xf numFmtId="164" fontId="0" fillId="0" borderId="21" xfId="0" applyNumberFormat="1" applyBorder="1" applyProtection="1">
      <protection locked="0"/>
    </xf>
    <xf numFmtId="164" fontId="0" fillId="0" borderId="21" xfId="0" applyNumberFormat="1" applyFont="1" applyBorder="1" applyProtection="1">
      <protection locked="0"/>
    </xf>
    <xf numFmtId="164" fontId="0" fillId="0" borderId="23" xfId="0" applyNumberFormat="1" applyFont="1" applyBorder="1" applyProtection="1">
      <protection locked="0"/>
    </xf>
    <xf numFmtId="164" fontId="0" fillId="0" borderId="23" xfId="0" applyNumberFormat="1" applyBorder="1" applyProtection="1">
      <protection locked="0"/>
    </xf>
    <xf numFmtId="164" fontId="0" fillId="0" borderId="21" xfId="0" applyNumberFormat="1" applyFont="1" applyBorder="1"/>
    <xf numFmtId="164" fontId="0" fillId="0" borderId="22" xfId="0" applyNumberFormat="1" applyFont="1" applyBorder="1"/>
    <xf numFmtId="164" fontId="0" fillId="0" borderId="0" xfId="0" applyNumberFormat="1" applyFont="1" applyBorder="1"/>
    <xf numFmtId="164" fontId="0" fillId="0" borderId="20" xfId="0" applyNumberFormat="1" applyFont="1" applyBorder="1"/>
    <xf numFmtId="0" fontId="0" fillId="0" borderId="24" xfId="0" applyBorder="1"/>
    <xf numFmtId="164" fontId="0" fillId="0" borderId="24" xfId="0" applyNumberFormat="1" applyBorder="1"/>
    <xf numFmtId="164" fontId="0" fillId="0" borderId="24" xfId="0" applyNumberFormat="1" applyFont="1" applyBorder="1"/>
    <xf numFmtId="164" fontId="0" fillId="0" borderId="25" xfId="0" applyNumberFormat="1" applyFont="1" applyBorder="1"/>
    <xf numFmtId="164" fontId="0" fillId="0" borderId="26" xfId="0" applyNumberFormat="1" applyFont="1" applyBorder="1"/>
    <xf numFmtId="164" fontId="0" fillId="0" borderId="25" xfId="0" applyNumberFormat="1" applyBorder="1"/>
    <xf numFmtId="0" fontId="0" fillId="0" borderId="0" xfId="0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Alignment="1">
      <alignment horizontal="center" wrapText="1"/>
    </xf>
    <xf numFmtId="167" fontId="0" fillId="0" borderId="0" xfId="0" applyNumberFormat="1" applyAlignment="1">
      <alignment wrapText="1"/>
    </xf>
    <xf numFmtId="0" fontId="0" fillId="0" borderId="0" xfId="0" applyBorder="1" applyAlignment="1" applyProtection="1">
      <alignment wrapText="1"/>
      <protection locked="0"/>
    </xf>
    <xf numFmtId="164" fontId="0" fillId="0" borderId="0" xfId="0" applyNumberFormat="1" applyAlignment="1">
      <alignment wrapText="1"/>
    </xf>
    <xf numFmtId="164" fontId="0" fillId="0" borderId="0" xfId="0" applyNumberFormat="1" applyBorder="1" applyAlignment="1" applyProtection="1">
      <alignment wrapText="1"/>
      <protection locked="0"/>
    </xf>
    <xf numFmtId="0" fontId="4" fillId="0" borderId="0" xfId="0" applyFont="1" applyAlignment="1">
      <alignment wrapText="1"/>
    </xf>
    <xf numFmtId="167" fontId="0" fillId="0" borderId="0" xfId="0" applyNumberFormat="1"/>
    <xf numFmtId="0" fontId="0" fillId="2" borderId="0" xfId="0" applyFont="1" applyFill="1"/>
    <xf numFmtId="0" fontId="0" fillId="2" borderId="0" xfId="0" applyFill="1"/>
    <xf numFmtId="10" fontId="0" fillId="0" borderId="0" xfId="0" applyNumberFormat="1"/>
    <xf numFmtId="168" fontId="0" fillId="0" borderId="0" xfId="0" applyNumberFormat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9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9" fontId="0" fillId="0" borderId="0" xfId="0" applyNumberFormat="1" applyFo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Protection="1">
      <protection locked="0"/>
    </xf>
    <xf numFmtId="0" fontId="4" fillId="0" borderId="0" xfId="0" applyFont="1" applyAlignment="1" applyProtection="1">
      <alignment wrapText="1"/>
      <protection locked="0"/>
    </xf>
    <xf numFmtId="164" fontId="0" fillId="0" borderId="0" xfId="0" applyNumberFormat="1" applyFont="1" applyProtection="1">
      <protection locked="0"/>
    </xf>
    <xf numFmtId="164" fontId="0" fillId="0" borderId="0" xfId="0" applyNumberFormat="1" applyFont="1" applyBorder="1" applyProtection="1">
      <protection locked="0"/>
    </xf>
    <xf numFmtId="164" fontId="0" fillId="0" borderId="0" xfId="0" applyNumberFormat="1" applyProtection="1">
      <protection locked="0"/>
    </xf>
    <xf numFmtId="167" fontId="0" fillId="0" borderId="26" xfId="0" applyNumberForma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 applyProtection="1">
      <alignment horizontal="center"/>
      <protection locked="0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50" zoomScaleNormal="150" workbookViewId="0">
      <selection activeCell="C13" sqref="C13"/>
    </sheetView>
  </sheetViews>
  <sheetFormatPr defaultRowHeight="15" x14ac:dyDescent="0.25"/>
  <cols>
    <col min="1" max="1" width="13.5703125" style="1" customWidth="1"/>
    <col min="2" max="2" width="12.140625" style="1" customWidth="1"/>
    <col min="3" max="3" width="6.7109375" style="1" customWidth="1"/>
    <col min="4" max="4" width="1.7109375" style="1" customWidth="1"/>
    <col min="5" max="5" width="9.7109375" style="1" customWidth="1"/>
    <col min="6" max="6" width="3.42578125" style="1" customWidth="1"/>
    <col min="7" max="1025" width="8.7109375" style="1" customWidth="1"/>
  </cols>
  <sheetData>
    <row r="1" spans="1:3" ht="18.75" x14ac:dyDescent="0.3">
      <c r="A1" s="2" t="s">
        <v>0</v>
      </c>
    </row>
    <row r="3" spans="1:3" x14ac:dyDescent="0.25">
      <c r="A3" s="1" t="s">
        <v>1</v>
      </c>
      <c r="B3" s="3" t="s">
        <v>2</v>
      </c>
    </row>
    <row r="4" spans="1:3" x14ac:dyDescent="0.25">
      <c r="A4" s="1" t="s">
        <v>3</v>
      </c>
      <c r="B4" s="4">
        <v>57</v>
      </c>
      <c r="C4" s="1" t="s">
        <v>4</v>
      </c>
    </row>
    <row r="5" spans="1:3" x14ac:dyDescent="0.25">
      <c r="A5" s="1" t="s">
        <v>5</v>
      </c>
      <c r="B5" s="4">
        <v>203.3</v>
      </c>
      <c r="C5" s="1" t="s">
        <v>6</v>
      </c>
    </row>
    <row r="6" spans="1:3" x14ac:dyDescent="0.25">
      <c r="A6" s="1" t="s">
        <v>7</v>
      </c>
      <c r="B6" s="4">
        <v>70.5</v>
      </c>
      <c r="C6" s="1" t="s">
        <v>8</v>
      </c>
    </row>
    <row r="7" spans="1:3" x14ac:dyDescent="0.25">
      <c r="A7" s="1" t="s">
        <v>9</v>
      </c>
      <c r="B7" s="4">
        <v>15</v>
      </c>
      <c r="C7" s="5" t="s">
        <v>8</v>
      </c>
    </row>
    <row r="8" spans="1:3" x14ac:dyDescent="0.25">
      <c r="A8" s="1" t="s">
        <v>10</v>
      </c>
      <c r="B8" s="4">
        <v>38.75</v>
      </c>
      <c r="C8" s="5" t="s">
        <v>8</v>
      </c>
    </row>
    <row r="9" spans="1:3" x14ac:dyDescent="0.25">
      <c r="A9" s="1" t="s">
        <v>11</v>
      </c>
      <c r="B9" s="4">
        <v>9</v>
      </c>
      <c r="C9" s="5" t="s">
        <v>8</v>
      </c>
    </row>
    <row r="10" spans="1:3" x14ac:dyDescent="0.25">
      <c r="A10" s="1" t="s">
        <v>12</v>
      </c>
      <c r="B10" s="4">
        <v>7</v>
      </c>
      <c r="C10" s="5" t="s">
        <v>8</v>
      </c>
    </row>
    <row r="11" spans="1:3" x14ac:dyDescent="0.25">
      <c r="A11" s="1" t="s">
        <v>13</v>
      </c>
      <c r="B11" s="4">
        <v>50</v>
      </c>
      <c r="C11" s="5" t="s">
        <v>8</v>
      </c>
    </row>
    <row r="12" spans="1:3" x14ac:dyDescent="0.25">
      <c r="A12" s="1" t="s">
        <v>14</v>
      </c>
      <c r="B12" s="3" t="s">
        <v>15</v>
      </c>
    </row>
    <row r="14" spans="1:3" ht="18.75" x14ac:dyDescent="0.3">
      <c r="A14" s="2" t="s">
        <v>16</v>
      </c>
    </row>
    <row r="16" spans="1:3" x14ac:dyDescent="0.25">
      <c r="A16" s="1" t="s">
        <v>17</v>
      </c>
      <c r="B16" s="4">
        <v>15</v>
      </c>
      <c r="C16" s="1" t="s">
        <v>18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8"/>
  <sheetViews>
    <sheetView zoomScale="150" zoomScaleNormal="150" workbookViewId="0">
      <selection activeCell="D3" sqref="D3"/>
    </sheetView>
  </sheetViews>
  <sheetFormatPr defaultRowHeight="15" x14ac:dyDescent="0.25"/>
  <cols>
    <col min="1" max="1" width="11.7109375" customWidth="1"/>
    <col min="2" max="2" width="6" customWidth="1"/>
    <col min="3" max="3" width="7.42578125" customWidth="1"/>
    <col min="4" max="4" width="6" customWidth="1"/>
    <col min="5" max="5" width="6.85546875" customWidth="1"/>
    <col min="6" max="6" width="9.7109375" customWidth="1"/>
    <col min="7" max="7" width="12.85546875" customWidth="1"/>
    <col min="8" max="8" width="7.5703125" customWidth="1"/>
    <col min="9" max="9" width="9.85546875" customWidth="1"/>
    <col min="10" max="10" width="6" style="33" customWidth="1"/>
    <col min="11" max="11" width="10.28515625" style="33" customWidth="1"/>
    <col min="12" max="12" width="12.85546875" style="33" customWidth="1"/>
    <col min="13" max="13" width="13.85546875" style="33" customWidth="1"/>
    <col min="14" max="14" width="9" style="33" customWidth="1"/>
    <col min="15" max="15" width="10.28515625" style="33" customWidth="1"/>
    <col min="16" max="16" width="12.85546875" style="33" customWidth="1"/>
    <col min="17" max="17" width="13.85546875" style="33" customWidth="1"/>
    <col min="18" max="18" width="8.7109375" customWidth="1"/>
    <col min="19" max="19" width="7.42578125" style="33" customWidth="1"/>
    <col min="20" max="20" width="5" style="33" customWidth="1"/>
    <col min="21" max="21" width="5.42578125" style="33" customWidth="1"/>
    <col min="22" max="22" width="6.5703125" style="33" customWidth="1"/>
    <col min="23" max="23" width="8.85546875" style="33" customWidth="1"/>
    <col min="24" max="24" width="8" style="33" customWidth="1"/>
    <col min="25" max="1025" width="8.7109375" customWidth="1"/>
  </cols>
  <sheetData>
    <row r="1" spans="1:24" ht="12" customHeight="1" x14ac:dyDescent="0.25">
      <c r="A1" s="21"/>
      <c r="B1" s="23"/>
      <c r="C1" s="34"/>
      <c r="D1" s="34"/>
      <c r="E1" s="34"/>
      <c r="F1" s="108"/>
      <c r="G1" s="108"/>
      <c r="H1" s="108"/>
      <c r="J1" s="119"/>
      <c r="K1" s="119"/>
      <c r="L1" s="119"/>
      <c r="M1" s="119"/>
      <c r="N1" s="119"/>
      <c r="O1" s="119"/>
      <c r="P1" s="119"/>
      <c r="Q1" s="119"/>
      <c r="S1" s="119"/>
      <c r="T1" s="119"/>
      <c r="U1" s="119"/>
      <c r="V1" s="119"/>
      <c r="W1" s="119"/>
      <c r="X1" s="119"/>
    </row>
    <row r="2" spans="1:24" ht="29.25" customHeight="1" x14ac:dyDescent="0.25">
      <c r="A2" s="36" t="s">
        <v>63</v>
      </c>
      <c r="B2" s="37" t="s">
        <v>64</v>
      </c>
      <c r="C2" s="37" t="s">
        <v>5</v>
      </c>
      <c r="D2" s="37" t="s">
        <v>48</v>
      </c>
      <c r="E2" s="37" t="s">
        <v>66</v>
      </c>
      <c r="F2" s="38" t="s">
        <v>67</v>
      </c>
      <c r="G2" s="38" t="s">
        <v>172</v>
      </c>
      <c r="H2" s="42" t="s">
        <v>173</v>
      </c>
      <c r="I2" s="86"/>
      <c r="J2" s="109"/>
      <c r="K2" s="109"/>
      <c r="L2" s="109"/>
      <c r="M2" s="109"/>
      <c r="N2" s="109"/>
      <c r="O2" s="109"/>
      <c r="P2" s="109"/>
      <c r="Q2" s="109"/>
      <c r="S2" s="110"/>
      <c r="T2" s="110"/>
      <c r="U2" s="110"/>
      <c r="V2" s="110"/>
      <c r="W2" s="110"/>
      <c r="X2" s="110"/>
    </row>
    <row r="3" spans="1:24" x14ac:dyDescent="0.25">
      <c r="A3" s="52">
        <v>42992</v>
      </c>
      <c r="B3" s="53">
        <v>1</v>
      </c>
      <c r="C3" s="54">
        <f>Measured!B5</f>
        <v>203.3</v>
      </c>
      <c r="D3" s="54">
        <v>160</v>
      </c>
      <c r="E3" s="54">
        <f t="shared" ref="E3:E66" si="0">C3-D3</f>
        <v>43.300000000000011</v>
      </c>
      <c r="F3" s="54">
        <f t="shared" ref="F3:F66" si="1">13*C3</f>
        <v>2642.9</v>
      </c>
      <c r="G3" s="54">
        <f t="shared" ref="G3:G66" si="2">E3*31</f>
        <v>1342.3000000000004</v>
      </c>
      <c r="H3" s="55">
        <f t="shared" ref="H3:H66" si="3">MIN($G3/3500,$F3/3500)</f>
        <v>0.38351428571428581</v>
      </c>
      <c r="I3" s="56"/>
      <c r="J3" s="111"/>
      <c r="K3" s="111"/>
      <c r="L3" s="111"/>
      <c r="M3" s="111"/>
      <c r="N3" s="112"/>
      <c r="O3" s="112"/>
      <c r="P3" s="112"/>
      <c r="Q3" s="112"/>
    </row>
    <row r="4" spans="1:24" x14ac:dyDescent="0.25">
      <c r="A4" s="65">
        <v>42993</v>
      </c>
      <c r="B4" s="66">
        <f t="shared" ref="B4:B67" si="4">B3+1</f>
        <v>2</v>
      </c>
      <c r="C4" s="67">
        <f t="shared" ref="C4:C67" si="5">C3-H3</f>
        <v>202.91648571428573</v>
      </c>
      <c r="D4" s="67">
        <v>160</v>
      </c>
      <c r="E4" s="67">
        <f t="shared" si="0"/>
        <v>42.916485714285727</v>
      </c>
      <c r="F4" s="67">
        <f t="shared" si="1"/>
        <v>2637.9143142857147</v>
      </c>
      <c r="G4" s="67">
        <f t="shared" si="2"/>
        <v>1330.4110571428575</v>
      </c>
      <c r="H4" s="68">
        <f t="shared" si="3"/>
        <v>0.38011744489795929</v>
      </c>
      <c r="I4" s="56"/>
      <c r="J4" s="113"/>
      <c r="K4" s="113"/>
      <c r="L4" s="113"/>
      <c r="M4" s="113"/>
      <c r="N4" s="112"/>
      <c r="O4" s="112"/>
      <c r="P4" s="112"/>
      <c r="Q4" s="112"/>
    </row>
    <row r="5" spans="1:24" x14ac:dyDescent="0.25">
      <c r="A5" s="65">
        <v>42994</v>
      </c>
      <c r="B5" s="66">
        <f t="shared" si="4"/>
        <v>3</v>
      </c>
      <c r="C5" s="67">
        <f t="shared" si="5"/>
        <v>202.53636826938776</v>
      </c>
      <c r="D5" s="67">
        <v>160</v>
      </c>
      <c r="E5" s="67">
        <f t="shared" si="0"/>
        <v>42.536368269387765</v>
      </c>
      <c r="F5" s="67">
        <f t="shared" si="1"/>
        <v>2632.9727875020408</v>
      </c>
      <c r="G5" s="67">
        <f t="shared" si="2"/>
        <v>1318.6274163510207</v>
      </c>
      <c r="H5" s="68">
        <f t="shared" si="3"/>
        <v>0.37675069038600589</v>
      </c>
      <c r="I5" s="56"/>
      <c r="J5" s="113"/>
      <c r="K5" s="113"/>
      <c r="L5" s="113"/>
      <c r="M5" s="113"/>
      <c r="N5" s="112"/>
      <c r="O5" s="112"/>
      <c r="P5" s="112"/>
      <c r="Q5" s="112"/>
    </row>
    <row r="6" spans="1:24" x14ac:dyDescent="0.25">
      <c r="A6" s="65">
        <v>42995</v>
      </c>
      <c r="B6" s="66">
        <f t="shared" si="4"/>
        <v>4</v>
      </c>
      <c r="C6" s="67">
        <f t="shared" si="5"/>
        <v>202.15961757900175</v>
      </c>
      <c r="D6" s="67">
        <v>160</v>
      </c>
      <c r="E6" s="67">
        <f t="shared" si="0"/>
        <v>42.159617579001747</v>
      </c>
      <c r="F6" s="67">
        <f t="shared" si="1"/>
        <v>2628.0750285270228</v>
      </c>
      <c r="G6" s="67">
        <f t="shared" si="2"/>
        <v>1306.948144949054</v>
      </c>
      <c r="H6" s="68">
        <f t="shared" si="3"/>
        <v>0.37341375569972973</v>
      </c>
      <c r="I6" s="56"/>
      <c r="J6" s="113"/>
      <c r="K6" s="113"/>
      <c r="L6" s="113"/>
      <c r="M6" s="113"/>
      <c r="N6" s="112"/>
      <c r="O6" s="112"/>
      <c r="P6" s="112"/>
      <c r="Q6" s="112"/>
    </row>
    <row r="7" spans="1:24" x14ac:dyDescent="0.25">
      <c r="A7" s="65">
        <v>42996</v>
      </c>
      <c r="B7" s="66">
        <f t="shared" si="4"/>
        <v>5</v>
      </c>
      <c r="C7" s="67">
        <f t="shared" si="5"/>
        <v>201.786203823302</v>
      </c>
      <c r="D7" s="67">
        <v>160</v>
      </c>
      <c r="E7" s="67">
        <f t="shared" si="0"/>
        <v>41.786203823302003</v>
      </c>
      <c r="F7" s="67">
        <f t="shared" si="1"/>
        <v>2623.220649702926</v>
      </c>
      <c r="G7" s="67">
        <f t="shared" si="2"/>
        <v>1295.3723185223621</v>
      </c>
      <c r="H7" s="68">
        <f t="shared" si="3"/>
        <v>0.37010637672067487</v>
      </c>
      <c r="I7" s="56"/>
    </row>
    <row r="8" spans="1:24" x14ac:dyDescent="0.25">
      <c r="A8" s="65">
        <v>42997</v>
      </c>
      <c r="B8" s="66">
        <f t="shared" si="4"/>
        <v>6</v>
      </c>
      <c r="C8" s="67">
        <f t="shared" si="5"/>
        <v>201.41609744658132</v>
      </c>
      <c r="D8" s="67">
        <v>160</v>
      </c>
      <c r="E8" s="67">
        <f t="shared" si="0"/>
        <v>41.416097446581318</v>
      </c>
      <c r="F8" s="67">
        <f t="shared" si="1"/>
        <v>2618.4092668055573</v>
      </c>
      <c r="G8" s="67">
        <f t="shared" si="2"/>
        <v>1283.8990208440209</v>
      </c>
      <c r="H8" s="68">
        <f t="shared" si="3"/>
        <v>0.36682829166972025</v>
      </c>
      <c r="I8" s="56"/>
    </row>
    <row r="9" spans="1:24" x14ac:dyDescent="0.25">
      <c r="A9" s="65">
        <v>42998</v>
      </c>
      <c r="B9" s="66">
        <f t="shared" si="4"/>
        <v>7</v>
      </c>
      <c r="C9" s="67">
        <f t="shared" si="5"/>
        <v>201.0492691549116</v>
      </c>
      <c r="D9" s="67">
        <v>160</v>
      </c>
      <c r="E9" s="67">
        <f t="shared" si="0"/>
        <v>41.049269154911599</v>
      </c>
      <c r="F9" s="67">
        <f t="shared" si="1"/>
        <v>2613.6404990138508</v>
      </c>
      <c r="G9" s="67">
        <f t="shared" si="2"/>
        <v>1272.5273438022596</v>
      </c>
      <c r="H9" s="68">
        <f t="shared" si="3"/>
        <v>0.36357924108635986</v>
      </c>
      <c r="I9" s="56"/>
    </row>
    <row r="10" spans="1:24" x14ac:dyDescent="0.25">
      <c r="A10" s="65">
        <v>42999</v>
      </c>
      <c r="B10" s="66">
        <f t="shared" si="4"/>
        <v>8</v>
      </c>
      <c r="C10" s="67">
        <f t="shared" si="5"/>
        <v>200.68568991382523</v>
      </c>
      <c r="D10" s="67">
        <v>160</v>
      </c>
      <c r="E10" s="67">
        <f t="shared" si="0"/>
        <v>40.685689913825229</v>
      </c>
      <c r="F10" s="67">
        <f t="shared" si="1"/>
        <v>2608.9139688797281</v>
      </c>
      <c r="G10" s="67">
        <f t="shared" si="2"/>
        <v>1261.2563873285822</v>
      </c>
      <c r="H10" s="68">
        <f t="shared" si="3"/>
        <v>0.36035896780816634</v>
      </c>
      <c r="I10" s="56"/>
    </row>
    <row r="11" spans="1:24" x14ac:dyDescent="0.25">
      <c r="A11" s="65">
        <v>43000</v>
      </c>
      <c r="B11" s="66">
        <f t="shared" si="4"/>
        <v>9</v>
      </c>
      <c r="C11" s="67">
        <f t="shared" si="5"/>
        <v>200.32533094601706</v>
      </c>
      <c r="D11" s="67">
        <v>160</v>
      </c>
      <c r="E11" s="67">
        <f t="shared" si="0"/>
        <v>40.325330946017061</v>
      </c>
      <c r="F11" s="67">
        <f t="shared" si="1"/>
        <v>2604.2293022982217</v>
      </c>
      <c r="G11" s="67">
        <f t="shared" si="2"/>
        <v>1250.085259326529</v>
      </c>
      <c r="H11" s="68">
        <f t="shared" si="3"/>
        <v>0.35716721695043685</v>
      </c>
      <c r="I11" s="56"/>
    </row>
    <row r="12" spans="1:24" x14ac:dyDescent="0.25">
      <c r="A12" s="65">
        <v>43001</v>
      </c>
      <c r="B12" s="66">
        <f t="shared" si="4"/>
        <v>10</v>
      </c>
      <c r="C12" s="67">
        <f t="shared" si="5"/>
        <v>199.96816372906662</v>
      </c>
      <c r="D12" s="67">
        <v>160</v>
      </c>
      <c r="E12" s="67">
        <f t="shared" si="0"/>
        <v>39.968163729066617</v>
      </c>
      <c r="F12" s="67">
        <f t="shared" si="1"/>
        <v>2599.5861284778662</v>
      </c>
      <c r="G12" s="67">
        <f t="shared" si="2"/>
        <v>1239.0130756010651</v>
      </c>
      <c r="H12" s="68">
        <f t="shared" si="3"/>
        <v>0.35400373588601858</v>
      </c>
      <c r="I12" s="56"/>
    </row>
    <row r="13" spans="1:24" x14ac:dyDescent="0.25">
      <c r="A13" s="65">
        <v>43002</v>
      </c>
      <c r="B13" s="66">
        <f t="shared" si="4"/>
        <v>11</v>
      </c>
      <c r="C13" s="67">
        <f t="shared" si="5"/>
        <v>199.61415999318061</v>
      </c>
      <c r="D13" s="67">
        <v>160</v>
      </c>
      <c r="E13" s="67">
        <f t="shared" si="0"/>
        <v>39.614159993180607</v>
      </c>
      <c r="F13" s="67">
        <f t="shared" si="1"/>
        <v>2594.9840799113481</v>
      </c>
      <c r="G13" s="67">
        <f t="shared" si="2"/>
        <v>1228.0389597885987</v>
      </c>
      <c r="H13" s="68">
        <f t="shared" si="3"/>
        <v>0.35086827422531391</v>
      </c>
      <c r="I13" s="56"/>
    </row>
    <row r="14" spans="1:24" x14ac:dyDescent="0.25">
      <c r="A14" s="65">
        <v>43003</v>
      </c>
      <c r="B14" s="66">
        <f t="shared" si="4"/>
        <v>12</v>
      </c>
      <c r="C14" s="67">
        <f t="shared" si="5"/>
        <v>199.26329171895529</v>
      </c>
      <c r="D14" s="67">
        <v>160</v>
      </c>
      <c r="E14" s="67">
        <f t="shared" si="0"/>
        <v>39.263291718955287</v>
      </c>
      <c r="F14" s="67">
        <f t="shared" si="1"/>
        <v>2590.4227923464186</v>
      </c>
      <c r="G14" s="67">
        <f t="shared" si="2"/>
        <v>1217.1620432876139</v>
      </c>
      <c r="H14" s="68">
        <f t="shared" si="3"/>
        <v>0.34776058379646113</v>
      </c>
      <c r="I14" s="56"/>
    </row>
    <row r="15" spans="1:24" x14ac:dyDescent="0.25">
      <c r="A15" s="65">
        <v>43004</v>
      </c>
      <c r="B15" s="66">
        <f t="shared" si="4"/>
        <v>13</v>
      </c>
      <c r="C15" s="67">
        <f t="shared" si="5"/>
        <v>198.91553113515883</v>
      </c>
      <c r="D15" s="67">
        <v>160</v>
      </c>
      <c r="E15" s="67">
        <f t="shared" si="0"/>
        <v>38.91553113515883</v>
      </c>
      <c r="F15" s="67">
        <f t="shared" si="1"/>
        <v>2585.9019047570646</v>
      </c>
      <c r="G15" s="67">
        <f t="shared" si="2"/>
        <v>1206.3814651899238</v>
      </c>
      <c r="H15" s="68">
        <f t="shared" si="3"/>
        <v>0.34468041862569254</v>
      </c>
      <c r="I15" s="56"/>
    </row>
    <row r="16" spans="1:24" x14ac:dyDescent="0.25">
      <c r="A16" s="65">
        <v>43005</v>
      </c>
      <c r="B16" s="66">
        <f t="shared" si="4"/>
        <v>14</v>
      </c>
      <c r="C16" s="67">
        <f t="shared" si="5"/>
        <v>198.57085071653313</v>
      </c>
      <c r="D16" s="67">
        <v>160</v>
      </c>
      <c r="E16" s="67">
        <f t="shared" si="0"/>
        <v>38.57085071653313</v>
      </c>
      <c r="F16" s="67">
        <f t="shared" si="1"/>
        <v>2581.4210593149305</v>
      </c>
      <c r="G16" s="67">
        <f t="shared" si="2"/>
        <v>1195.696372212527</v>
      </c>
      <c r="H16" s="68">
        <f t="shared" si="3"/>
        <v>0.34162753491786485</v>
      </c>
      <c r="I16" s="56"/>
    </row>
    <row r="17" spans="1:9" x14ac:dyDescent="0.25">
      <c r="A17" s="65">
        <v>43006</v>
      </c>
      <c r="B17" s="66">
        <f t="shared" si="4"/>
        <v>15</v>
      </c>
      <c r="C17" s="67">
        <f t="shared" si="5"/>
        <v>198.22922318161525</v>
      </c>
      <c r="D17" s="67">
        <v>160</v>
      </c>
      <c r="E17" s="67">
        <f t="shared" si="0"/>
        <v>38.229223181615254</v>
      </c>
      <c r="F17" s="67">
        <f t="shared" si="1"/>
        <v>2576.9799013609982</v>
      </c>
      <c r="G17" s="67">
        <f t="shared" si="2"/>
        <v>1185.1059186300729</v>
      </c>
      <c r="H17" s="68">
        <f t="shared" si="3"/>
        <v>0.3386016910371637</v>
      </c>
      <c r="I17" s="56"/>
    </row>
    <row r="18" spans="1:9" x14ac:dyDescent="0.25">
      <c r="A18" s="65">
        <v>43007</v>
      </c>
      <c r="B18" s="66">
        <f t="shared" si="4"/>
        <v>16</v>
      </c>
      <c r="C18" s="67">
        <f t="shared" si="5"/>
        <v>197.8906214905781</v>
      </c>
      <c r="D18" s="67">
        <v>160</v>
      </c>
      <c r="E18" s="67">
        <f t="shared" si="0"/>
        <v>37.890621490578098</v>
      </c>
      <c r="F18" s="67">
        <f t="shared" si="1"/>
        <v>2572.5780793775152</v>
      </c>
      <c r="G18" s="67">
        <f t="shared" si="2"/>
        <v>1174.6092662079211</v>
      </c>
      <c r="H18" s="68">
        <f t="shared" si="3"/>
        <v>0.33560264748797747</v>
      </c>
      <c r="I18" s="56"/>
    </row>
    <row r="19" spans="1:9" x14ac:dyDescent="0.25">
      <c r="A19" s="65">
        <v>43008</v>
      </c>
      <c r="B19" s="66">
        <f t="shared" si="4"/>
        <v>17</v>
      </c>
      <c r="C19" s="67">
        <f t="shared" si="5"/>
        <v>197.55501884309012</v>
      </c>
      <c r="D19" s="67">
        <v>160</v>
      </c>
      <c r="E19" s="67">
        <f t="shared" si="0"/>
        <v>37.555018843090124</v>
      </c>
      <c r="F19" s="67">
        <f t="shared" si="1"/>
        <v>2568.2152449601717</v>
      </c>
      <c r="G19" s="67">
        <f t="shared" si="2"/>
        <v>1164.2055841357937</v>
      </c>
      <c r="H19" s="68">
        <f t="shared" si="3"/>
        <v>0.33263016689594105</v>
      </c>
      <c r="I19" s="56"/>
    </row>
    <row r="20" spans="1:9" x14ac:dyDescent="0.25">
      <c r="A20" s="65">
        <v>43009</v>
      </c>
      <c r="B20" s="66">
        <f t="shared" si="4"/>
        <v>18</v>
      </c>
      <c r="C20" s="67">
        <f t="shared" si="5"/>
        <v>197.22238867619419</v>
      </c>
      <c r="D20" s="67">
        <v>160</v>
      </c>
      <c r="E20" s="67">
        <f t="shared" si="0"/>
        <v>37.222388676194186</v>
      </c>
      <c r="F20" s="67">
        <f t="shared" si="1"/>
        <v>2563.8910527905246</v>
      </c>
      <c r="G20" s="67">
        <f t="shared" si="2"/>
        <v>1153.8940489620197</v>
      </c>
      <c r="H20" s="68">
        <f t="shared" si="3"/>
        <v>0.32968401398914848</v>
      </c>
      <c r="I20" s="56"/>
    </row>
    <row r="21" spans="1:9" x14ac:dyDescent="0.25">
      <c r="A21" s="65">
        <v>43010</v>
      </c>
      <c r="B21" s="66">
        <f t="shared" si="4"/>
        <v>19</v>
      </c>
      <c r="C21" s="67">
        <f t="shared" si="5"/>
        <v>196.89270466220503</v>
      </c>
      <c r="D21" s="67">
        <v>160</v>
      </c>
      <c r="E21" s="67">
        <f t="shared" si="0"/>
        <v>36.892704662205034</v>
      </c>
      <c r="F21" s="67">
        <f t="shared" si="1"/>
        <v>2559.6051606086653</v>
      </c>
      <c r="G21" s="67">
        <f t="shared" si="2"/>
        <v>1143.6738445283561</v>
      </c>
      <c r="H21" s="68">
        <f t="shared" si="3"/>
        <v>0.32676395557953031</v>
      </c>
      <c r="I21" s="56"/>
    </row>
    <row r="22" spans="1:9" x14ac:dyDescent="0.25">
      <c r="A22" s="65">
        <v>43011</v>
      </c>
      <c r="B22" s="66">
        <f t="shared" si="4"/>
        <v>20</v>
      </c>
      <c r="C22" s="67">
        <f t="shared" si="5"/>
        <v>196.5659407066255</v>
      </c>
      <c r="D22" s="67">
        <v>160</v>
      </c>
      <c r="E22" s="67">
        <f t="shared" si="0"/>
        <v>36.565940706625497</v>
      </c>
      <c r="F22" s="67">
        <f t="shared" si="1"/>
        <v>2555.3572291861315</v>
      </c>
      <c r="G22" s="67">
        <f t="shared" si="2"/>
        <v>1133.5441619053904</v>
      </c>
      <c r="H22" s="68">
        <f t="shared" si="3"/>
        <v>0.32386976054439726</v>
      </c>
      <c r="I22" s="56"/>
    </row>
    <row r="23" spans="1:9" x14ac:dyDescent="0.25">
      <c r="A23" s="65">
        <v>43012</v>
      </c>
      <c r="B23" s="66">
        <f t="shared" si="4"/>
        <v>21</v>
      </c>
      <c r="C23" s="67">
        <f t="shared" si="5"/>
        <v>196.2420709460811</v>
      </c>
      <c r="D23" s="67">
        <v>160</v>
      </c>
      <c r="E23" s="67">
        <f t="shared" si="0"/>
        <v>36.2420709460811</v>
      </c>
      <c r="F23" s="67">
        <f t="shared" si="1"/>
        <v>2551.1469222990545</v>
      </c>
      <c r="G23" s="67">
        <f t="shared" si="2"/>
        <v>1123.504199328514</v>
      </c>
      <c r="H23" s="68">
        <f t="shared" si="3"/>
        <v>0.32100119980814684</v>
      </c>
      <c r="I23" s="56"/>
    </row>
    <row r="24" spans="1:9" x14ac:dyDescent="0.25">
      <c r="A24" s="65">
        <v>43013</v>
      </c>
      <c r="B24" s="66">
        <f t="shared" si="4"/>
        <v>22</v>
      </c>
      <c r="C24" s="67">
        <f t="shared" si="5"/>
        <v>195.92106974627296</v>
      </c>
      <c r="D24" s="67">
        <v>160</v>
      </c>
      <c r="E24" s="67">
        <f t="shared" si="0"/>
        <v>35.921069746272963</v>
      </c>
      <c r="F24" s="67">
        <f t="shared" si="1"/>
        <v>2546.9739067015485</v>
      </c>
      <c r="G24" s="67">
        <f t="shared" si="2"/>
        <v>1113.5531621344619</v>
      </c>
      <c r="H24" s="68">
        <f t="shared" si="3"/>
        <v>0.31815804632413197</v>
      </c>
      <c r="I24" s="56"/>
    </row>
    <row r="25" spans="1:9" x14ac:dyDescent="0.25">
      <c r="A25" s="65">
        <v>43014</v>
      </c>
      <c r="B25" s="66">
        <f t="shared" si="4"/>
        <v>23</v>
      </c>
      <c r="C25" s="67">
        <f t="shared" si="5"/>
        <v>195.60291169994883</v>
      </c>
      <c r="D25" s="67">
        <v>160</v>
      </c>
      <c r="E25" s="67">
        <f t="shared" si="0"/>
        <v>35.602911699948834</v>
      </c>
      <c r="F25" s="67">
        <f t="shared" si="1"/>
        <v>2542.8378520993347</v>
      </c>
      <c r="G25" s="67">
        <f t="shared" si="2"/>
        <v>1103.6902626984138</v>
      </c>
      <c r="H25" s="68">
        <f t="shared" si="3"/>
        <v>0.31534007505668965</v>
      </c>
      <c r="I25" s="56"/>
    </row>
    <row r="26" spans="1:9" x14ac:dyDescent="0.25">
      <c r="A26" s="65">
        <v>43015</v>
      </c>
      <c r="B26" s="66">
        <f t="shared" si="4"/>
        <v>24</v>
      </c>
      <c r="C26" s="67">
        <f t="shared" si="5"/>
        <v>195.28757162489214</v>
      </c>
      <c r="D26" s="67">
        <v>160</v>
      </c>
      <c r="E26" s="67">
        <f t="shared" si="0"/>
        <v>35.287571624892138</v>
      </c>
      <c r="F26" s="67">
        <f t="shared" si="1"/>
        <v>2538.7384311235978</v>
      </c>
      <c r="G26" s="67">
        <f t="shared" si="2"/>
        <v>1093.9147203716564</v>
      </c>
      <c r="H26" s="68">
        <f t="shared" si="3"/>
        <v>0.3125470629633304</v>
      </c>
      <c r="I26" s="56"/>
    </row>
    <row r="27" spans="1:9" x14ac:dyDescent="0.25">
      <c r="A27" s="65">
        <v>43016</v>
      </c>
      <c r="B27" s="66">
        <f t="shared" si="4"/>
        <v>25</v>
      </c>
      <c r="C27" s="67">
        <f t="shared" si="5"/>
        <v>194.97502456192882</v>
      </c>
      <c r="D27" s="67">
        <v>160</v>
      </c>
      <c r="E27" s="67">
        <f t="shared" si="0"/>
        <v>34.975024561928819</v>
      </c>
      <c r="F27" s="67">
        <f t="shared" si="1"/>
        <v>2534.6753193050745</v>
      </c>
      <c r="G27" s="67">
        <f t="shared" si="2"/>
        <v>1084.2257614197933</v>
      </c>
      <c r="H27" s="68">
        <f t="shared" si="3"/>
        <v>0.30977878897708383</v>
      </c>
      <c r="I27" s="56"/>
    </row>
    <row r="28" spans="1:9" x14ac:dyDescent="0.25">
      <c r="A28" s="65">
        <v>43017</v>
      </c>
      <c r="B28" s="66">
        <f t="shared" si="4"/>
        <v>26</v>
      </c>
      <c r="C28" s="67">
        <f t="shared" si="5"/>
        <v>194.66524577295175</v>
      </c>
      <c r="D28" s="67">
        <v>160</v>
      </c>
      <c r="E28" s="67">
        <f t="shared" si="0"/>
        <v>34.665245772951749</v>
      </c>
      <c r="F28" s="67">
        <f t="shared" si="1"/>
        <v>2530.6481950483726</v>
      </c>
      <c r="G28" s="67">
        <f t="shared" si="2"/>
        <v>1074.6226189615043</v>
      </c>
      <c r="H28" s="68">
        <f t="shared" si="3"/>
        <v>0.30703503398900123</v>
      </c>
      <c r="I28" s="56"/>
    </row>
    <row r="29" spans="1:9" x14ac:dyDescent="0.25">
      <c r="A29" s="65">
        <v>43018</v>
      </c>
      <c r="B29" s="66">
        <f t="shared" si="4"/>
        <v>27</v>
      </c>
      <c r="C29" s="67">
        <f t="shared" si="5"/>
        <v>194.35821073896275</v>
      </c>
      <c r="D29" s="67">
        <v>160</v>
      </c>
      <c r="E29" s="67">
        <f t="shared" si="0"/>
        <v>34.358210738962754</v>
      </c>
      <c r="F29" s="67">
        <f t="shared" si="1"/>
        <v>2526.6567396065157</v>
      </c>
      <c r="G29" s="67">
        <f t="shared" si="2"/>
        <v>1065.1045329078454</v>
      </c>
      <c r="H29" s="68">
        <f t="shared" si="3"/>
        <v>0.30431558083081295</v>
      </c>
      <c r="I29" s="56"/>
    </row>
    <row r="30" spans="1:9" x14ac:dyDescent="0.25">
      <c r="A30" s="65">
        <v>43019</v>
      </c>
      <c r="B30" s="66">
        <f t="shared" si="4"/>
        <v>28</v>
      </c>
      <c r="C30" s="67">
        <f t="shared" si="5"/>
        <v>194.05389515813195</v>
      </c>
      <c r="D30" s="67">
        <v>160</v>
      </c>
      <c r="E30" s="67">
        <f t="shared" si="0"/>
        <v>34.053895158131951</v>
      </c>
      <c r="F30" s="67">
        <f t="shared" si="1"/>
        <v>2522.7006370557156</v>
      </c>
      <c r="G30" s="67">
        <f t="shared" si="2"/>
        <v>1055.6707499020904</v>
      </c>
      <c r="H30" s="68">
        <f t="shared" si="3"/>
        <v>0.3016202142577401</v>
      </c>
      <c r="I30" s="56"/>
    </row>
    <row r="31" spans="1:9" x14ac:dyDescent="0.25">
      <c r="A31" s="65">
        <v>43020</v>
      </c>
      <c r="B31" s="66">
        <f t="shared" si="4"/>
        <v>29</v>
      </c>
      <c r="C31" s="67">
        <f t="shared" si="5"/>
        <v>193.7522749438742</v>
      </c>
      <c r="D31" s="67">
        <v>160</v>
      </c>
      <c r="E31" s="67">
        <f t="shared" si="0"/>
        <v>33.752274943874198</v>
      </c>
      <c r="F31" s="67">
        <f t="shared" si="1"/>
        <v>2518.7795742703647</v>
      </c>
      <c r="G31" s="67">
        <f t="shared" si="2"/>
        <v>1046.3205232601001</v>
      </c>
      <c r="H31" s="68">
        <f t="shared" si="3"/>
        <v>0.29894872093145719</v>
      </c>
      <c r="I31" s="56"/>
    </row>
    <row r="32" spans="1:9" x14ac:dyDescent="0.25">
      <c r="A32" s="65">
        <v>43021</v>
      </c>
      <c r="B32" s="66">
        <f t="shared" si="4"/>
        <v>30</v>
      </c>
      <c r="C32" s="67">
        <f t="shared" si="5"/>
        <v>193.45332622294274</v>
      </c>
      <c r="D32" s="67">
        <v>160</v>
      </c>
      <c r="E32" s="67">
        <f t="shared" si="0"/>
        <v>33.453326222942735</v>
      </c>
      <c r="F32" s="67">
        <f t="shared" si="1"/>
        <v>2514.8932408982555</v>
      </c>
      <c r="G32" s="67">
        <f t="shared" si="2"/>
        <v>1037.0531129112248</v>
      </c>
      <c r="H32" s="68">
        <f t="shared" si="3"/>
        <v>0.29630088940320709</v>
      </c>
      <c r="I32" s="56"/>
    </row>
    <row r="33" spans="1:9" x14ac:dyDescent="0.25">
      <c r="A33" s="65">
        <v>43022</v>
      </c>
      <c r="B33" s="66">
        <f t="shared" si="4"/>
        <v>31</v>
      </c>
      <c r="C33" s="67">
        <f t="shared" si="5"/>
        <v>193.15702533353954</v>
      </c>
      <c r="D33" s="67">
        <v>160</v>
      </c>
      <c r="E33" s="67">
        <f t="shared" si="0"/>
        <v>33.157025333539536</v>
      </c>
      <c r="F33" s="67">
        <f t="shared" si="1"/>
        <v>2511.0413293360139</v>
      </c>
      <c r="G33" s="67">
        <f t="shared" si="2"/>
        <v>1027.8677853397257</v>
      </c>
      <c r="H33" s="68">
        <f t="shared" si="3"/>
        <v>0.29367651009706452</v>
      </c>
      <c r="I33" s="56"/>
    </row>
    <row r="34" spans="1:9" x14ac:dyDescent="0.25">
      <c r="A34" s="65">
        <v>43023</v>
      </c>
      <c r="B34" s="66">
        <f t="shared" si="4"/>
        <v>32</v>
      </c>
      <c r="C34" s="67">
        <f t="shared" si="5"/>
        <v>192.86334882344246</v>
      </c>
      <c r="D34" s="67">
        <v>160</v>
      </c>
      <c r="E34" s="67">
        <f t="shared" si="0"/>
        <v>32.863348823442465</v>
      </c>
      <c r="F34" s="67">
        <f t="shared" si="1"/>
        <v>2507.2235347047522</v>
      </c>
      <c r="G34" s="67">
        <f t="shared" si="2"/>
        <v>1018.7638135267164</v>
      </c>
      <c r="H34" s="68">
        <f t="shared" si="3"/>
        <v>0.29107537529334754</v>
      </c>
      <c r="I34" s="56"/>
    </row>
    <row r="35" spans="1:9" x14ac:dyDescent="0.25">
      <c r="A35" s="65">
        <v>43024</v>
      </c>
      <c r="B35" s="66">
        <f t="shared" si="4"/>
        <v>33</v>
      </c>
      <c r="C35" s="67">
        <f t="shared" si="5"/>
        <v>192.5722734481491</v>
      </c>
      <c r="D35" s="67">
        <v>160</v>
      </c>
      <c r="E35" s="67">
        <f t="shared" si="0"/>
        <v>32.572273448149105</v>
      </c>
      <c r="F35" s="67">
        <f t="shared" si="1"/>
        <v>2503.4395548259386</v>
      </c>
      <c r="G35" s="67">
        <f t="shared" si="2"/>
        <v>1009.7404768926223</v>
      </c>
      <c r="H35" s="68">
        <f t="shared" si="3"/>
        <v>0.28849727911217782</v>
      </c>
      <c r="I35" s="56"/>
    </row>
    <row r="36" spans="1:9" x14ac:dyDescent="0.25">
      <c r="A36" s="65">
        <v>43025</v>
      </c>
      <c r="B36" s="66">
        <f t="shared" si="4"/>
        <v>34</v>
      </c>
      <c r="C36" s="67">
        <f t="shared" si="5"/>
        <v>192.28377616903694</v>
      </c>
      <c r="D36" s="67">
        <v>160</v>
      </c>
      <c r="E36" s="67">
        <f t="shared" si="0"/>
        <v>32.28377616903694</v>
      </c>
      <c r="F36" s="67">
        <f t="shared" si="1"/>
        <v>2499.6890901974803</v>
      </c>
      <c r="G36" s="67">
        <f t="shared" si="2"/>
        <v>1000.7970612401451</v>
      </c>
      <c r="H36" s="68">
        <f t="shared" si="3"/>
        <v>0.28594201749718434</v>
      </c>
      <c r="I36" s="56"/>
    </row>
    <row r="37" spans="1:9" x14ac:dyDescent="0.25">
      <c r="A37" s="65">
        <v>43026</v>
      </c>
      <c r="B37" s="66">
        <f t="shared" si="4"/>
        <v>35</v>
      </c>
      <c r="C37" s="67">
        <f t="shared" si="5"/>
        <v>191.99783415153976</v>
      </c>
      <c r="D37" s="67">
        <v>160</v>
      </c>
      <c r="E37" s="67">
        <f t="shared" si="0"/>
        <v>31.997834151539763</v>
      </c>
      <c r="F37" s="67">
        <f t="shared" si="1"/>
        <v>2495.9718439700168</v>
      </c>
      <c r="G37" s="67">
        <f t="shared" si="2"/>
        <v>991.93285869773263</v>
      </c>
      <c r="H37" s="68">
        <f t="shared" si="3"/>
        <v>0.28340938819935219</v>
      </c>
      <c r="I37" s="56"/>
    </row>
    <row r="38" spans="1:9" x14ac:dyDescent="0.25">
      <c r="A38" s="65">
        <v>43027</v>
      </c>
      <c r="B38" s="66">
        <f t="shared" si="4"/>
        <v>36</v>
      </c>
      <c r="C38" s="67">
        <f t="shared" si="5"/>
        <v>191.71442476334042</v>
      </c>
      <c r="D38" s="67">
        <v>160</v>
      </c>
      <c r="E38" s="67">
        <f t="shared" si="0"/>
        <v>31.714424763340418</v>
      </c>
      <c r="F38" s="67">
        <f t="shared" si="1"/>
        <v>2492.2875219234256</v>
      </c>
      <c r="G38" s="67">
        <f t="shared" si="2"/>
        <v>983.14716766355298</v>
      </c>
      <c r="H38" s="68">
        <f t="shared" si="3"/>
        <v>0.28089919076101516</v>
      </c>
      <c r="I38" s="56"/>
    </row>
    <row r="39" spans="1:9" x14ac:dyDescent="0.25">
      <c r="A39" s="65">
        <v>43028</v>
      </c>
      <c r="B39" s="66">
        <f t="shared" si="4"/>
        <v>37</v>
      </c>
      <c r="C39" s="67">
        <f t="shared" si="5"/>
        <v>191.43352557257941</v>
      </c>
      <c r="D39" s="67">
        <v>160</v>
      </c>
      <c r="E39" s="67">
        <f t="shared" si="0"/>
        <v>31.433525572579413</v>
      </c>
      <c r="F39" s="67">
        <f t="shared" si="1"/>
        <v>2488.6358324435323</v>
      </c>
      <c r="G39" s="67">
        <f t="shared" si="2"/>
        <v>974.43929274996185</v>
      </c>
      <c r="H39" s="68">
        <f t="shared" si="3"/>
        <v>0.27841122649998912</v>
      </c>
      <c r="I39" s="56"/>
    </row>
    <row r="40" spans="1:9" x14ac:dyDescent="0.25">
      <c r="A40" s="65">
        <v>43029</v>
      </c>
      <c r="B40" s="66">
        <f t="shared" si="4"/>
        <v>38</v>
      </c>
      <c r="C40" s="67">
        <f t="shared" si="5"/>
        <v>191.15511434607942</v>
      </c>
      <c r="D40" s="67">
        <v>160</v>
      </c>
      <c r="E40" s="67">
        <f t="shared" si="0"/>
        <v>31.155114346079415</v>
      </c>
      <c r="F40" s="67">
        <f t="shared" si="1"/>
        <v>2485.0164864990325</v>
      </c>
      <c r="G40" s="67">
        <f t="shared" si="2"/>
        <v>965.80854472846181</v>
      </c>
      <c r="H40" s="68">
        <f t="shared" si="3"/>
        <v>0.27594529849384625</v>
      </c>
      <c r="I40" s="56"/>
    </row>
    <row r="41" spans="1:9" x14ac:dyDescent="0.25">
      <c r="A41" s="65">
        <v>43030</v>
      </c>
      <c r="B41" s="66">
        <f t="shared" si="4"/>
        <v>39</v>
      </c>
      <c r="C41" s="67">
        <f t="shared" si="5"/>
        <v>190.87916904758558</v>
      </c>
      <c r="D41" s="67">
        <v>160</v>
      </c>
      <c r="E41" s="67">
        <f t="shared" si="0"/>
        <v>30.879169047585577</v>
      </c>
      <c r="F41" s="67">
        <f t="shared" si="1"/>
        <v>2481.4291976186123</v>
      </c>
      <c r="G41" s="67">
        <f t="shared" si="2"/>
        <v>957.25424047515287</v>
      </c>
      <c r="H41" s="68">
        <f t="shared" si="3"/>
        <v>0.27350121156432938</v>
      </c>
      <c r="I41" s="56"/>
    </row>
    <row r="42" spans="1:9" x14ac:dyDescent="0.25">
      <c r="A42" s="65">
        <v>43031</v>
      </c>
      <c r="B42" s="66">
        <f t="shared" si="4"/>
        <v>40</v>
      </c>
      <c r="C42" s="67">
        <f t="shared" si="5"/>
        <v>190.60566783602124</v>
      </c>
      <c r="D42" s="67">
        <v>160</v>
      </c>
      <c r="E42" s="67">
        <f t="shared" si="0"/>
        <v>30.60566783602124</v>
      </c>
      <c r="F42" s="67">
        <f t="shared" si="1"/>
        <v>2477.873681868276</v>
      </c>
      <c r="G42" s="67">
        <f t="shared" si="2"/>
        <v>948.77570291665847</v>
      </c>
      <c r="H42" s="68">
        <f t="shared" si="3"/>
        <v>0.27107877226190241</v>
      </c>
      <c r="I42" s="56"/>
    </row>
    <row r="43" spans="1:9" x14ac:dyDescent="0.25">
      <c r="A43" s="65">
        <v>43032</v>
      </c>
      <c r="B43" s="66">
        <f t="shared" si="4"/>
        <v>41</v>
      </c>
      <c r="C43" s="67">
        <f t="shared" si="5"/>
        <v>190.33458906375932</v>
      </c>
      <c r="D43" s="67">
        <v>160</v>
      </c>
      <c r="E43" s="67">
        <f t="shared" si="0"/>
        <v>30.334589063759324</v>
      </c>
      <c r="F43" s="67">
        <f t="shared" si="1"/>
        <v>2474.3496578288714</v>
      </c>
      <c r="G43" s="67">
        <f t="shared" si="2"/>
        <v>940.37226097653911</v>
      </c>
      <c r="H43" s="68">
        <f t="shared" si="3"/>
        <v>0.26867778885043975</v>
      </c>
      <c r="I43" s="56"/>
    </row>
    <row r="44" spans="1:9" x14ac:dyDescent="0.25">
      <c r="A44" s="65">
        <v>43033</v>
      </c>
      <c r="B44" s="66">
        <f t="shared" si="4"/>
        <v>42</v>
      </c>
      <c r="C44" s="67">
        <f t="shared" si="5"/>
        <v>190.06591127490887</v>
      </c>
      <c r="D44" s="67">
        <v>160</v>
      </c>
      <c r="E44" s="67">
        <f t="shared" si="0"/>
        <v>30.065911274908871</v>
      </c>
      <c r="F44" s="67">
        <f t="shared" si="1"/>
        <v>2470.8568465738153</v>
      </c>
      <c r="G44" s="67">
        <f t="shared" si="2"/>
        <v>932.04324952217496</v>
      </c>
      <c r="H44" s="68">
        <f t="shared" si="3"/>
        <v>0.26629807129204996</v>
      </c>
      <c r="I44" s="56"/>
    </row>
    <row r="45" spans="1:9" x14ac:dyDescent="0.25">
      <c r="A45" s="65">
        <v>43034</v>
      </c>
      <c r="B45" s="66">
        <f t="shared" si="4"/>
        <v>43</v>
      </c>
      <c r="C45" s="67">
        <f t="shared" si="5"/>
        <v>189.79961320361681</v>
      </c>
      <c r="D45" s="67">
        <v>160</v>
      </c>
      <c r="E45" s="67">
        <f t="shared" si="0"/>
        <v>29.799613203616815</v>
      </c>
      <c r="F45" s="67">
        <f t="shared" si="1"/>
        <v>2467.3949716470188</v>
      </c>
      <c r="G45" s="67">
        <f t="shared" si="2"/>
        <v>923.78800931212129</v>
      </c>
      <c r="H45" s="68">
        <f t="shared" si="3"/>
        <v>0.26393943123203467</v>
      </c>
      <c r="I45" s="56"/>
    </row>
    <row r="46" spans="1:9" x14ac:dyDescent="0.25">
      <c r="A46" s="65">
        <v>43035</v>
      </c>
      <c r="B46" s="66">
        <f t="shared" si="4"/>
        <v>44</v>
      </c>
      <c r="C46" s="67">
        <f t="shared" si="5"/>
        <v>189.53567377238477</v>
      </c>
      <c r="D46" s="67">
        <v>160</v>
      </c>
      <c r="E46" s="67">
        <f t="shared" si="0"/>
        <v>29.535673772384769</v>
      </c>
      <c r="F46" s="67">
        <f t="shared" si="1"/>
        <v>2463.963759041002</v>
      </c>
      <c r="G46" s="67">
        <f t="shared" si="2"/>
        <v>915.60588694392777</v>
      </c>
      <c r="H46" s="68">
        <f t="shared" si="3"/>
        <v>0.26160168198397937</v>
      </c>
      <c r="I46" s="56"/>
    </row>
    <row r="47" spans="1:9" x14ac:dyDescent="0.25">
      <c r="A47" s="65">
        <v>43036</v>
      </c>
      <c r="B47" s="66">
        <f t="shared" si="4"/>
        <v>45</v>
      </c>
      <c r="C47" s="67">
        <f t="shared" si="5"/>
        <v>189.27407209040078</v>
      </c>
      <c r="D47" s="67">
        <v>160</v>
      </c>
      <c r="E47" s="67">
        <f t="shared" si="0"/>
        <v>29.274072090400779</v>
      </c>
      <c r="F47" s="67">
        <f t="shared" si="1"/>
        <v>2460.5629371752102</v>
      </c>
      <c r="G47" s="67">
        <f t="shared" si="2"/>
        <v>907.49623480242417</v>
      </c>
      <c r="H47" s="68">
        <f t="shared" si="3"/>
        <v>0.25928463851497835</v>
      </c>
      <c r="I47" s="56"/>
    </row>
    <row r="48" spans="1:9" x14ac:dyDescent="0.25">
      <c r="A48" s="65">
        <v>43037</v>
      </c>
      <c r="B48" s="66">
        <f t="shared" si="4"/>
        <v>46</v>
      </c>
      <c r="C48" s="67">
        <f t="shared" si="5"/>
        <v>189.01478745188581</v>
      </c>
      <c r="D48" s="67">
        <v>160</v>
      </c>
      <c r="E48" s="67">
        <f t="shared" si="0"/>
        <v>29.014787451885809</v>
      </c>
      <c r="F48" s="67">
        <f t="shared" si="1"/>
        <v>2457.1922368745154</v>
      </c>
      <c r="G48" s="67">
        <f t="shared" si="2"/>
        <v>899.45841100846008</v>
      </c>
      <c r="H48" s="68">
        <f t="shared" si="3"/>
        <v>0.25698811743098859</v>
      </c>
      <c r="I48" s="56"/>
    </row>
    <row r="49" spans="1:9" x14ac:dyDescent="0.25">
      <c r="A49" s="65">
        <v>43038</v>
      </c>
      <c r="B49" s="66">
        <f t="shared" si="4"/>
        <v>47</v>
      </c>
      <c r="C49" s="67">
        <f t="shared" si="5"/>
        <v>188.75779933445483</v>
      </c>
      <c r="D49" s="67">
        <v>160</v>
      </c>
      <c r="E49" s="67">
        <f t="shared" si="0"/>
        <v>28.75779933445483</v>
      </c>
      <c r="F49" s="67">
        <f t="shared" si="1"/>
        <v>2453.8513913479128</v>
      </c>
      <c r="G49" s="67">
        <f t="shared" si="2"/>
        <v>891.49177936809974</v>
      </c>
      <c r="H49" s="68">
        <f t="shared" si="3"/>
        <v>0.2547119369623142</v>
      </c>
      <c r="I49" s="56"/>
    </row>
    <row r="50" spans="1:9" x14ac:dyDescent="0.25">
      <c r="A50" s="65">
        <v>43039</v>
      </c>
      <c r="B50" s="66">
        <f t="shared" si="4"/>
        <v>48</v>
      </c>
      <c r="C50" s="67">
        <f t="shared" si="5"/>
        <v>188.50308739749252</v>
      </c>
      <c r="D50" s="67">
        <v>160</v>
      </c>
      <c r="E50" s="67">
        <f t="shared" si="0"/>
        <v>28.503087397492521</v>
      </c>
      <c r="F50" s="67">
        <f t="shared" si="1"/>
        <v>2450.5401361674026</v>
      </c>
      <c r="G50" s="67">
        <f t="shared" si="2"/>
        <v>883.59570932226814</v>
      </c>
      <c r="H50" s="68">
        <f t="shared" si="3"/>
        <v>0.25245591694921948</v>
      </c>
      <c r="I50" s="56"/>
    </row>
    <row r="51" spans="1:9" x14ac:dyDescent="0.25">
      <c r="A51" s="65">
        <v>43040</v>
      </c>
      <c r="B51" s="66">
        <f t="shared" si="4"/>
        <v>49</v>
      </c>
      <c r="C51" s="67">
        <f t="shared" si="5"/>
        <v>188.25063148054329</v>
      </c>
      <c r="D51" s="67">
        <v>160</v>
      </c>
      <c r="E51" s="67">
        <f t="shared" si="0"/>
        <v>28.250631480543291</v>
      </c>
      <c r="F51" s="67">
        <f t="shared" si="1"/>
        <v>2447.258209247063</v>
      </c>
      <c r="G51" s="67">
        <f t="shared" si="2"/>
        <v>875.76957589684207</v>
      </c>
      <c r="H51" s="68">
        <f t="shared" si="3"/>
        <v>0.25021987882766916</v>
      </c>
      <c r="I51" s="56"/>
    </row>
    <row r="52" spans="1:9" x14ac:dyDescent="0.25">
      <c r="A52" s="65">
        <v>43041</v>
      </c>
      <c r="B52" s="66">
        <f t="shared" si="4"/>
        <v>50</v>
      </c>
      <c r="C52" s="67">
        <f t="shared" si="5"/>
        <v>188.00041160171563</v>
      </c>
      <c r="D52" s="67">
        <v>160</v>
      </c>
      <c r="E52" s="67">
        <f t="shared" si="0"/>
        <v>28.000411601715626</v>
      </c>
      <c r="F52" s="67">
        <f t="shared" si="1"/>
        <v>2444.0053508223032</v>
      </c>
      <c r="G52" s="67">
        <f t="shared" si="2"/>
        <v>868.01275965318439</v>
      </c>
      <c r="H52" s="68">
        <f t="shared" si="3"/>
        <v>0.24800364561519553</v>
      </c>
      <c r="I52" s="56"/>
    </row>
    <row r="53" spans="1:9" x14ac:dyDescent="0.25">
      <c r="A53" s="65">
        <v>43042</v>
      </c>
      <c r="B53" s="66">
        <f t="shared" si="4"/>
        <v>51</v>
      </c>
      <c r="C53" s="67">
        <f t="shared" si="5"/>
        <v>187.75240795610043</v>
      </c>
      <c r="D53" s="67">
        <v>160</v>
      </c>
      <c r="E53" s="67">
        <f t="shared" si="0"/>
        <v>27.752407956100427</v>
      </c>
      <c r="F53" s="67">
        <f t="shared" si="1"/>
        <v>2440.7813034293054</v>
      </c>
      <c r="G53" s="67">
        <f t="shared" si="2"/>
        <v>860.32464663911321</v>
      </c>
      <c r="H53" s="68">
        <f t="shared" si="3"/>
        <v>0.24580704189688948</v>
      </c>
      <c r="I53" s="56"/>
    </row>
    <row r="54" spans="1:9" x14ac:dyDescent="0.25">
      <c r="A54" s="65">
        <v>43043</v>
      </c>
      <c r="B54" s="66">
        <f t="shared" si="4"/>
        <v>52</v>
      </c>
      <c r="C54" s="67">
        <f t="shared" si="5"/>
        <v>187.50660091420355</v>
      </c>
      <c r="D54" s="67">
        <v>160</v>
      </c>
      <c r="E54" s="67">
        <f t="shared" si="0"/>
        <v>27.506600914203545</v>
      </c>
      <c r="F54" s="67">
        <f t="shared" si="1"/>
        <v>2437.5858118846463</v>
      </c>
      <c r="G54" s="67">
        <f t="shared" si="2"/>
        <v>852.70462834030991</v>
      </c>
      <c r="H54" s="68">
        <f t="shared" si="3"/>
        <v>0.24362989381151712</v>
      </c>
      <c r="I54" s="56"/>
    </row>
    <row r="55" spans="1:9" x14ac:dyDescent="0.25">
      <c r="A55" s="65">
        <v>43044</v>
      </c>
      <c r="B55" s="66">
        <f t="shared" si="4"/>
        <v>53</v>
      </c>
      <c r="C55" s="67">
        <f t="shared" si="5"/>
        <v>187.26297102039203</v>
      </c>
      <c r="D55" s="67">
        <v>160</v>
      </c>
      <c r="E55" s="67">
        <f t="shared" si="0"/>
        <v>27.26297102039203</v>
      </c>
      <c r="F55" s="67">
        <f t="shared" si="1"/>
        <v>2434.4186232650964</v>
      </c>
      <c r="G55" s="67">
        <f t="shared" si="2"/>
        <v>845.15210163215295</v>
      </c>
      <c r="H55" s="68">
        <f t="shared" si="3"/>
        <v>0.241472029037758</v>
      </c>
      <c r="I55" s="56"/>
    </row>
    <row r="56" spans="1:9" x14ac:dyDescent="0.25">
      <c r="A56" s="65">
        <v>43045</v>
      </c>
      <c r="B56" s="66">
        <f t="shared" si="4"/>
        <v>54</v>
      </c>
      <c r="C56" s="67">
        <f t="shared" si="5"/>
        <v>187.02149899135426</v>
      </c>
      <c r="D56" s="67">
        <v>160</v>
      </c>
      <c r="E56" s="67">
        <f t="shared" si="0"/>
        <v>27.021498991354264</v>
      </c>
      <c r="F56" s="67">
        <f t="shared" si="1"/>
        <v>2431.2794868876053</v>
      </c>
      <c r="G56" s="67">
        <f t="shared" si="2"/>
        <v>837.66646873198215</v>
      </c>
      <c r="H56" s="68">
        <f t="shared" si="3"/>
        <v>0.23933327678056632</v>
      </c>
      <c r="I56" s="56"/>
    </row>
    <row r="57" spans="1:9" x14ac:dyDescent="0.25">
      <c r="A57" s="65">
        <v>43046</v>
      </c>
      <c r="B57" s="66">
        <f t="shared" si="4"/>
        <v>55</v>
      </c>
      <c r="C57" s="67">
        <f t="shared" si="5"/>
        <v>186.78216571457369</v>
      </c>
      <c r="D57" s="67">
        <v>160</v>
      </c>
      <c r="E57" s="67">
        <f t="shared" si="0"/>
        <v>26.782165714573694</v>
      </c>
      <c r="F57" s="67">
        <f t="shared" si="1"/>
        <v>2428.168154289458</v>
      </c>
      <c r="G57" s="67">
        <f t="shared" si="2"/>
        <v>830.2471371517845</v>
      </c>
      <c r="H57" s="68">
        <f t="shared" si="3"/>
        <v>0.2372134677576527</v>
      </c>
      <c r="I57" s="56"/>
    </row>
    <row r="58" spans="1:9" x14ac:dyDescent="0.25">
      <c r="A58" s="65">
        <v>43047</v>
      </c>
      <c r="B58" s="66">
        <f t="shared" si="4"/>
        <v>56</v>
      </c>
      <c r="C58" s="67">
        <f t="shared" si="5"/>
        <v>186.54495224681605</v>
      </c>
      <c r="D58" s="67">
        <v>160</v>
      </c>
      <c r="E58" s="67">
        <f t="shared" si="0"/>
        <v>26.544952246816052</v>
      </c>
      <c r="F58" s="67">
        <f t="shared" si="1"/>
        <v>2425.0843792086089</v>
      </c>
      <c r="G58" s="67">
        <f t="shared" si="2"/>
        <v>822.89351965129765</v>
      </c>
      <c r="H58" s="68">
        <f t="shared" si="3"/>
        <v>0.23511243418608505</v>
      </c>
      <c r="I58" s="56"/>
    </row>
    <row r="59" spans="1:9" x14ac:dyDescent="0.25">
      <c r="A59" s="65">
        <v>43048</v>
      </c>
      <c r="B59" s="66">
        <f t="shared" si="4"/>
        <v>57</v>
      </c>
      <c r="C59" s="67">
        <f t="shared" si="5"/>
        <v>186.30983981262997</v>
      </c>
      <c r="D59" s="67">
        <v>160</v>
      </c>
      <c r="E59" s="67">
        <f t="shared" si="0"/>
        <v>26.309839812629974</v>
      </c>
      <c r="F59" s="67">
        <f t="shared" si="1"/>
        <v>2422.0279175641895</v>
      </c>
      <c r="G59" s="67">
        <f t="shared" si="2"/>
        <v>815.60503419152917</v>
      </c>
      <c r="H59" s="68">
        <f t="shared" si="3"/>
        <v>0.23303000976900834</v>
      </c>
      <c r="I59" s="56"/>
    </row>
    <row r="60" spans="1:9" x14ac:dyDescent="0.25">
      <c r="A60" s="65">
        <v>43049</v>
      </c>
      <c r="B60" s="66">
        <f t="shared" si="4"/>
        <v>58</v>
      </c>
      <c r="C60" s="67">
        <f t="shared" si="5"/>
        <v>186.07680980286096</v>
      </c>
      <c r="D60" s="67">
        <v>160</v>
      </c>
      <c r="E60" s="67">
        <f t="shared" si="0"/>
        <v>26.076809802860964</v>
      </c>
      <c r="F60" s="67">
        <f t="shared" si="1"/>
        <v>2418.9985274371925</v>
      </c>
      <c r="G60" s="67">
        <f t="shared" si="2"/>
        <v>808.38110388868995</v>
      </c>
      <c r="H60" s="68">
        <f t="shared" si="3"/>
        <v>0.23096602968248284</v>
      </c>
      <c r="I60" s="56"/>
    </row>
    <row r="61" spans="1:9" x14ac:dyDescent="0.25">
      <c r="A61" s="65">
        <v>43050</v>
      </c>
      <c r="B61" s="66">
        <f t="shared" si="4"/>
        <v>59</v>
      </c>
      <c r="C61" s="67">
        <f t="shared" si="5"/>
        <v>185.84584377317847</v>
      </c>
      <c r="D61" s="67">
        <v>160</v>
      </c>
      <c r="E61" s="67">
        <f t="shared" si="0"/>
        <v>25.845843773178473</v>
      </c>
      <c r="F61" s="67">
        <f t="shared" si="1"/>
        <v>2415.9959690513201</v>
      </c>
      <c r="G61" s="67">
        <f t="shared" si="2"/>
        <v>801.22115696853268</v>
      </c>
      <c r="H61" s="68">
        <f t="shared" si="3"/>
        <v>0.22892033056243791</v>
      </c>
      <c r="I61" s="56"/>
    </row>
    <row r="62" spans="1:9" x14ac:dyDescent="0.25">
      <c r="A62" s="65">
        <v>43051</v>
      </c>
      <c r="B62" s="66">
        <f t="shared" si="4"/>
        <v>60</v>
      </c>
      <c r="C62" s="67">
        <f t="shared" si="5"/>
        <v>185.61692344261604</v>
      </c>
      <c r="D62" s="67">
        <v>160</v>
      </c>
      <c r="E62" s="67">
        <f t="shared" si="0"/>
        <v>25.616923442616041</v>
      </c>
      <c r="F62" s="67">
        <f t="shared" si="1"/>
        <v>2413.0200047540084</v>
      </c>
      <c r="G62" s="67">
        <f t="shared" si="2"/>
        <v>794.12462672109723</v>
      </c>
      <c r="H62" s="68">
        <f t="shared" si="3"/>
        <v>0.22689275049174207</v>
      </c>
      <c r="I62" s="56"/>
    </row>
    <row r="63" spans="1:9" x14ac:dyDescent="0.25">
      <c r="A63" s="65">
        <v>43052</v>
      </c>
      <c r="B63" s="66">
        <f t="shared" si="4"/>
        <v>61</v>
      </c>
      <c r="C63" s="67">
        <f t="shared" si="5"/>
        <v>185.3900306921243</v>
      </c>
      <c r="D63" s="67">
        <v>160</v>
      </c>
      <c r="E63" s="67">
        <f t="shared" si="0"/>
        <v>25.390030692124299</v>
      </c>
      <c r="F63" s="67">
        <f t="shared" si="1"/>
        <v>2410.0703989976159</v>
      </c>
      <c r="G63" s="67">
        <f t="shared" si="2"/>
        <v>787.0909514558532</v>
      </c>
      <c r="H63" s="68">
        <f t="shared" si="3"/>
        <v>0.22488312898738663</v>
      </c>
      <c r="I63" s="56"/>
    </row>
    <row r="64" spans="1:9" x14ac:dyDescent="0.25">
      <c r="A64" s="65">
        <v>43053</v>
      </c>
      <c r="B64" s="66">
        <f t="shared" si="4"/>
        <v>62</v>
      </c>
      <c r="C64" s="67">
        <f t="shared" si="5"/>
        <v>185.16514756313691</v>
      </c>
      <c r="D64" s="67">
        <v>160</v>
      </c>
      <c r="E64" s="67">
        <f t="shared" si="0"/>
        <v>25.165147563136912</v>
      </c>
      <c r="F64" s="67">
        <f t="shared" si="1"/>
        <v>2407.1469183207801</v>
      </c>
      <c r="G64" s="67">
        <f t="shared" si="2"/>
        <v>780.11957445724431</v>
      </c>
      <c r="H64" s="68">
        <f t="shared" si="3"/>
        <v>0.22289130698778409</v>
      </c>
      <c r="I64" s="56"/>
    </row>
    <row r="65" spans="1:9" x14ac:dyDescent="0.25">
      <c r="A65" s="65">
        <v>43054</v>
      </c>
      <c r="B65" s="66">
        <f t="shared" si="4"/>
        <v>63</v>
      </c>
      <c r="C65" s="67">
        <f t="shared" si="5"/>
        <v>184.94225625614914</v>
      </c>
      <c r="D65" s="67">
        <v>160</v>
      </c>
      <c r="E65" s="67">
        <f t="shared" si="0"/>
        <v>24.942256256149136</v>
      </c>
      <c r="F65" s="67">
        <f t="shared" si="1"/>
        <v>2404.2493313299387</v>
      </c>
      <c r="G65" s="67">
        <f t="shared" si="2"/>
        <v>773.20994394062325</v>
      </c>
      <c r="H65" s="68">
        <f t="shared" si="3"/>
        <v>0.22091712684017806</v>
      </c>
      <c r="I65" s="56"/>
    </row>
    <row r="66" spans="1:9" x14ac:dyDescent="0.25">
      <c r="A66" s="65">
        <v>43055</v>
      </c>
      <c r="B66" s="66">
        <f t="shared" si="4"/>
        <v>64</v>
      </c>
      <c r="C66" s="67">
        <f t="shared" si="5"/>
        <v>184.72133912930894</v>
      </c>
      <c r="D66" s="67">
        <v>160</v>
      </c>
      <c r="E66" s="67">
        <f t="shared" si="0"/>
        <v>24.721339129308944</v>
      </c>
      <c r="F66" s="67">
        <f t="shared" si="1"/>
        <v>2401.3774086810163</v>
      </c>
      <c r="G66" s="67">
        <f t="shared" si="2"/>
        <v>766.36151300857728</v>
      </c>
      <c r="H66" s="68">
        <f t="shared" si="3"/>
        <v>0.21896043228816495</v>
      </c>
      <c r="I66" s="56"/>
    </row>
    <row r="67" spans="1:9" x14ac:dyDescent="0.25">
      <c r="A67" s="65">
        <v>43056</v>
      </c>
      <c r="B67" s="66">
        <f t="shared" si="4"/>
        <v>65</v>
      </c>
      <c r="C67" s="67">
        <f t="shared" si="5"/>
        <v>184.50237869702079</v>
      </c>
      <c r="D67" s="67">
        <v>160</v>
      </c>
      <c r="E67" s="67">
        <f t="shared" ref="E67:E130" si="6">C67-D67</f>
        <v>24.502378697020788</v>
      </c>
      <c r="F67" s="67">
        <f t="shared" ref="F67:F130" si="7">13*C67</f>
        <v>2398.5309230612702</v>
      </c>
      <c r="G67" s="67">
        <f t="shared" ref="G67:G130" si="8">E67*31</f>
        <v>759.57373960764448</v>
      </c>
      <c r="H67" s="68">
        <f t="shared" ref="H67:H130" si="9">MIN($G67/3500,$F67/3500)</f>
        <v>0.217021068459327</v>
      </c>
      <c r="I67" s="56"/>
    </row>
    <row r="68" spans="1:9" x14ac:dyDescent="0.25">
      <c r="A68" s="65">
        <v>43057</v>
      </c>
      <c r="B68" s="66">
        <f t="shared" ref="B68:B131" si="10">B67+1</f>
        <v>66</v>
      </c>
      <c r="C68" s="67">
        <f t="shared" ref="C68:C131" si="11">C67-H67</f>
        <v>184.28535762856146</v>
      </c>
      <c r="D68" s="67">
        <v>160</v>
      </c>
      <c r="E68" s="67">
        <f t="shared" si="6"/>
        <v>24.285357628561457</v>
      </c>
      <c r="F68" s="67">
        <f t="shared" si="7"/>
        <v>2395.7096491712991</v>
      </c>
      <c r="G68" s="67">
        <f t="shared" si="8"/>
        <v>752.84608648540518</v>
      </c>
      <c r="H68" s="68">
        <f t="shared" si="9"/>
        <v>0.21509888185297291</v>
      </c>
      <c r="I68" s="56"/>
    </row>
    <row r="69" spans="1:9" x14ac:dyDescent="0.25">
      <c r="A69" s="65">
        <v>43058</v>
      </c>
      <c r="B69" s="66">
        <f t="shared" si="10"/>
        <v>67</v>
      </c>
      <c r="C69" s="67">
        <f t="shared" si="11"/>
        <v>184.07025874670848</v>
      </c>
      <c r="D69" s="67">
        <v>160</v>
      </c>
      <c r="E69" s="67">
        <f t="shared" si="6"/>
        <v>24.070258746708475</v>
      </c>
      <c r="F69" s="67">
        <f t="shared" si="7"/>
        <v>2392.91336370721</v>
      </c>
      <c r="G69" s="67">
        <f t="shared" si="8"/>
        <v>746.17802114796268</v>
      </c>
      <c r="H69" s="68">
        <f t="shared" si="9"/>
        <v>0.21319372032798933</v>
      </c>
      <c r="I69" s="56"/>
    </row>
    <row r="70" spans="1:9" x14ac:dyDescent="0.25">
      <c r="A70" s="65">
        <v>43059</v>
      </c>
      <c r="B70" s="66">
        <f t="shared" si="10"/>
        <v>68</v>
      </c>
      <c r="C70" s="67">
        <f t="shared" si="11"/>
        <v>183.8570650263805</v>
      </c>
      <c r="D70" s="67">
        <v>160</v>
      </c>
      <c r="E70" s="67">
        <f t="shared" si="6"/>
        <v>23.857065026380496</v>
      </c>
      <c r="F70" s="67">
        <f t="shared" si="7"/>
        <v>2390.1418453429465</v>
      </c>
      <c r="G70" s="67">
        <f t="shared" si="8"/>
        <v>739.56901581779539</v>
      </c>
      <c r="H70" s="68">
        <f t="shared" si="9"/>
        <v>0.21130543309079869</v>
      </c>
      <c r="I70" s="56"/>
    </row>
    <row r="71" spans="1:9" x14ac:dyDescent="0.25">
      <c r="A71" s="65">
        <v>43060</v>
      </c>
      <c r="B71" s="66">
        <f t="shared" si="10"/>
        <v>69</v>
      </c>
      <c r="C71" s="67">
        <f t="shared" si="11"/>
        <v>183.64575959328971</v>
      </c>
      <c r="D71" s="67">
        <v>160</v>
      </c>
      <c r="E71" s="67">
        <f t="shared" si="6"/>
        <v>23.645759593289711</v>
      </c>
      <c r="F71" s="67">
        <f t="shared" si="7"/>
        <v>2387.3948747127661</v>
      </c>
      <c r="G71" s="67">
        <f t="shared" si="8"/>
        <v>733.01854739198097</v>
      </c>
      <c r="H71" s="68">
        <f t="shared" si="9"/>
        <v>0.20943387068342315</v>
      </c>
      <c r="I71" s="56"/>
    </row>
    <row r="72" spans="1:9" x14ac:dyDescent="0.25">
      <c r="A72" s="65">
        <v>43061</v>
      </c>
      <c r="B72" s="66">
        <f t="shared" si="10"/>
        <v>70</v>
      </c>
      <c r="C72" s="67">
        <f t="shared" si="11"/>
        <v>183.43632572260628</v>
      </c>
      <c r="D72" s="67">
        <v>160</v>
      </c>
      <c r="E72" s="67">
        <f t="shared" si="6"/>
        <v>23.436325722606284</v>
      </c>
      <c r="F72" s="67">
        <f t="shared" si="7"/>
        <v>2384.6722343938818</v>
      </c>
      <c r="G72" s="67">
        <f t="shared" si="8"/>
        <v>726.52609740079481</v>
      </c>
      <c r="H72" s="68">
        <f t="shared" si="9"/>
        <v>0.20757888497165566</v>
      </c>
      <c r="I72" s="56"/>
    </row>
    <row r="73" spans="1:9" x14ac:dyDescent="0.25">
      <c r="A73" s="65">
        <v>43062</v>
      </c>
      <c r="B73" s="66">
        <f t="shared" si="10"/>
        <v>71</v>
      </c>
      <c r="C73" s="67">
        <f t="shared" si="11"/>
        <v>183.22874683763462</v>
      </c>
      <c r="D73" s="67">
        <v>160</v>
      </c>
      <c r="E73" s="67">
        <f t="shared" si="6"/>
        <v>23.228746837634617</v>
      </c>
      <c r="F73" s="67">
        <f t="shared" si="7"/>
        <v>2381.9737088892498</v>
      </c>
      <c r="G73" s="67">
        <f t="shared" si="8"/>
        <v>720.09115196667312</v>
      </c>
      <c r="H73" s="68">
        <f t="shared" si="9"/>
        <v>0.20574032913333518</v>
      </c>
      <c r="I73" s="56"/>
    </row>
    <row r="74" spans="1:9" x14ac:dyDescent="0.25">
      <c r="A74" s="65">
        <v>43063</v>
      </c>
      <c r="B74" s="66">
        <f t="shared" si="10"/>
        <v>72</v>
      </c>
      <c r="C74" s="67">
        <f t="shared" si="11"/>
        <v>183.02300650850128</v>
      </c>
      <c r="D74" s="67">
        <v>160</v>
      </c>
      <c r="E74" s="67">
        <f t="shared" si="6"/>
        <v>23.023006508501282</v>
      </c>
      <c r="F74" s="67">
        <f t="shared" si="7"/>
        <v>2379.2990846105167</v>
      </c>
      <c r="G74" s="67">
        <f t="shared" si="8"/>
        <v>713.7132017635397</v>
      </c>
      <c r="H74" s="68">
        <f t="shared" si="9"/>
        <v>0.20391805764672563</v>
      </c>
      <c r="I74" s="56"/>
    </row>
    <row r="75" spans="1:9" x14ac:dyDescent="0.25">
      <c r="A75" s="65">
        <v>43064</v>
      </c>
      <c r="B75" s="66">
        <f t="shared" si="10"/>
        <v>73</v>
      </c>
      <c r="C75" s="67">
        <f t="shared" si="11"/>
        <v>182.81908845085457</v>
      </c>
      <c r="D75" s="67">
        <v>160</v>
      </c>
      <c r="E75" s="67">
        <f t="shared" si="6"/>
        <v>22.819088450854565</v>
      </c>
      <c r="F75" s="67">
        <f t="shared" si="7"/>
        <v>2376.6481498611092</v>
      </c>
      <c r="G75" s="67">
        <f t="shared" si="8"/>
        <v>707.39174197649152</v>
      </c>
      <c r="H75" s="68">
        <f t="shared" si="9"/>
        <v>0.20211192627899757</v>
      </c>
      <c r="I75" s="56"/>
    </row>
    <row r="76" spans="1:9" x14ac:dyDescent="0.25">
      <c r="A76" s="65">
        <v>43065</v>
      </c>
      <c r="B76" s="66">
        <f t="shared" si="10"/>
        <v>74</v>
      </c>
      <c r="C76" s="67">
        <f t="shared" si="11"/>
        <v>182.61697652457556</v>
      </c>
      <c r="D76" s="67">
        <v>160</v>
      </c>
      <c r="E76" s="67">
        <f t="shared" si="6"/>
        <v>22.616976524575563</v>
      </c>
      <c r="F76" s="67">
        <f t="shared" si="7"/>
        <v>2374.0206948194823</v>
      </c>
      <c r="G76" s="67">
        <f t="shared" si="8"/>
        <v>701.12627226184247</v>
      </c>
      <c r="H76" s="68">
        <f t="shared" si="9"/>
        <v>0.20032179207481213</v>
      </c>
      <c r="I76" s="56"/>
    </row>
    <row r="77" spans="1:9" x14ac:dyDescent="0.25">
      <c r="A77" s="65">
        <v>43066</v>
      </c>
      <c r="B77" s="66">
        <f t="shared" si="10"/>
        <v>75</v>
      </c>
      <c r="C77" s="67">
        <f t="shared" si="11"/>
        <v>182.41665473250075</v>
      </c>
      <c r="D77" s="67">
        <v>160</v>
      </c>
      <c r="E77" s="67">
        <f t="shared" si="6"/>
        <v>22.416654732500746</v>
      </c>
      <c r="F77" s="67">
        <f t="shared" si="7"/>
        <v>2371.4165115225096</v>
      </c>
      <c r="G77" s="67">
        <f t="shared" si="8"/>
        <v>694.91629670752309</v>
      </c>
      <c r="H77" s="68">
        <f t="shared" si="9"/>
        <v>0.19854751334500659</v>
      </c>
      <c r="I77" s="56"/>
    </row>
    <row r="78" spans="1:9" x14ac:dyDescent="0.25">
      <c r="A78" s="65">
        <v>43067</v>
      </c>
      <c r="B78" s="66">
        <f t="shared" si="10"/>
        <v>76</v>
      </c>
      <c r="C78" s="67">
        <f t="shared" si="11"/>
        <v>182.21810721915574</v>
      </c>
      <c r="D78" s="67">
        <v>160</v>
      </c>
      <c r="E78" s="67">
        <f t="shared" si="6"/>
        <v>22.21810721915574</v>
      </c>
      <c r="F78" s="67">
        <f t="shared" si="7"/>
        <v>2368.8353938490245</v>
      </c>
      <c r="G78" s="67">
        <f t="shared" si="8"/>
        <v>688.76132379382796</v>
      </c>
      <c r="H78" s="68">
        <f t="shared" si="9"/>
        <v>0.19678894965537941</v>
      </c>
      <c r="I78" s="56"/>
    </row>
    <row r="79" spans="1:9" x14ac:dyDescent="0.25">
      <c r="A79" s="65">
        <v>43068</v>
      </c>
      <c r="B79" s="66">
        <f t="shared" si="10"/>
        <v>77</v>
      </c>
      <c r="C79" s="67">
        <f t="shared" si="11"/>
        <v>182.02131826950037</v>
      </c>
      <c r="D79" s="67">
        <v>160</v>
      </c>
      <c r="E79" s="67">
        <f t="shared" si="6"/>
        <v>22.02131826950037</v>
      </c>
      <c r="F79" s="67">
        <f t="shared" si="7"/>
        <v>2366.2771375035049</v>
      </c>
      <c r="G79" s="67">
        <f t="shared" si="8"/>
        <v>682.66086635451143</v>
      </c>
      <c r="H79" s="68">
        <f t="shared" si="9"/>
        <v>0.19504596181557468</v>
      </c>
      <c r="I79" s="56"/>
    </row>
    <row r="80" spans="1:9" x14ac:dyDescent="0.25">
      <c r="A80" s="65">
        <v>43069</v>
      </c>
      <c r="B80" s="66">
        <f t="shared" si="10"/>
        <v>78</v>
      </c>
      <c r="C80" s="67">
        <f t="shared" si="11"/>
        <v>181.8262723076848</v>
      </c>
      <c r="D80" s="67">
        <v>160</v>
      </c>
      <c r="E80" s="67">
        <f t="shared" si="6"/>
        <v>21.826272307684803</v>
      </c>
      <c r="F80" s="67">
        <f t="shared" si="7"/>
        <v>2363.7415399999027</v>
      </c>
      <c r="G80" s="67">
        <f t="shared" si="8"/>
        <v>676.6144415382289</v>
      </c>
      <c r="H80" s="68">
        <f t="shared" si="9"/>
        <v>0.19331841186806539</v>
      </c>
      <c r="I80" s="56"/>
    </row>
    <row r="81" spans="1:9" x14ac:dyDescent="0.25">
      <c r="A81" s="65">
        <v>43070</v>
      </c>
      <c r="B81" s="66">
        <f t="shared" si="10"/>
        <v>79</v>
      </c>
      <c r="C81" s="67">
        <f t="shared" si="11"/>
        <v>181.63295389581674</v>
      </c>
      <c r="D81" s="67">
        <v>160</v>
      </c>
      <c r="E81" s="67">
        <f t="shared" si="6"/>
        <v>21.63295389581674</v>
      </c>
      <c r="F81" s="67">
        <f t="shared" si="7"/>
        <v>2361.2284006456175</v>
      </c>
      <c r="G81" s="67">
        <f t="shared" si="8"/>
        <v>670.62157077031895</v>
      </c>
      <c r="H81" s="68">
        <f t="shared" si="9"/>
        <v>0.19160616307723399</v>
      </c>
      <c r="I81" s="56"/>
    </row>
    <row r="82" spans="1:9" x14ac:dyDescent="0.25">
      <c r="A82" s="65">
        <v>43071</v>
      </c>
      <c r="B82" s="66">
        <f t="shared" si="10"/>
        <v>80</v>
      </c>
      <c r="C82" s="67">
        <f t="shared" si="11"/>
        <v>181.4413477327395</v>
      </c>
      <c r="D82" s="67">
        <v>160</v>
      </c>
      <c r="E82" s="67">
        <f t="shared" si="6"/>
        <v>21.441347732739501</v>
      </c>
      <c r="F82" s="67">
        <f t="shared" si="7"/>
        <v>2358.7375205256135</v>
      </c>
      <c r="G82" s="67">
        <f t="shared" si="8"/>
        <v>664.68177971492457</v>
      </c>
      <c r="H82" s="68">
        <f t="shared" si="9"/>
        <v>0.18990907991854988</v>
      </c>
      <c r="I82" s="56"/>
    </row>
    <row r="83" spans="1:9" x14ac:dyDescent="0.25">
      <c r="A83" s="65">
        <v>43072</v>
      </c>
      <c r="B83" s="66">
        <f t="shared" si="10"/>
        <v>81</v>
      </c>
      <c r="C83" s="67">
        <f t="shared" si="11"/>
        <v>181.25143865282095</v>
      </c>
      <c r="D83" s="67">
        <v>160</v>
      </c>
      <c r="E83" s="67">
        <f t="shared" si="6"/>
        <v>21.251438652820951</v>
      </c>
      <c r="F83" s="67">
        <f t="shared" si="7"/>
        <v>2356.2687024866723</v>
      </c>
      <c r="G83" s="67">
        <f t="shared" si="8"/>
        <v>658.79459823744946</v>
      </c>
      <c r="H83" s="68">
        <f t="shared" si="9"/>
        <v>0.18822702806784269</v>
      </c>
      <c r="I83" s="56"/>
    </row>
    <row r="84" spans="1:9" x14ac:dyDescent="0.25">
      <c r="A84" s="65">
        <v>43073</v>
      </c>
      <c r="B84" s="66">
        <f t="shared" si="10"/>
        <v>82</v>
      </c>
      <c r="C84" s="67">
        <f t="shared" si="11"/>
        <v>181.06321162475311</v>
      </c>
      <c r="D84" s="67">
        <v>160</v>
      </c>
      <c r="E84" s="67">
        <f t="shared" si="6"/>
        <v>21.063211624753109</v>
      </c>
      <c r="F84" s="67">
        <f t="shared" si="7"/>
        <v>2353.8217511217904</v>
      </c>
      <c r="G84" s="67">
        <f t="shared" si="8"/>
        <v>652.9595603673464</v>
      </c>
      <c r="H84" s="68">
        <f t="shared" si="9"/>
        <v>0.1865598743906704</v>
      </c>
      <c r="I84" s="56"/>
    </row>
    <row r="85" spans="1:9" x14ac:dyDescent="0.25">
      <c r="A85" s="65">
        <v>43074</v>
      </c>
      <c r="B85" s="66">
        <f t="shared" si="10"/>
        <v>83</v>
      </c>
      <c r="C85" s="67">
        <f t="shared" si="11"/>
        <v>180.87665175036244</v>
      </c>
      <c r="D85" s="67">
        <v>160</v>
      </c>
      <c r="E85" s="67">
        <f t="shared" si="6"/>
        <v>20.876651750362441</v>
      </c>
      <c r="F85" s="67">
        <f t="shared" si="7"/>
        <v>2351.3964727547118</v>
      </c>
      <c r="G85" s="67">
        <f t="shared" si="8"/>
        <v>647.17620426123563</v>
      </c>
      <c r="H85" s="68">
        <f t="shared" si="9"/>
        <v>0.18490748693178161</v>
      </c>
      <c r="I85" s="56"/>
    </row>
    <row r="86" spans="1:9" x14ac:dyDescent="0.25">
      <c r="A86" s="65">
        <v>43075</v>
      </c>
      <c r="B86" s="66">
        <f t="shared" si="10"/>
        <v>84</v>
      </c>
      <c r="C86" s="67">
        <f t="shared" si="11"/>
        <v>180.69174426343065</v>
      </c>
      <c r="D86" s="67">
        <v>160</v>
      </c>
      <c r="E86" s="75">
        <f t="shared" si="6"/>
        <v>20.69174426343065</v>
      </c>
      <c r="F86" s="67">
        <f t="shared" si="7"/>
        <v>2348.9926754245985</v>
      </c>
      <c r="G86" s="75">
        <f t="shared" si="8"/>
        <v>641.44407216635011</v>
      </c>
      <c r="H86" s="68">
        <f t="shared" si="9"/>
        <v>0.18326973490467147</v>
      </c>
      <c r="I86" s="56"/>
    </row>
    <row r="87" spans="1:9" x14ac:dyDescent="0.25">
      <c r="A87" s="65">
        <v>43076</v>
      </c>
      <c r="B87" s="66">
        <f t="shared" si="10"/>
        <v>85</v>
      </c>
      <c r="C87" s="67">
        <f t="shared" si="11"/>
        <v>180.50847452852597</v>
      </c>
      <c r="D87" s="67">
        <v>160</v>
      </c>
      <c r="E87" s="75">
        <f t="shared" si="6"/>
        <v>20.508474528525966</v>
      </c>
      <c r="F87" s="67">
        <f t="shared" si="7"/>
        <v>2346.6101688708377</v>
      </c>
      <c r="G87" s="75">
        <f t="shared" si="8"/>
        <v>635.76271038430491</v>
      </c>
      <c r="H87" s="68">
        <f t="shared" si="9"/>
        <v>0.18164648868122998</v>
      </c>
      <c r="I87" s="56"/>
    </row>
    <row r="88" spans="1:9" ht="13.35" customHeight="1" x14ac:dyDescent="0.25">
      <c r="A88" s="65">
        <v>43077</v>
      </c>
      <c r="B88" s="66">
        <f t="shared" si="10"/>
        <v>86</v>
      </c>
      <c r="C88" s="67">
        <f t="shared" si="11"/>
        <v>180.32682803984474</v>
      </c>
      <c r="D88" s="67">
        <v>160</v>
      </c>
      <c r="E88" s="75">
        <f t="shared" si="6"/>
        <v>20.326828039844742</v>
      </c>
      <c r="F88" s="67">
        <f t="shared" si="7"/>
        <v>2344.2487645179817</v>
      </c>
      <c r="G88" s="75">
        <f t="shared" si="8"/>
        <v>630.13166923518702</v>
      </c>
      <c r="H88" s="68">
        <f t="shared" si="9"/>
        <v>0.180037619781482</v>
      </c>
      <c r="I88" s="56"/>
    </row>
    <row r="89" spans="1:9" x14ac:dyDescent="0.25">
      <c r="A89" s="65">
        <v>43078</v>
      </c>
      <c r="B89" s="66">
        <f t="shared" si="10"/>
        <v>87</v>
      </c>
      <c r="C89" s="67">
        <f t="shared" si="11"/>
        <v>180.14679042006327</v>
      </c>
      <c r="D89" s="67">
        <v>160</v>
      </c>
      <c r="E89" s="75">
        <f t="shared" si="6"/>
        <v>20.146790420063269</v>
      </c>
      <c r="F89" s="67">
        <f t="shared" si="7"/>
        <v>2341.9082754608226</v>
      </c>
      <c r="G89" s="75">
        <f t="shared" si="8"/>
        <v>624.55050302196128</v>
      </c>
      <c r="H89" s="68">
        <f t="shared" si="9"/>
        <v>0.17844300086341749</v>
      </c>
      <c r="I89" s="56"/>
    </row>
    <row r="90" spans="1:9" x14ac:dyDescent="0.25">
      <c r="A90" s="65">
        <v>43079</v>
      </c>
      <c r="B90" s="66">
        <f t="shared" si="10"/>
        <v>88</v>
      </c>
      <c r="C90" s="67">
        <f t="shared" si="11"/>
        <v>179.96834741919986</v>
      </c>
      <c r="D90" s="67">
        <v>160</v>
      </c>
      <c r="E90" s="75">
        <f t="shared" si="6"/>
        <v>19.968347419199858</v>
      </c>
      <c r="F90" s="67">
        <f t="shared" si="7"/>
        <v>2339.588516449598</v>
      </c>
      <c r="G90" s="75">
        <f t="shared" si="8"/>
        <v>619.01876999519561</v>
      </c>
      <c r="H90" s="68">
        <f t="shared" si="9"/>
        <v>0.17686250571291304</v>
      </c>
      <c r="I90" s="56"/>
    </row>
    <row r="91" spans="1:9" x14ac:dyDescent="0.25">
      <c r="A91" s="65">
        <v>43080</v>
      </c>
      <c r="B91" s="66">
        <f t="shared" si="10"/>
        <v>89</v>
      </c>
      <c r="C91" s="67">
        <f t="shared" si="11"/>
        <v>179.79148491348695</v>
      </c>
      <c r="D91" s="67">
        <v>160</v>
      </c>
      <c r="E91" s="75">
        <f t="shared" si="6"/>
        <v>19.791484913486954</v>
      </c>
      <c r="F91" s="67">
        <f t="shared" si="7"/>
        <v>2337.2893038753305</v>
      </c>
      <c r="G91" s="75">
        <f t="shared" si="8"/>
        <v>613.53603231809552</v>
      </c>
      <c r="H91" s="68">
        <f t="shared" si="9"/>
        <v>0.17529600923374158</v>
      </c>
      <c r="I91" s="56"/>
    </row>
    <row r="92" spans="1:9" x14ac:dyDescent="0.25">
      <c r="A92" s="65">
        <v>43081</v>
      </c>
      <c r="B92" s="66">
        <f t="shared" si="10"/>
        <v>90</v>
      </c>
      <c r="C92" s="67">
        <f t="shared" si="11"/>
        <v>179.61618890425322</v>
      </c>
      <c r="D92" s="67">
        <v>160</v>
      </c>
      <c r="E92" s="75">
        <f t="shared" si="6"/>
        <v>19.616188904253221</v>
      </c>
      <c r="F92" s="67">
        <f t="shared" si="7"/>
        <v>2335.0104557552918</v>
      </c>
      <c r="G92" s="75">
        <f t="shared" si="8"/>
        <v>608.10185603184982</v>
      </c>
      <c r="H92" s="68">
        <f t="shared" si="9"/>
        <v>0.17374338743767137</v>
      </c>
      <c r="I92" s="56"/>
    </row>
    <row r="93" spans="1:9" x14ac:dyDescent="0.25">
      <c r="A93" s="65">
        <v>43082</v>
      </c>
      <c r="B93" s="66">
        <f t="shared" si="10"/>
        <v>91</v>
      </c>
      <c r="C93" s="67">
        <f t="shared" si="11"/>
        <v>179.44244551681555</v>
      </c>
      <c r="D93" s="67">
        <v>160</v>
      </c>
      <c r="E93" s="75">
        <f t="shared" si="6"/>
        <v>19.442445516815553</v>
      </c>
      <c r="F93" s="67">
        <f t="shared" si="7"/>
        <v>2332.7517917186024</v>
      </c>
      <c r="G93" s="75">
        <f t="shared" si="8"/>
        <v>602.71581102128221</v>
      </c>
      <c r="H93" s="68">
        <f t="shared" si="9"/>
        <v>0.17220451743465207</v>
      </c>
      <c r="I93" s="56"/>
    </row>
    <row r="94" spans="1:9" x14ac:dyDescent="0.25">
      <c r="A94" s="65">
        <v>43083</v>
      </c>
      <c r="B94" s="66">
        <f t="shared" si="10"/>
        <v>92</v>
      </c>
      <c r="C94" s="67">
        <f t="shared" si="11"/>
        <v>179.27024099938089</v>
      </c>
      <c r="D94" s="67">
        <v>160</v>
      </c>
      <c r="E94" s="75">
        <f t="shared" si="6"/>
        <v>19.270240999380889</v>
      </c>
      <c r="F94" s="67">
        <f t="shared" si="7"/>
        <v>2330.5131329919514</v>
      </c>
      <c r="G94" s="75">
        <f t="shared" si="8"/>
        <v>597.37747098080752</v>
      </c>
      <c r="H94" s="68">
        <f t="shared" si="9"/>
        <v>0.17067927742308786</v>
      </c>
      <c r="I94" s="56"/>
    </row>
    <row r="95" spans="1:9" x14ac:dyDescent="0.25">
      <c r="A95" s="65">
        <v>43084</v>
      </c>
      <c r="B95" s="66">
        <f t="shared" si="10"/>
        <v>93</v>
      </c>
      <c r="C95" s="67">
        <f t="shared" si="11"/>
        <v>179.0995617219578</v>
      </c>
      <c r="D95" s="67">
        <v>160</v>
      </c>
      <c r="E95" s="75">
        <f t="shared" si="6"/>
        <v>19.099561721957798</v>
      </c>
      <c r="F95" s="67">
        <f t="shared" si="7"/>
        <v>2328.2943023854514</v>
      </c>
      <c r="G95" s="75">
        <f t="shared" si="8"/>
        <v>592.08641338069174</v>
      </c>
      <c r="H95" s="68">
        <f t="shared" si="9"/>
        <v>0.16916754668019765</v>
      </c>
      <c r="I95" s="56"/>
    </row>
    <row r="96" spans="1:9" x14ac:dyDescent="0.25">
      <c r="A96" s="65">
        <v>43084</v>
      </c>
      <c r="B96" s="66">
        <f t="shared" si="10"/>
        <v>94</v>
      </c>
      <c r="C96" s="67">
        <f t="shared" si="11"/>
        <v>178.9303941752776</v>
      </c>
      <c r="D96" s="67">
        <v>160</v>
      </c>
      <c r="E96" s="75">
        <f t="shared" si="6"/>
        <v>18.930394175277598</v>
      </c>
      <c r="F96" s="67">
        <f t="shared" si="7"/>
        <v>2326.0951242786086</v>
      </c>
      <c r="G96" s="75">
        <f t="shared" si="8"/>
        <v>586.84221943360558</v>
      </c>
      <c r="H96" s="68">
        <f t="shared" si="9"/>
        <v>0.16766920555245873</v>
      </c>
      <c r="I96" s="56"/>
    </row>
    <row r="97" spans="1:9" x14ac:dyDescent="0.25">
      <c r="A97" s="65">
        <v>43084</v>
      </c>
      <c r="B97" s="66">
        <f t="shared" si="10"/>
        <v>95</v>
      </c>
      <c r="C97" s="67">
        <f t="shared" si="11"/>
        <v>178.76272496972513</v>
      </c>
      <c r="D97" s="67">
        <v>160</v>
      </c>
      <c r="E97" s="75">
        <f t="shared" si="6"/>
        <v>18.762724969725127</v>
      </c>
      <c r="F97" s="67">
        <f t="shared" si="7"/>
        <v>2323.9154246064268</v>
      </c>
      <c r="G97" s="75">
        <f t="shared" si="8"/>
        <v>581.64447406147895</v>
      </c>
      <c r="H97" s="68">
        <f t="shared" si="9"/>
        <v>0.16618413544613683</v>
      </c>
      <c r="I97" s="56"/>
    </row>
    <row r="98" spans="1:9" x14ac:dyDescent="0.25">
      <c r="A98" s="65">
        <v>43084</v>
      </c>
      <c r="B98" s="66">
        <f t="shared" si="10"/>
        <v>96</v>
      </c>
      <c r="C98" s="67">
        <f t="shared" si="11"/>
        <v>178.59654083427898</v>
      </c>
      <c r="D98" s="67">
        <v>160</v>
      </c>
      <c r="E98" s="75">
        <f t="shared" si="6"/>
        <v>18.596540834278983</v>
      </c>
      <c r="F98" s="67">
        <f t="shared" si="7"/>
        <v>2321.7550308456266</v>
      </c>
      <c r="G98" s="75">
        <f t="shared" si="8"/>
        <v>576.49276586264841</v>
      </c>
      <c r="H98" s="68">
        <f t="shared" si="9"/>
        <v>0.16471221881789955</v>
      </c>
      <c r="I98" s="56"/>
    </row>
    <row r="99" spans="1:9" x14ac:dyDescent="0.25">
      <c r="A99" s="65">
        <v>43084</v>
      </c>
      <c r="B99" s="66">
        <f t="shared" si="10"/>
        <v>97</v>
      </c>
      <c r="C99" s="67">
        <f t="shared" si="11"/>
        <v>178.43182861546109</v>
      </c>
      <c r="D99" s="67">
        <v>160</v>
      </c>
      <c r="E99" s="75">
        <f t="shared" si="6"/>
        <v>18.431828615461086</v>
      </c>
      <c r="F99" s="67">
        <f t="shared" si="7"/>
        <v>2319.6137720009942</v>
      </c>
      <c r="G99" s="75">
        <f t="shared" si="8"/>
        <v>571.38668707929367</v>
      </c>
      <c r="H99" s="68">
        <f t="shared" si="9"/>
        <v>0.16325333916551246</v>
      </c>
      <c r="I99" s="56"/>
    </row>
    <row r="100" spans="1:9" x14ac:dyDescent="0.25">
      <c r="A100" s="65">
        <v>43084</v>
      </c>
      <c r="B100" s="66">
        <f t="shared" si="10"/>
        <v>98</v>
      </c>
      <c r="C100" s="67">
        <f t="shared" si="11"/>
        <v>178.26857527629556</v>
      </c>
      <c r="D100" s="67">
        <v>160</v>
      </c>
      <c r="E100" s="75">
        <f t="shared" si="6"/>
        <v>18.268575276295564</v>
      </c>
      <c r="F100" s="67">
        <f t="shared" si="7"/>
        <v>2317.4914785918422</v>
      </c>
      <c r="G100" s="75">
        <f t="shared" si="8"/>
        <v>566.3258335651625</v>
      </c>
      <c r="H100" s="68">
        <f t="shared" si="9"/>
        <v>0.16180738101861786</v>
      </c>
      <c r="I100" s="56"/>
    </row>
    <row r="101" spans="1:9" x14ac:dyDescent="0.25">
      <c r="A101" s="65">
        <v>43084</v>
      </c>
      <c r="B101" s="66">
        <f t="shared" si="10"/>
        <v>99</v>
      </c>
      <c r="C101" s="67">
        <f t="shared" si="11"/>
        <v>178.10676789527696</v>
      </c>
      <c r="D101" s="67">
        <v>160</v>
      </c>
      <c r="E101" s="75">
        <f t="shared" si="6"/>
        <v>18.10676789527696</v>
      </c>
      <c r="F101" s="67">
        <f t="shared" si="7"/>
        <v>2315.3879826386005</v>
      </c>
      <c r="G101" s="75">
        <f t="shared" si="8"/>
        <v>561.30980475358569</v>
      </c>
      <c r="H101" s="68">
        <f t="shared" si="9"/>
        <v>0.16037422992959591</v>
      </c>
      <c r="I101" s="56"/>
    </row>
    <row r="102" spans="1:9" x14ac:dyDescent="0.25">
      <c r="A102" s="65">
        <v>43084</v>
      </c>
      <c r="B102" s="66">
        <f t="shared" si="10"/>
        <v>100</v>
      </c>
      <c r="C102" s="67">
        <f t="shared" si="11"/>
        <v>177.94639366534736</v>
      </c>
      <c r="D102" s="67">
        <v>160</v>
      </c>
      <c r="E102" s="75">
        <f t="shared" si="6"/>
        <v>17.946393665347358</v>
      </c>
      <c r="F102" s="67">
        <f t="shared" si="7"/>
        <v>2313.3031176495156</v>
      </c>
      <c r="G102" s="75">
        <f t="shared" si="8"/>
        <v>556.33820362576807</v>
      </c>
      <c r="H102" s="68">
        <f t="shared" si="9"/>
        <v>0.15895377246450518</v>
      </c>
      <c r="I102" s="56"/>
    </row>
    <row r="103" spans="1:9" x14ac:dyDescent="0.25">
      <c r="A103" s="65">
        <v>43084</v>
      </c>
      <c r="B103" s="66">
        <f t="shared" si="10"/>
        <v>101</v>
      </c>
      <c r="C103" s="67">
        <f t="shared" si="11"/>
        <v>177.78743989288284</v>
      </c>
      <c r="D103" s="67">
        <v>160</v>
      </c>
      <c r="E103" s="75">
        <f t="shared" si="6"/>
        <v>17.787439892882844</v>
      </c>
      <c r="F103" s="67">
        <f t="shared" si="7"/>
        <v>2311.2367186074771</v>
      </c>
      <c r="G103" s="75">
        <f t="shared" si="8"/>
        <v>551.41063667936817</v>
      </c>
      <c r="H103" s="68">
        <f t="shared" si="9"/>
        <v>0.15754589619410519</v>
      </c>
      <c r="I103" s="56"/>
    </row>
    <row r="104" spans="1:9" x14ac:dyDescent="0.25">
      <c r="A104" s="65">
        <v>43084</v>
      </c>
      <c r="B104" s="66">
        <f t="shared" si="10"/>
        <v>102</v>
      </c>
      <c r="C104" s="67">
        <f t="shared" si="11"/>
        <v>177.62989399668874</v>
      </c>
      <c r="D104" s="67">
        <v>160</v>
      </c>
      <c r="E104" s="75">
        <f t="shared" si="6"/>
        <v>17.629893996688736</v>
      </c>
      <c r="F104" s="67">
        <f t="shared" si="7"/>
        <v>2309.1886219569537</v>
      </c>
      <c r="G104" s="75">
        <f t="shared" si="8"/>
        <v>546.52671389735087</v>
      </c>
      <c r="H104" s="68">
        <f t="shared" si="9"/>
        <v>0.1561504896849574</v>
      </c>
      <c r="I104" s="56"/>
    </row>
    <row r="105" spans="1:9" x14ac:dyDescent="0.25">
      <c r="A105" s="65">
        <v>43084</v>
      </c>
      <c r="B105" s="66">
        <f t="shared" si="10"/>
        <v>103</v>
      </c>
      <c r="C105" s="67">
        <f t="shared" si="11"/>
        <v>177.47374350700377</v>
      </c>
      <c r="D105" s="67">
        <v>160</v>
      </c>
      <c r="E105" s="75">
        <f t="shared" si="6"/>
        <v>17.473743507003775</v>
      </c>
      <c r="F105" s="67">
        <f t="shared" si="7"/>
        <v>2307.1586655910492</v>
      </c>
      <c r="G105" s="75">
        <f t="shared" si="8"/>
        <v>541.68604871711705</v>
      </c>
      <c r="H105" s="68">
        <f t="shared" si="9"/>
        <v>0.15476744249060487</v>
      </c>
      <c r="I105" s="56"/>
    </row>
    <row r="106" spans="1:9" x14ac:dyDescent="0.25">
      <c r="A106" s="65">
        <v>43084</v>
      </c>
      <c r="B106" s="66">
        <f t="shared" si="10"/>
        <v>104</v>
      </c>
      <c r="C106" s="67">
        <f t="shared" si="11"/>
        <v>177.31897606451318</v>
      </c>
      <c r="D106" s="67">
        <v>160</v>
      </c>
      <c r="E106" s="75">
        <f t="shared" si="6"/>
        <v>17.31897606451318</v>
      </c>
      <c r="F106" s="67">
        <f t="shared" si="7"/>
        <v>2305.1466888386713</v>
      </c>
      <c r="G106" s="75">
        <f t="shared" si="8"/>
        <v>536.88825799990855</v>
      </c>
      <c r="H106" s="68">
        <f t="shared" si="9"/>
        <v>0.15339664514283102</v>
      </c>
      <c r="I106" s="56"/>
    </row>
    <row r="107" spans="1:9" x14ac:dyDescent="0.25">
      <c r="A107" s="65">
        <v>43084</v>
      </c>
      <c r="B107" s="66">
        <f t="shared" si="10"/>
        <v>105</v>
      </c>
      <c r="C107" s="67">
        <f t="shared" si="11"/>
        <v>177.16557941937035</v>
      </c>
      <c r="D107" s="67">
        <v>160</v>
      </c>
      <c r="E107" s="75">
        <f t="shared" si="6"/>
        <v>17.165579419370346</v>
      </c>
      <c r="F107" s="67">
        <f t="shared" si="7"/>
        <v>2303.1525324518143</v>
      </c>
      <c r="G107" s="75">
        <f t="shared" si="8"/>
        <v>532.13296200048069</v>
      </c>
      <c r="H107" s="68">
        <f t="shared" si="9"/>
        <v>0.15203798914299449</v>
      </c>
      <c r="I107" s="56"/>
    </row>
    <row r="108" spans="1:9" x14ac:dyDescent="0.25">
      <c r="A108" s="65">
        <v>43084</v>
      </c>
      <c r="B108" s="66">
        <f t="shared" si="10"/>
        <v>106</v>
      </c>
      <c r="C108" s="67">
        <f t="shared" si="11"/>
        <v>177.01354143022735</v>
      </c>
      <c r="D108" s="67">
        <v>160</v>
      </c>
      <c r="E108" s="75">
        <f t="shared" si="6"/>
        <v>17.013541430227349</v>
      </c>
      <c r="F108" s="67">
        <f t="shared" si="7"/>
        <v>2301.1760385929556</v>
      </c>
      <c r="G108" s="75">
        <f t="shared" si="8"/>
        <v>527.41978433704776</v>
      </c>
      <c r="H108" s="68">
        <f t="shared" si="9"/>
        <v>0.15069136695344221</v>
      </c>
      <c r="I108" s="56"/>
    </row>
    <row r="109" spans="1:9" x14ac:dyDescent="0.25">
      <c r="A109" s="65">
        <v>43084</v>
      </c>
      <c r="B109" s="66">
        <f t="shared" si="10"/>
        <v>107</v>
      </c>
      <c r="C109" s="67">
        <f t="shared" si="11"/>
        <v>176.8628500632739</v>
      </c>
      <c r="D109" s="67">
        <v>160</v>
      </c>
      <c r="E109" s="75">
        <f t="shared" si="6"/>
        <v>16.862850063273896</v>
      </c>
      <c r="F109" s="67">
        <f t="shared" si="7"/>
        <v>2299.2170508225609</v>
      </c>
      <c r="G109" s="75">
        <f t="shared" si="8"/>
        <v>522.74835196149081</v>
      </c>
      <c r="H109" s="68">
        <f t="shared" si="9"/>
        <v>0.14935667198899738</v>
      </c>
      <c r="I109" s="56"/>
    </row>
    <row r="110" spans="1:9" x14ac:dyDescent="0.25">
      <c r="A110" s="65">
        <v>43084</v>
      </c>
      <c r="B110" s="66">
        <f t="shared" si="10"/>
        <v>108</v>
      </c>
      <c r="C110" s="67">
        <f t="shared" si="11"/>
        <v>176.71349339128489</v>
      </c>
      <c r="D110" s="67">
        <v>160</v>
      </c>
      <c r="E110" s="75">
        <f t="shared" si="6"/>
        <v>16.713493391284885</v>
      </c>
      <c r="F110" s="67">
        <f t="shared" si="7"/>
        <v>2297.2754140867037</v>
      </c>
      <c r="G110" s="75">
        <f t="shared" si="8"/>
        <v>518.11829512983149</v>
      </c>
      <c r="H110" s="68">
        <f t="shared" si="9"/>
        <v>0.14803379860852328</v>
      </c>
      <c r="I110" s="56"/>
    </row>
    <row r="111" spans="1:9" x14ac:dyDescent="0.25">
      <c r="A111" s="65">
        <v>43084</v>
      </c>
      <c r="B111" s="66">
        <f t="shared" si="10"/>
        <v>109</v>
      </c>
      <c r="C111" s="67">
        <f t="shared" si="11"/>
        <v>176.56545959267635</v>
      </c>
      <c r="D111" s="67">
        <v>160</v>
      </c>
      <c r="E111" s="75">
        <f t="shared" si="6"/>
        <v>16.565459592676348</v>
      </c>
      <c r="F111" s="67">
        <f t="shared" si="7"/>
        <v>2295.3509747047924</v>
      </c>
      <c r="G111" s="75">
        <f t="shared" si="8"/>
        <v>513.52924737296678</v>
      </c>
      <c r="H111" s="68">
        <f t="shared" si="9"/>
        <v>0.14672264210656194</v>
      </c>
      <c r="I111" s="56"/>
    </row>
    <row r="112" spans="1:9" x14ac:dyDescent="0.25">
      <c r="A112" s="65">
        <v>43084</v>
      </c>
      <c r="B112" s="66">
        <f t="shared" si="10"/>
        <v>110</v>
      </c>
      <c r="C112" s="67">
        <f t="shared" si="11"/>
        <v>176.41873695056978</v>
      </c>
      <c r="D112" s="67">
        <v>160</v>
      </c>
      <c r="E112" s="75">
        <f t="shared" si="6"/>
        <v>16.41873695056978</v>
      </c>
      <c r="F112" s="67">
        <f t="shared" si="7"/>
        <v>2293.443580357407</v>
      </c>
      <c r="G112" s="75">
        <f t="shared" si="8"/>
        <v>508.98084546766319</v>
      </c>
      <c r="H112" s="68">
        <f t="shared" si="9"/>
        <v>0.14542309870504663</v>
      </c>
      <c r="I112" s="56"/>
    </row>
    <row r="113" spans="1:9" x14ac:dyDescent="0.25">
      <c r="A113" s="65">
        <v>43084</v>
      </c>
      <c r="B113" s="66">
        <f t="shared" si="10"/>
        <v>111</v>
      </c>
      <c r="C113" s="67">
        <f t="shared" si="11"/>
        <v>176.27331385186474</v>
      </c>
      <c r="D113" s="67">
        <v>160</v>
      </c>
      <c r="E113" s="75">
        <f t="shared" si="6"/>
        <v>16.273313851864742</v>
      </c>
      <c r="F113" s="67">
        <f t="shared" si="7"/>
        <v>2291.5530800742417</v>
      </c>
      <c r="G113" s="75">
        <f t="shared" si="8"/>
        <v>504.47272940780704</v>
      </c>
      <c r="H113" s="68">
        <f t="shared" si="9"/>
        <v>0.14413506554508773</v>
      </c>
      <c r="I113" s="56"/>
    </row>
    <row r="114" spans="1:9" x14ac:dyDescent="0.25">
      <c r="A114" s="65">
        <v>43084</v>
      </c>
      <c r="B114" s="66">
        <f t="shared" si="10"/>
        <v>112</v>
      </c>
      <c r="C114" s="67">
        <f t="shared" si="11"/>
        <v>176.12917878631964</v>
      </c>
      <c r="D114" s="67">
        <v>160</v>
      </c>
      <c r="E114" s="75">
        <f t="shared" si="6"/>
        <v>16.129178786319642</v>
      </c>
      <c r="F114" s="67">
        <f t="shared" si="7"/>
        <v>2289.6793242221552</v>
      </c>
      <c r="G114" s="75">
        <f t="shared" si="8"/>
        <v>500.0045423759089</v>
      </c>
      <c r="H114" s="68">
        <f t="shared" si="9"/>
        <v>0.14285844067883111</v>
      </c>
      <c r="I114" s="56"/>
    </row>
    <row r="115" spans="1:9" x14ac:dyDescent="0.25">
      <c r="A115" s="65">
        <v>43084</v>
      </c>
      <c r="B115" s="66">
        <f t="shared" si="10"/>
        <v>113</v>
      </c>
      <c r="C115" s="67">
        <f t="shared" si="11"/>
        <v>175.98632034564082</v>
      </c>
      <c r="D115" s="67">
        <v>160</v>
      </c>
      <c r="E115" s="75">
        <f t="shared" si="6"/>
        <v>15.98632034564082</v>
      </c>
      <c r="F115" s="67">
        <f t="shared" si="7"/>
        <v>2287.8221644933305</v>
      </c>
      <c r="G115" s="75">
        <f t="shared" si="8"/>
        <v>495.57593071486542</v>
      </c>
      <c r="H115" s="68">
        <f t="shared" si="9"/>
        <v>0.14159312306139013</v>
      </c>
      <c r="I115" s="56"/>
    </row>
    <row r="116" spans="1:9" x14ac:dyDescent="0.25">
      <c r="A116" s="65">
        <v>43084</v>
      </c>
      <c r="B116" s="66">
        <f t="shared" si="10"/>
        <v>114</v>
      </c>
      <c r="C116" s="67">
        <f t="shared" si="11"/>
        <v>175.84472722257942</v>
      </c>
      <c r="D116" s="67">
        <v>160</v>
      </c>
      <c r="E116" s="75">
        <f t="shared" si="6"/>
        <v>15.844727222579422</v>
      </c>
      <c r="F116" s="67">
        <f t="shared" si="7"/>
        <v>2285.9814538935325</v>
      </c>
      <c r="G116" s="75">
        <f t="shared" si="8"/>
        <v>491.18654389996209</v>
      </c>
      <c r="H116" s="68">
        <f t="shared" si="9"/>
        <v>0.14033901254284631</v>
      </c>
      <c r="I116" s="56"/>
    </row>
    <row r="117" spans="1:9" x14ac:dyDescent="0.25">
      <c r="A117" s="65">
        <v>43084</v>
      </c>
      <c r="B117" s="66">
        <f t="shared" si="10"/>
        <v>115</v>
      </c>
      <c r="C117" s="67">
        <f t="shared" si="11"/>
        <v>175.70438821003657</v>
      </c>
      <c r="D117" s="67">
        <v>160</v>
      </c>
      <c r="E117" s="75">
        <f t="shared" si="6"/>
        <v>15.704388210036569</v>
      </c>
      <c r="F117" s="67">
        <f t="shared" si="7"/>
        <v>2284.1570467304755</v>
      </c>
      <c r="G117" s="75">
        <f t="shared" si="8"/>
        <v>486.83603451113368</v>
      </c>
      <c r="H117" s="68">
        <f t="shared" si="9"/>
        <v>0.13909600986032392</v>
      </c>
      <c r="I117" s="56"/>
    </row>
    <row r="118" spans="1:9" x14ac:dyDescent="0.25">
      <c r="A118" s="65">
        <v>43084</v>
      </c>
      <c r="B118" s="66">
        <f t="shared" si="10"/>
        <v>116</v>
      </c>
      <c r="C118" s="67">
        <f t="shared" si="11"/>
        <v>175.56529220017626</v>
      </c>
      <c r="D118" s="67">
        <v>160</v>
      </c>
      <c r="E118" s="75">
        <f t="shared" si="6"/>
        <v>15.565292200176259</v>
      </c>
      <c r="F118" s="67">
        <f t="shared" si="7"/>
        <v>2282.3487986022915</v>
      </c>
      <c r="G118" s="75">
        <f t="shared" si="8"/>
        <v>482.52405820546403</v>
      </c>
      <c r="H118" s="68">
        <f t="shared" si="9"/>
        <v>0.13786401663013259</v>
      </c>
      <c r="I118" s="56"/>
    </row>
    <row r="119" spans="1:9" x14ac:dyDescent="0.25">
      <c r="A119" s="65">
        <v>43084</v>
      </c>
      <c r="B119" s="66">
        <f t="shared" si="10"/>
        <v>117</v>
      </c>
      <c r="C119" s="67">
        <f t="shared" si="11"/>
        <v>175.42742818354611</v>
      </c>
      <c r="D119" s="67">
        <v>160</v>
      </c>
      <c r="E119" s="75">
        <f t="shared" si="6"/>
        <v>15.427428183546112</v>
      </c>
      <c r="F119" s="67">
        <f t="shared" si="7"/>
        <v>2280.5565663860993</v>
      </c>
      <c r="G119" s="75">
        <f t="shared" si="8"/>
        <v>478.25027368992949</v>
      </c>
      <c r="H119" s="68">
        <f t="shared" si="9"/>
        <v>0.13664293533997984</v>
      </c>
      <c r="I119" s="56"/>
    </row>
    <row r="120" spans="1:9" x14ac:dyDescent="0.25">
      <c r="A120" s="65">
        <v>43084</v>
      </c>
      <c r="B120" s="66">
        <f t="shared" si="10"/>
        <v>118</v>
      </c>
      <c r="C120" s="67">
        <f t="shared" si="11"/>
        <v>175.29078524820613</v>
      </c>
      <c r="D120" s="67">
        <v>160</v>
      </c>
      <c r="E120" s="75">
        <f t="shared" si="6"/>
        <v>15.290785248206134</v>
      </c>
      <c r="F120" s="67">
        <f t="shared" si="7"/>
        <v>2278.7802082266799</v>
      </c>
      <c r="G120" s="75">
        <f t="shared" si="8"/>
        <v>474.01434269439017</v>
      </c>
      <c r="H120" s="68">
        <f t="shared" si="9"/>
        <v>0.13543266934125434</v>
      </c>
      <c r="I120" s="56"/>
    </row>
    <row r="121" spans="1:9" x14ac:dyDescent="0.25">
      <c r="A121" s="65">
        <v>43084</v>
      </c>
      <c r="B121" s="66">
        <f t="shared" si="10"/>
        <v>119</v>
      </c>
      <c r="C121" s="67">
        <f t="shared" si="11"/>
        <v>175.15535257886489</v>
      </c>
      <c r="D121" s="67">
        <v>160</v>
      </c>
      <c r="E121" s="75">
        <f t="shared" si="6"/>
        <v>15.155352578864893</v>
      </c>
      <c r="F121" s="67">
        <f t="shared" si="7"/>
        <v>2277.0195835252434</v>
      </c>
      <c r="G121" s="75">
        <f t="shared" si="8"/>
        <v>469.81592994481167</v>
      </c>
      <c r="H121" s="68">
        <f t="shared" si="9"/>
        <v>0.13423312284137476</v>
      </c>
      <c r="I121" s="56"/>
    </row>
    <row r="122" spans="1:9" x14ac:dyDescent="0.25">
      <c r="A122" s="65">
        <v>43084</v>
      </c>
      <c r="B122" s="66">
        <f t="shared" si="10"/>
        <v>120</v>
      </c>
      <c r="C122" s="67">
        <f t="shared" si="11"/>
        <v>175.02111945602351</v>
      </c>
      <c r="D122" s="67">
        <v>160</v>
      </c>
      <c r="E122" s="75">
        <f t="shared" si="6"/>
        <v>15.021119456023513</v>
      </c>
      <c r="F122" s="67">
        <f t="shared" si="7"/>
        <v>2275.2745529283056</v>
      </c>
      <c r="G122" s="75">
        <f t="shared" si="8"/>
        <v>465.65470313672893</v>
      </c>
      <c r="H122" s="68">
        <f t="shared" si="9"/>
        <v>0.13304420089620828</v>
      </c>
      <c r="I122" s="56"/>
    </row>
    <row r="123" spans="1:9" x14ac:dyDescent="0.25">
      <c r="A123" s="65">
        <v>43084</v>
      </c>
      <c r="B123" s="66">
        <f t="shared" si="10"/>
        <v>121</v>
      </c>
      <c r="C123" s="67">
        <f t="shared" si="11"/>
        <v>174.88807525512729</v>
      </c>
      <c r="D123" s="67">
        <v>160</v>
      </c>
      <c r="E123" s="75">
        <f t="shared" si="6"/>
        <v>14.888075255127291</v>
      </c>
      <c r="F123" s="67">
        <f t="shared" si="7"/>
        <v>2273.5449783166546</v>
      </c>
      <c r="G123" s="75">
        <f t="shared" si="8"/>
        <v>461.53033290894598</v>
      </c>
      <c r="H123" s="68">
        <f t="shared" si="9"/>
        <v>0.13186580940255599</v>
      </c>
      <c r="I123" s="56"/>
    </row>
    <row r="124" spans="1:9" x14ac:dyDescent="0.25">
      <c r="A124" s="65">
        <v>43084</v>
      </c>
      <c r="B124" s="66">
        <f t="shared" si="10"/>
        <v>122</v>
      </c>
      <c r="C124" s="67">
        <f t="shared" si="11"/>
        <v>174.75620944572472</v>
      </c>
      <c r="D124" s="67">
        <v>160</v>
      </c>
      <c r="E124" s="75">
        <f t="shared" si="6"/>
        <v>14.756209445724721</v>
      </c>
      <c r="F124" s="67">
        <f t="shared" si="7"/>
        <v>2271.8307227944215</v>
      </c>
      <c r="G124" s="75">
        <f t="shared" si="8"/>
        <v>457.44249281746636</v>
      </c>
      <c r="H124" s="68">
        <f t="shared" si="9"/>
        <v>0.13069785509070467</v>
      </c>
      <c r="I124" s="56"/>
    </row>
    <row r="125" spans="1:9" x14ac:dyDescent="0.25">
      <c r="A125" s="65">
        <v>43084</v>
      </c>
      <c r="B125" s="66">
        <f t="shared" si="10"/>
        <v>123</v>
      </c>
      <c r="C125" s="67">
        <f t="shared" si="11"/>
        <v>174.62551159063401</v>
      </c>
      <c r="D125" s="67">
        <v>160</v>
      </c>
      <c r="E125" s="75">
        <f t="shared" si="6"/>
        <v>14.625511590634005</v>
      </c>
      <c r="F125" s="67">
        <f t="shared" si="7"/>
        <v>2270.1316506782423</v>
      </c>
      <c r="G125" s="75">
        <f t="shared" si="8"/>
        <v>453.39085930965416</v>
      </c>
      <c r="H125" s="68">
        <f t="shared" si="9"/>
        <v>0.12954024551704404</v>
      </c>
      <c r="I125" s="56"/>
    </row>
    <row r="126" spans="1:9" x14ac:dyDescent="0.25">
      <c r="A126" s="65">
        <v>43084</v>
      </c>
      <c r="B126" s="66">
        <f t="shared" si="10"/>
        <v>124</v>
      </c>
      <c r="C126" s="67">
        <f t="shared" si="11"/>
        <v>174.49597134511697</v>
      </c>
      <c r="D126" s="67">
        <v>160</v>
      </c>
      <c r="E126" s="75">
        <f t="shared" si="6"/>
        <v>14.49597134511697</v>
      </c>
      <c r="F126" s="67">
        <f t="shared" si="7"/>
        <v>2268.4476274865206</v>
      </c>
      <c r="G126" s="75">
        <f t="shared" si="8"/>
        <v>449.37511169862609</v>
      </c>
      <c r="H126" s="68">
        <f t="shared" si="9"/>
        <v>0.12839288905675031</v>
      </c>
      <c r="I126" s="56"/>
    </row>
    <row r="127" spans="1:9" x14ac:dyDescent="0.25">
      <c r="A127" s="65">
        <v>43084</v>
      </c>
      <c r="B127" s="66">
        <f t="shared" si="10"/>
        <v>125</v>
      </c>
      <c r="C127" s="67">
        <f t="shared" si="11"/>
        <v>174.36757845606022</v>
      </c>
      <c r="D127" s="67">
        <v>160</v>
      </c>
      <c r="E127" s="75">
        <f t="shared" si="6"/>
        <v>14.367578456060215</v>
      </c>
      <c r="F127" s="67">
        <f t="shared" si="7"/>
        <v>2266.7785199287828</v>
      </c>
      <c r="G127" s="75">
        <f t="shared" si="8"/>
        <v>445.3949321378667</v>
      </c>
      <c r="H127" s="68">
        <f t="shared" si="9"/>
        <v>0.12725569489653335</v>
      </c>
      <c r="I127" s="56"/>
    </row>
    <row r="128" spans="1:9" x14ac:dyDescent="0.25">
      <c r="A128" s="65">
        <v>43084</v>
      </c>
      <c r="B128" s="66">
        <f t="shared" si="10"/>
        <v>126</v>
      </c>
      <c r="C128" s="67">
        <f t="shared" si="11"/>
        <v>174.24032276116367</v>
      </c>
      <c r="D128" s="67">
        <v>160</v>
      </c>
      <c r="E128" s="75">
        <f t="shared" si="6"/>
        <v>14.240322761163668</v>
      </c>
      <c r="F128" s="67">
        <f t="shared" si="7"/>
        <v>2265.1241958951277</v>
      </c>
      <c r="G128" s="75">
        <f t="shared" si="8"/>
        <v>441.45000559607371</v>
      </c>
      <c r="H128" s="68">
        <f t="shared" si="9"/>
        <v>0.12612857302744962</v>
      </c>
      <c r="I128" s="56"/>
    </row>
    <row r="129" spans="1:9" x14ac:dyDescent="0.25">
      <c r="A129" s="65">
        <v>43084</v>
      </c>
      <c r="B129" s="66">
        <f t="shared" si="10"/>
        <v>127</v>
      </c>
      <c r="C129" s="67">
        <f t="shared" si="11"/>
        <v>174.11419418813622</v>
      </c>
      <c r="D129" s="67">
        <v>160</v>
      </c>
      <c r="E129" s="75">
        <f t="shared" si="6"/>
        <v>14.114194188136224</v>
      </c>
      <c r="F129" s="67">
        <f t="shared" si="7"/>
        <v>2263.4845244457711</v>
      </c>
      <c r="G129" s="75">
        <f t="shared" si="8"/>
        <v>437.54001983222292</v>
      </c>
      <c r="H129" s="68">
        <f t="shared" si="9"/>
        <v>0.12501143423777797</v>
      </c>
      <c r="I129" s="56"/>
    </row>
    <row r="130" spans="1:9" x14ac:dyDescent="0.25">
      <c r="A130" s="65">
        <v>43084</v>
      </c>
      <c r="B130" s="66">
        <f t="shared" si="10"/>
        <v>128</v>
      </c>
      <c r="C130" s="67">
        <f t="shared" si="11"/>
        <v>173.98918275389843</v>
      </c>
      <c r="D130" s="67">
        <v>160</v>
      </c>
      <c r="E130" s="75">
        <f t="shared" si="6"/>
        <v>13.989182753898433</v>
      </c>
      <c r="F130" s="67">
        <f t="shared" si="7"/>
        <v>2261.8593758006796</v>
      </c>
      <c r="G130" s="75">
        <f t="shared" si="8"/>
        <v>433.66466537085142</v>
      </c>
      <c r="H130" s="68">
        <f t="shared" si="9"/>
        <v>0.12390419010595755</v>
      </c>
      <c r="I130" s="56"/>
    </row>
    <row r="131" spans="1:9" x14ac:dyDescent="0.25">
      <c r="A131" s="65">
        <v>43084</v>
      </c>
      <c r="B131" s="66">
        <f t="shared" si="10"/>
        <v>129</v>
      </c>
      <c r="C131" s="67">
        <f t="shared" si="11"/>
        <v>173.86527856379249</v>
      </c>
      <c r="D131" s="67">
        <v>160</v>
      </c>
      <c r="E131" s="75">
        <f t="shared" ref="E131:E194" si="12">C131-D131</f>
        <v>13.865278563792486</v>
      </c>
      <c r="F131" s="67">
        <f t="shared" ref="F131:F194" si="13">13*C131</f>
        <v>2260.2486213293023</v>
      </c>
      <c r="G131" s="75">
        <f t="shared" ref="G131:G194" si="14">E131*31</f>
        <v>429.82363547756711</v>
      </c>
      <c r="H131" s="68">
        <f t="shared" ref="H131:H194" si="15">MIN($G131/3500,$F131/3500)</f>
        <v>0.1228067529935906</v>
      </c>
      <c r="I131" s="56"/>
    </row>
    <row r="132" spans="1:9" x14ac:dyDescent="0.25">
      <c r="A132" s="65">
        <v>43084</v>
      </c>
      <c r="B132" s="66">
        <f t="shared" ref="B132:B195" si="16">B131+1</f>
        <v>130</v>
      </c>
      <c r="C132" s="67">
        <f t="shared" ref="C132:C195" si="17">C131-H131</f>
        <v>173.74247181079889</v>
      </c>
      <c r="D132" s="67">
        <v>160</v>
      </c>
      <c r="E132" s="75">
        <f t="shared" si="12"/>
        <v>13.742471810798889</v>
      </c>
      <c r="F132" s="67">
        <f t="shared" si="13"/>
        <v>2258.6521335403854</v>
      </c>
      <c r="G132" s="75">
        <f t="shared" si="14"/>
        <v>426.0166261347656</v>
      </c>
      <c r="H132" s="68">
        <f t="shared" si="15"/>
        <v>0.12171903603850445</v>
      </c>
      <c r="I132" s="56"/>
    </row>
    <row r="133" spans="1:9" x14ac:dyDescent="0.25">
      <c r="A133" s="65">
        <v>43084</v>
      </c>
      <c r="B133" s="66">
        <f t="shared" si="16"/>
        <v>131</v>
      </c>
      <c r="C133" s="67">
        <f t="shared" si="17"/>
        <v>173.62075277476038</v>
      </c>
      <c r="D133" s="67">
        <v>160</v>
      </c>
      <c r="E133" s="75">
        <f t="shared" si="12"/>
        <v>13.620752774760376</v>
      </c>
      <c r="F133" s="67">
        <f t="shared" si="13"/>
        <v>2257.0697860718847</v>
      </c>
      <c r="G133" s="75">
        <f t="shared" si="14"/>
        <v>422.24333601757166</v>
      </c>
      <c r="H133" s="68">
        <f t="shared" si="15"/>
        <v>0.12064095314787762</v>
      </c>
      <c r="I133" s="56"/>
    </row>
    <row r="134" spans="1:9" x14ac:dyDescent="0.25">
      <c r="A134" s="65">
        <v>43084</v>
      </c>
      <c r="B134" s="66">
        <f t="shared" si="16"/>
        <v>132</v>
      </c>
      <c r="C134" s="67">
        <f t="shared" si="17"/>
        <v>173.50011182161251</v>
      </c>
      <c r="D134" s="67">
        <v>160</v>
      </c>
      <c r="E134" s="75">
        <f t="shared" si="12"/>
        <v>13.500111821612506</v>
      </c>
      <c r="F134" s="67">
        <f t="shared" si="13"/>
        <v>2255.5014536809626</v>
      </c>
      <c r="G134" s="75">
        <f t="shared" si="14"/>
        <v>418.5034664699877</v>
      </c>
      <c r="H134" s="68">
        <f t="shared" si="15"/>
        <v>0.11957241899142505</v>
      </c>
      <c r="I134" s="56"/>
    </row>
    <row r="135" spans="1:9" x14ac:dyDescent="0.25">
      <c r="A135" s="65">
        <v>43084</v>
      </c>
      <c r="B135" s="66">
        <f t="shared" si="16"/>
        <v>133</v>
      </c>
      <c r="C135" s="67">
        <f t="shared" si="17"/>
        <v>173.38053940262108</v>
      </c>
      <c r="D135" s="67">
        <v>160</v>
      </c>
      <c r="E135" s="75">
        <f t="shared" si="12"/>
        <v>13.380539402621082</v>
      </c>
      <c r="F135" s="67">
        <f t="shared" si="13"/>
        <v>2253.947012234074</v>
      </c>
      <c r="G135" s="75">
        <f t="shared" si="14"/>
        <v>414.79672148125354</v>
      </c>
      <c r="H135" s="68">
        <f t="shared" si="15"/>
        <v>0.11851334899464387</v>
      </c>
      <c r="I135" s="56"/>
    </row>
    <row r="136" spans="1:9" x14ac:dyDescent="0.25">
      <c r="A136" s="65">
        <v>43084</v>
      </c>
      <c r="B136" s="66">
        <f t="shared" si="16"/>
        <v>134</v>
      </c>
      <c r="C136" s="67">
        <f t="shared" si="17"/>
        <v>173.26202605362644</v>
      </c>
      <c r="D136" s="67">
        <v>160</v>
      </c>
      <c r="E136" s="75">
        <f t="shared" si="12"/>
        <v>13.262026053626442</v>
      </c>
      <c r="F136" s="67">
        <f t="shared" si="13"/>
        <v>2252.4063386971438</v>
      </c>
      <c r="G136" s="75">
        <f t="shared" si="14"/>
        <v>411.12280766241975</v>
      </c>
      <c r="H136" s="68">
        <f t="shared" si="15"/>
        <v>0.11746365933211993</v>
      </c>
      <c r="I136" s="56"/>
    </row>
    <row r="137" spans="1:9" x14ac:dyDescent="0.25">
      <c r="A137" s="65">
        <v>43084</v>
      </c>
      <c r="B137" s="66">
        <f t="shared" si="16"/>
        <v>135</v>
      </c>
      <c r="C137" s="67">
        <f t="shared" si="17"/>
        <v>173.14456239429433</v>
      </c>
      <c r="D137" s="67">
        <v>160</v>
      </c>
      <c r="E137" s="75">
        <f t="shared" si="12"/>
        <v>13.144562394294326</v>
      </c>
      <c r="F137" s="67">
        <f t="shared" si="13"/>
        <v>2250.8793111258265</v>
      </c>
      <c r="G137" s="75">
        <f t="shared" si="14"/>
        <v>407.4814342231241</v>
      </c>
      <c r="H137" s="68">
        <f t="shared" si="15"/>
        <v>0.1164232669208926</v>
      </c>
      <c r="I137" s="56"/>
    </row>
    <row r="138" spans="1:9" x14ac:dyDescent="0.25">
      <c r="A138" s="65">
        <v>43084</v>
      </c>
      <c r="B138" s="66">
        <f t="shared" si="16"/>
        <v>136</v>
      </c>
      <c r="C138" s="67">
        <f t="shared" si="17"/>
        <v>173.02813912737344</v>
      </c>
      <c r="D138" s="67">
        <v>160</v>
      </c>
      <c r="E138" s="75">
        <f t="shared" si="12"/>
        <v>13.028139127373436</v>
      </c>
      <c r="F138" s="67">
        <f t="shared" si="13"/>
        <v>2249.3658086558548</v>
      </c>
      <c r="G138" s="75">
        <f t="shared" si="14"/>
        <v>403.87231294857651</v>
      </c>
      <c r="H138" s="68">
        <f t="shared" si="15"/>
        <v>0.115392089413879</v>
      </c>
      <c r="I138" s="56"/>
    </row>
    <row r="139" spans="1:9" x14ac:dyDescent="0.25">
      <c r="A139" s="65">
        <v>43084</v>
      </c>
      <c r="B139" s="66">
        <f t="shared" si="16"/>
        <v>137</v>
      </c>
      <c r="C139" s="67">
        <f t="shared" si="17"/>
        <v>172.91274703795955</v>
      </c>
      <c r="D139" s="67">
        <v>160</v>
      </c>
      <c r="E139" s="75">
        <f t="shared" si="12"/>
        <v>12.912747037959548</v>
      </c>
      <c r="F139" s="67">
        <f t="shared" si="13"/>
        <v>2247.865711493474</v>
      </c>
      <c r="G139" s="75">
        <f t="shared" si="14"/>
        <v>400.29515817674599</v>
      </c>
      <c r="H139" s="68">
        <f t="shared" si="15"/>
        <v>0.114370045193356</v>
      </c>
      <c r="I139" s="56"/>
    </row>
    <row r="140" spans="1:9" x14ac:dyDescent="0.25">
      <c r="A140" s="65">
        <v>43084</v>
      </c>
      <c r="B140" s="66">
        <f t="shared" si="16"/>
        <v>138</v>
      </c>
      <c r="C140" s="67">
        <f t="shared" si="17"/>
        <v>172.79837699276618</v>
      </c>
      <c r="D140" s="67">
        <v>160</v>
      </c>
      <c r="E140" s="75">
        <f t="shared" si="12"/>
        <v>12.79837699276618</v>
      </c>
      <c r="F140" s="67">
        <f t="shared" si="13"/>
        <v>2246.3789009059601</v>
      </c>
      <c r="G140" s="75">
        <f t="shared" si="14"/>
        <v>396.74968677575157</v>
      </c>
      <c r="H140" s="68">
        <f t="shared" si="15"/>
        <v>0.11335705336450044</v>
      </c>
      <c r="I140" s="56"/>
    </row>
    <row r="141" spans="1:9" x14ac:dyDescent="0.25">
      <c r="A141" s="65">
        <v>43084</v>
      </c>
      <c r="B141" s="66">
        <f t="shared" si="16"/>
        <v>139</v>
      </c>
      <c r="C141" s="67">
        <f t="shared" si="17"/>
        <v>172.68501993940168</v>
      </c>
      <c r="D141" s="67">
        <v>160</v>
      </c>
      <c r="E141" s="75">
        <f t="shared" si="12"/>
        <v>12.685019939401684</v>
      </c>
      <c r="F141" s="67">
        <f t="shared" si="13"/>
        <v>2244.9052592122221</v>
      </c>
      <c r="G141" s="75">
        <f t="shared" si="14"/>
        <v>393.23561812145221</v>
      </c>
      <c r="H141" s="68">
        <f t="shared" si="15"/>
        <v>0.11235303374898635</v>
      </c>
      <c r="I141" s="56"/>
    </row>
    <row r="142" spans="1:9" x14ac:dyDescent="0.25">
      <c r="A142" s="65">
        <v>43084</v>
      </c>
      <c r="B142" s="66">
        <f t="shared" si="16"/>
        <v>140</v>
      </c>
      <c r="C142" s="67">
        <f t="shared" si="17"/>
        <v>172.57266690565271</v>
      </c>
      <c r="D142" s="67">
        <v>160</v>
      </c>
      <c r="E142" s="75">
        <f t="shared" si="12"/>
        <v>12.57266690565271</v>
      </c>
      <c r="F142" s="67">
        <f t="shared" si="13"/>
        <v>2243.4446697734852</v>
      </c>
      <c r="G142" s="75">
        <f t="shared" si="14"/>
        <v>389.75267407523404</v>
      </c>
      <c r="H142" s="68">
        <f t="shared" si="15"/>
        <v>0.11135790687863829</v>
      </c>
      <c r="I142" s="56"/>
    </row>
    <row r="143" spans="1:9" x14ac:dyDescent="0.25">
      <c r="A143" s="65">
        <v>43084</v>
      </c>
      <c r="B143" s="66">
        <f t="shared" si="16"/>
        <v>141</v>
      </c>
      <c r="C143" s="67">
        <f t="shared" si="17"/>
        <v>172.46130899877406</v>
      </c>
      <c r="D143" s="67">
        <v>160</v>
      </c>
      <c r="E143" s="75">
        <f t="shared" si="12"/>
        <v>12.461308998774058</v>
      </c>
      <c r="F143" s="67">
        <f t="shared" si="13"/>
        <v>2241.9970169840626</v>
      </c>
      <c r="G143" s="75">
        <f t="shared" si="14"/>
        <v>386.30057896199583</v>
      </c>
      <c r="H143" s="68">
        <f t="shared" si="15"/>
        <v>0.11037159398914166</v>
      </c>
      <c r="I143" s="56"/>
    </row>
    <row r="144" spans="1:9" x14ac:dyDescent="0.25">
      <c r="A144" s="65">
        <v>43084</v>
      </c>
      <c r="B144" s="66">
        <f t="shared" si="16"/>
        <v>142</v>
      </c>
      <c r="C144" s="67">
        <f t="shared" si="17"/>
        <v>172.35093740478493</v>
      </c>
      <c r="D144" s="67">
        <v>160</v>
      </c>
      <c r="E144" s="75">
        <f t="shared" si="12"/>
        <v>12.350937404784929</v>
      </c>
      <c r="F144" s="67">
        <f t="shared" si="13"/>
        <v>2240.5621862622042</v>
      </c>
      <c r="G144" s="75">
        <f t="shared" si="14"/>
        <v>382.8790595483328</v>
      </c>
      <c r="H144" s="68">
        <f t="shared" si="15"/>
        <v>0.10939401701380937</v>
      </c>
      <c r="I144" s="56"/>
    </row>
    <row r="145" spans="1:9" x14ac:dyDescent="0.25">
      <c r="A145" s="65">
        <v>43084</v>
      </c>
      <c r="B145" s="66">
        <f t="shared" si="16"/>
        <v>143</v>
      </c>
      <c r="C145" s="67">
        <f t="shared" si="17"/>
        <v>172.24154338777112</v>
      </c>
      <c r="D145" s="67">
        <v>160</v>
      </c>
      <c r="E145" s="75">
        <f t="shared" si="12"/>
        <v>12.241543387771117</v>
      </c>
      <c r="F145" s="67">
        <f t="shared" si="13"/>
        <v>2239.1400640410247</v>
      </c>
      <c r="G145" s="75">
        <f t="shared" si="14"/>
        <v>379.48784502090462</v>
      </c>
      <c r="H145" s="68">
        <f t="shared" si="15"/>
        <v>0.10842509857740132</v>
      </c>
      <c r="I145" s="56"/>
    </row>
    <row r="146" spans="1:9" x14ac:dyDescent="0.25">
      <c r="A146" s="65">
        <v>43084</v>
      </c>
      <c r="B146" s="66">
        <f t="shared" si="16"/>
        <v>144</v>
      </c>
      <c r="C146" s="67">
        <f t="shared" si="17"/>
        <v>172.1331182891937</v>
      </c>
      <c r="D146" s="67">
        <v>160</v>
      </c>
      <c r="E146" s="75">
        <f t="shared" si="12"/>
        <v>12.133118289193703</v>
      </c>
      <c r="F146" s="67">
        <f t="shared" si="13"/>
        <v>2237.730537759518</v>
      </c>
      <c r="G146" s="75">
        <f t="shared" si="14"/>
        <v>376.1266669650048</v>
      </c>
      <c r="H146" s="68">
        <f t="shared" si="15"/>
        <v>0.10746476199000138</v>
      </c>
      <c r="I146" s="56"/>
    </row>
    <row r="147" spans="1:9" x14ac:dyDescent="0.25">
      <c r="A147" s="65">
        <v>43084</v>
      </c>
      <c r="B147" s="66">
        <f t="shared" si="16"/>
        <v>145</v>
      </c>
      <c r="C147" s="67">
        <f t="shared" si="17"/>
        <v>172.0256535272037</v>
      </c>
      <c r="D147" s="67">
        <v>160</v>
      </c>
      <c r="E147" s="75">
        <f t="shared" si="12"/>
        <v>12.025653527203701</v>
      </c>
      <c r="F147" s="67">
        <f t="shared" si="13"/>
        <v>2236.3334958536479</v>
      </c>
      <c r="G147" s="75">
        <f t="shared" si="14"/>
        <v>372.79525934331474</v>
      </c>
      <c r="H147" s="68">
        <f t="shared" si="15"/>
        <v>0.10651293124094707</v>
      </c>
      <c r="I147" s="56"/>
    </row>
    <row r="148" spans="1:9" x14ac:dyDescent="0.25">
      <c r="A148" s="65">
        <v>43084</v>
      </c>
      <c r="B148" s="66">
        <f t="shared" si="16"/>
        <v>146</v>
      </c>
      <c r="C148" s="67">
        <f t="shared" si="17"/>
        <v>171.91914059596274</v>
      </c>
      <c r="D148" s="67">
        <v>160</v>
      </c>
      <c r="E148" s="75">
        <f t="shared" si="12"/>
        <v>11.919140595962745</v>
      </c>
      <c r="F148" s="67">
        <f t="shared" si="13"/>
        <v>2234.9488277475157</v>
      </c>
      <c r="G148" s="75">
        <f t="shared" si="14"/>
        <v>369.49335847484508</v>
      </c>
      <c r="H148" s="68">
        <f t="shared" si="15"/>
        <v>0.10556953099281288</v>
      </c>
      <c r="I148" s="56"/>
    </row>
    <row r="149" spans="1:9" x14ac:dyDescent="0.25">
      <c r="A149" s="65">
        <v>43084</v>
      </c>
      <c r="B149" s="66">
        <f t="shared" si="16"/>
        <v>147</v>
      </c>
      <c r="C149" s="67">
        <f t="shared" si="17"/>
        <v>171.81357106496992</v>
      </c>
      <c r="D149" s="67">
        <v>160</v>
      </c>
      <c r="E149" s="75">
        <f t="shared" si="12"/>
        <v>11.813571064969921</v>
      </c>
      <c r="F149" s="67">
        <f t="shared" si="13"/>
        <v>2233.5764238446091</v>
      </c>
      <c r="G149" s="75">
        <f t="shared" si="14"/>
        <v>366.22070301406757</v>
      </c>
      <c r="H149" s="68">
        <f t="shared" si="15"/>
        <v>0.10463448657544788</v>
      </c>
      <c r="I149" s="56"/>
    </row>
    <row r="150" spans="1:9" x14ac:dyDescent="0.25">
      <c r="A150" s="65">
        <v>43084</v>
      </c>
      <c r="B150" s="66">
        <f t="shared" si="16"/>
        <v>148</v>
      </c>
      <c r="C150" s="67">
        <f t="shared" si="17"/>
        <v>171.70893657839449</v>
      </c>
      <c r="D150" s="67">
        <v>160</v>
      </c>
      <c r="E150" s="75">
        <f t="shared" si="12"/>
        <v>11.708936578394486</v>
      </c>
      <c r="F150" s="67">
        <f t="shared" si="13"/>
        <v>2232.2161755191282</v>
      </c>
      <c r="G150" s="75">
        <f t="shared" si="14"/>
        <v>362.97703393022903</v>
      </c>
      <c r="H150" s="68">
        <f t="shared" si="15"/>
        <v>0.10370772398006543</v>
      </c>
      <c r="I150" s="56"/>
    </row>
    <row r="151" spans="1:9" x14ac:dyDescent="0.25">
      <c r="A151" s="65">
        <v>43084</v>
      </c>
      <c r="B151" s="66">
        <f t="shared" si="16"/>
        <v>149</v>
      </c>
      <c r="C151" s="67">
        <f t="shared" si="17"/>
        <v>171.60522885441441</v>
      </c>
      <c r="D151" s="67">
        <v>160</v>
      </c>
      <c r="E151" s="75">
        <f t="shared" si="12"/>
        <v>11.605228854414406</v>
      </c>
      <c r="F151" s="67">
        <f t="shared" si="13"/>
        <v>2230.8679751073873</v>
      </c>
      <c r="G151" s="75">
        <f t="shared" si="14"/>
        <v>359.76209448684659</v>
      </c>
      <c r="H151" s="68">
        <f t="shared" si="15"/>
        <v>0.10278916985338474</v>
      </c>
      <c r="I151" s="56"/>
    </row>
    <row r="152" spans="1:9" x14ac:dyDescent="0.25">
      <c r="A152" s="65">
        <v>43084</v>
      </c>
      <c r="B152" s="66">
        <f t="shared" si="16"/>
        <v>150</v>
      </c>
      <c r="C152" s="67">
        <f t="shared" si="17"/>
        <v>171.50243968456101</v>
      </c>
      <c r="D152" s="67">
        <v>160</v>
      </c>
      <c r="E152" s="75">
        <f t="shared" si="12"/>
        <v>11.502439684561011</v>
      </c>
      <c r="F152" s="67">
        <f t="shared" si="13"/>
        <v>2229.531715899293</v>
      </c>
      <c r="G152" s="75">
        <f t="shared" si="14"/>
        <v>356.57563022139135</v>
      </c>
      <c r="H152" s="68">
        <f t="shared" si="15"/>
        <v>0.1018787514918261</v>
      </c>
      <c r="I152" s="56"/>
    </row>
    <row r="153" spans="1:9" x14ac:dyDescent="0.25">
      <c r="A153" s="65">
        <v>43084</v>
      </c>
      <c r="B153" s="66">
        <f t="shared" si="16"/>
        <v>151</v>
      </c>
      <c r="C153" s="67">
        <f t="shared" si="17"/>
        <v>171.40056093306919</v>
      </c>
      <c r="D153" s="67">
        <v>160</v>
      </c>
      <c r="E153" s="75">
        <f t="shared" si="12"/>
        <v>11.400560933069187</v>
      </c>
      <c r="F153" s="67">
        <f t="shared" si="13"/>
        <v>2228.2072921298995</v>
      </c>
      <c r="G153" s="75">
        <f t="shared" si="14"/>
        <v>353.41738892514479</v>
      </c>
      <c r="H153" s="68">
        <f t="shared" si="15"/>
        <v>0.10097639683575566</v>
      </c>
      <c r="I153" s="56"/>
    </row>
    <row r="154" spans="1:9" x14ac:dyDescent="0.25">
      <c r="A154" s="65">
        <v>43084</v>
      </c>
      <c r="B154" s="66">
        <f t="shared" si="16"/>
        <v>152</v>
      </c>
      <c r="C154" s="67">
        <f t="shared" si="17"/>
        <v>171.29958453623343</v>
      </c>
      <c r="D154" s="67">
        <v>160</v>
      </c>
      <c r="E154" s="75">
        <f t="shared" si="12"/>
        <v>11.299584536233425</v>
      </c>
      <c r="F154" s="67">
        <f t="shared" si="13"/>
        <v>2226.8945989710346</v>
      </c>
      <c r="G154" s="75">
        <f t="shared" si="14"/>
        <v>350.28712062323621</v>
      </c>
      <c r="H154" s="68">
        <f t="shared" si="15"/>
        <v>0.10008203446378178</v>
      </c>
      <c r="I154" s="56"/>
    </row>
    <row r="155" spans="1:9" x14ac:dyDescent="0.25">
      <c r="A155" s="65">
        <v>43084</v>
      </c>
      <c r="B155" s="66">
        <f t="shared" si="16"/>
        <v>153</v>
      </c>
      <c r="C155" s="67">
        <f t="shared" si="17"/>
        <v>171.19950250176964</v>
      </c>
      <c r="D155" s="67">
        <v>160</v>
      </c>
      <c r="E155" s="75">
        <f t="shared" si="12"/>
        <v>11.199502501769643</v>
      </c>
      <c r="F155" s="67">
        <f t="shared" si="13"/>
        <v>2225.5935325230053</v>
      </c>
      <c r="G155" s="75">
        <f t="shared" si="14"/>
        <v>347.18457755485895</v>
      </c>
      <c r="H155" s="68">
        <f t="shared" si="15"/>
        <v>9.919559358710256E-2</v>
      </c>
      <c r="I155" s="56"/>
    </row>
    <row r="156" spans="1:9" x14ac:dyDescent="0.25">
      <c r="A156" s="65">
        <v>43084</v>
      </c>
      <c r="B156" s="66">
        <f t="shared" si="16"/>
        <v>154</v>
      </c>
      <c r="C156" s="67">
        <f t="shared" si="17"/>
        <v>171.10030690818255</v>
      </c>
      <c r="D156" s="67">
        <v>160</v>
      </c>
      <c r="E156" s="75">
        <f t="shared" si="12"/>
        <v>11.100306908182546</v>
      </c>
      <c r="F156" s="67">
        <f t="shared" si="13"/>
        <v>2224.303989806373</v>
      </c>
      <c r="G156" s="75">
        <f t="shared" si="14"/>
        <v>344.10951415365889</v>
      </c>
      <c r="H156" s="68">
        <f t="shared" si="15"/>
        <v>9.8317004043902534E-2</v>
      </c>
      <c r="I156" s="56"/>
    </row>
    <row r="157" spans="1:9" x14ac:dyDescent="0.25">
      <c r="A157" s="65">
        <v>43084</v>
      </c>
      <c r="B157" s="66">
        <f t="shared" si="16"/>
        <v>155</v>
      </c>
      <c r="C157" s="67">
        <f t="shared" si="17"/>
        <v>171.00198990413864</v>
      </c>
      <c r="D157" s="67">
        <v>160</v>
      </c>
      <c r="E157" s="75">
        <f t="shared" si="12"/>
        <v>11.00198990413864</v>
      </c>
      <c r="F157" s="67">
        <f t="shared" si="13"/>
        <v>2223.0258687538021</v>
      </c>
      <c r="G157" s="75">
        <f t="shared" si="14"/>
        <v>341.0616870282978</v>
      </c>
      <c r="H157" s="68">
        <f t="shared" si="15"/>
        <v>9.7446196293799373E-2</v>
      </c>
      <c r="I157" s="56"/>
    </row>
    <row r="158" spans="1:9" x14ac:dyDescent="0.25">
      <c r="A158" s="65">
        <v>43084</v>
      </c>
      <c r="B158" s="66">
        <f t="shared" si="16"/>
        <v>156</v>
      </c>
      <c r="C158" s="67">
        <f t="shared" si="17"/>
        <v>170.90454370784485</v>
      </c>
      <c r="D158" s="67">
        <v>160</v>
      </c>
      <c r="E158" s="75">
        <f t="shared" si="12"/>
        <v>10.904543707844851</v>
      </c>
      <c r="F158" s="67">
        <f t="shared" si="13"/>
        <v>2221.7590682019832</v>
      </c>
      <c r="G158" s="75">
        <f t="shared" si="14"/>
        <v>338.04085494319042</v>
      </c>
      <c r="H158" s="68">
        <f t="shared" si="15"/>
        <v>9.6583101412340125E-2</v>
      </c>
      <c r="I158" s="56"/>
    </row>
    <row r="159" spans="1:9" x14ac:dyDescent="0.25">
      <c r="A159" s="65">
        <v>43084</v>
      </c>
      <c r="B159" s="66">
        <f t="shared" si="16"/>
        <v>157</v>
      </c>
      <c r="C159" s="67">
        <f t="shared" si="17"/>
        <v>170.80796060643252</v>
      </c>
      <c r="D159" s="67">
        <v>160</v>
      </c>
      <c r="E159" s="75">
        <f t="shared" si="12"/>
        <v>10.807960606432516</v>
      </c>
      <c r="F159" s="67">
        <f t="shared" si="13"/>
        <v>2220.5034878836227</v>
      </c>
      <c r="G159" s="75">
        <f t="shared" si="14"/>
        <v>335.046778799408</v>
      </c>
      <c r="H159" s="68">
        <f t="shared" si="15"/>
        <v>9.5727651085545137E-2</v>
      </c>
      <c r="I159" s="56"/>
    </row>
    <row r="160" spans="1:9" x14ac:dyDescent="0.25">
      <c r="A160" s="65">
        <v>43084</v>
      </c>
      <c r="B160" s="66">
        <f t="shared" si="16"/>
        <v>158</v>
      </c>
      <c r="C160" s="67">
        <f t="shared" si="17"/>
        <v>170.71223295534696</v>
      </c>
      <c r="D160" s="67">
        <v>160</v>
      </c>
      <c r="E160" s="75">
        <f t="shared" si="12"/>
        <v>10.712232955346963</v>
      </c>
      <c r="F160" s="67">
        <f t="shared" si="13"/>
        <v>2219.2590284195103</v>
      </c>
      <c r="G160" s="75">
        <f t="shared" si="14"/>
        <v>332.07922161575584</v>
      </c>
      <c r="H160" s="68">
        <f t="shared" si="15"/>
        <v>9.4879777604501669E-2</v>
      </c>
      <c r="I160" s="56"/>
    </row>
    <row r="161" spans="1:9" x14ac:dyDescent="0.25">
      <c r="A161" s="65">
        <v>43084</v>
      </c>
      <c r="B161" s="66">
        <f t="shared" si="16"/>
        <v>159</v>
      </c>
      <c r="C161" s="67">
        <f t="shared" si="17"/>
        <v>170.61735317774247</v>
      </c>
      <c r="D161" s="67">
        <v>160</v>
      </c>
      <c r="E161" s="75">
        <f t="shared" si="12"/>
        <v>10.617353177742473</v>
      </c>
      <c r="F161" s="67">
        <f t="shared" si="13"/>
        <v>2218.0255913106521</v>
      </c>
      <c r="G161" s="75">
        <f t="shared" si="14"/>
        <v>329.13794851001666</v>
      </c>
      <c r="H161" s="68">
        <f t="shared" si="15"/>
        <v>9.4039413860004764E-2</v>
      </c>
      <c r="I161" s="56"/>
    </row>
    <row r="162" spans="1:9" x14ac:dyDescent="0.25">
      <c r="A162" s="65">
        <v>43084</v>
      </c>
      <c r="B162" s="66">
        <f t="shared" si="16"/>
        <v>160</v>
      </c>
      <c r="C162" s="67">
        <f t="shared" si="17"/>
        <v>170.52331376388247</v>
      </c>
      <c r="D162" s="67">
        <v>160</v>
      </c>
      <c r="E162" s="75">
        <f t="shared" si="12"/>
        <v>10.52331376388247</v>
      </c>
      <c r="F162" s="67">
        <f t="shared" si="13"/>
        <v>2216.8030789304721</v>
      </c>
      <c r="G162" s="75">
        <f t="shared" si="14"/>
        <v>326.22272668035657</v>
      </c>
      <c r="H162" s="68">
        <f t="shared" si="15"/>
        <v>9.3206493337244734E-2</v>
      </c>
      <c r="I162" s="56"/>
    </row>
    <row r="163" spans="1:9" x14ac:dyDescent="0.25">
      <c r="A163" s="65">
        <v>43084</v>
      </c>
      <c r="B163" s="66">
        <f t="shared" si="16"/>
        <v>161</v>
      </c>
      <c r="C163" s="67">
        <f t="shared" si="17"/>
        <v>170.43010727054522</v>
      </c>
      <c r="D163" s="67">
        <v>160</v>
      </c>
      <c r="E163" s="75">
        <f t="shared" si="12"/>
        <v>10.430107270545221</v>
      </c>
      <c r="F163" s="67">
        <f t="shared" si="13"/>
        <v>2215.5913945170878</v>
      </c>
      <c r="G163" s="75">
        <f t="shared" si="14"/>
        <v>323.33332538690183</v>
      </c>
      <c r="H163" s="68">
        <f t="shared" si="15"/>
        <v>9.2380950110543383E-2</v>
      </c>
      <c r="I163" s="56"/>
    </row>
    <row r="164" spans="1:9" x14ac:dyDescent="0.25">
      <c r="A164" s="65">
        <v>43084</v>
      </c>
      <c r="B164" s="66">
        <f t="shared" si="16"/>
        <v>162</v>
      </c>
      <c r="C164" s="67">
        <f t="shared" si="17"/>
        <v>170.33772632043468</v>
      </c>
      <c r="D164" s="67">
        <v>160</v>
      </c>
      <c r="E164" s="75">
        <f t="shared" si="12"/>
        <v>10.337726320434683</v>
      </c>
      <c r="F164" s="67">
        <f t="shared" si="13"/>
        <v>2214.3904421656507</v>
      </c>
      <c r="G164" s="75">
        <f t="shared" si="14"/>
        <v>320.46951593347518</v>
      </c>
      <c r="H164" s="68">
        <f t="shared" si="15"/>
        <v>9.156271883813577E-2</v>
      </c>
      <c r="I164" s="56"/>
    </row>
    <row r="165" spans="1:9" x14ac:dyDescent="0.25">
      <c r="A165" s="65">
        <v>43084</v>
      </c>
      <c r="B165" s="66">
        <f t="shared" si="16"/>
        <v>163</v>
      </c>
      <c r="C165" s="67">
        <f t="shared" si="17"/>
        <v>170.24616360159655</v>
      </c>
      <c r="D165" s="67">
        <v>160</v>
      </c>
      <c r="E165" s="75">
        <f t="shared" si="12"/>
        <v>10.24616360159655</v>
      </c>
      <c r="F165" s="67">
        <f t="shared" si="13"/>
        <v>2213.200126820755</v>
      </c>
      <c r="G165" s="75">
        <f t="shared" si="14"/>
        <v>317.63107164949304</v>
      </c>
      <c r="H165" s="68">
        <f t="shared" si="15"/>
        <v>9.0751734756998007E-2</v>
      </c>
      <c r="I165" s="56"/>
    </row>
    <row r="166" spans="1:9" x14ac:dyDescent="0.25">
      <c r="A166" s="65">
        <v>43084</v>
      </c>
      <c r="B166" s="66">
        <f t="shared" si="16"/>
        <v>164</v>
      </c>
      <c r="C166" s="67">
        <f t="shared" si="17"/>
        <v>170.15541186683956</v>
      </c>
      <c r="D166" s="67">
        <v>160</v>
      </c>
      <c r="E166" s="75">
        <f t="shared" si="12"/>
        <v>10.155411866839557</v>
      </c>
      <c r="F166" s="67">
        <f t="shared" si="13"/>
        <v>2212.0203542689142</v>
      </c>
      <c r="G166" s="75">
        <f t="shared" si="14"/>
        <v>314.81776787202625</v>
      </c>
      <c r="H166" s="68">
        <f t="shared" si="15"/>
        <v>8.9947933677721789E-2</v>
      </c>
      <c r="I166" s="56"/>
    </row>
    <row r="167" spans="1:9" x14ac:dyDescent="0.25">
      <c r="A167" s="65">
        <v>43084</v>
      </c>
      <c r="B167" s="66">
        <f t="shared" si="16"/>
        <v>165</v>
      </c>
      <c r="C167" s="67">
        <f t="shared" si="17"/>
        <v>170.06546393316182</v>
      </c>
      <c r="D167" s="67">
        <v>160</v>
      </c>
      <c r="E167" s="75">
        <f t="shared" si="12"/>
        <v>10.065463933161823</v>
      </c>
      <c r="F167" s="67">
        <f t="shared" si="13"/>
        <v>2210.8510311311038</v>
      </c>
      <c r="G167" s="75">
        <f t="shared" si="14"/>
        <v>312.02938192801651</v>
      </c>
      <c r="H167" s="68">
        <f t="shared" si="15"/>
        <v>8.9151251979433285E-2</v>
      </c>
      <c r="I167" s="56"/>
    </row>
    <row r="168" spans="1:9" x14ac:dyDescent="0.25">
      <c r="A168" s="65">
        <v>43084</v>
      </c>
      <c r="B168" s="66">
        <f t="shared" si="16"/>
        <v>166</v>
      </c>
      <c r="C168" s="67">
        <f t="shared" si="17"/>
        <v>169.97631268118238</v>
      </c>
      <c r="D168" s="67">
        <v>160</v>
      </c>
      <c r="E168" s="75">
        <f t="shared" si="12"/>
        <v>9.9763126811823781</v>
      </c>
      <c r="F168" s="67">
        <f t="shared" si="13"/>
        <v>2209.692064855371</v>
      </c>
      <c r="G168" s="75">
        <f t="shared" si="14"/>
        <v>309.26569311665372</v>
      </c>
      <c r="H168" s="68">
        <f t="shared" si="15"/>
        <v>8.8361626604758201E-2</v>
      </c>
      <c r="I168" s="56"/>
    </row>
    <row r="169" spans="1:9" x14ac:dyDescent="0.25">
      <c r="A169" s="65">
        <v>43084</v>
      </c>
      <c r="B169" s="66">
        <f t="shared" si="16"/>
        <v>167</v>
      </c>
      <c r="C169" s="67">
        <f t="shared" si="17"/>
        <v>169.88795105457763</v>
      </c>
      <c r="D169" s="67">
        <v>160</v>
      </c>
      <c r="E169" s="75">
        <f t="shared" si="12"/>
        <v>9.887951054577627</v>
      </c>
      <c r="F169" s="67">
        <f t="shared" si="13"/>
        <v>2208.5433637095093</v>
      </c>
      <c r="G169" s="75">
        <f t="shared" si="14"/>
        <v>306.52648269190644</v>
      </c>
      <c r="H169" s="68">
        <f t="shared" si="15"/>
        <v>8.7578995054830411E-2</v>
      </c>
      <c r="I169" s="56"/>
    </row>
    <row r="170" spans="1:9" x14ac:dyDescent="0.25">
      <c r="A170" s="65">
        <v>43084</v>
      </c>
      <c r="B170" s="66">
        <f t="shared" si="16"/>
        <v>168</v>
      </c>
      <c r="C170" s="67">
        <f t="shared" si="17"/>
        <v>169.8003720595228</v>
      </c>
      <c r="D170" s="67">
        <v>160</v>
      </c>
      <c r="E170" s="75">
        <f t="shared" si="12"/>
        <v>9.8003720595228003</v>
      </c>
      <c r="F170" s="67">
        <f t="shared" si="13"/>
        <v>2207.4048367737964</v>
      </c>
      <c r="G170" s="75">
        <f t="shared" si="14"/>
        <v>303.81153384520678</v>
      </c>
      <c r="H170" s="68">
        <f t="shared" si="15"/>
        <v>8.6803295384344795E-2</v>
      </c>
      <c r="I170" s="56"/>
    </row>
    <row r="171" spans="1:9" x14ac:dyDescent="0.25">
      <c r="A171" s="65">
        <v>43084</v>
      </c>
      <c r="B171" s="66">
        <f t="shared" si="16"/>
        <v>169</v>
      </c>
      <c r="C171" s="67">
        <f t="shared" si="17"/>
        <v>169.71356876413844</v>
      </c>
      <c r="D171" s="67">
        <v>160</v>
      </c>
      <c r="E171" s="75">
        <f t="shared" si="12"/>
        <v>9.7135687641384436</v>
      </c>
      <c r="F171" s="67">
        <f t="shared" si="13"/>
        <v>2206.2763939337997</v>
      </c>
      <c r="G171" s="75">
        <f t="shared" si="14"/>
        <v>301.12063168829172</v>
      </c>
      <c r="H171" s="68">
        <f t="shared" si="15"/>
        <v>8.603446619665478E-2</v>
      </c>
      <c r="I171" s="56"/>
    </row>
    <row r="172" spans="1:9" x14ac:dyDescent="0.25">
      <c r="A172" s="65">
        <v>43084</v>
      </c>
      <c r="B172" s="66">
        <f t="shared" si="16"/>
        <v>170</v>
      </c>
      <c r="C172" s="67">
        <f t="shared" si="17"/>
        <v>169.62753429794179</v>
      </c>
      <c r="D172" s="67">
        <v>160</v>
      </c>
      <c r="E172" s="75">
        <f t="shared" si="12"/>
        <v>9.6275342979417928</v>
      </c>
      <c r="F172" s="67">
        <f t="shared" si="13"/>
        <v>2205.1579458732431</v>
      </c>
      <c r="G172" s="75">
        <f t="shared" si="14"/>
        <v>298.45356323619558</v>
      </c>
      <c r="H172" s="68">
        <f t="shared" si="15"/>
        <v>8.5272446638913021E-2</v>
      </c>
      <c r="I172" s="56"/>
    </row>
    <row r="173" spans="1:9" x14ac:dyDescent="0.25">
      <c r="A173" s="65">
        <v>43084</v>
      </c>
      <c r="B173" s="66">
        <f t="shared" si="16"/>
        <v>171</v>
      </c>
      <c r="C173" s="67">
        <f t="shared" si="17"/>
        <v>169.54226185130287</v>
      </c>
      <c r="D173" s="67">
        <v>160</v>
      </c>
      <c r="E173" s="75">
        <f t="shared" si="12"/>
        <v>9.5422618513028681</v>
      </c>
      <c r="F173" s="67">
        <f t="shared" si="13"/>
        <v>2204.0494040669373</v>
      </c>
      <c r="G173" s="75">
        <f t="shared" si="14"/>
        <v>295.81011739038888</v>
      </c>
      <c r="H173" s="68">
        <f t="shared" si="15"/>
        <v>8.4517176397253965E-2</v>
      </c>
      <c r="I173" s="56"/>
    </row>
    <row r="174" spans="1:9" x14ac:dyDescent="0.25">
      <c r="A174" s="65">
        <v>43084</v>
      </c>
      <c r="B174" s="66">
        <f t="shared" si="16"/>
        <v>172</v>
      </c>
      <c r="C174" s="67">
        <f t="shared" si="17"/>
        <v>169.45774467490563</v>
      </c>
      <c r="D174" s="67">
        <v>160</v>
      </c>
      <c r="E174" s="75">
        <f t="shared" si="12"/>
        <v>9.4577446749056264</v>
      </c>
      <c r="F174" s="67">
        <f t="shared" si="13"/>
        <v>2202.950680773773</v>
      </c>
      <c r="G174" s="75">
        <f t="shared" si="14"/>
        <v>293.19008492207445</v>
      </c>
      <c r="H174" s="68">
        <f t="shared" si="15"/>
        <v>8.3768595692021275E-2</v>
      </c>
      <c r="I174" s="56"/>
    </row>
    <row r="175" spans="1:9" x14ac:dyDescent="0.25">
      <c r="A175" s="65">
        <v>43084</v>
      </c>
      <c r="B175" s="66">
        <f t="shared" si="16"/>
        <v>173</v>
      </c>
      <c r="C175" s="67">
        <f t="shared" si="17"/>
        <v>169.37397607921361</v>
      </c>
      <c r="D175" s="67">
        <v>160</v>
      </c>
      <c r="E175" s="75">
        <f t="shared" si="12"/>
        <v>9.3739760792136053</v>
      </c>
      <c r="F175" s="67">
        <f t="shared" si="13"/>
        <v>2201.8616890297767</v>
      </c>
      <c r="G175" s="75">
        <f t="shared" si="14"/>
        <v>290.59325845562176</v>
      </c>
      <c r="H175" s="68">
        <f t="shared" si="15"/>
        <v>8.3026645273034785E-2</v>
      </c>
      <c r="I175" s="56"/>
    </row>
    <row r="176" spans="1:9" x14ac:dyDescent="0.25">
      <c r="A176" s="65">
        <v>43084</v>
      </c>
      <c r="B176" s="66">
        <f t="shared" si="16"/>
        <v>174</v>
      </c>
      <c r="C176" s="67">
        <f t="shared" si="17"/>
        <v>169.29094943394057</v>
      </c>
      <c r="D176" s="67">
        <v>160</v>
      </c>
      <c r="E176" s="75">
        <f t="shared" si="12"/>
        <v>9.2909494339405683</v>
      </c>
      <c r="F176" s="67">
        <f t="shared" si="13"/>
        <v>2200.7823426412274</v>
      </c>
      <c r="G176" s="75">
        <f t="shared" si="14"/>
        <v>288.01943245215762</v>
      </c>
      <c r="H176" s="68">
        <f t="shared" si="15"/>
        <v>8.229126641490217E-2</v>
      </c>
      <c r="I176" s="56"/>
    </row>
    <row r="177" spans="1:9" x14ac:dyDescent="0.25">
      <c r="A177" s="65">
        <v>43084</v>
      </c>
      <c r="B177" s="66">
        <f t="shared" si="16"/>
        <v>175</v>
      </c>
      <c r="C177" s="67">
        <f t="shared" si="17"/>
        <v>169.20865816752567</v>
      </c>
      <c r="D177" s="67">
        <v>160</v>
      </c>
      <c r="E177" s="75">
        <f t="shared" si="12"/>
        <v>9.2086581675256696</v>
      </c>
      <c r="F177" s="67">
        <f t="shared" si="13"/>
        <v>2199.7125561778339</v>
      </c>
      <c r="G177" s="75">
        <f t="shared" si="14"/>
        <v>285.46840319329579</v>
      </c>
      <c r="H177" s="68">
        <f t="shared" si="15"/>
        <v>8.1562400912370228E-2</v>
      </c>
      <c r="I177" s="56"/>
    </row>
    <row r="178" spans="1:9" x14ac:dyDescent="0.25">
      <c r="A178" s="65">
        <v>43084</v>
      </c>
      <c r="B178" s="66">
        <f t="shared" si="16"/>
        <v>176</v>
      </c>
      <c r="C178" s="67">
        <f t="shared" si="17"/>
        <v>169.12709576661331</v>
      </c>
      <c r="D178" s="67">
        <v>160</v>
      </c>
      <c r="E178" s="75">
        <f t="shared" si="12"/>
        <v>9.1270957666133086</v>
      </c>
      <c r="F178" s="67">
        <f t="shared" si="13"/>
        <v>2198.6522449659728</v>
      </c>
      <c r="G178" s="75">
        <f t="shared" si="14"/>
        <v>282.93996876501257</v>
      </c>
      <c r="H178" s="68">
        <f t="shared" si="15"/>
        <v>8.0839991075717876E-2</v>
      </c>
      <c r="I178" s="56"/>
    </row>
    <row r="179" spans="1:9" x14ac:dyDescent="0.25">
      <c r="A179" s="65">
        <v>43084</v>
      </c>
      <c r="B179" s="66">
        <f t="shared" si="16"/>
        <v>177</v>
      </c>
      <c r="C179" s="67">
        <f t="shared" si="17"/>
        <v>169.04625577553759</v>
      </c>
      <c r="D179" s="67">
        <v>160</v>
      </c>
      <c r="E179" s="75">
        <f t="shared" si="12"/>
        <v>9.0462557755375883</v>
      </c>
      <c r="F179" s="67">
        <f t="shared" si="13"/>
        <v>2197.6013250819888</v>
      </c>
      <c r="G179" s="75">
        <f t="shared" si="14"/>
        <v>280.43392904166524</v>
      </c>
      <c r="H179" s="68">
        <f t="shared" si="15"/>
        <v>8.0123979726190064E-2</v>
      </c>
      <c r="I179" s="56"/>
    </row>
    <row r="180" spans="1:9" x14ac:dyDescent="0.25">
      <c r="A180" s="65">
        <v>43084</v>
      </c>
      <c r="B180" s="66">
        <f t="shared" si="16"/>
        <v>178</v>
      </c>
      <c r="C180" s="67">
        <f t="shared" si="17"/>
        <v>168.96613179581141</v>
      </c>
      <c r="D180" s="67">
        <v>160</v>
      </c>
      <c r="E180" s="75">
        <f t="shared" si="12"/>
        <v>8.9661317958114068</v>
      </c>
      <c r="F180" s="67">
        <f t="shared" si="13"/>
        <v>2196.5597133455485</v>
      </c>
      <c r="G180" s="75">
        <f t="shared" si="14"/>
        <v>277.95008567015361</v>
      </c>
      <c r="H180" s="68">
        <f t="shared" si="15"/>
        <v>7.9414310191472465E-2</v>
      </c>
      <c r="I180" s="56"/>
    </row>
    <row r="181" spans="1:9" x14ac:dyDescent="0.25">
      <c r="A181" s="65">
        <v>43084</v>
      </c>
      <c r="B181" s="66">
        <f t="shared" si="16"/>
        <v>179</v>
      </c>
      <c r="C181" s="67">
        <f t="shared" si="17"/>
        <v>168.88671748561993</v>
      </c>
      <c r="D181" s="67">
        <v>160</v>
      </c>
      <c r="E181" s="75">
        <f t="shared" si="12"/>
        <v>8.8867174856199256</v>
      </c>
      <c r="F181" s="67">
        <f t="shared" si="13"/>
        <v>2195.5273273130592</v>
      </c>
      <c r="G181" s="75">
        <f t="shared" si="14"/>
        <v>275.48824205421772</v>
      </c>
      <c r="H181" s="68">
        <f t="shared" si="15"/>
        <v>7.8710926301205061E-2</v>
      </c>
      <c r="I181" s="56"/>
    </row>
    <row r="182" spans="1:9" x14ac:dyDescent="0.25">
      <c r="A182" s="65">
        <v>43084</v>
      </c>
      <c r="B182" s="66">
        <f t="shared" si="16"/>
        <v>180</v>
      </c>
      <c r="C182" s="67">
        <f t="shared" si="17"/>
        <v>168.80800655931873</v>
      </c>
      <c r="D182" s="67">
        <v>160</v>
      </c>
      <c r="E182" s="75">
        <f t="shared" si="12"/>
        <v>8.8080065593187271</v>
      </c>
      <c r="F182" s="67">
        <f t="shared" si="13"/>
        <v>2194.5040852711436</v>
      </c>
      <c r="G182" s="75">
        <f t="shared" si="14"/>
        <v>273.04820333888051</v>
      </c>
      <c r="H182" s="68">
        <f t="shared" si="15"/>
        <v>7.8013772382537289E-2</v>
      </c>
      <c r="I182" s="56"/>
    </row>
    <row r="183" spans="1:9" x14ac:dyDescent="0.25">
      <c r="A183" s="65">
        <v>43084</v>
      </c>
      <c r="B183" s="66">
        <f t="shared" si="16"/>
        <v>181</v>
      </c>
      <c r="C183" s="67">
        <f t="shared" si="17"/>
        <v>168.72999278693618</v>
      </c>
      <c r="D183" s="67">
        <v>160</v>
      </c>
      <c r="E183" s="75">
        <f t="shared" si="12"/>
        <v>8.7299927869361795</v>
      </c>
      <c r="F183" s="67">
        <f t="shared" si="13"/>
        <v>2193.4899062301702</v>
      </c>
      <c r="G183" s="75">
        <f t="shared" si="14"/>
        <v>270.62977639502157</v>
      </c>
      <c r="H183" s="68">
        <f t="shared" si="15"/>
        <v>7.7322793255720446E-2</v>
      </c>
      <c r="I183" s="56"/>
    </row>
    <row r="184" spans="1:9" x14ac:dyDescent="0.25">
      <c r="A184" s="65">
        <v>43084</v>
      </c>
      <c r="B184" s="66">
        <f t="shared" si="16"/>
        <v>182</v>
      </c>
      <c r="C184" s="67">
        <f t="shared" si="17"/>
        <v>168.65266999368046</v>
      </c>
      <c r="D184" s="67">
        <v>160</v>
      </c>
      <c r="E184" s="75">
        <f t="shared" si="12"/>
        <v>8.6526699936804619</v>
      </c>
      <c r="F184" s="67">
        <f t="shared" si="13"/>
        <v>2192.484709917846</v>
      </c>
      <c r="G184" s="75">
        <f t="shared" si="14"/>
        <v>268.23276980409435</v>
      </c>
      <c r="H184" s="68">
        <f t="shared" si="15"/>
        <v>7.6637934229741245E-2</v>
      </c>
      <c r="I184" s="56"/>
    </row>
    <row r="185" spans="1:9" x14ac:dyDescent="0.25">
      <c r="A185" s="65">
        <v>43084</v>
      </c>
      <c r="B185" s="66">
        <f t="shared" si="16"/>
        <v>183</v>
      </c>
      <c r="C185" s="67">
        <f t="shared" si="17"/>
        <v>168.57603205945071</v>
      </c>
      <c r="D185" s="67">
        <v>160</v>
      </c>
      <c r="E185" s="75">
        <f t="shared" si="12"/>
        <v>8.5760320594507107</v>
      </c>
      <c r="F185" s="67">
        <f t="shared" si="13"/>
        <v>2191.4884167728592</v>
      </c>
      <c r="G185" s="75">
        <f t="shared" si="14"/>
        <v>265.85699384297203</v>
      </c>
      <c r="H185" s="68">
        <f t="shared" si="15"/>
        <v>7.5959141097992011E-2</v>
      </c>
      <c r="I185" s="56"/>
    </row>
    <row r="186" spans="1:9" x14ac:dyDescent="0.25">
      <c r="A186" s="65">
        <v>43084</v>
      </c>
      <c r="B186" s="66">
        <f t="shared" si="16"/>
        <v>184</v>
      </c>
      <c r="C186" s="67">
        <f t="shared" si="17"/>
        <v>168.50007291835271</v>
      </c>
      <c r="D186" s="67">
        <v>160</v>
      </c>
      <c r="E186" s="75">
        <f t="shared" si="12"/>
        <v>8.5000729183527142</v>
      </c>
      <c r="F186" s="67">
        <f t="shared" si="13"/>
        <v>2190.5009479385853</v>
      </c>
      <c r="G186" s="75">
        <f t="shared" si="14"/>
        <v>263.50226046893414</v>
      </c>
      <c r="H186" s="68">
        <f t="shared" si="15"/>
        <v>7.5286360133981184E-2</v>
      </c>
      <c r="I186" s="56"/>
    </row>
    <row r="187" spans="1:9" x14ac:dyDescent="0.25">
      <c r="A187" s="65">
        <v>43084</v>
      </c>
      <c r="B187" s="66">
        <f t="shared" si="16"/>
        <v>185</v>
      </c>
      <c r="C187" s="67">
        <f t="shared" si="17"/>
        <v>168.42478655821873</v>
      </c>
      <c r="D187" s="67">
        <v>160</v>
      </c>
      <c r="E187" s="75">
        <f t="shared" si="12"/>
        <v>8.4247865582187274</v>
      </c>
      <c r="F187" s="67">
        <f t="shared" si="13"/>
        <v>2189.5222252568433</v>
      </c>
      <c r="G187" s="75">
        <f t="shared" si="14"/>
        <v>261.16838330478055</v>
      </c>
      <c r="H187" s="68">
        <f t="shared" si="15"/>
        <v>7.4619538087080162E-2</v>
      </c>
      <c r="I187" s="56"/>
    </row>
    <row r="188" spans="1:9" x14ac:dyDescent="0.25">
      <c r="A188" s="65">
        <v>43084</v>
      </c>
      <c r="B188" s="66">
        <f t="shared" si="16"/>
        <v>186</v>
      </c>
      <c r="C188" s="67">
        <f t="shared" si="17"/>
        <v>168.35016702013164</v>
      </c>
      <c r="D188" s="67">
        <v>160</v>
      </c>
      <c r="E188" s="75">
        <f t="shared" si="12"/>
        <v>8.3501670201316358</v>
      </c>
      <c r="F188" s="67">
        <f t="shared" si="13"/>
        <v>2188.5521712617115</v>
      </c>
      <c r="G188" s="75">
        <f t="shared" si="14"/>
        <v>258.85517762408074</v>
      </c>
      <c r="H188" s="68">
        <f t="shared" si="15"/>
        <v>7.3958622178308786E-2</v>
      </c>
      <c r="I188" s="56"/>
    </row>
    <row r="189" spans="1:9" x14ac:dyDescent="0.25">
      <c r="A189" s="65">
        <v>43084</v>
      </c>
      <c r="B189" s="66">
        <f t="shared" si="16"/>
        <v>187</v>
      </c>
      <c r="C189" s="67">
        <f t="shared" si="17"/>
        <v>168.27620839795333</v>
      </c>
      <c r="D189" s="67">
        <v>160</v>
      </c>
      <c r="E189" s="75">
        <f t="shared" si="12"/>
        <v>8.2762083979533259</v>
      </c>
      <c r="F189" s="67">
        <f t="shared" si="13"/>
        <v>2187.5907091733934</v>
      </c>
      <c r="G189" s="75">
        <f t="shared" si="14"/>
        <v>256.5624603365531</v>
      </c>
      <c r="H189" s="68">
        <f t="shared" si="15"/>
        <v>7.330356009615803E-2</v>
      </c>
      <c r="I189" s="56"/>
    </row>
    <row r="190" spans="1:9" x14ac:dyDescent="0.25">
      <c r="A190" s="65">
        <v>43084</v>
      </c>
      <c r="B190" s="66">
        <f t="shared" si="16"/>
        <v>188</v>
      </c>
      <c r="C190" s="67">
        <f t="shared" si="17"/>
        <v>168.20290483785718</v>
      </c>
      <c r="D190" s="67">
        <v>160</v>
      </c>
      <c r="E190" s="75">
        <f t="shared" si="12"/>
        <v>8.2029048378571758</v>
      </c>
      <c r="F190" s="67">
        <f t="shared" si="13"/>
        <v>2186.6377628921432</v>
      </c>
      <c r="G190" s="75">
        <f t="shared" si="14"/>
        <v>254.29004997357245</v>
      </c>
      <c r="H190" s="68">
        <f t="shared" si="15"/>
        <v>7.2654299992449267E-2</v>
      </c>
      <c r="I190" s="56"/>
    </row>
    <row r="191" spans="1:9" x14ac:dyDescent="0.25">
      <c r="A191" s="65">
        <v>43084</v>
      </c>
      <c r="B191" s="66">
        <f t="shared" si="16"/>
        <v>189</v>
      </c>
      <c r="C191" s="67">
        <f t="shared" si="17"/>
        <v>168.13025053786473</v>
      </c>
      <c r="D191" s="67">
        <v>160</v>
      </c>
      <c r="E191" s="75">
        <f t="shared" si="12"/>
        <v>8.1302505378647254</v>
      </c>
      <c r="F191" s="67">
        <f t="shared" si="13"/>
        <v>2185.6932569922415</v>
      </c>
      <c r="G191" s="75">
        <f t="shared" si="14"/>
        <v>252.03776667380649</v>
      </c>
      <c r="H191" s="68">
        <f t="shared" si="15"/>
        <v>7.2010790478230419E-2</v>
      </c>
      <c r="I191" s="56"/>
    </row>
    <row r="192" spans="1:9" x14ac:dyDescent="0.25">
      <c r="A192" s="65">
        <v>43084</v>
      </c>
      <c r="B192" s="66">
        <f t="shared" si="16"/>
        <v>190</v>
      </c>
      <c r="C192" s="67">
        <f t="shared" si="17"/>
        <v>168.05823974738649</v>
      </c>
      <c r="D192" s="67">
        <v>160</v>
      </c>
      <c r="E192" s="75">
        <f t="shared" si="12"/>
        <v>8.0582397473864944</v>
      </c>
      <c r="F192" s="67">
        <f t="shared" si="13"/>
        <v>2184.7571167160245</v>
      </c>
      <c r="G192" s="75">
        <f t="shared" si="14"/>
        <v>249.80543216898133</v>
      </c>
      <c r="H192" s="68">
        <f t="shared" si="15"/>
        <v>7.1372980619708953E-2</v>
      </c>
      <c r="I192" s="56"/>
    </row>
    <row r="193" spans="1:9" x14ac:dyDescent="0.25">
      <c r="A193" s="65">
        <v>43084</v>
      </c>
      <c r="B193" s="66">
        <f t="shared" si="16"/>
        <v>191</v>
      </c>
      <c r="C193" s="67">
        <f t="shared" si="17"/>
        <v>167.98686676676678</v>
      </c>
      <c r="D193" s="67">
        <v>160</v>
      </c>
      <c r="E193" s="75">
        <f t="shared" si="12"/>
        <v>7.9868667667667808</v>
      </c>
      <c r="F193" s="67">
        <f t="shared" si="13"/>
        <v>2183.829267967968</v>
      </c>
      <c r="G193" s="75">
        <f t="shared" si="14"/>
        <v>247.5928697697702</v>
      </c>
      <c r="H193" s="68">
        <f t="shared" si="15"/>
        <v>7.0740819934220059E-2</v>
      </c>
      <c r="I193" s="56"/>
    </row>
    <row r="194" spans="1:9" x14ac:dyDescent="0.25">
      <c r="A194" s="65">
        <v>43084</v>
      </c>
      <c r="B194" s="66">
        <f t="shared" si="16"/>
        <v>192</v>
      </c>
      <c r="C194" s="67">
        <f t="shared" si="17"/>
        <v>167.91612594683255</v>
      </c>
      <c r="D194" s="67">
        <v>160</v>
      </c>
      <c r="E194" s="75">
        <f t="shared" si="12"/>
        <v>7.9161259468325511</v>
      </c>
      <c r="F194" s="67">
        <f t="shared" si="13"/>
        <v>2182.9096373088232</v>
      </c>
      <c r="G194" s="75">
        <f t="shared" si="14"/>
        <v>245.39990435180908</v>
      </c>
      <c r="H194" s="68">
        <f t="shared" si="15"/>
        <v>7.0114258386231171E-2</v>
      </c>
      <c r="I194" s="56"/>
    </row>
    <row r="195" spans="1:9" x14ac:dyDescent="0.25">
      <c r="A195" s="65">
        <v>43084</v>
      </c>
      <c r="B195" s="66">
        <f t="shared" si="16"/>
        <v>193</v>
      </c>
      <c r="C195" s="67">
        <f t="shared" si="17"/>
        <v>167.84601168844631</v>
      </c>
      <c r="D195" s="67">
        <v>160</v>
      </c>
      <c r="E195" s="75">
        <f t="shared" ref="E195:E258" si="18">C195-D195</f>
        <v>7.8460116884463105</v>
      </c>
      <c r="F195" s="67">
        <f t="shared" ref="F195:F258" si="19">13*C195</f>
        <v>2181.9981519498019</v>
      </c>
      <c r="G195" s="75">
        <f t="shared" ref="G195:G258" si="20">E195*31</f>
        <v>243.22636234183562</v>
      </c>
      <c r="H195" s="68">
        <f t="shared" ref="H195:H258" si="21">MIN($G195/3500,$F195/3500)</f>
        <v>6.9493246383381613E-2</v>
      </c>
      <c r="I195" s="56"/>
    </row>
    <row r="196" spans="1:9" x14ac:dyDescent="0.25">
      <c r="A196" s="65">
        <v>43084</v>
      </c>
      <c r="B196" s="66">
        <f t="shared" ref="B196:B259" si="22">B195+1</f>
        <v>194</v>
      </c>
      <c r="C196" s="67">
        <f t="shared" ref="C196:C259" si="23">C195-H195</f>
        <v>167.77651844206292</v>
      </c>
      <c r="D196" s="67">
        <v>160</v>
      </c>
      <c r="E196" s="75">
        <f t="shared" si="18"/>
        <v>7.7765184420629225</v>
      </c>
      <c r="F196" s="67">
        <f t="shared" si="19"/>
        <v>2181.094739746818</v>
      </c>
      <c r="G196" s="75">
        <f t="shared" si="20"/>
        <v>241.0720717039506</v>
      </c>
      <c r="H196" s="68">
        <f t="shared" si="21"/>
        <v>6.887773477255732E-2</v>
      </c>
      <c r="I196" s="56"/>
    </row>
    <row r="197" spans="1:9" x14ac:dyDescent="0.25">
      <c r="A197" s="65">
        <v>43084</v>
      </c>
      <c r="B197" s="66">
        <f t="shared" si="22"/>
        <v>195</v>
      </c>
      <c r="C197" s="67">
        <f t="shared" si="23"/>
        <v>167.70764070729035</v>
      </c>
      <c r="D197" s="67">
        <v>160</v>
      </c>
      <c r="E197" s="75">
        <f t="shared" si="18"/>
        <v>7.7076407072903521</v>
      </c>
      <c r="F197" s="67">
        <f t="shared" si="19"/>
        <v>2180.1993291947747</v>
      </c>
      <c r="G197" s="75">
        <f t="shared" si="20"/>
        <v>238.93686192600092</v>
      </c>
      <c r="H197" s="68">
        <f t="shared" si="21"/>
        <v>6.8267674836000256E-2</v>
      </c>
      <c r="I197" s="56"/>
    </row>
    <row r="198" spans="1:9" x14ac:dyDescent="0.25">
      <c r="A198" s="65">
        <v>43084</v>
      </c>
      <c r="B198" s="66">
        <f t="shared" si="22"/>
        <v>196</v>
      </c>
      <c r="C198" s="67">
        <f t="shared" si="23"/>
        <v>167.63937303245436</v>
      </c>
      <c r="D198" s="67">
        <v>160</v>
      </c>
      <c r="E198" s="75">
        <f t="shared" si="18"/>
        <v>7.6393730324543583</v>
      </c>
      <c r="F198" s="67">
        <f t="shared" si="19"/>
        <v>2179.3118494219066</v>
      </c>
      <c r="G198" s="75">
        <f t="shared" si="20"/>
        <v>236.82056400608511</v>
      </c>
      <c r="H198" s="68">
        <f t="shared" si="21"/>
        <v>6.7663018287452886E-2</v>
      </c>
      <c r="I198" s="56"/>
    </row>
    <row r="199" spans="1:9" x14ac:dyDescent="0.25">
      <c r="A199" s="65">
        <v>43084</v>
      </c>
      <c r="B199" s="66">
        <f t="shared" si="22"/>
        <v>197</v>
      </c>
      <c r="C199" s="67">
        <f t="shared" si="23"/>
        <v>167.57171001416691</v>
      </c>
      <c r="D199" s="67">
        <v>160</v>
      </c>
      <c r="E199" s="75">
        <f t="shared" si="18"/>
        <v>7.5717100141669107</v>
      </c>
      <c r="F199" s="67">
        <f t="shared" si="19"/>
        <v>2178.4322301841698</v>
      </c>
      <c r="G199" s="75">
        <f t="shared" si="20"/>
        <v>234.72301043917423</v>
      </c>
      <c r="H199" s="68">
        <f t="shared" si="21"/>
        <v>6.7063717268335502E-2</v>
      </c>
      <c r="I199" s="56"/>
    </row>
    <row r="200" spans="1:9" x14ac:dyDescent="0.25">
      <c r="A200" s="65">
        <v>43084</v>
      </c>
      <c r="B200" s="66">
        <f t="shared" si="22"/>
        <v>198</v>
      </c>
      <c r="C200" s="67">
        <f t="shared" si="23"/>
        <v>167.50464629689858</v>
      </c>
      <c r="D200" s="67">
        <v>160</v>
      </c>
      <c r="E200" s="75">
        <f t="shared" si="18"/>
        <v>7.504646296898585</v>
      </c>
      <c r="F200" s="67">
        <f t="shared" si="19"/>
        <v>2177.5604018596814</v>
      </c>
      <c r="G200" s="75">
        <f t="shared" si="20"/>
        <v>232.64403520385613</v>
      </c>
      <c r="H200" s="68">
        <f t="shared" si="21"/>
        <v>6.6469724343958897E-2</v>
      </c>
      <c r="I200" s="56"/>
    </row>
    <row r="201" spans="1:9" x14ac:dyDescent="0.25">
      <c r="A201" s="65">
        <v>43084</v>
      </c>
      <c r="B201" s="66">
        <f t="shared" si="22"/>
        <v>199</v>
      </c>
      <c r="C201" s="67">
        <f t="shared" si="23"/>
        <v>167.43817657255462</v>
      </c>
      <c r="D201" s="67">
        <v>160</v>
      </c>
      <c r="E201" s="75">
        <f t="shared" si="18"/>
        <v>7.4381765725546245</v>
      </c>
      <c r="F201" s="67">
        <f t="shared" si="19"/>
        <v>2176.6962954432101</v>
      </c>
      <c r="G201" s="75">
        <f t="shared" si="20"/>
        <v>230.58347374919336</v>
      </c>
      <c r="H201" s="68">
        <f t="shared" si="21"/>
        <v>6.5880992499769531E-2</v>
      </c>
      <c r="I201" s="56"/>
    </row>
    <row r="202" spans="1:9" x14ac:dyDescent="0.25">
      <c r="A202" s="65">
        <v>43084</v>
      </c>
      <c r="B202" s="66">
        <f t="shared" si="22"/>
        <v>200</v>
      </c>
      <c r="C202" s="67">
        <f t="shared" si="23"/>
        <v>167.37229558005487</v>
      </c>
      <c r="D202" s="67">
        <v>160</v>
      </c>
      <c r="E202" s="75">
        <f t="shared" si="18"/>
        <v>7.3722955800548675</v>
      </c>
      <c r="F202" s="67">
        <f t="shared" si="19"/>
        <v>2175.8398425407131</v>
      </c>
      <c r="G202" s="75">
        <f t="shared" si="20"/>
        <v>228.54116298170089</v>
      </c>
      <c r="H202" s="68">
        <f t="shared" si="21"/>
        <v>6.5297475137628833E-2</v>
      </c>
      <c r="I202" s="56"/>
    </row>
    <row r="203" spans="1:9" x14ac:dyDescent="0.25">
      <c r="A203" s="65">
        <v>43084</v>
      </c>
      <c r="B203" s="66">
        <f t="shared" si="22"/>
        <v>201</v>
      </c>
      <c r="C203" s="67">
        <f t="shared" si="23"/>
        <v>167.30699810491723</v>
      </c>
      <c r="D203" s="67">
        <v>160</v>
      </c>
      <c r="E203" s="75">
        <f t="shared" si="18"/>
        <v>7.306998104917227</v>
      </c>
      <c r="F203" s="67">
        <f t="shared" si="19"/>
        <v>2174.990975363924</v>
      </c>
      <c r="G203" s="75">
        <f t="shared" si="20"/>
        <v>226.51694125243404</v>
      </c>
      <c r="H203" s="68">
        <f t="shared" si="21"/>
        <v>6.4719126072124017E-2</v>
      </c>
      <c r="I203" s="56"/>
    </row>
    <row r="204" spans="1:9" x14ac:dyDescent="0.25">
      <c r="A204" s="65">
        <v>43084</v>
      </c>
      <c r="B204" s="66">
        <f t="shared" si="22"/>
        <v>202</v>
      </c>
      <c r="C204" s="67">
        <f t="shared" si="23"/>
        <v>167.24227897884509</v>
      </c>
      <c r="D204" s="67">
        <v>160</v>
      </c>
      <c r="E204" s="75">
        <f t="shared" si="18"/>
        <v>7.2422789788450928</v>
      </c>
      <c r="F204" s="67">
        <f t="shared" si="19"/>
        <v>2174.1496267249863</v>
      </c>
      <c r="G204" s="75">
        <f t="shared" si="20"/>
        <v>224.51064834419788</v>
      </c>
      <c r="H204" s="68">
        <f t="shared" si="21"/>
        <v>6.4145899526913686E-2</v>
      </c>
      <c r="I204" s="56"/>
    </row>
    <row r="205" spans="1:9" x14ac:dyDescent="0.25">
      <c r="A205" s="65">
        <v>43084</v>
      </c>
      <c r="B205" s="66">
        <f t="shared" si="22"/>
        <v>203</v>
      </c>
      <c r="C205" s="67">
        <f t="shared" si="23"/>
        <v>167.17813307931817</v>
      </c>
      <c r="D205" s="67">
        <v>160</v>
      </c>
      <c r="E205" s="75">
        <f t="shared" si="18"/>
        <v>7.1781330793181723</v>
      </c>
      <c r="F205" s="67">
        <f t="shared" si="19"/>
        <v>2173.3157300311364</v>
      </c>
      <c r="G205" s="75">
        <f t="shared" si="20"/>
        <v>222.52212545886334</v>
      </c>
      <c r="H205" s="68">
        <f t="shared" si="21"/>
        <v>6.3577750131103811E-2</v>
      </c>
      <c r="I205" s="56"/>
    </row>
    <row r="206" spans="1:9" x14ac:dyDescent="0.25">
      <c r="A206" s="65">
        <v>43084</v>
      </c>
      <c r="B206" s="66">
        <f t="shared" si="22"/>
        <v>204</v>
      </c>
      <c r="C206" s="67">
        <f t="shared" si="23"/>
        <v>167.11455532918706</v>
      </c>
      <c r="D206" s="67">
        <v>160</v>
      </c>
      <c r="E206" s="75">
        <f t="shared" si="18"/>
        <v>7.1145553291870556</v>
      </c>
      <c r="F206" s="67">
        <f t="shared" si="19"/>
        <v>2172.4892192794318</v>
      </c>
      <c r="G206" s="75">
        <f t="shared" si="20"/>
        <v>220.55121520479872</v>
      </c>
      <c r="H206" s="68">
        <f t="shared" si="21"/>
        <v>6.3014632915656774E-2</v>
      </c>
      <c r="I206" s="56"/>
    </row>
    <row r="207" spans="1:9" x14ac:dyDescent="0.25">
      <c r="A207" s="65">
        <v>43084</v>
      </c>
      <c r="B207" s="66">
        <f t="shared" si="22"/>
        <v>205</v>
      </c>
      <c r="C207" s="67">
        <f t="shared" si="23"/>
        <v>167.05154069627139</v>
      </c>
      <c r="D207" s="67">
        <v>160</v>
      </c>
      <c r="E207" s="75">
        <f t="shared" si="18"/>
        <v>7.0515406962713882</v>
      </c>
      <c r="F207" s="67">
        <f t="shared" si="19"/>
        <v>2171.6700290515282</v>
      </c>
      <c r="G207" s="75">
        <f t="shared" si="20"/>
        <v>218.59776158441304</v>
      </c>
      <c r="H207" s="68">
        <f t="shared" si="21"/>
        <v>6.2456503309832295E-2</v>
      </c>
      <c r="I207" s="56"/>
    </row>
    <row r="208" spans="1:9" x14ac:dyDescent="0.25">
      <c r="A208" s="65">
        <v>43084</v>
      </c>
      <c r="B208" s="66">
        <f t="shared" si="22"/>
        <v>206</v>
      </c>
      <c r="C208" s="67">
        <f t="shared" si="23"/>
        <v>166.98908419296154</v>
      </c>
      <c r="D208" s="67">
        <v>160</v>
      </c>
      <c r="E208" s="75">
        <f t="shared" si="18"/>
        <v>6.9890841929615419</v>
      </c>
      <c r="F208" s="67">
        <f t="shared" si="19"/>
        <v>2170.8580945085</v>
      </c>
      <c r="G208" s="75">
        <f t="shared" si="20"/>
        <v>216.6616099818078</v>
      </c>
      <c r="H208" s="68">
        <f t="shared" si="21"/>
        <v>6.1903317137659369E-2</v>
      </c>
      <c r="I208" s="56"/>
    </row>
    <row r="209" spans="1:9" x14ac:dyDescent="0.25">
      <c r="A209" s="65">
        <v>43084</v>
      </c>
      <c r="B209" s="66">
        <f t="shared" si="22"/>
        <v>207</v>
      </c>
      <c r="C209" s="67">
        <f t="shared" si="23"/>
        <v>166.92718087582389</v>
      </c>
      <c r="D209" s="67">
        <v>160</v>
      </c>
      <c r="E209" s="75">
        <f t="shared" si="18"/>
        <v>6.9271808758238933</v>
      </c>
      <c r="F209" s="67">
        <f t="shared" si="19"/>
        <v>2170.0533513857108</v>
      </c>
      <c r="G209" s="75">
        <f t="shared" si="20"/>
        <v>214.74260715054069</v>
      </c>
      <c r="H209" s="68">
        <f t="shared" si="21"/>
        <v>6.1355030614440198E-2</v>
      </c>
      <c r="I209" s="56"/>
    </row>
    <row r="210" spans="1:9" x14ac:dyDescent="0.25">
      <c r="A210" s="65">
        <v>43084</v>
      </c>
      <c r="B210" s="66">
        <f t="shared" si="22"/>
        <v>208</v>
      </c>
      <c r="C210" s="67">
        <f t="shared" si="23"/>
        <v>166.86582584520946</v>
      </c>
      <c r="D210" s="67">
        <v>160</v>
      </c>
      <c r="E210" s="75">
        <f t="shared" si="18"/>
        <v>6.8658258452094572</v>
      </c>
      <c r="F210" s="67">
        <f t="shared" si="19"/>
        <v>2169.2557359877228</v>
      </c>
      <c r="G210" s="75">
        <f t="shared" si="20"/>
        <v>212.84060120149317</v>
      </c>
      <c r="H210" s="68">
        <f t="shared" si="21"/>
        <v>6.0811600343283763E-2</v>
      </c>
      <c r="I210" s="56"/>
    </row>
    <row r="211" spans="1:9" x14ac:dyDescent="0.25">
      <c r="A211" s="65">
        <v>43084</v>
      </c>
      <c r="B211" s="66">
        <f t="shared" si="22"/>
        <v>209</v>
      </c>
      <c r="C211" s="67">
        <f t="shared" si="23"/>
        <v>166.80501424486619</v>
      </c>
      <c r="D211" s="67">
        <v>160</v>
      </c>
      <c r="E211" s="75">
        <f t="shared" si="18"/>
        <v>6.8050142448661859</v>
      </c>
      <c r="F211" s="67">
        <f t="shared" si="19"/>
        <v>2168.4651851832605</v>
      </c>
      <c r="G211" s="75">
        <f t="shared" si="20"/>
        <v>210.95544159085176</v>
      </c>
      <c r="H211" s="68">
        <f t="shared" si="21"/>
        <v>6.0272983311671934E-2</v>
      </c>
      <c r="I211" s="56"/>
    </row>
    <row r="212" spans="1:9" x14ac:dyDescent="0.25">
      <c r="A212" s="65">
        <v>43084</v>
      </c>
      <c r="B212" s="66">
        <f t="shared" si="22"/>
        <v>210</v>
      </c>
      <c r="C212" s="67">
        <f t="shared" si="23"/>
        <v>166.74474126155451</v>
      </c>
      <c r="D212" s="67">
        <v>160</v>
      </c>
      <c r="E212" s="75">
        <f t="shared" si="18"/>
        <v>6.744741261554509</v>
      </c>
      <c r="F212" s="67">
        <f t="shared" si="19"/>
        <v>2167.6816364002088</v>
      </c>
      <c r="G212" s="75">
        <f t="shared" si="20"/>
        <v>209.08697910818978</v>
      </c>
      <c r="H212" s="68">
        <f t="shared" si="21"/>
        <v>5.9739136888054226E-2</v>
      </c>
      <c r="I212" s="56"/>
    </row>
    <row r="213" spans="1:9" x14ac:dyDescent="0.25">
      <c r="A213" s="65">
        <v>43084</v>
      </c>
      <c r="B213" s="66">
        <f t="shared" si="22"/>
        <v>211</v>
      </c>
      <c r="C213" s="67">
        <f t="shared" si="23"/>
        <v>166.68500212466645</v>
      </c>
      <c r="D213" s="67">
        <v>160</v>
      </c>
      <c r="E213" s="75">
        <f t="shared" si="18"/>
        <v>6.6850021246664539</v>
      </c>
      <c r="F213" s="67">
        <f t="shared" si="19"/>
        <v>2166.905027620664</v>
      </c>
      <c r="G213" s="75">
        <f t="shared" si="20"/>
        <v>207.23506586466007</v>
      </c>
      <c r="H213" s="68">
        <f t="shared" si="21"/>
        <v>5.9210018818474305E-2</v>
      </c>
      <c r="I213" s="56"/>
    </row>
    <row r="214" spans="1:9" x14ac:dyDescent="0.25">
      <c r="A214" s="65">
        <v>43084</v>
      </c>
      <c r="B214" s="66">
        <f t="shared" si="22"/>
        <v>212</v>
      </c>
      <c r="C214" s="67">
        <f t="shared" si="23"/>
        <v>166.62579210584798</v>
      </c>
      <c r="D214" s="67">
        <v>160</v>
      </c>
      <c r="E214" s="75">
        <f t="shared" si="18"/>
        <v>6.6257921058479781</v>
      </c>
      <c r="F214" s="67">
        <f t="shared" si="19"/>
        <v>2166.1352973760236</v>
      </c>
      <c r="G214" s="75">
        <f t="shared" si="20"/>
        <v>205.39955528128732</v>
      </c>
      <c r="H214" s="68">
        <f t="shared" si="21"/>
        <v>5.868558722322495E-2</v>
      </c>
      <c r="I214" s="56"/>
    </row>
    <row r="215" spans="1:9" x14ac:dyDescent="0.25">
      <c r="A215" s="65">
        <v>43084</v>
      </c>
      <c r="B215" s="66">
        <f t="shared" si="22"/>
        <v>213</v>
      </c>
      <c r="C215" s="67">
        <f t="shared" si="23"/>
        <v>166.56710651862474</v>
      </c>
      <c r="D215" s="67">
        <v>160</v>
      </c>
      <c r="E215" s="75">
        <f t="shared" si="18"/>
        <v>6.5671065186247404</v>
      </c>
      <c r="F215" s="67">
        <f t="shared" si="19"/>
        <v>2165.3723847421215</v>
      </c>
      <c r="G215" s="75">
        <f t="shared" si="20"/>
        <v>203.58030207736695</v>
      </c>
      <c r="H215" s="68">
        <f t="shared" si="21"/>
        <v>5.8165800593533414E-2</v>
      </c>
      <c r="I215" s="56"/>
    </row>
    <row r="216" spans="1:9" x14ac:dyDescent="0.25">
      <c r="A216" s="65">
        <v>43084</v>
      </c>
      <c r="B216" s="66">
        <f t="shared" si="22"/>
        <v>214</v>
      </c>
      <c r="C216" s="67">
        <f t="shared" si="23"/>
        <v>166.5089407180312</v>
      </c>
      <c r="D216" s="67">
        <v>160</v>
      </c>
      <c r="E216" s="75">
        <f t="shared" si="18"/>
        <v>6.508940718031198</v>
      </c>
      <c r="F216" s="67">
        <f t="shared" si="19"/>
        <v>2164.6162293344055</v>
      </c>
      <c r="G216" s="75">
        <f t="shared" si="20"/>
        <v>201.77716225896714</v>
      </c>
      <c r="H216" s="68">
        <f t="shared" si="21"/>
        <v>5.7650617788276327E-2</v>
      </c>
      <c r="I216" s="56"/>
    </row>
    <row r="217" spans="1:9" x14ac:dyDescent="0.25">
      <c r="A217" s="65">
        <v>43084</v>
      </c>
      <c r="B217" s="66">
        <f t="shared" si="22"/>
        <v>215</v>
      </c>
      <c r="C217" s="67">
        <f t="shared" si="23"/>
        <v>166.45129010024291</v>
      </c>
      <c r="D217" s="67">
        <v>160</v>
      </c>
      <c r="E217" s="75">
        <f t="shared" si="18"/>
        <v>6.4512901002429146</v>
      </c>
      <c r="F217" s="67">
        <f t="shared" si="19"/>
        <v>2163.8667713031577</v>
      </c>
      <c r="G217" s="75">
        <f t="shared" si="20"/>
        <v>199.98999310753035</v>
      </c>
      <c r="H217" s="68">
        <f t="shared" si="21"/>
        <v>5.7139998030722956E-2</v>
      </c>
      <c r="I217" s="56"/>
    </row>
    <row r="218" spans="1:9" x14ac:dyDescent="0.25">
      <c r="A218" s="65">
        <v>43084</v>
      </c>
      <c r="B218" s="66">
        <f t="shared" si="22"/>
        <v>216</v>
      </c>
      <c r="C218" s="67">
        <f t="shared" si="23"/>
        <v>166.39415010221219</v>
      </c>
      <c r="D218" s="67">
        <v>160</v>
      </c>
      <c r="E218" s="75">
        <f t="shared" si="18"/>
        <v>6.394150102212194</v>
      </c>
      <c r="F218" s="67">
        <f t="shared" si="19"/>
        <v>2163.1239513287587</v>
      </c>
      <c r="G218" s="75">
        <f t="shared" si="20"/>
        <v>198.21865316857802</v>
      </c>
      <c r="H218" s="68">
        <f t="shared" si="21"/>
        <v>5.6633900905308003E-2</v>
      </c>
      <c r="I218" s="56"/>
    </row>
    <row r="219" spans="1:9" x14ac:dyDescent="0.25">
      <c r="A219" s="65">
        <v>43084</v>
      </c>
      <c r="B219" s="66">
        <f t="shared" si="22"/>
        <v>217</v>
      </c>
      <c r="C219" s="67">
        <f t="shared" si="23"/>
        <v>166.3375162013069</v>
      </c>
      <c r="D219" s="67">
        <v>160</v>
      </c>
      <c r="E219" s="75">
        <f t="shared" si="18"/>
        <v>6.3375162013068973</v>
      </c>
      <c r="F219" s="67">
        <f t="shared" si="19"/>
        <v>2162.3877106169898</v>
      </c>
      <c r="G219" s="75">
        <f t="shared" si="20"/>
        <v>196.46300224051382</v>
      </c>
      <c r="H219" s="68">
        <f t="shared" si="21"/>
        <v>5.6132286354432522E-2</v>
      </c>
      <c r="I219" s="56"/>
    </row>
    <row r="220" spans="1:9" x14ac:dyDescent="0.25">
      <c r="A220" s="65">
        <v>43084</v>
      </c>
      <c r="B220" s="66">
        <f t="shared" si="22"/>
        <v>218</v>
      </c>
      <c r="C220" s="67">
        <f t="shared" si="23"/>
        <v>166.28138391495247</v>
      </c>
      <c r="D220" s="67">
        <v>160</v>
      </c>
      <c r="E220" s="75">
        <f t="shared" si="18"/>
        <v>6.2813839149524711</v>
      </c>
      <c r="F220" s="67">
        <f t="shared" si="19"/>
        <v>2161.6579908943822</v>
      </c>
      <c r="G220" s="75">
        <f t="shared" si="20"/>
        <v>194.7229013635266</v>
      </c>
      <c r="H220" s="68">
        <f t="shared" si="21"/>
        <v>5.5635114675293314E-2</v>
      </c>
      <c r="I220" s="56"/>
    </row>
    <row r="221" spans="1:9" x14ac:dyDescent="0.25">
      <c r="A221" s="65">
        <v>43084</v>
      </c>
      <c r="B221" s="66">
        <f t="shared" si="22"/>
        <v>219</v>
      </c>
      <c r="C221" s="67">
        <f t="shared" si="23"/>
        <v>166.22574880027719</v>
      </c>
      <c r="D221" s="67">
        <v>160</v>
      </c>
      <c r="E221" s="75">
        <f t="shared" si="18"/>
        <v>6.2257488002771879</v>
      </c>
      <c r="F221" s="67">
        <f t="shared" si="19"/>
        <v>2160.9347344036032</v>
      </c>
      <c r="G221" s="75">
        <f t="shared" si="20"/>
        <v>192.99821280859283</v>
      </c>
      <c r="H221" s="68">
        <f t="shared" si="21"/>
        <v>5.5142346516740805E-2</v>
      </c>
      <c r="I221" s="56"/>
    </row>
    <row r="222" spans="1:9" x14ac:dyDescent="0.25">
      <c r="A222" s="65">
        <v>43084</v>
      </c>
      <c r="B222" s="66">
        <f t="shared" si="22"/>
        <v>220</v>
      </c>
      <c r="C222" s="67">
        <f t="shared" si="23"/>
        <v>166.17060645376046</v>
      </c>
      <c r="D222" s="67">
        <v>160</v>
      </c>
      <c r="E222" s="75">
        <f t="shared" si="18"/>
        <v>6.1706064537604561</v>
      </c>
      <c r="F222" s="67">
        <f t="shared" si="19"/>
        <v>2160.2178838988857</v>
      </c>
      <c r="G222" s="75">
        <f t="shared" si="20"/>
        <v>191.28880006657414</v>
      </c>
      <c r="H222" s="68">
        <f t="shared" si="21"/>
        <v>5.4653942876164041E-2</v>
      </c>
      <c r="I222" s="56"/>
    </row>
    <row r="223" spans="1:9" x14ac:dyDescent="0.25">
      <c r="A223" s="65">
        <v>43084</v>
      </c>
      <c r="B223" s="66">
        <f t="shared" si="22"/>
        <v>221</v>
      </c>
      <c r="C223" s="67">
        <f t="shared" si="23"/>
        <v>166.11595251088428</v>
      </c>
      <c r="D223" s="67">
        <v>160</v>
      </c>
      <c r="E223" s="75">
        <f t="shared" si="18"/>
        <v>6.1159525108842843</v>
      </c>
      <c r="F223" s="67">
        <f t="shared" si="19"/>
        <v>2159.5073826414955</v>
      </c>
      <c r="G223" s="75">
        <f t="shared" si="20"/>
        <v>189.59452783741281</v>
      </c>
      <c r="H223" s="68">
        <f t="shared" si="21"/>
        <v>5.416986509640366E-2</v>
      </c>
      <c r="I223" s="56"/>
    </row>
    <row r="224" spans="1:9" x14ac:dyDescent="0.25">
      <c r="A224" s="65">
        <v>43084</v>
      </c>
      <c r="B224" s="66">
        <f t="shared" si="22"/>
        <v>222</v>
      </c>
      <c r="C224" s="67">
        <f t="shared" si="23"/>
        <v>166.06178264578787</v>
      </c>
      <c r="D224" s="67">
        <v>160</v>
      </c>
      <c r="E224" s="75">
        <f t="shared" si="18"/>
        <v>6.0617826457878721</v>
      </c>
      <c r="F224" s="67">
        <f t="shared" si="19"/>
        <v>2158.8031743952424</v>
      </c>
      <c r="G224" s="75">
        <f t="shared" si="20"/>
        <v>187.91526201942403</v>
      </c>
      <c r="H224" s="68">
        <f t="shared" si="21"/>
        <v>5.3690074862692581E-2</v>
      </c>
      <c r="I224" s="56"/>
    </row>
    <row r="225" spans="1:9" x14ac:dyDescent="0.25">
      <c r="A225" s="65">
        <v>43084</v>
      </c>
      <c r="B225" s="66">
        <f t="shared" si="22"/>
        <v>223</v>
      </c>
      <c r="C225" s="67">
        <f t="shared" si="23"/>
        <v>166.00809257092519</v>
      </c>
      <c r="D225" s="67">
        <v>160</v>
      </c>
      <c r="E225" s="75">
        <f t="shared" si="18"/>
        <v>6.0080925709251858</v>
      </c>
      <c r="F225" s="67">
        <f t="shared" si="19"/>
        <v>2158.1052034220274</v>
      </c>
      <c r="G225" s="75">
        <f t="shared" si="20"/>
        <v>186.25086969868076</v>
      </c>
      <c r="H225" s="68">
        <f t="shared" si="21"/>
        <v>5.3214534199623076E-2</v>
      </c>
      <c r="I225" s="56"/>
    </row>
    <row r="226" spans="1:9" x14ac:dyDescent="0.25">
      <c r="A226" s="65">
        <v>43084</v>
      </c>
      <c r="B226" s="66">
        <f t="shared" si="22"/>
        <v>224</v>
      </c>
      <c r="C226" s="67">
        <f t="shared" si="23"/>
        <v>165.95487803672557</v>
      </c>
      <c r="D226" s="67">
        <v>160</v>
      </c>
      <c r="E226" s="75">
        <f t="shared" si="18"/>
        <v>5.9548780367255745</v>
      </c>
      <c r="F226" s="67">
        <f t="shared" si="19"/>
        <v>2157.4134144774325</v>
      </c>
      <c r="G226" s="75">
        <f t="shared" si="20"/>
        <v>184.60121913849281</v>
      </c>
      <c r="H226" s="68">
        <f t="shared" si="21"/>
        <v>5.2743205468140805E-2</v>
      </c>
      <c r="I226" s="56"/>
    </row>
    <row r="227" spans="1:9" x14ac:dyDescent="0.25">
      <c r="A227" s="65">
        <v>43084</v>
      </c>
      <c r="B227" s="66">
        <f t="shared" si="22"/>
        <v>225</v>
      </c>
      <c r="C227" s="67">
        <f t="shared" si="23"/>
        <v>165.90213483125743</v>
      </c>
      <c r="D227" s="67">
        <v>160</v>
      </c>
      <c r="E227" s="75">
        <f t="shared" si="18"/>
        <v>5.9021348312574275</v>
      </c>
      <c r="F227" s="67">
        <f t="shared" si="19"/>
        <v>2156.7277528063464</v>
      </c>
      <c r="G227" s="75">
        <f t="shared" si="20"/>
        <v>182.96617976898025</v>
      </c>
      <c r="H227" s="68">
        <f t="shared" si="21"/>
        <v>5.2276051362565787E-2</v>
      </c>
      <c r="I227" s="56"/>
    </row>
    <row r="228" spans="1:9" x14ac:dyDescent="0.25">
      <c r="A228" s="65">
        <v>43084</v>
      </c>
      <c r="B228" s="66">
        <f t="shared" si="22"/>
        <v>226</v>
      </c>
      <c r="C228" s="67">
        <f t="shared" si="23"/>
        <v>165.84985877989487</v>
      </c>
      <c r="D228" s="67">
        <v>160</v>
      </c>
      <c r="E228" s="75">
        <f t="shared" si="18"/>
        <v>5.8498587798948734</v>
      </c>
      <c r="F228" s="67">
        <f t="shared" si="19"/>
        <v>2156.0481641386332</v>
      </c>
      <c r="G228" s="75">
        <f t="shared" si="20"/>
        <v>181.34562217674107</v>
      </c>
      <c r="H228" s="68">
        <f t="shared" si="21"/>
        <v>5.1813034907640304E-2</v>
      </c>
      <c r="I228" s="56"/>
    </row>
    <row r="229" spans="1:9" x14ac:dyDescent="0.25">
      <c r="A229" s="65">
        <v>43084</v>
      </c>
      <c r="B229" s="66">
        <f t="shared" si="22"/>
        <v>227</v>
      </c>
      <c r="C229" s="67">
        <f t="shared" si="23"/>
        <v>165.79804574498723</v>
      </c>
      <c r="D229" s="67">
        <v>160</v>
      </c>
      <c r="E229" s="75">
        <f t="shared" si="18"/>
        <v>5.7980457449872347</v>
      </c>
      <c r="F229" s="67">
        <f t="shared" si="19"/>
        <v>2155.3745946848339</v>
      </c>
      <c r="G229" s="75">
        <f t="shared" si="20"/>
        <v>179.73941809460428</v>
      </c>
      <c r="H229" s="68">
        <f t="shared" si="21"/>
        <v>5.135411945560122E-2</v>
      </c>
      <c r="I229" s="56"/>
    </row>
    <row r="230" spans="1:9" x14ac:dyDescent="0.25">
      <c r="A230" s="65">
        <v>43084</v>
      </c>
      <c r="B230" s="66">
        <f t="shared" si="22"/>
        <v>228</v>
      </c>
      <c r="C230" s="67">
        <f t="shared" si="23"/>
        <v>165.74669162553164</v>
      </c>
      <c r="D230" s="67">
        <v>160</v>
      </c>
      <c r="E230" s="75">
        <f t="shared" si="18"/>
        <v>5.7466916255316391</v>
      </c>
      <c r="F230" s="67">
        <f t="shared" si="19"/>
        <v>2154.7069911319113</v>
      </c>
      <c r="G230" s="75">
        <f t="shared" si="20"/>
        <v>178.14744039148081</v>
      </c>
      <c r="H230" s="68">
        <f t="shared" si="21"/>
        <v>5.0899268683280235E-2</v>
      </c>
      <c r="I230" s="56"/>
    </row>
    <row r="231" spans="1:9" x14ac:dyDescent="0.25">
      <c r="A231" s="65">
        <v>43084</v>
      </c>
      <c r="B231" s="66">
        <f t="shared" si="22"/>
        <v>229</v>
      </c>
      <c r="C231" s="67">
        <f t="shared" si="23"/>
        <v>165.69579235684836</v>
      </c>
      <c r="D231" s="67">
        <v>160</v>
      </c>
      <c r="E231" s="75">
        <f t="shared" si="18"/>
        <v>5.6957923568483579</v>
      </c>
      <c r="F231" s="67">
        <f t="shared" si="19"/>
        <v>2154.0453006390285</v>
      </c>
      <c r="G231" s="75">
        <f t="shared" si="20"/>
        <v>176.5695630622991</v>
      </c>
      <c r="H231" s="68">
        <f t="shared" si="21"/>
        <v>5.0448446589228313E-2</v>
      </c>
      <c r="I231" s="56"/>
    </row>
    <row r="232" spans="1:9" x14ac:dyDescent="0.25">
      <c r="A232" s="65">
        <v>43084</v>
      </c>
      <c r="B232" s="66">
        <f t="shared" si="22"/>
        <v>230</v>
      </c>
      <c r="C232" s="67">
        <f t="shared" si="23"/>
        <v>165.64534391025913</v>
      </c>
      <c r="D232" s="67">
        <v>160</v>
      </c>
      <c r="E232" s="75">
        <f t="shared" si="18"/>
        <v>5.645343910259129</v>
      </c>
      <c r="F232" s="67">
        <f t="shared" si="19"/>
        <v>2153.3894708333687</v>
      </c>
      <c r="G232" s="75">
        <f t="shared" si="20"/>
        <v>175.005661218033</v>
      </c>
      <c r="H232" s="68">
        <f t="shared" si="21"/>
        <v>5.0001617490866568E-2</v>
      </c>
      <c r="I232" s="56"/>
    </row>
    <row r="233" spans="1:9" x14ac:dyDescent="0.25">
      <c r="A233" s="65">
        <v>43084</v>
      </c>
      <c r="B233" s="66">
        <f t="shared" si="22"/>
        <v>231</v>
      </c>
      <c r="C233" s="67">
        <f t="shared" si="23"/>
        <v>165.59534229276827</v>
      </c>
      <c r="D233" s="67">
        <v>160</v>
      </c>
      <c r="E233" s="75">
        <f t="shared" si="18"/>
        <v>5.5953422927682652</v>
      </c>
      <c r="F233" s="67">
        <f t="shared" si="19"/>
        <v>2152.7394498059875</v>
      </c>
      <c r="G233" s="75">
        <f t="shared" si="20"/>
        <v>173.45561107581622</v>
      </c>
      <c r="H233" s="68">
        <f t="shared" si="21"/>
        <v>4.9558746021661777E-2</v>
      </c>
      <c r="I233" s="56"/>
    </row>
    <row r="234" spans="1:9" x14ac:dyDescent="0.25">
      <c r="A234" s="65">
        <v>43084</v>
      </c>
      <c r="B234" s="66">
        <f t="shared" si="22"/>
        <v>232</v>
      </c>
      <c r="C234" s="67">
        <f t="shared" si="23"/>
        <v>165.54578354674661</v>
      </c>
      <c r="D234" s="67">
        <v>160</v>
      </c>
      <c r="E234" s="75">
        <f t="shared" si="18"/>
        <v>5.5457835467466055</v>
      </c>
      <c r="F234" s="67">
        <f t="shared" si="19"/>
        <v>2152.095186107706</v>
      </c>
      <c r="G234" s="75">
        <f t="shared" si="20"/>
        <v>171.91928994914477</v>
      </c>
      <c r="H234" s="68">
        <f t="shared" si="21"/>
        <v>4.9119797128327078E-2</v>
      </c>
      <c r="I234" s="56"/>
    </row>
    <row r="235" spans="1:9" x14ac:dyDescent="0.25">
      <c r="A235" s="65">
        <v>43084</v>
      </c>
      <c r="B235" s="66">
        <f t="shared" si="22"/>
        <v>233</v>
      </c>
      <c r="C235" s="67">
        <f t="shared" si="23"/>
        <v>165.49666374961828</v>
      </c>
      <c r="D235" s="67">
        <v>160</v>
      </c>
      <c r="E235" s="75">
        <f t="shared" si="18"/>
        <v>5.4966637496182784</v>
      </c>
      <c r="F235" s="67">
        <f t="shared" si="19"/>
        <v>2151.4566287450375</v>
      </c>
      <c r="G235" s="75">
        <f t="shared" si="20"/>
        <v>170.39657623816663</v>
      </c>
      <c r="H235" s="68">
        <f t="shared" si="21"/>
        <v>4.8684736068047609E-2</v>
      </c>
      <c r="I235" s="56"/>
    </row>
    <row r="236" spans="1:9" x14ac:dyDescent="0.25">
      <c r="A236" s="65">
        <v>43084</v>
      </c>
      <c r="B236" s="66">
        <f t="shared" si="22"/>
        <v>234</v>
      </c>
      <c r="C236" s="67">
        <f t="shared" si="23"/>
        <v>165.44797901355022</v>
      </c>
      <c r="D236" s="67">
        <v>160</v>
      </c>
      <c r="E236" s="75">
        <f t="shared" si="18"/>
        <v>5.4479790135502242</v>
      </c>
      <c r="F236" s="67">
        <f t="shared" si="19"/>
        <v>2150.8237271761527</v>
      </c>
      <c r="G236" s="75">
        <f t="shared" si="20"/>
        <v>168.88734942005695</v>
      </c>
      <c r="H236" s="68">
        <f t="shared" si="21"/>
        <v>4.8253528405730557E-2</v>
      </c>
      <c r="I236" s="56"/>
    </row>
    <row r="237" spans="1:9" x14ac:dyDescent="0.25">
      <c r="A237" s="65">
        <v>43084</v>
      </c>
      <c r="B237" s="66">
        <f t="shared" si="22"/>
        <v>235</v>
      </c>
      <c r="C237" s="67">
        <f t="shared" si="23"/>
        <v>165.3997254851445</v>
      </c>
      <c r="D237" s="67">
        <v>160</v>
      </c>
      <c r="E237" s="75">
        <f t="shared" si="18"/>
        <v>5.3997254851445007</v>
      </c>
      <c r="F237" s="67">
        <f t="shared" si="19"/>
        <v>2150.1964313068784</v>
      </c>
      <c r="G237" s="75">
        <f t="shared" si="20"/>
        <v>167.39149003947952</v>
      </c>
      <c r="H237" s="68">
        <f t="shared" si="21"/>
        <v>4.7826140011279862E-2</v>
      </c>
      <c r="I237" s="56"/>
    </row>
    <row r="238" spans="1:9" x14ac:dyDescent="0.25">
      <c r="A238" s="65">
        <v>43084</v>
      </c>
      <c r="B238" s="66">
        <f t="shared" si="22"/>
        <v>236</v>
      </c>
      <c r="C238" s="67">
        <f t="shared" si="23"/>
        <v>165.35189934513323</v>
      </c>
      <c r="D238" s="67">
        <v>160</v>
      </c>
      <c r="E238" s="75">
        <f t="shared" si="18"/>
        <v>5.3518993451332335</v>
      </c>
      <c r="F238" s="67">
        <f t="shared" si="19"/>
        <v>2149.5746914867323</v>
      </c>
      <c r="G238" s="75">
        <f t="shared" si="20"/>
        <v>165.90887969913024</v>
      </c>
      <c r="H238" s="68">
        <f t="shared" si="21"/>
        <v>4.7402537056894352E-2</v>
      </c>
      <c r="I238" s="56"/>
    </row>
    <row r="239" spans="1:9" x14ac:dyDescent="0.25">
      <c r="A239" s="65">
        <v>43084</v>
      </c>
      <c r="B239" s="66">
        <f t="shared" si="22"/>
        <v>237</v>
      </c>
      <c r="C239" s="67">
        <f t="shared" si="23"/>
        <v>165.30449680807635</v>
      </c>
      <c r="D239" s="67">
        <v>160</v>
      </c>
      <c r="E239" s="75">
        <f t="shared" si="18"/>
        <v>5.304496808076351</v>
      </c>
      <c r="F239" s="67">
        <f t="shared" si="19"/>
        <v>2148.9584585049924</v>
      </c>
      <c r="G239" s="75">
        <f t="shared" si="20"/>
        <v>164.43940105036688</v>
      </c>
      <c r="H239" s="68">
        <f t="shared" si="21"/>
        <v>4.698268601439054E-2</v>
      </c>
      <c r="I239" s="56"/>
    </row>
    <row r="240" spans="1:9" x14ac:dyDescent="0.25">
      <c r="A240" s="65">
        <v>43084</v>
      </c>
      <c r="B240" s="66">
        <f t="shared" si="22"/>
        <v>238</v>
      </c>
      <c r="C240" s="67">
        <f t="shared" si="23"/>
        <v>165.25751412206196</v>
      </c>
      <c r="D240" s="67">
        <v>160</v>
      </c>
      <c r="E240" s="75">
        <f t="shared" si="18"/>
        <v>5.2575141220619628</v>
      </c>
      <c r="F240" s="67">
        <f t="shared" si="19"/>
        <v>2148.3476835868055</v>
      </c>
      <c r="G240" s="75">
        <f t="shared" si="20"/>
        <v>162.98293778392085</v>
      </c>
      <c r="H240" s="68">
        <f t="shared" si="21"/>
        <v>4.656655365254881E-2</v>
      </c>
      <c r="I240" s="56"/>
    </row>
    <row r="241" spans="1:9" x14ac:dyDescent="0.25">
      <c r="A241" s="65">
        <v>43084</v>
      </c>
      <c r="B241" s="66">
        <f t="shared" si="22"/>
        <v>239</v>
      </c>
      <c r="C241" s="67">
        <f t="shared" si="23"/>
        <v>165.21094756840941</v>
      </c>
      <c r="D241" s="67">
        <v>160</v>
      </c>
      <c r="E241" s="75">
        <f t="shared" si="18"/>
        <v>5.2109475684094093</v>
      </c>
      <c r="F241" s="67">
        <f t="shared" si="19"/>
        <v>2147.7423183893225</v>
      </c>
      <c r="G241" s="75">
        <f t="shared" si="20"/>
        <v>161.53937462069169</v>
      </c>
      <c r="H241" s="68">
        <f t="shared" si="21"/>
        <v>4.615410703448334E-2</v>
      </c>
      <c r="I241" s="56"/>
    </row>
    <row r="242" spans="1:9" x14ac:dyDescent="0.25">
      <c r="A242" s="65">
        <v>43084</v>
      </c>
      <c r="B242" s="66">
        <f t="shared" si="22"/>
        <v>240</v>
      </c>
      <c r="C242" s="67">
        <f t="shared" si="23"/>
        <v>165.16479346137493</v>
      </c>
      <c r="D242" s="67">
        <v>160</v>
      </c>
      <c r="E242" s="75">
        <f t="shared" si="18"/>
        <v>5.1647934613749271</v>
      </c>
      <c r="F242" s="67">
        <f t="shared" si="19"/>
        <v>2147.1423149978741</v>
      </c>
      <c r="G242" s="75">
        <f t="shared" si="20"/>
        <v>160.10859730262274</v>
      </c>
      <c r="H242" s="68">
        <f t="shared" si="21"/>
        <v>4.5745313515035066E-2</v>
      </c>
      <c r="I242" s="56"/>
    </row>
    <row r="243" spans="1:9" x14ac:dyDescent="0.25">
      <c r="A243" s="65">
        <v>43084</v>
      </c>
      <c r="B243" s="66">
        <f t="shared" si="22"/>
        <v>241</v>
      </c>
      <c r="C243" s="67">
        <f t="shared" si="23"/>
        <v>165.1190481478599</v>
      </c>
      <c r="D243" s="67">
        <v>160</v>
      </c>
      <c r="E243" s="75">
        <f t="shared" si="18"/>
        <v>5.1190481478598997</v>
      </c>
      <c r="F243" s="67">
        <f t="shared" si="19"/>
        <v>2146.5476259221787</v>
      </c>
      <c r="G243" s="75">
        <f t="shared" si="20"/>
        <v>158.69049258365689</v>
      </c>
      <c r="H243" s="68">
        <f t="shared" si="21"/>
        <v>4.5340140738187686E-2</v>
      </c>
      <c r="I243" s="56"/>
    </row>
    <row r="244" spans="1:9" x14ac:dyDescent="0.25">
      <c r="A244" s="65">
        <v>43084</v>
      </c>
      <c r="B244" s="66">
        <f t="shared" si="22"/>
        <v>242</v>
      </c>
      <c r="C244" s="67">
        <f t="shared" si="23"/>
        <v>165.07370800712172</v>
      </c>
      <c r="D244" s="67">
        <v>160</v>
      </c>
      <c r="E244" s="75">
        <f t="shared" si="18"/>
        <v>5.0737080071217235</v>
      </c>
      <c r="F244" s="67">
        <f t="shared" si="19"/>
        <v>2145.9582040925825</v>
      </c>
      <c r="G244" s="75">
        <f t="shared" si="20"/>
        <v>157.28494822077343</v>
      </c>
      <c r="H244" s="68">
        <f t="shared" si="21"/>
        <v>4.4938556634506695E-2</v>
      </c>
      <c r="I244" s="56"/>
    </row>
    <row r="245" spans="1:9" x14ac:dyDescent="0.25">
      <c r="A245" s="65">
        <v>43084</v>
      </c>
      <c r="B245" s="66">
        <f t="shared" si="22"/>
        <v>243</v>
      </c>
      <c r="C245" s="67">
        <f t="shared" si="23"/>
        <v>165.0287694504872</v>
      </c>
      <c r="D245" s="67">
        <v>160</v>
      </c>
      <c r="E245" s="75">
        <f t="shared" si="18"/>
        <v>5.0287694504872036</v>
      </c>
      <c r="F245" s="67">
        <f t="shared" si="19"/>
        <v>2145.3740028563338</v>
      </c>
      <c r="G245" s="75">
        <f t="shared" si="20"/>
        <v>155.89185296510331</v>
      </c>
      <c r="H245" s="68">
        <f t="shared" si="21"/>
        <v>4.4540529418600948E-2</v>
      </c>
      <c r="I245" s="56"/>
    </row>
    <row r="246" spans="1:9" x14ac:dyDescent="0.25">
      <c r="A246" s="65">
        <v>43084</v>
      </c>
      <c r="B246" s="66">
        <f t="shared" si="22"/>
        <v>244</v>
      </c>
      <c r="C246" s="67">
        <f t="shared" si="23"/>
        <v>164.98422892106859</v>
      </c>
      <c r="D246" s="67">
        <v>160</v>
      </c>
      <c r="E246" s="75">
        <f t="shared" si="18"/>
        <v>4.9842289210685919</v>
      </c>
      <c r="F246" s="67">
        <f t="shared" si="19"/>
        <v>2144.7949759738917</v>
      </c>
      <c r="G246" s="75">
        <f t="shared" si="20"/>
        <v>154.51109655312635</v>
      </c>
      <c r="H246" s="68">
        <f t="shared" si="21"/>
        <v>4.4146027586607531E-2</v>
      </c>
      <c r="I246" s="56"/>
    </row>
    <row r="247" spans="1:9" x14ac:dyDescent="0.25">
      <c r="A247" s="65">
        <v>43084</v>
      </c>
      <c r="B247" s="66">
        <f t="shared" si="22"/>
        <v>245</v>
      </c>
      <c r="C247" s="67">
        <f t="shared" si="23"/>
        <v>164.94008289348199</v>
      </c>
      <c r="D247" s="67">
        <v>160</v>
      </c>
      <c r="E247" s="75">
        <f t="shared" si="18"/>
        <v>4.9400828934819856</v>
      </c>
      <c r="F247" s="67">
        <f t="shared" si="19"/>
        <v>2144.221077615266</v>
      </c>
      <c r="G247" s="75">
        <f t="shared" si="20"/>
        <v>153.14256969794155</v>
      </c>
      <c r="H247" s="68">
        <f t="shared" si="21"/>
        <v>4.3755019913697589E-2</v>
      </c>
      <c r="I247" s="56"/>
    </row>
    <row r="248" spans="1:9" x14ac:dyDescent="0.25">
      <c r="A248" s="65">
        <v>43084</v>
      </c>
      <c r="B248" s="66">
        <f t="shared" si="22"/>
        <v>246</v>
      </c>
      <c r="C248" s="67">
        <f t="shared" si="23"/>
        <v>164.89632787356828</v>
      </c>
      <c r="D248" s="67">
        <v>160</v>
      </c>
      <c r="E248" s="75">
        <f t="shared" si="18"/>
        <v>4.896327873568282</v>
      </c>
      <c r="F248" s="67">
        <f t="shared" si="19"/>
        <v>2143.6522623563878</v>
      </c>
      <c r="G248" s="75">
        <f t="shared" si="20"/>
        <v>151.78616408061674</v>
      </c>
      <c r="H248" s="68">
        <f t="shared" si="21"/>
        <v>4.3367475451604784E-2</v>
      </c>
      <c r="I248" s="56"/>
    </row>
    <row r="249" spans="1:9" x14ac:dyDescent="0.25">
      <c r="A249" s="65">
        <v>43084</v>
      </c>
      <c r="B249" s="66">
        <f t="shared" si="22"/>
        <v>247</v>
      </c>
      <c r="C249" s="67">
        <f t="shared" si="23"/>
        <v>164.85296039811666</v>
      </c>
      <c r="D249" s="67">
        <v>160</v>
      </c>
      <c r="E249" s="75">
        <f t="shared" si="18"/>
        <v>4.8529603981166645</v>
      </c>
      <c r="F249" s="67">
        <f t="shared" si="19"/>
        <v>2143.0884851755168</v>
      </c>
      <c r="G249" s="75">
        <f t="shared" si="20"/>
        <v>150.4417723416166</v>
      </c>
      <c r="H249" s="68">
        <f t="shared" si="21"/>
        <v>4.2983363526176169E-2</v>
      </c>
      <c r="I249" s="56"/>
    </row>
    <row r="250" spans="1:9" x14ac:dyDescent="0.25">
      <c r="A250" s="65">
        <v>43084</v>
      </c>
      <c r="B250" s="66">
        <f t="shared" si="22"/>
        <v>248</v>
      </c>
      <c r="C250" s="67">
        <f t="shared" si="23"/>
        <v>164.80997703459047</v>
      </c>
      <c r="D250" s="67">
        <v>160</v>
      </c>
      <c r="E250" s="75">
        <f t="shared" si="18"/>
        <v>4.8099770345904744</v>
      </c>
      <c r="F250" s="67">
        <f t="shared" si="19"/>
        <v>2142.5297014496764</v>
      </c>
      <c r="G250" s="75">
        <f t="shared" si="20"/>
        <v>149.10928807230471</v>
      </c>
      <c r="H250" s="68">
        <f t="shared" si="21"/>
        <v>4.26026537349442E-2</v>
      </c>
      <c r="I250" s="56"/>
    </row>
    <row r="251" spans="1:9" x14ac:dyDescent="0.25">
      <c r="A251" s="65">
        <v>43084</v>
      </c>
      <c r="B251" s="66">
        <f t="shared" si="22"/>
        <v>249</v>
      </c>
      <c r="C251" s="67">
        <f t="shared" si="23"/>
        <v>164.76737438085553</v>
      </c>
      <c r="D251" s="67">
        <v>160</v>
      </c>
      <c r="E251" s="75">
        <f t="shared" si="18"/>
        <v>4.7673743808555287</v>
      </c>
      <c r="F251" s="67">
        <f t="shared" si="19"/>
        <v>2141.975866951122</v>
      </c>
      <c r="G251" s="75">
        <f t="shared" si="20"/>
        <v>147.78860580652139</v>
      </c>
      <c r="H251" s="68">
        <f t="shared" si="21"/>
        <v>4.2225315944720399E-2</v>
      </c>
      <c r="I251" s="56"/>
    </row>
    <row r="252" spans="1:9" x14ac:dyDescent="0.25">
      <c r="A252" s="65">
        <v>43084</v>
      </c>
      <c r="B252" s="66">
        <f t="shared" si="22"/>
        <v>250</v>
      </c>
      <c r="C252" s="67">
        <f t="shared" si="23"/>
        <v>164.7251490649108</v>
      </c>
      <c r="D252" s="67">
        <v>160</v>
      </c>
      <c r="E252" s="75">
        <f t="shared" si="18"/>
        <v>4.725149064910795</v>
      </c>
      <c r="F252" s="67">
        <f t="shared" si="19"/>
        <v>2141.4269378438403</v>
      </c>
      <c r="G252" s="75">
        <f t="shared" si="20"/>
        <v>146.47962101223465</v>
      </c>
      <c r="H252" s="68">
        <f t="shared" si="21"/>
        <v>4.1851320289209896E-2</v>
      </c>
      <c r="I252" s="56"/>
    </row>
    <row r="253" spans="1:9" x14ac:dyDescent="0.25">
      <c r="A253" s="65">
        <v>43084</v>
      </c>
      <c r="B253" s="66">
        <f t="shared" si="22"/>
        <v>251</v>
      </c>
      <c r="C253" s="67">
        <f t="shared" si="23"/>
        <v>164.6832977446216</v>
      </c>
      <c r="D253" s="67">
        <v>160</v>
      </c>
      <c r="E253" s="75">
        <f t="shared" si="18"/>
        <v>4.6832977446215978</v>
      </c>
      <c r="F253" s="67">
        <f t="shared" si="19"/>
        <v>2140.8828706800809</v>
      </c>
      <c r="G253" s="75">
        <f t="shared" si="20"/>
        <v>145.18223008326953</v>
      </c>
      <c r="H253" s="68">
        <f t="shared" si="21"/>
        <v>4.1480637166648439E-2</v>
      </c>
      <c r="I253" s="56"/>
    </row>
    <row r="254" spans="1:9" x14ac:dyDescent="0.25">
      <c r="A254" s="65">
        <v>43084</v>
      </c>
      <c r="B254" s="66">
        <f t="shared" si="22"/>
        <v>252</v>
      </c>
      <c r="C254" s="67">
        <f t="shared" si="23"/>
        <v>164.64181710745495</v>
      </c>
      <c r="D254" s="67">
        <v>160</v>
      </c>
      <c r="E254" s="75">
        <f t="shared" si="18"/>
        <v>4.6418171074549548</v>
      </c>
      <c r="F254" s="67">
        <f t="shared" si="19"/>
        <v>2140.3436223969143</v>
      </c>
      <c r="G254" s="75">
        <f t="shared" si="20"/>
        <v>143.8963303311036</v>
      </c>
      <c r="H254" s="68">
        <f t="shared" si="21"/>
        <v>4.1113237237458168E-2</v>
      </c>
      <c r="I254" s="56"/>
    </row>
    <row r="255" spans="1:9" x14ac:dyDescent="0.25">
      <c r="A255" s="65">
        <v>43084</v>
      </c>
      <c r="B255" s="66">
        <f t="shared" si="22"/>
        <v>253</v>
      </c>
      <c r="C255" s="67">
        <f t="shared" si="23"/>
        <v>164.6007038702175</v>
      </c>
      <c r="D255" s="67">
        <v>160</v>
      </c>
      <c r="E255" s="75">
        <f t="shared" si="18"/>
        <v>4.6007038702175009</v>
      </c>
      <c r="F255" s="67">
        <f t="shared" si="19"/>
        <v>2139.8091503128276</v>
      </c>
      <c r="G255" s="75">
        <f t="shared" si="20"/>
        <v>142.62181997674253</v>
      </c>
      <c r="H255" s="68">
        <f t="shared" si="21"/>
        <v>4.0749091421926439E-2</v>
      </c>
      <c r="I255" s="56"/>
    </row>
    <row r="256" spans="1:9" x14ac:dyDescent="0.25">
      <c r="A256" s="65">
        <v>43084</v>
      </c>
      <c r="B256" s="66">
        <f t="shared" si="22"/>
        <v>254</v>
      </c>
      <c r="C256" s="67">
        <f t="shared" si="23"/>
        <v>164.55995477879557</v>
      </c>
      <c r="D256" s="67">
        <v>160</v>
      </c>
      <c r="E256" s="75">
        <f t="shared" si="18"/>
        <v>4.5599547787955714</v>
      </c>
      <c r="F256" s="67">
        <f t="shared" si="19"/>
        <v>2139.2794121243423</v>
      </c>
      <c r="G256" s="75">
        <f t="shared" si="20"/>
        <v>141.35859814266271</v>
      </c>
      <c r="H256" s="68">
        <f t="shared" si="21"/>
        <v>4.0388170897903634E-2</v>
      </c>
      <c r="I256" s="56"/>
    </row>
    <row r="257" spans="1:9" x14ac:dyDescent="0.25">
      <c r="A257" s="65">
        <v>43084</v>
      </c>
      <c r="B257" s="66">
        <f t="shared" si="22"/>
        <v>255</v>
      </c>
      <c r="C257" s="67">
        <f t="shared" si="23"/>
        <v>164.51956660789767</v>
      </c>
      <c r="D257" s="67">
        <v>160</v>
      </c>
      <c r="E257" s="75">
        <f t="shared" si="18"/>
        <v>4.5195666078976728</v>
      </c>
      <c r="F257" s="67">
        <f t="shared" si="19"/>
        <v>2138.7543659026696</v>
      </c>
      <c r="G257" s="75">
        <f t="shared" si="20"/>
        <v>140.10656484482786</v>
      </c>
      <c r="H257" s="68">
        <f t="shared" si="21"/>
        <v>4.0030447098522243E-2</v>
      </c>
      <c r="I257" s="56"/>
    </row>
    <row r="258" spans="1:9" x14ac:dyDescent="0.25">
      <c r="A258" s="65">
        <v>43084</v>
      </c>
      <c r="B258" s="66">
        <f t="shared" si="22"/>
        <v>256</v>
      </c>
      <c r="C258" s="67">
        <f t="shared" si="23"/>
        <v>164.47953616079914</v>
      </c>
      <c r="D258" s="67">
        <v>160</v>
      </c>
      <c r="E258" s="75">
        <f t="shared" si="18"/>
        <v>4.4795361607991424</v>
      </c>
      <c r="F258" s="67">
        <f t="shared" si="19"/>
        <v>2138.233970090389</v>
      </c>
      <c r="G258" s="75">
        <f t="shared" si="20"/>
        <v>138.86562098477341</v>
      </c>
      <c r="H258" s="68">
        <f t="shared" si="21"/>
        <v>3.9675891709935261E-2</v>
      </c>
      <c r="I258" s="56"/>
    </row>
    <row r="259" spans="1:9" x14ac:dyDescent="0.25">
      <c r="A259" s="65">
        <v>43084</v>
      </c>
      <c r="B259" s="66">
        <f t="shared" si="22"/>
        <v>257</v>
      </c>
      <c r="C259" s="67">
        <f t="shared" si="23"/>
        <v>164.43986026908919</v>
      </c>
      <c r="D259" s="67">
        <v>160</v>
      </c>
      <c r="E259" s="75">
        <f t="shared" ref="E259:E322" si="24">C259-D259</f>
        <v>4.4398602690891948</v>
      </c>
      <c r="F259" s="67">
        <f t="shared" ref="F259:F322" si="25">13*C259</f>
        <v>2137.7181834981593</v>
      </c>
      <c r="G259" s="75">
        <f t="shared" ref="G259:G322" si="26">E259*31</f>
        <v>137.63566834176504</v>
      </c>
      <c r="H259" s="68">
        <f t="shared" ref="H259:H322" si="27">MIN($G259/3500,$F259/3500)</f>
        <v>3.9324476669075722E-2</v>
      </c>
      <c r="I259" s="56"/>
    </row>
    <row r="260" spans="1:9" x14ac:dyDescent="0.25">
      <c r="A260" s="65">
        <v>43084</v>
      </c>
      <c r="B260" s="66">
        <f t="shared" ref="B260:B323" si="28">B259+1</f>
        <v>258</v>
      </c>
      <c r="C260" s="67">
        <f t="shared" ref="C260:C323" si="29">C259-H259</f>
        <v>164.40053579242013</v>
      </c>
      <c r="D260" s="67">
        <v>160</v>
      </c>
      <c r="E260" s="75">
        <f t="shared" si="24"/>
        <v>4.4005357924201292</v>
      </c>
      <c r="F260" s="67">
        <f t="shared" si="25"/>
        <v>2137.2069653014619</v>
      </c>
      <c r="G260" s="75">
        <f t="shared" si="26"/>
        <v>136.416609565024</v>
      </c>
      <c r="H260" s="68">
        <f t="shared" si="27"/>
        <v>3.897617416143543E-2</v>
      </c>
      <c r="I260" s="56"/>
    </row>
    <row r="261" spans="1:9" x14ac:dyDescent="0.25">
      <c r="A261" s="65">
        <v>43084</v>
      </c>
      <c r="B261" s="66">
        <f t="shared" si="28"/>
        <v>259</v>
      </c>
      <c r="C261" s="67">
        <f t="shared" si="29"/>
        <v>164.3615596182587</v>
      </c>
      <c r="D261" s="67">
        <v>160</v>
      </c>
      <c r="E261" s="75">
        <f t="shared" si="24"/>
        <v>4.3615596182586955</v>
      </c>
      <c r="F261" s="67">
        <f t="shared" si="25"/>
        <v>2136.7002750373631</v>
      </c>
      <c r="G261" s="75">
        <f t="shared" si="26"/>
        <v>135.20834816601956</v>
      </c>
      <c r="H261" s="68">
        <f t="shared" si="27"/>
        <v>3.8630956618862733E-2</v>
      </c>
      <c r="I261" s="56"/>
    </row>
    <row r="262" spans="1:9" x14ac:dyDescent="0.25">
      <c r="A262" s="65">
        <v>43084</v>
      </c>
      <c r="B262" s="66">
        <f t="shared" si="28"/>
        <v>260</v>
      </c>
      <c r="C262" s="67">
        <f t="shared" si="29"/>
        <v>164.32292866163982</v>
      </c>
      <c r="D262" s="67">
        <v>160</v>
      </c>
      <c r="E262" s="75">
        <f t="shared" si="24"/>
        <v>4.3229286616398213</v>
      </c>
      <c r="F262" s="67">
        <f t="shared" si="25"/>
        <v>2136.1980726013176</v>
      </c>
      <c r="G262" s="75">
        <f t="shared" si="26"/>
        <v>134.01078851083446</v>
      </c>
      <c r="H262" s="68">
        <f t="shared" si="27"/>
        <v>3.8288796717381272E-2</v>
      </c>
      <c r="I262" s="56"/>
    </row>
    <row r="263" spans="1:9" x14ac:dyDescent="0.25">
      <c r="A263" s="65">
        <v>43084</v>
      </c>
      <c r="B263" s="66">
        <f t="shared" si="28"/>
        <v>261</v>
      </c>
      <c r="C263" s="67">
        <f t="shared" si="29"/>
        <v>164.28463986492244</v>
      </c>
      <c r="D263" s="67">
        <v>160</v>
      </c>
      <c r="E263" s="75">
        <f t="shared" si="24"/>
        <v>4.2846398649224398</v>
      </c>
      <c r="F263" s="67">
        <f t="shared" si="25"/>
        <v>2135.7003182439917</v>
      </c>
      <c r="G263" s="75">
        <f t="shared" si="26"/>
        <v>132.82383581259563</v>
      </c>
      <c r="H263" s="68">
        <f t="shared" si="27"/>
        <v>3.7949667375027321E-2</v>
      </c>
      <c r="I263" s="56"/>
    </row>
    <row r="264" spans="1:9" x14ac:dyDescent="0.25">
      <c r="A264" s="65">
        <v>43084</v>
      </c>
      <c r="B264" s="66">
        <f t="shared" si="28"/>
        <v>262</v>
      </c>
      <c r="C264" s="67">
        <f t="shared" si="29"/>
        <v>164.24669019754742</v>
      </c>
      <c r="D264" s="67">
        <v>160</v>
      </c>
      <c r="E264" s="75">
        <f t="shared" si="24"/>
        <v>4.2466901975474229</v>
      </c>
      <c r="F264" s="67">
        <f t="shared" si="25"/>
        <v>2135.2069725681167</v>
      </c>
      <c r="G264" s="75">
        <f t="shared" si="26"/>
        <v>131.64739612397011</v>
      </c>
      <c r="H264" s="68">
        <f t="shared" si="27"/>
        <v>3.7613541749705749E-2</v>
      </c>
      <c r="I264" s="56"/>
    </row>
    <row r="265" spans="1:9" x14ac:dyDescent="0.25">
      <c r="A265" s="65">
        <v>43084</v>
      </c>
      <c r="B265" s="66">
        <f t="shared" si="28"/>
        <v>263</v>
      </c>
      <c r="C265" s="67">
        <f t="shared" si="29"/>
        <v>164.20907665579773</v>
      </c>
      <c r="D265" s="67">
        <v>160</v>
      </c>
      <c r="E265" s="75">
        <f t="shared" si="24"/>
        <v>4.2090766557977304</v>
      </c>
      <c r="F265" s="67">
        <f t="shared" si="25"/>
        <v>2134.7179965253704</v>
      </c>
      <c r="G265" s="75">
        <f t="shared" si="26"/>
        <v>130.48137632972964</v>
      </c>
      <c r="H265" s="68">
        <f t="shared" si="27"/>
        <v>3.7280393237065612E-2</v>
      </c>
      <c r="I265" s="56"/>
    </row>
    <row r="266" spans="1:9" x14ac:dyDescent="0.25">
      <c r="A266" s="65">
        <v>43084</v>
      </c>
      <c r="B266" s="66">
        <f t="shared" si="28"/>
        <v>264</v>
      </c>
      <c r="C266" s="67">
        <f t="shared" si="29"/>
        <v>164.17179626256066</v>
      </c>
      <c r="D266" s="67">
        <v>160</v>
      </c>
      <c r="E266" s="75">
        <f t="shared" si="24"/>
        <v>4.1717962625606617</v>
      </c>
      <c r="F266" s="67">
        <f t="shared" si="25"/>
        <v>2134.2333514132888</v>
      </c>
      <c r="G266" s="75">
        <f t="shared" si="26"/>
        <v>129.32568413938051</v>
      </c>
      <c r="H266" s="68">
        <f t="shared" si="27"/>
        <v>3.6950195468394433E-2</v>
      </c>
      <c r="I266" s="56"/>
    </row>
    <row r="267" spans="1:9" x14ac:dyDescent="0.25">
      <c r="A267" s="65">
        <v>43084</v>
      </c>
      <c r="B267" s="66">
        <f t="shared" si="28"/>
        <v>265</v>
      </c>
      <c r="C267" s="67">
        <f t="shared" si="29"/>
        <v>164.13484606709227</v>
      </c>
      <c r="D267" s="67">
        <v>160</v>
      </c>
      <c r="E267" s="75">
        <f t="shared" si="24"/>
        <v>4.1348460670922691</v>
      </c>
      <c r="F267" s="67">
        <f t="shared" si="25"/>
        <v>2133.7529988721994</v>
      </c>
      <c r="G267" s="75">
        <f t="shared" si="26"/>
        <v>128.18022807986034</v>
      </c>
      <c r="H267" s="68">
        <f t="shared" si="27"/>
        <v>3.6622922308531529E-2</v>
      </c>
      <c r="I267" s="56"/>
    </row>
    <row r="268" spans="1:9" x14ac:dyDescent="0.25">
      <c r="A268" s="65">
        <v>43084</v>
      </c>
      <c r="B268" s="66">
        <f t="shared" si="28"/>
        <v>266</v>
      </c>
      <c r="C268" s="67">
        <f t="shared" si="29"/>
        <v>164.09822314478373</v>
      </c>
      <c r="D268" s="67">
        <v>160</v>
      </c>
      <c r="E268" s="75">
        <f t="shared" si="24"/>
        <v>4.0982231447837307</v>
      </c>
      <c r="F268" s="67">
        <f t="shared" si="25"/>
        <v>2133.2769008821883</v>
      </c>
      <c r="G268" s="75">
        <f t="shared" si="26"/>
        <v>127.04491748829565</v>
      </c>
      <c r="H268" s="68">
        <f t="shared" si="27"/>
        <v>3.6298547853798761E-2</v>
      </c>
      <c r="I268" s="56"/>
    </row>
    <row r="269" spans="1:9" x14ac:dyDescent="0.25">
      <c r="A269" s="65">
        <v>43084</v>
      </c>
      <c r="B269" s="66">
        <f t="shared" si="28"/>
        <v>267</v>
      </c>
      <c r="C269" s="67">
        <f t="shared" si="29"/>
        <v>164.06192459692994</v>
      </c>
      <c r="D269" s="67">
        <v>160</v>
      </c>
      <c r="E269" s="75">
        <f t="shared" si="24"/>
        <v>4.0619245969299413</v>
      </c>
      <c r="F269" s="67">
        <f t="shared" si="25"/>
        <v>2132.8050197600892</v>
      </c>
      <c r="G269" s="75">
        <f t="shared" si="26"/>
        <v>125.91966250482818</v>
      </c>
      <c r="H269" s="68">
        <f t="shared" si="27"/>
        <v>3.5977046429950907E-2</v>
      </c>
      <c r="I269" s="56"/>
    </row>
    <row r="270" spans="1:9" x14ac:dyDescent="0.25">
      <c r="A270" s="65">
        <v>43084</v>
      </c>
      <c r="B270" s="66">
        <f t="shared" si="28"/>
        <v>268</v>
      </c>
      <c r="C270" s="67">
        <f t="shared" si="29"/>
        <v>164.02594755049998</v>
      </c>
      <c r="D270" s="67">
        <v>160</v>
      </c>
      <c r="E270" s="75">
        <f t="shared" si="24"/>
        <v>4.0259475504999784</v>
      </c>
      <c r="F270" s="67">
        <f t="shared" si="25"/>
        <v>2132.3373181564998</v>
      </c>
      <c r="G270" s="75">
        <f t="shared" si="26"/>
        <v>124.80437406549933</v>
      </c>
      <c r="H270" s="68">
        <f t="shared" si="27"/>
        <v>3.5658392590142668E-2</v>
      </c>
      <c r="I270" s="56"/>
    </row>
    <row r="271" spans="1:9" x14ac:dyDescent="0.25">
      <c r="A271" s="65">
        <v>43084</v>
      </c>
      <c r="B271" s="66">
        <f t="shared" si="28"/>
        <v>269</v>
      </c>
      <c r="C271" s="67">
        <f t="shared" si="29"/>
        <v>163.99028915790984</v>
      </c>
      <c r="D271" s="67">
        <v>160</v>
      </c>
      <c r="E271" s="75">
        <f t="shared" si="24"/>
        <v>3.9902891579098423</v>
      </c>
      <c r="F271" s="67">
        <f t="shared" si="25"/>
        <v>2131.8737590528281</v>
      </c>
      <c r="G271" s="75">
        <f t="shared" si="26"/>
        <v>123.69896389520511</v>
      </c>
      <c r="H271" s="68">
        <f t="shared" si="27"/>
        <v>3.5342561112915748E-2</v>
      </c>
      <c r="I271" s="56"/>
    </row>
    <row r="272" spans="1:9" x14ac:dyDescent="0.25">
      <c r="A272" s="65">
        <v>43084</v>
      </c>
      <c r="B272" s="66">
        <f t="shared" si="28"/>
        <v>270</v>
      </c>
      <c r="C272" s="67">
        <f t="shared" si="29"/>
        <v>163.95494659679693</v>
      </c>
      <c r="D272" s="67">
        <v>160</v>
      </c>
      <c r="E272" s="75">
        <f t="shared" si="24"/>
        <v>3.9549465967969297</v>
      </c>
      <c r="F272" s="67">
        <f t="shared" si="25"/>
        <v>2131.4143057583601</v>
      </c>
      <c r="G272" s="75">
        <f t="shared" si="26"/>
        <v>122.60334450070482</v>
      </c>
      <c r="H272" s="68">
        <f t="shared" si="27"/>
        <v>3.5029527000201378E-2</v>
      </c>
      <c r="I272" s="56"/>
    </row>
    <row r="273" spans="1:9" x14ac:dyDescent="0.25">
      <c r="A273" s="65">
        <v>43084</v>
      </c>
      <c r="B273" s="66">
        <f t="shared" si="28"/>
        <v>271</v>
      </c>
      <c r="C273" s="67">
        <f t="shared" si="29"/>
        <v>163.91991706979672</v>
      </c>
      <c r="D273" s="67">
        <v>160</v>
      </c>
      <c r="E273" s="75">
        <f t="shared" si="24"/>
        <v>3.9199170697967247</v>
      </c>
      <c r="F273" s="67">
        <f t="shared" si="25"/>
        <v>2130.9589219073573</v>
      </c>
      <c r="G273" s="75">
        <f t="shared" si="26"/>
        <v>121.51742916369847</v>
      </c>
      <c r="H273" s="68">
        <f t="shared" si="27"/>
        <v>3.4719265475342417E-2</v>
      </c>
      <c r="I273" s="56"/>
    </row>
    <row r="274" spans="1:9" x14ac:dyDescent="0.25">
      <c r="A274" s="65">
        <v>43084</v>
      </c>
      <c r="B274" s="66">
        <f t="shared" si="28"/>
        <v>272</v>
      </c>
      <c r="C274" s="67">
        <f t="shared" si="29"/>
        <v>163.88519780432139</v>
      </c>
      <c r="D274" s="67">
        <v>160</v>
      </c>
      <c r="E274" s="75">
        <f t="shared" si="24"/>
        <v>3.8851978043213933</v>
      </c>
      <c r="F274" s="67">
        <f t="shared" si="25"/>
        <v>2130.5075714561781</v>
      </c>
      <c r="G274" s="75">
        <f t="shared" si="26"/>
        <v>120.44113193396319</v>
      </c>
      <c r="H274" s="68">
        <f t="shared" si="27"/>
        <v>3.4411751981132339E-2</v>
      </c>
      <c r="I274" s="56"/>
    </row>
    <row r="275" spans="1:9" x14ac:dyDescent="0.25">
      <c r="A275" s="65">
        <v>43084</v>
      </c>
      <c r="B275" s="66">
        <f t="shared" si="28"/>
        <v>273</v>
      </c>
      <c r="C275" s="67">
        <f t="shared" si="29"/>
        <v>163.85078605234025</v>
      </c>
      <c r="D275" s="67">
        <v>160</v>
      </c>
      <c r="E275" s="75">
        <f t="shared" si="24"/>
        <v>3.8507860523402542</v>
      </c>
      <c r="F275" s="67">
        <f t="shared" si="25"/>
        <v>2130.0602186804235</v>
      </c>
      <c r="G275" s="75">
        <f t="shared" si="26"/>
        <v>119.37436762254788</v>
      </c>
      <c r="H275" s="68">
        <f t="shared" si="27"/>
        <v>3.410696217787082E-2</v>
      </c>
      <c r="I275" s="56"/>
    </row>
    <row r="276" spans="1:9" x14ac:dyDescent="0.25">
      <c r="A276" s="65">
        <v>43084</v>
      </c>
      <c r="B276" s="66">
        <f t="shared" si="28"/>
        <v>274</v>
      </c>
      <c r="C276" s="67">
        <f t="shared" si="29"/>
        <v>163.81667909016238</v>
      </c>
      <c r="D276" s="67">
        <v>160</v>
      </c>
      <c r="E276" s="75">
        <f t="shared" si="24"/>
        <v>3.8166790901623813</v>
      </c>
      <c r="F276" s="67">
        <f t="shared" si="25"/>
        <v>2129.6168281721111</v>
      </c>
      <c r="G276" s="75">
        <f t="shared" si="26"/>
        <v>118.31705179503382</v>
      </c>
      <c r="H276" s="68">
        <f t="shared" si="27"/>
        <v>3.3804871941438233E-2</v>
      </c>
      <c r="I276" s="56"/>
    </row>
    <row r="277" spans="1:9" x14ac:dyDescent="0.25">
      <c r="A277" s="65">
        <v>43084</v>
      </c>
      <c r="B277" s="66">
        <f t="shared" si="28"/>
        <v>275</v>
      </c>
      <c r="C277" s="67">
        <f t="shared" si="29"/>
        <v>163.78287421822094</v>
      </c>
      <c r="D277" s="67">
        <v>160</v>
      </c>
      <c r="E277" s="75">
        <f t="shared" si="24"/>
        <v>3.7828742182209396</v>
      </c>
      <c r="F277" s="67">
        <f t="shared" si="25"/>
        <v>2129.1773648368721</v>
      </c>
      <c r="G277" s="75">
        <f t="shared" si="26"/>
        <v>117.26910076484913</v>
      </c>
      <c r="H277" s="68">
        <f t="shared" si="27"/>
        <v>3.3505457361385466E-2</v>
      </c>
      <c r="I277" s="56"/>
    </row>
    <row r="278" spans="1:9" x14ac:dyDescent="0.25">
      <c r="A278" s="65">
        <v>43084</v>
      </c>
      <c r="B278" s="66">
        <f t="shared" si="28"/>
        <v>276</v>
      </c>
      <c r="C278" s="67">
        <f t="shared" si="29"/>
        <v>163.74936876085957</v>
      </c>
      <c r="D278" s="67">
        <v>160</v>
      </c>
      <c r="E278" s="75">
        <f t="shared" si="24"/>
        <v>3.7493687608595678</v>
      </c>
      <c r="F278" s="67">
        <f t="shared" si="25"/>
        <v>2128.7417938911744</v>
      </c>
      <c r="G278" s="75">
        <f t="shared" si="26"/>
        <v>116.2304315866466</v>
      </c>
      <c r="H278" s="68">
        <f t="shared" si="27"/>
        <v>3.3208694739041887E-2</v>
      </c>
      <c r="I278" s="56"/>
    </row>
    <row r="279" spans="1:9" x14ac:dyDescent="0.25">
      <c r="A279" s="65">
        <v>43084</v>
      </c>
      <c r="B279" s="66">
        <f t="shared" si="28"/>
        <v>277</v>
      </c>
      <c r="C279" s="67">
        <f t="shared" si="29"/>
        <v>163.71616006612052</v>
      </c>
      <c r="D279" s="67">
        <v>160</v>
      </c>
      <c r="E279" s="75">
        <f t="shared" si="24"/>
        <v>3.7161600661205227</v>
      </c>
      <c r="F279" s="67">
        <f t="shared" si="25"/>
        <v>2128.3100808595668</v>
      </c>
      <c r="G279" s="75">
        <f t="shared" si="26"/>
        <v>115.20096204973621</v>
      </c>
      <c r="H279" s="68">
        <f t="shared" si="27"/>
        <v>3.2914560585638915E-2</v>
      </c>
      <c r="I279" s="56"/>
    </row>
    <row r="280" spans="1:9" x14ac:dyDescent="0.25">
      <c r="A280" s="65">
        <v>43084</v>
      </c>
      <c r="B280" s="66">
        <f t="shared" si="28"/>
        <v>278</v>
      </c>
      <c r="C280" s="67">
        <f t="shared" si="29"/>
        <v>163.68324550553487</v>
      </c>
      <c r="D280" s="67">
        <v>160</v>
      </c>
      <c r="E280" s="75">
        <f t="shared" si="24"/>
        <v>3.6832455055348703</v>
      </c>
      <c r="F280" s="67">
        <f t="shared" si="25"/>
        <v>2127.8821915719532</v>
      </c>
      <c r="G280" s="75">
        <f t="shared" si="26"/>
        <v>114.18061067158098</v>
      </c>
      <c r="H280" s="68">
        <f t="shared" si="27"/>
        <v>3.2623031620451708E-2</v>
      </c>
      <c r="I280" s="56"/>
    </row>
    <row r="281" spans="1:9" x14ac:dyDescent="0.25">
      <c r="A281" s="65">
        <v>43084</v>
      </c>
      <c r="B281" s="66">
        <f t="shared" si="28"/>
        <v>279</v>
      </c>
      <c r="C281" s="67">
        <f t="shared" si="29"/>
        <v>163.65062247391441</v>
      </c>
      <c r="D281" s="67">
        <v>160</v>
      </c>
      <c r="E281" s="75">
        <f t="shared" si="24"/>
        <v>3.6506224739144102</v>
      </c>
      <c r="F281" s="67">
        <f t="shared" si="25"/>
        <v>2127.4580921608872</v>
      </c>
      <c r="G281" s="75">
        <f t="shared" si="26"/>
        <v>113.16929669134672</v>
      </c>
      <c r="H281" s="68">
        <f t="shared" si="27"/>
        <v>3.2334084768956203E-2</v>
      </c>
      <c r="I281" s="56"/>
    </row>
    <row r="282" spans="1:9" x14ac:dyDescent="0.25">
      <c r="A282" s="65">
        <v>43084</v>
      </c>
      <c r="B282" s="66">
        <f t="shared" si="28"/>
        <v>280</v>
      </c>
      <c r="C282" s="67">
        <f t="shared" si="29"/>
        <v>163.61828838914545</v>
      </c>
      <c r="D282" s="67">
        <v>160</v>
      </c>
      <c r="E282" s="75">
        <f t="shared" si="24"/>
        <v>3.618288389145448</v>
      </c>
      <c r="F282" s="67">
        <f t="shared" si="25"/>
        <v>2127.0377490588908</v>
      </c>
      <c r="G282" s="75">
        <f t="shared" si="26"/>
        <v>112.16694006350889</v>
      </c>
      <c r="H282" s="68">
        <f t="shared" si="27"/>
        <v>3.2047697161002538E-2</v>
      </c>
      <c r="I282" s="56"/>
    </row>
    <row r="283" spans="1:9" x14ac:dyDescent="0.25">
      <c r="A283" s="65">
        <v>43084</v>
      </c>
      <c r="B283" s="66">
        <f t="shared" si="28"/>
        <v>281</v>
      </c>
      <c r="C283" s="67">
        <f t="shared" si="29"/>
        <v>163.58624069198444</v>
      </c>
      <c r="D283" s="67">
        <v>160</v>
      </c>
      <c r="E283" s="75">
        <f t="shared" si="24"/>
        <v>3.5862406919844432</v>
      </c>
      <c r="F283" s="67">
        <f t="shared" si="25"/>
        <v>2126.6211289957978</v>
      </c>
      <c r="G283" s="75">
        <f t="shared" si="26"/>
        <v>111.17346145151774</v>
      </c>
      <c r="H283" s="68">
        <f t="shared" si="27"/>
        <v>3.1763846129005069E-2</v>
      </c>
      <c r="I283" s="56"/>
    </row>
    <row r="284" spans="1:9" x14ac:dyDescent="0.25">
      <c r="A284" s="65">
        <v>43084</v>
      </c>
      <c r="B284" s="66">
        <f t="shared" si="28"/>
        <v>282</v>
      </c>
      <c r="C284" s="67">
        <f t="shared" si="29"/>
        <v>163.55447684585545</v>
      </c>
      <c r="D284" s="67">
        <v>160</v>
      </c>
      <c r="E284" s="75">
        <f t="shared" si="24"/>
        <v>3.5544768458554472</v>
      </c>
      <c r="F284" s="67">
        <f t="shared" si="25"/>
        <v>2126.2081989961207</v>
      </c>
      <c r="G284" s="75">
        <f t="shared" si="26"/>
        <v>110.18878222151886</v>
      </c>
      <c r="H284" s="68">
        <f t="shared" si="27"/>
        <v>3.148250920614825E-2</v>
      </c>
      <c r="I284" s="56"/>
    </row>
    <row r="285" spans="1:9" x14ac:dyDescent="0.25">
      <c r="A285" s="65">
        <v>43084</v>
      </c>
      <c r="B285" s="66">
        <f t="shared" si="28"/>
        <v>283</v>
      </c>
      <c r="C285" s="67">
        <f t="shared" si="29"/>
        <v>163.5229943366493</v>
      </c>
      <c r="D285" s="67">
        <v>160</v>
      </c>
      <c r="E285" s="75">
        <f t="shared" si="24"/>
        <v>3.5229943366493046</v>
      </c>
      <c r="F285" s="67">
        <f t="shared" si="25"/>
        <v>2125.7989263764412</v>
      </c>
      <c r="G285" s="75">
        <f t="shared" si="26"/>
        <v>109.21282443612844</v>
      </c>
      <c r="H285" s="68">
        <f t="shared" si="27"/>
        <v>3.1203664124608125E-2</v>
      </c>
      <c r="I285" s="56"/>
    </row>
    <row r="286" spans="1:9" x14ac:dyDescent="0.25">
      <c r="A286" s="65">
        <v>43084</v>
      </c>
      <c r="B286" s="66">
        <f t="shared" si="28"/>
        <v>284</v>
      </c>
      <c r="C286" s="67">
        <f t="shared" si="29"/>
        <v>163.4917906725247</v>
      </c>
      <c r="D286" s="67">
        <v>160</v>
      </c>
      <c r="E286" s="75">
        <f t="shared" si="24"/>
        <v>3.4917906725247008</v>
      </c>
      <c r="F286" s="67">
        <f t="shared" si="25"/>
        <v>2125.3932787428212</v>
      </c>
      <c r="G286" s="75">
        <f t="shared" si="26"/>
        <v>108.24551084826572</v>
      </c>
      <c r="H286" s="68">
        <f t="shared" si="27"/>
        <v>3.0927288813790206E-2</v>
      </c>
      <c r="I286" s="56"/>
    </row>
    <row r="287" spans="1:9" x14ac:dyDescent="0.25">
      <c r="A287" s="65">
        <v>43084</v>
      </c>
      <c r="B287" s="66">
        <f t="shared" si="28"/>
        <v>285</v>
      </c>
      <c r="C287" s="67">
        <f t="shared" si="29"/>
        <v>163.46086338371092</v>
      </c>
      <c r="D287" s="67">
        <v>160</v>
      </c>
      <c r="E287" s="75">
        <f t="shared" si="24"/>
        <v>3.4608633837109153</v>
      </c>
      <c r="F287" s="67">
        <f t="shared" si="25"/>
        <v>2124.9912239882419</v>
      </c>
      <c r="G287" s="75">
        <f t="shared" si="26"/>
        <v>107.28676489503837</v>
      </c>
      <c r="H287" s="68">
        <f t="shared" si="27"/>
        <v>3.0653361398582393E-2</v>
      </c>
      <c r="I287" s="56"/>
    </row>
    <row r="288" spans="1:9" x14ac:dyDescent="0.25">
      <c r="A288" s="65">
        <v>43084</v>
      </c>
      <c r="B288" s="66">
        <f t="shared" si="28"/>
        <v>286</v>
      </c>
      <c r="C288" s="67">
        <f t="shared" si="29"/>
        <v>163.43021002231234</v>
      </c>
      <c r="D288" s="67">
        <v>160</v>
      </c>
      <c r="E288" s="75">
        <f t="shared" si="24"/>
        <v>3.4302100223123375</v>
      </c>
      <c r="F288" s="67">
        <f t="shared" si="25"/>
        <v>2124.5927302900604</v>
      </c>
      <c r="G288" s="75">
        <f t="shared" si="26"/>
        <v>106.33651069168246</v>
      </c>
      <c r="H288" s="68">
        <f t="shared" si="27"/>
        <v>3.038186019762356E-2</v>
      </c>
      <c r="I288" s="56"/>
    </row>
    <row r="289" spans="1:9" x14ac:dyDescent="0.25">
      <c r="A289" s="65">
        <v>43084</v>
      </c>
      <c r="B289" s="66">
        <f t="shared" si="28"/>
        <v>287</v>
      </c>
      <c r="C289" s="67">
        <f t="shared" si="29"/>
        <v>163.39982816211472</v>
      </c>
      <c r="D289" s="67">
        <v>160</v>
      </c>
      <c r="E289" s="75">
        <f t="shared" si="24"/>
        <v>3.3998281621147157</v>
      </c>
      <c r="F289" s="67">
        <f t="shared" si="25"/>
        <v>2124.1977661074911</v>
      </c>
      <c r="G289" s="75">
        <f t="shared" si="26"/>
        <v>105.39467302555619</v>
      </c>
      <c r="H289" s="68">
        <f t="shared" si="27"/>
        <v>3.0112763721587481E-2</v>
      </c>
      <c r="I289" s="56"/>
    </row>
    <row r="290" spans="1:9" x14ac:dyDescent="0.25">
      <c r="A290" s="65">
        <v>43084</v>
      </c>
      <c r="B290" s="66">
        <f t="shared" si="28"/>
        <v>288</v>
      </c>
      <c r="C290" s="67">
        <f t="shared" si="29"/>
        <v>163.36971539839314</v>
      </c>
      <c r="D290" s="67">
        <v>160</v>
      </c>
      <c r="E290" s="75">
        <f t="shared" si="24"/>
        <v>3.36971539839314</v>
      </c>
      <c r="F290" s="67">
        <f t="shared" si="25"/>
        <v>2123.8063001791106</v>
      </c>
      <c r="G290" s="75">
        <f t="shared" si="26"/>
        <v>104.46117735018734</v>
      </c>
      <c r="H290" s="68">
        <f t="shared" si="27"/>
        <v>2.9846050671482098E-2</v>
      </c>
      <c r="I290" s="56"/>
    </row>
    <row r="291" spans="1:9" x14ac:dyDescent="0.25">
      <c r="A291" s="65">
        <v>43084</v>
      </c>
      <c r="B291" s="66">
        <f t="shared" si="28"/>
        <v>289</v>
      </c>
      <c r="C291" s="67">
        <f t="shared" si="29"/>
        <v>163.33986934772165</v>
      </c>
      <c r="D291" s="67">
        <v>160</v>
      </c>
      <c r="E291" s="75">
        <f t="shared" si="24"/>
        <v>3.3398693477216455</v>
      </c>
      <c r="F291" s="67">
        <f t="shared" si="25"/>
        <v>2123.4183015203812</v>
      </c>
      <c r="G291" s="75">
        <f t="shared" si="26"/>
        <v>103.53594977937101</v>
      </c>
      <c r="H291" s="68">
        <f t="shared" si="27"/>
        <v>2.9581699936963145E-2</v>
      </c>
      <c r="I291" s="56"/>
    </row>
    <row r="292" spans="1:9" x14ac:dyDescent="0.25">
      <c r="A292" s="65">
        <v>43084</v>
      </c>
      <c r="B292" s="66">
        <f t="shared" si="28"/>
        <v>290</v>
      </c>
      <c r="C292" s="67">
        <f t="shared" si="29"/>
        <v>163.31028764778469</v>
      </c>
      <c r="D292" s="67">
        <v>160</v>
      </c>
      <c r="E292" s="75">
        <f t="shared" si="24"/>
        <v>3.3102876477846905</v>
      </c>
      <c r="F292" s="67">
        <f t="shared" si="25"/>
        <v>2123.0337394212011</v>
      </c>
      <c r="G292" s="75">
        <f t="shared" si="26"/>
        <v>102.61891708132541</v>
      </c>
      <c r="H292" s="68">
        <f t="shared" si="27"/>
        <v>2.9319690594664403E-2</v>
      </c>
      <c r="I292" s="56"/>
    </row>
    <row r="293" spans="1:9" x14ac:dyDescent="0.25">
      <c r="A293" s="65">
        <v>43084</v>
      </c>
      <c r="B293" s="66">
        <f t="shared" si="28"/>
        <v>291</v>
      </c>
      <c r="C293" s="67">
        <f t="shared" si="29"/>
        <v>163.28096795719003</v>
      </c>
      <c r="D293" s="67">
        <v>160</v>
      </c>
      <c r="E293" s="75">
        <f t="shared" si="24"/>
        <v>3.280967957190029</v>
      </c>
      <c r="F293" s="67">
        <f t="shared" si="25"/>
        <v>2122.6525834434706</v>
      </c>
      <c r="G293" s="75">
        <f t="shared" si="26"/>
        <v>101.7100066728909</v>
      </c>
      <c r="H293" s="68">
        <f t="shared" si="27"/>
        <v>2.9060001906540258E-2</v>
      </c>
      <c r="I293" s="56"/>
    </row>
    <row r="294" spans="1:9" x14ac:dyDescent="0.25">
      <c r="A294" s="65">
        <v>43084</v>
      </c>
      <c r="B294" s="66">
        <f t="shared" si="28"/>
        <v>292</v>
      </c>
      <c r="C294" s="67">
        <f t="shared" si="29"/>
        <v>163.25190795528349</v>
      </c>
      <c r="D294" s="67">
        <v>160</v>
      </c>
      <c r="E294" s="75">
        <f t="shared" si="24"/>
        <v>3.2519079552834853</v>
      </c>
      <c r="F294" s="67">
        <f t="shared" si="25"/>
        <v>2122.2748034186852</v>
      </c>
      <c r="G294" s="75">
        <f t="shared" si="26"/>
        <v>100.80914661378804</v>
      </c>
      <c r="H294" s="68">
        <f t="shared" si="27"/>
        <v>2.8802613318225156E-2</v>
      </c>
      <c r="I294" s="56"/>
    </row>
    <row r="295" spans="1:9" x14ac:dyDescent="0.25">
      <c r="A295" s="65">
        <v>43084</v>
      </c>
      <c r="B295" s="66">
        <f t="shared" si="28"/>
        <v>293</v>
      </c>
      <c r="C295" s="67">
        <f t="shared" si="29"/>
        <v>163.22310534196527</v>
      </c>
      <c r="D295" s="67">
        <v>160</v>
      </c>
      <c r="E295" s="75">
        <f t="shared" si="24"/>
        <v>3.2231053419652653</v>
      </c>
      <c r="F295" s="67">
        <f t="shared" si="25"/>
        <v>2121.9003694455487</v>
      </c>
      <c r="G295" s="75">
        <f t="shared" si="26"/>
        <v>99.916265600923225</v>
      </c>
      <c r="H295" s="68">
        <f t="shared" si="27"/>
        <v>2.8547504457406635E-2</v>
      </c>
      <c r="I295" s="56"/>
    </row>
    <row r="296" spans="1:9" x14ac:dyDescent="0.25">
      <c r="A296" s="65">
        <v>43084</v>
      </c>
      <c r="B296" s="66">
        <f t="shared" si="28"/>
        <v>294</v>
      </c>
      <c r="C296" s="67">
        <f t="shared" si="29"/>
        <v>163.19455783750786</v>
      </c>
      <c r="D296" s="67">
        <v>160</v>
      </c>
      <c r="E296" s="75">
        <f t="shared" si="24"/>
        <v>3.1945578375078583</v>
      </c>
      <c r="F296" s="67">
        <f t="shared" si="25"/>
        <v>2121.5292518876022</v>
      </c>
      <c r="G296" s="75">
        <f t="shared" si="26"/>
        <v>99.031292962743606</v>
      </c>
      <c r="H296" s="68">
        <f t="shared" si="27"/>
        <v>2.8294655132212458E-2</v>
      </c>
      <c r="I296" s="56"/>
    </row>
    <row r="297" spans="1:9" x14ac:dyDescent="0.25">
      <c r="A297" s="65">
        <v>43084</v>
      </c>
      <c r="B297" s="66">
        <f t="shared" si="28"/>
        <v>295</v>
      </c>
      <c r="C297" s="67">
        <f t="shared" si="29"/>
        <v>163.16626318237564</v>
      </c>
      <c r="D297" s="67">
        <v>160</v>
      </c>
      <c r="E297" s="75">
        <f t="shared" si="24"/>
        <v>3.1662631823756442</v>
      </c>
      <c r="F297" s="67">
        <f t="shared" si="25"/>
        <v>2121.1614213708835</v>
      </c>
      <c r="G297" s="75">
        <f t="shared" si="26"/>
        <v>98.15415865364497</v>
      </c>
      <c r="H297" s="68">
        <f t="shared" si="27"/>
        <v>2.8044045329612848E-2</v>
      </c>
      <c r="I297" s="56"/>
    </row>
    <row r="298" spans="1:9" x14ac:dyDescent="0.25">
      <c r="A298" s="65">
        <v>43084</v>
      </c>
      <c r="B298" s="66">
        <f t="shared" si="28"/>
        <v>296</v>
      </c>
      <c r="C298" s="67">
        <f t="shared" si="29"/>
        <v>163.13821913704604</v>
      </c>
      <c r="D298" s="67">
        <v>160</v>
      </c>
      <c r="E298" s="75">
        <f t="shared" si="24"/>
        <v>3.1382191370460362</v>
      </c>
      <c r="F298" s="67">
        <f t="shared" si="25"/>
        <v>2120.7968487815983</v>
      </c>
      <c r="G298" s="75">
        <f t="shared" si="26"/>
        <v>97.284793248427121</v>
      </c>
      <c r="H298" s="68">
        <f t="shared" si="27"/>
        <v>2.7795655213836319E-2</v>
      </c>
      <c r="I298" s="56"/>
    </row>
    <row r="299" spans="1:9" x14ac:dyDescent="0.25">
      <c r="A299" s="65">
        <v>43084</v>
      </c>
      <c r="B299" s="66">
        <f t="shared" si="28"/>
        <v>297</v>
      </c>
      <c r="C299" s="67">
        <f t="shared" si="29"/>
        <v>163.11042348183219</v>
      </c>
      <c r="D299" s="67">
        <v>160</v>
      </c>
      <c r="E299" s="75">
        <f t="shared" si="24"/>
        <v>3.1104234818321856</v>
      </c>
      <c r="F299" s="67">
        <f t="shared" si="25"/>
        <v>2120.4355052638184</v>
      </c>
      <c r="G299" s="75">
        <f t="shared" si="26"/>
        <v>96.423127936797755</v>
      </c>
      <c r="H299" s="68">
        <f t="shared" si="27"/>
        <v>2.7549465124799357E-2</v>
      </c>
      <c r="I299" s="56"/>
    </row>
    <row r="300" spans="1:9" x14ac:dyDescent="0.25">
      <c r="A300" s="65">
        <v>43084</v>
      </c>
      <c r="B300" s="66">
        <f t="shared" si="28"/>
        <v>298</v>
      </c>
      <c r="C300" s="67">
        <f t="shared" si="29"/>
        <v>163.08287401670739</v>
      </c>
      <c r="D300" s="67">
        <v>160</v>
      </c>
      <c r="E300" s="75">
        <f t="shared" si="24"/>
        <v>3.0828740167073931</v>
      </c>
      <c r="F300" s="67">
        <f t="shared" si="25"/>
        <v>2120.077362217196</v>
      </c>
      <c r="G300" s="75">
        <f t="shared" si="26"/>
        <v>95.569094517929187</v>
      </c>
      <c r="H300" s="68">
        <f t="shared" si="27"/>
        <v>2.7305455576551195E-2</v>
      </c>
      <c r="I300" s="56"/>
    </row>
    <row r="301" spans="1:9" x14ac:dyDescent="0.25">
      <c r="A301" s="65">
        <v>43084</v>
      </c>
      <c r="B301" s="66">
        <f t="shared" si="28"/>
        <v>299</v>
      </c>
      <c r="C301" s="67">
        <f t="shared" si="29"/>
        <v>163.05556856113085</v>
      </c>
      <c r="D301" s="67">
        <v>160</v>
      </c>
      <c r="E301" s="75">
        <f t="shared" si="24"/>
        <v>3.0555685611308547</v>
      </c>
      <c r="F301" s="67">
        <f t="shared" si="25"/>
        <v>2119.7223912947011</v>
      </c>
      <c r="G301" s="75">
        <f t="shared" si="26"/>
        <v>94.722625395056497</v>
      </c>
      <c r="H301" s="68">
        <f t="shared" si="27"/>
        <v>2.7063607255730426E-2</v>
      </c>
      <c r="I301" s="56"/>
    </row>
    <row r="302" spans="1:9" x14ac:dyDescent="0.25">
      <c r="A302" s="65">
        <v>43084</v>
      </c>
      <c r="B302" s="66">
        <f t="shared" si="28"/>
        <v>300</v>
      </c>
      <c r="C302" s="67">
        <f t="shared" si="29"/>
        <v>163.02850495387511</v>
      </c>
      <c r="D302" s="67">
        <v>160</v>
      </c>
      <c r="E302" s="75">
        <f t="shared" si="24"/>
        <v>3.0285049538751139</v>
      </c>
      <c r="F302" s="67">
        <f t="shared" si="25"/>
        <v>2119.3705644003767</v>
      </c>
      <c r="G302" s="75">
        <f t="shared" si="26"/>
        <v>93.88365357012853</v>
      </c>
      <c r="H302" s="68">
        <f t="shared" si="27"/>
        <v>2.6823901020036723E-2</v>
      </c>
      <c r="I302" s="56"/>
    </row>
    <row r="303" spans="1:9" x14ac:dyDescent="0.25">
      <c r="A303" s="65">
        <v>43084</v>
      </c>
      <c r="B303" s="66">
        <f t="shared" si="28"/>
        <v>301</v>
      </c>
      <c r="C303" s="67">
        <f t="shared" si="29"/>
        <v>163.00168105285508</v>
      </c>
      <c r="D303" s="67">
        <v>160</v>
      </c>
      <c r="E303" s="75">
        <f t="shared" si="24"/>
        <v>3.0016810528550764</v>
      </c>
      <c r="F303" s="67">
        <f t="shared" si="25"/>
        <v>2119.0218536871162</v>
      </c>
      <c r="G303" s="75">
        <f t="shared" si="26"/>
        <v>93.052112638507367</v>
      </c>
      <c r="H303" s="68">
        <f t="shared" si="27"/>
        <v>2.658631789671639E-2</v>
      </c>
      <c r="I303" s="56"/>
    </row>
    <row r="304" spans="1:9" x14ac:dyDescent="0.25">
      <c r="A304" s="65">
        <v>43084</v>
      </c>
      <c r="B304" s="66">
        <f t="shared" si="28"/>
        <v>302</v>
      </c>
      <c r="C304" s="67">
        <f t="shared" si="29"/>
        <v>162.97509473495836</v>
      </c>
      <c r="D304" s="67">
        <v>160</v>
      </c>
      <c r="E304" s="75">
        <f t="shared" si="24"/>
        <v>2.9750947349583612</v>
      </c>
      <c r="F304" s="67">
        <f t="shared" si="25"/>
        <v>2118.6762315544588</v>
      </c>
      <c r="G304" s="75">
        <f t="shared" si="26"/>
        <v>92.227936783709197</v>
      </c>
      <c r="H304" s="68">
        <f t="shared" si="27"/>
        <v>2.6350839081059771E-2</v>
      </c>
      <c r="I304" s="56"/>
    </row>
    <row r="305" spans="1:9" x14ac:dyDescent="0.25">
      <c r="A305" s="65">
        <v>43084</v>
      </c>
      <c r="B305" s="66">
        <f t="shared" si="28"/>
        <v>303</v>
      </c>
      <c r="C305" s="67">
        <f t="shared" si="29"/>
        <v>162.9487438958773</v>
      </c>
      <c r="D305" s="67">
        <v>160</v>
      </c>
      <c r="E305" s="75">
        <f t="shared" si="24"/>
        <v>2.9487438958772998</v>
      </c>
      <c r="F305" s="67">
        <f t="shared" si="25"/>
        <v>2118.3336706464047</v>
      </c>
      <c r="G305" s="75">
        <f t="shared" si="26"/>
        <v>91.411060772196294</v>
      </c>
      <c r="H305" s="68">
        <f t="shared" si="27"/>
        <v>2.6117445934913226E-2</v>
      </c>
      <c r="I305" s="56"/>
    </row>
    <row r="306" spans="1:9" x14ac:dyDescent="0.25">
      <c r="A306" s="65">
        <v>43084</v>
      </c>
      <c r="B306" s="66">
        <f t="shared" si="28"/>
        <v>304</v>
      </c>
      <c r="C306" s="67">
        <f t="shared" si="29"/>
        <v>162.92262644994238</v>
      </c>
      <c r="D306" s="67">
        <v>160</v>
      </c>
      <c r="E306" s="75">
        <f t="shared" si="24"/>
        <v>2.9226264499423849</v>
      </c>
      <c r="F306" s="67">
        <f t="shared" si="25"/>
        <v>2117.994143849251</v>
      </c>
      <c r="G306" s="75">
        <f t="shared" si="26"/>
        <v>90.60141994821393</v>
      </c>
      <c r="H306" s="68">
        <f t="shared" si="27"/>
        <v>2.588611998520398E-2</v>
      </c>
      <c r="I306" s="56"/>
    </row>
    <row r="307" spans="1:9" x14ac:dyDescent="0.25">
      <c r="A307" s="65">
        <v>43084</v>
      </c>
      <c r="B307" s="66">
        <f t="shared" si="28"/>
        <v>305</v>
      </c>
      <c r="C307" s="67">
        <f t="shared" si="29"/>
        <v>162.89674032995717</v>
      </c>
      <c r="D307" s="67">
        <v>160</v>
      </c>
      <c r="E307" s="75">
        <f t="shared" si="24"/>
        <v>2.8967403299571686</v>
      </c>
      <c r="F307" s="67">
        <f t="shared" si="25"/>
        <v>2117.657624289443</v>
      </c>
      <c r="G307" s="75">
        <f t="shared" si="26"/>
        <v>89.798950228672226</v>
      </c>
      <c r="H307" s="68">
        <f t="shared" si="27"/>
        <v>2.5656842922477777E-2</v>
      </c>
      <c r="I307" s="56"/>
    </row>
    <row r="308" spans="1:9" x14ac:dyDescent="0.25">
      <c r="A308" s="65">
        <v>43084</v>
      </c>
      <c r="B308" s="66">
        <f t="shared" si="28"/>
        <v>306</v>
      </c>
      <c r="C308" s="67">
        <f t="shared" si="29"/>
        <v>162.8710834870347</v>
      </c>
      <c r="D308" s="67">
        <v>160</v>
      </c>
      <c r="E308" s="75">
        <f t="shared" si="24"/>
        <v>2.8710834870346957</v>
      </c>
      <c r="F308" s="67">
        <f t="shared" si="25"/>
        <v>2117.324085331451</v>
      </c>
      <c r="G308" s="75">
        <f t="shared" si="26"/>
        <v>89.003588098075568</v>
      </c>
      <c r="H308" s="68">
        <f t="shared" si="27"/>
        <v>2.5429596599450162E-2</v>
      </c>
      <c r="I308" s="56"/>
    </row>
    <row r="309" spans="1:9" x14ac:dyDescent="0.25">
      <c r="A309" s="65">
        <v>43084</v>
      </c>
      <c r="B309" s="66">
        <f t="shared" si="28"/>
        <v>307</v>
      </c>
      <c r="C309" s="67">
        <f t="shared" si="29"/>
        <v>162.84565389043524</v>
      </c>
      <c r="D309" s="67">
        <v>160</v>
      </c>
      <c r="E309" s="75">
        <f t="shared" si="24"/>
        <v>2.8456538904352442</v>
      </c>
      <c r="F309" s="67">
        <f t="shared" si="25"/>
        <v>2116.9935005756583</v>
      </c>
      <c r="G309" s="75">
        <f t="shared" si="26"/>
        <v>88.21527060349257</v>
      </c>
      <c r="H309" s="68">
        <f t="shared" si="27"/>
        <v>2.5204363029569306E-2</v>
      </c>
      <c r="I309" s="56"/>
    </row>
    <row r="310" spans="1:9" x14ac:dyDescent="0.25">
      <c r="A310" s="65">
        <v>43084</v>
      </c>
      <c r="B310" s="66">
        <f t="shared" si="28"/>
        <v>308</v>
      </c>
      <c r="C310" s="67">
        <f t="shared" si="29"/>
        <v>162.82044952740569</v>
      </c>
      <c r="D310" s="67">
        <v>160</v>
      </c>
      <c r="E310" s="75">
        <f t="shared" si="24"/>
        <v>2.8204495274056853</v>
      </c>
      <c r="F310" s="67">
        <f t="shared" si="25"/>
        <v>2116.665843856274</v>
      </c>
      <c r="G310" s="75">
        <f t="shared" si="26"/>
        <v>87.433935349576245</v>
      </c>
      <c r="H310" s="68">
        <f t="shared" si="27"/>
        <v>2.4981124385593214E-2</v>
      </c>
      <c r="I310" s="56"/>
    </row>
    <row r="311" spans="1:9" x14ac:dyDescent="0.25">
      <c r="A311" s="65">
        <v>43084</v>
      </c>
      <c r="B311" s="66">
        <f t="shared" si="28"/>
        <v>309</v>
      </c>
      <c r="C311" s="67">
        <f t="shared" si="29"/>
        <v>162.7954684030201</v>
      </c>
      <c r="D311" s="67">
        <v>160</v>
      </c>
      <c r="E311" s="75">
        <f t="shared" si="24"/>
        <v>2.7954684030200951</v>
      </c>
      <c r="F311" s="67">
        <f t="shared" si="25"/>
        <v>2116.3410892392612</v>
      </c>
      <c r="G311" s="75">
        <f t="shared" si="26"/>
        <v>86.659520493622949</v>
      </c>
      <c r="H311" s="68">
        <f t="shared" si="27"/>
        <v>2.4759862998177985E-2</v>
      </c>
      <c r="I311" s="56"/>
    </row>
    <row r="312" spans="1:9" x14ac:dyDescent="0.25">
      <c r="A312" s="65">
        <v>43084</v>
      </c>
      <c r="B312" s="66">
        <f t="shared" si="28"/>
        <v>310</v>
      </c>
      <c r="C312" s="67">
        <f t="shared" si="29"/>
        <v>162.77070854002193</v>
      </c>
      <c r="D312" s="67">
        <v>160</v>
      </c>
      <c r="E312" s="75">
        <f t="shared" si="24"/>
        <v>2.7707085400219285</v>
      </c>
      <c r="F312" s="67">
        <f t="shared" si="25"/>
        <v>2116.0192110202852</v>
      </c>
      <c r="G312" s="75">
        <f t="shared" si="26"/>
        <v>85.891964740679782</v>
      </c>
      <c r="H312" s="68">
        <f t="shared" si="27"/>
        <v>2.4540561354479937E-2</v>
      </c>
      <c r="I312" s="56"/>
    </row>
    <row r="313" spans="1:9" x14ac:dyDescent="0.25">
      <c r="A313" s="65">
        <v>43084</v>
      </c>
      <c r="B313" s="66">
        <f t="shared" si="28"/>
        <v>311</v>
      </c>
      <c r="C313" s="67">
        <f t="shared" si="29"/>
        <v>162.74616797866744</v>
      </c>
      <c r="D313" s="67">
        <v>160</v>
      </c>
      <c r="E313" s="75">
        <f t="shared" si="24"/>
        <v>2.7461679786674438</v>
      </c>
      <c r="F313" s="67">
        <f t="shared" si="25"/>
        <v>2115.7001837226767</v>
      </c>
      <c r="G313" s="75">
        <f t="shared" si="26"/>
        <v>85.131207338690757</v>
      </c>
      <c r="H313" s="68">
        <f t="shared" si="27"/>
        <v>2.4323202096768786E-2</v>
      </c>
      <c r="I313" s="56"/>
    </row>
    <row r="314" spans="1:9" x14ac:dyDescent="0.25">
      <c r="A314" s="65">
        <v>43084</v>
      </c>
      <c r="B314" s="66">
        <f t="shared" si="28"/>
        <v>312</v>
      </c>
      <c r="C314" s="67">
        <f t="shared" si="29"/>
        <v>162.72184477657066</v>
      </c>
      <c r="D314" s="67">
        <v>160</v>
      </c>
      <c r="E314" s="75">
        <f t="shared" si="24"/>
        <v>2.7218447765706628</v>
      </c>
      <c r="F314" s="67">
        <f t="shared" si="25"/>
        <v>2115.3839820954186</v>
      </c>
      <c r="G314" s="75">
        <f t="shared" si="26"/>
        <v>84.377188073690547</v>
      </c>
      <c r="H314" s="68">
        <f t="shared" si="27"/>
        <v>2.4107768021054441E-2</v>
      </c>
      <c r="I314" s="56"/>
    </row>
    <row r="315" spans="1:9" x14ac:dyDescent="0.25">
      <c r="A315" s="65">
        <v>43084</v>
      </c>
      <c r="B315" s="66">
        <f t="shared" si="28"/>
        <v>313</v>
      </c>
      <c r="C315" s="67">
        <f t="shared" si="29"/>
        <v>162.69773700854961</v>
      </c>
      <c r="D315" s="67">
        <v>160</v>
      </c>
      <c r="E315" s="75">
        <f t="shared" si="24"/>
        <v>2.6977370085496091</v>
      </c>
      <c r="F315" s="67">
        <f t="shared" si="25"/>
        <v>2115.0705811111447</v>
      </c>
      <c r="G315" s="75">
        <f t="shared" si="26"/>
        <v>83.629847265037881</v>
      </c>
      <c r="H315" s="68">
        <f t="shared" si="27"/>
        <v>2.389424207572511E-2</v>
      </c>
      <c r="I315" s="56"/>
    </row>
    <row r="316" spans="1:9" x14ac:dyDescent="0.25">
      <c r="A316" s="65">
        <v>43084</v>
      </c>
      <c r="B316" s="66">
        <f t="shared" si="28"/>
        <v>314</v>
      </c>
      <c r="C316" s="67">
        <f t="shared" si="29"/>
        <v>162.67384276647388</v>
      </c>
      <c r="D316" s="67">
        <v>160</v>
      </c>
      <c r="E316" s="75">
        <f t="shared" si="24"/>
        <v>2.6738427664738822</v>
      </c>
      <c r="F316" s="67">
        <f t="shared" si="25"/>
        <v>2114.7599559641603</v>
      </c>
      <c r="G316" s="75">
        <f t="shared" si="26"/>
        <v>82.889125760690348</v>
      </c>
      <c r="H316" s="68">
        <f t="shared" si="27"/>
        <v>2.3682607360197241E-2</v>
      </c>
      <c r="I316" s="56"/>
    </row>
    <row r="317" spans="1:9" x14ac:dyDescent="0.25">
      <c r="A317" s="65">
        <v>43084</v>
      </c>
      <c r="B317" s="66">
        <f t="shared" si="28"/>
        <v>315</v>
      </c>
      <c r="C317" s="67">
        <f t="shared" si="29"/>
        <v>162.65016015911368</v>
      </c>
      <c r="D317" s="67">
        <v>160</v>
      </c>
      <c r="E317" s="75">
        <f t="shared" si="24"/>
        <v>2.6501601591136819</v>
      </c>
      <c r="F317" s="67">
        <f t="shared" si="25"/>
        <v>2114.4520820684779</v>
      </c>
      <c r="G317" s="75">
        <f t="shared" si="26"/>
        <v>82.154964932524138</v>
      </c>
      <c r="H317" s="68">
        <f t="shared" si="27"/>
        <v>2.3472847123578326E-2</v>
      </c>
      <c r="I317" s="56"/>
    </row>
    <row r="318" spans="1:9" x14ac:dyDescent="0.25">
      <c r="A318" s="65">
        <v>43084</v>
      </c>
      <c r="B318" s="66">
        <f t="shared" si="28"/>
        <v>316</v>
      </c>
      <c r="C318" s="67">
        <f t="shared" si="29"/>
        <v>162.62668731199011</v>
      </c>
      <c r="D318" s="67">
        <v>160</v>
      </c>
      <c r="E318" s="75">
        <f t="shared" si="24"/>
        <v>2.6266873119901106</v>
      </c>
      <c r="F318" s="67">
        <f t="shared" si="25"/>
        <v>2114.1469350558714</v>
      </c>
      <c r="G318" s="75">
        <f t="shared" si="26"/>
        <v>81.42730667169343</v>
      </c>
      <c r="H318" s="68">
        <f t="shared" si="27"/>
        <v>2.326494476334098E-2</v>
      </c>
      <c r="I318" s="56"/>
    </row>
    <row r="319" spans="1:9" x14ac:dyDescent="0.25">
      <c r="A319" s="65">
        <v>43084</v>
      </c>
      <c r="B319" s="66">
        <f t="shared" si="28"/>
        <v>317</v>
      </c>
      <c r="C319" s="67">
        <f t="shared" si="29"/>
        <v>162.60342236722676</v>
      </c>
      <c r="D319" s="67">
        <v>160</v>
      </c>
      <c r="E319" s="75">
        <f t="shared" si="24"/>
        <v>2.6034223672267558</v>
      </c>
      <c r="F319" s="67">
        <f t="shared" si="25"/>
        <v>2113.8444907739477</v>
      </c>
      <c r="G319" s="75">
        <f t="shared" si="26"/>
        <v>80.70609338402943</v>
      </c>
      <c r="H319" s="68">
        <f t="shared" si="27"/>
        <v>2.3058883824008409E-2</v>
      </c>
      <c r="I319" s="56"/>
    </row>
    <row r="320" spans="1:9" x14ac:dyDescent="0.25">
      <c r="A320" s="65">
        <v>43084</v>
      </c>
      <c r="B320" s="66">
        <f t="shared" si="28"/>
        <v>318</v>
      </c>
      <c r="C320" s="67">
        <f t="shared" si="29"/>
        <v>162.58036348340275</v>
      </c>
      <c r="D320" s="67">
        <v>160</v>
      </c>
      <c r="E320" s="75">
        <f t="shared" si="24"/>
        <v>2.5803634834027491</v>
      </c>
      <c r="F320" s="67">
        <f t="shared" si="25"/>
        <v>2113.5447252842359</v>
      </c>
      <c r="G320" s="75">
        <f t="shared" si="26"/>
        <v>79.991267985485223</v>
      </c>
      <c r="H320" s="68">
        <f t="shared" si="27"/>
        <v>2.285464799585292E-2</v>
      </c>
      <c r="I320" s="56"/>
    </row>
    <row r="321" spans="1:9" x14ac:dyDescent="0.25">
      <c r="A321" s="65">
        <v>43084</v>
      </c>
      <c r="B321" s="66">
        <f t="shared" si="28"/>
        <v>319</v>
      </c>
      <c r="C321" s="67">
        <f t="shared" si="29"/>
        <v>162.55750883540691</v>
      </c>
      <c r="D321" s="67">
        <v>160</v>
      </c>
      <c r="E321" s="75">
        <f t="shared" si="24"/>
        <v>2.5575088354069067</v>
      </c>
      <c r="F321" s="67">
        <f t="shared" si="25"/>
        <v>2113.24761486029</v>
      </c>
      <c r="G321" s="75">
        <f t="shared" si="26"/>
        <v>79.282773897614106</v>
      </c>
      <c r="H321" s="68">
        <f t="shared" si="27"/>
        <v>2.2652221113604029E-2</v>
      </c>
      <c r="I321" s="56"/>
    </row>
    <row r="322" spans="1:9" x14ac:dyDescent="0.25">
      <c r="A322" s="65">
        <v>43084</v>
      </c>
      <c r="B322" s="66">
        <f t="shared" si="28"/>
        <v>320</v>
      </c>
      <c r="C322" s="67">
        <f t="shared" si="29"/>
        <v>162.53485661429329</v>
      </c>
      <c r="D322" s="67">
        <v>160</v>
      </c>
      <c r="E322" s="75">
        <f t="shared" si="24"/>
        <v>2.5348566142932896</v>
      </c>
      <c r="F322" s="67">
        <f t="shared" si="25"/>
        <v>2112.9531359858129</v>
      </c>
      <c r="G322" s="75">
        <f t="shared" si="26"/>
        <v>78.580555043091977</v>
      </c>
      <c r="H322" s="68">
        <f t="shared" si="27"/>
        <v>2.2451587155169137E-2</v>
      </c>
      <c r="I322" s="56"/>
    </row>
    <row r="323" spans="1:9" x14ac:dyDescent="0.25">
      <c r="A323" s="65">
        <v>43084</v>
      </c>
      <c r="B323" s="66">
        <f t="shared" si="28"/>
        <v>321</v>
      </c>
      <c r="C323" s="67">
        <f t="shared" si="29"/>
        <v>162.51240502713813</v>
      </c>
      <c r="D323" s="67">
        <v>160</v>
      </c>
      <c r="E323" s="75">
        <f t="shared" ref="E323:E386" si="30">C323-D323</f>
        <v>2.5124050271381293</v>
      </c>
      <c r="F323" s="67">
        <f t="shared" ref="F323:F388" si="31">13*C323</f>
        <v>2112.6612653527955</v>
      </c>
      <c r="G323" s="75">
        <f t="shared" ref="G323:G388" si="32">E323*31</f>
        <v>77.884555841282008</v>
      </c>
      <c r="H323" s="68">
        <f t="shared" ref="H323:H388" si="33">MIN($G323/3500,$F323/3500)</f>
        <v>2.2252730240366288E-2</v>
      </c>
      <c r="I323" s="56"/>
    </row>
    <row r="324" spans="1:9" x14ac:dyDescent="0.25">
      <c r="A324" s="65">
        <v>43084</v>
      </c>
      <c r="B324" s="66">
        <f t="shared" ref="B324:B388" si="34">B323+1</f>
        <v>322</v>
      </c>
      <c r="C324" s="67">
        <f t="shared" ref="C324:C388" si="35">C323-H323</f>
        <v>162.49015229689778</v>
      </c>
      <c r="D324" s="67">
        <v>160</v>
      </c>
      <c r="E324" s="75">
        <f t="shared" si="30"/>
        <v>2.4901522968977758</v>
      </c>
      <c r="F324" s="67">
        <f t="shared" si="31"/>
        <v>2112.3719798596712</v>
      </c>
      <c r="G324" s="75">
        <f t="shared" si="32"/>
        <v>77.194721203831051</v>
      </c>
      <c r="H324" s="68">
        <f t="shared" si="33"/>
        <v>2.2055634629666015E-2</v>
      </c>
      <c r="I324" s="56"/>
    </row>
    <row r="325" spans="1:9" x14ac:dyDescent="0.25">
      <c r="A325" s="65">
        <v>43084</v>
      </c>
      <c r="B325" s="66">
        <f t="shared" si="34"/>
        <v>323</v>
      </c>
      <c r="C325" s="67">
        <f t="shared" si="35"/>
        <v>162.46809666226812</v>
      </c>
      <c r="D325" s="67">
        <v>160</v>
      </c>
      <c r="E325" s="75">
        <f t="shared" si="30"/>
        <v>2.468096662268124</v>
      </c>
      <c r="F325" s="67">
        <f t="shared" si="31"/>
        <v>2112.0852566094854</v>
      </c>
      <c r="G325" s="75">
        <f t="shared" si="32"/>
        <v>76.510996530311843</v>
      </c>
      <c r="H325" s="68">
        <f t="shared" si="33"/>
        <v>2.1860284722946242E-2</v>
      </c>
      <c r="I325" s="56"/>
    </row>
    <row r="326" spans="1:9" x14ac:dyDescent="0.25">
      <c r="A326" s="65">
        <v>43084</v>
      </c>
      <c r="B326" s="66">
        <f t="shared" si="34"/>
        <v>324</v>
      </c>
      <c r="C326" s="67">
        <f t="shared" si="35"/>
        <v>162.44623637754518</v>
      </c>
      <c r="D326" s="67">
        <v>160</v>
      </c>
      <c r="E326" s="75">
        <f t="shared" si="30"/>
        <v>2.4462363775451763</v>
      </c>
      <c r="F326" s="67">
        <f t="shared" si="31"/>
        <v>2111.8010729080875</v>
      </c>
      <c r="G326" s="75">
        <f t="shared" si="32"/>
        <v>75.833327703900466</v>
      </c>
      <c r="H326" s="68">
        <f t="shared" si="33"/>
        <v>2.1666665058257276E-2</v>
      </c>
      <c r="I326" s="56"/>
    </row>
    <row r="327" spans="1:9" x14ac:dyDescent="0.25">
      <c r="A327" s="65">
        <v>43084</v>
      </c>
      <c r="B327" s="66">
        <f t="shared" si="34"/>
        <v>325</v>
      </c>
      <c r="C327" s="67">
        <f t="shared" si="35"/>
        <v>162.42456971248691</v>
      </c>
      <c r="D327" s="67">
        <v>160</v>
      </c>
      <c r="E327" s="75">
        <f t="shared" si="30"/>
        <v>2.4245697124869139</v>
      </c>
      <c r="F327" s="67">
        <f t="shared" si="31"/>
        <v>2111.51940626233</v>
      </c>
      <c r="G327" s="75">
        <f t="shared" si="32"/>
        <v>75.16166108709433</v>
      </c>
      <c r="H327" s="68">
        <f t="shared" si="33"/>
        <v>2.1474760310598379E-2</v>
      </c>
      <c r="I327" s="56"/>
    </row>
    <row r="328" spans="1:9" x14ac:dyDescent="0.25">
      <c r="A328" s="65">
        <v>43084</v>
      </c>
      <c r="B328" s="66">
        <f t="shared" si="34"/>
        <v>326</v>
      </c>
      <c r="C328" s="67">
        <f t="shared" si="35"/>
        <v>162.4030949521763</v>
      </c>
      <c r="D328" s="67">
        <v>160</v>
      </c>
      <c r="E328" s="75">
        <f t="shared" si="30"/>
        <v>2.4030949521763034</v>
      </c>
      <c r="F328" s="67">
        <f t="shared" si="31"/>
        <v>2111.2402343782919</v>
      </c>
      <c r="G328" s="75">
        <f t="shared" si="32"/>
        <v>74.495943517465406</v>
      </c>
      <c r="H328" s="68">
        <f t="shared" si="33"/>
        <v>2.1284555290704402E-2</v>
      </c>
      <c r="I328" s="56"/>
    </row>
    <row r="329" spans="1:9" x14ac:dyDescent="0.25">
      <c r="A329" s="65">
        <v>43084</v>
      </c>
      <c r="B329" s="66">
        <f t="shared" si="34"/>
        <v>327</v>
      </c>
      <c r="C329" s="67">
        <f t="shared" si="35"/>
        <v>162.38181039688561</v>
      </c>
      <c r="D329" s="67">
        <v>160</v>
      </c>
      <c r="E329" s="75">
        <f t="shared" si="30"/>
        <v>2.3818103968856121</v>
      </c>
      <c r="F329" s="67">
        <f t="shared" si="31"/>
        <v>2110.963535159513</v>
      </c>
      <c r="G329" s="75">
        <f t="shared" si="32"/>
        <v>73.836122303453976</v>
      </c>
      <c r="H329" s="68">
        <f t="shared" si="33"/>
        <v>2.1096034943843992E-2</v>
      </c>
      <c r="I329" s="56"/>
    </row>
    <row r="330" spans="1:9" x14ac:dyDescent="0.25">
      <c r="A330" s="65">
        <v>43084</v>
      </c>
      <c r="B330" s="66">
        <f t="shared" si="34"/>
        <v>328</v>
      </c>
      <c r="C330" s="67">
        <f t="shared" si="35"/>
        <v>162.36071436194177</v>
      </c>
      <c r="D330" s="67">
        <v>160</v>
      </c>
      <c r="E330" s="75">
        <f t="shared" si="30"/>
        <v>2.3607143619417741</v>
      </c>
      <c r="F330" s="67">
        <f t="shared" si="31"/>
        <v>2110.6892867052429</v>
      </c>
      <c r="G330" s="75">
        <f t="shared" si="32"/>
        <v>73.182145220194997</v>
      </c>
      <c r="H330" s="68">
        <f t="shared" si="33"/>
        <v>2.0909184348627142E-2</v>
      </c>
      <c r="I330" s="56"/>
    </row>
    <row r="331" spans="1:9" x14ac:dyDescent="0.25">
      <c r="A331" s="65">
        <v>43084</v>
      </c>
      <c r="B331" s="66">
        <f t="shared" si="34"/>
        <v>329</v>
      </c>
      <c r="C331" s="67">
        <f t="shared" si="35"/>
        <v>162.33980517759315</v>
      </c>
      <c r="D331" s="67">
        <v>160</v>
      </c>
      <c r="E331" s="75">
        <f t="shared" si="30"/>
        <v>2.3398051775931492</v>
      </c>
      <c r="F331" s="67">
        <f t="shared" si="31"/>
        <v>2110.4174673087109</v>
      </c>
      <c r="G331" s="75">
        <f t="shared" si="32"/>
        <v>72.533960505387626</v>
      </c>
      <c r="H331" s="68">
        <f t="shared" si="33"/>
        <v>2.0723988715825037E-2</v>
      </c>
      <c r="I331" s="56"/>
    </row>
    <row r="332" spans="1:9" x14ac:dyDescent="0.25">
      <c r="A332" s="65">
        <v>43084</v>
      </c>
      <c r="B332" s="66">
        <f t="shared" si="34"/>
        <v>330</v>
      </c>
      <c r="C332" s="67">
        <f t="shared" si="35"/>
        <v>162.31908118887733</v>
      </c>
      <c r="D332" s="67">
        <v>160</v>
      </c>
      <c r="E332" s="75">
        <f t="shared" si="30"/>
        <v>2.3190811888773339</v>
      </c>
      <c r="F332" s="67">
        <f t="shared" si="31"/>
        <v>2110.1480554554055</v>
      </c>
      <c r="G332" s="75">
        <f t="shared" si="32"/>
        <v>71.891516855197352</v>
      </c>
      <c r="H332" s="68">
        <f t="shared" si="33"/>
        <v>2.0540433387199245E-2</v>
      </c>
      <c r="I332" s="56"/>
    </row>
    <row r="333" spans="1:9" x14ac:dyDescent="0.25">
      <c r="A333" s="65">
        <v>43084</v>
      </c>
      <c r="B333" s="66">
        <f t="shared" si="34"/>
        <v>331</v>
      </c>
      <c r="C333" s="67">
        <f t="shared" si="35"/>
        <v>162.29854075549014</v>
      </c>
      <c r="D333" s="67">
        <v>160</v>
      </c>
      <c r="E333" s="75">
        <f t="shared" si="30"/>
        <v>2.2985407554901371</v>
      </c>
      <c r="F333" s="67">
        <f t="shared" si="31"/>
        <v>2109.8810298213716</v>
      </c>
      <c r="G333" s="75">
        <f t="shared" si="32"/>
        <v>71.254763420194251</v>
      </c>
      <c r="H333" s="68">
        <f t="shared" si="33"/>
        <v>2.0358503834341214E-2</v>
      </c>
      <c r="I333" s="56"/>
    </row>
    <row r="334" spans="1:9" x14ac:dyDescent="0.25">
      <c r="A334" s="65">
        <v>43084</v>
      </c>
      <c r="B334" s="66">
        <f t="shared" si="34"/>
        <v>332</v>
      </c>
      <c r="C334" s="67">
        <f t="shared" si="35"/>
        <v>162.27818225165581</v>
      </c>
      <c r="D334" s="67">
        <v>160</v>
      </c>
      <c r="E334" s="75">
        <f t="shared" si="30"/>
        <v>2.2781822516558066</v>
      </c>
      <c r="F334" s="67">
        <f t="shared" si="31"/>
        <v>2109.6163692715254</v>
      </c>
      <c r="G334" s="75">
        <f t="shared" si="32"/>
        <v>70.623649801330004</v>
      </c>
      <c r="H334" s="68">
        <f t="shared" si="33"/>
        <v>2.0178185657522857E-2</v>
      </c>
      <c r="I334" s="56"/>
    </row>
    <row r="335" spans="1:9" x14ac:dyDescent="0.25">
      <c r="A335" s="65">
        <v>43084</v>
      </c>
      <c r="B335" s="66">
        <f t="shared" si="34"/>
        <v>333</v>
      </c>
      <c r="C335" s="67">
        <f t="shared" si="35"/>
        <v>162.25800406599828</v>
      </c>
      <c r="D335" s="67">
        <v>160</v>
      </c>
      <c r="E335" s="75">
        <f t="shared" si="30"/>
        <v>2.2580040659982785</v>
      </c>
      <c r="F335" s="67">
        <f t="shared" si="31"/>
        <v>2109.3540528579774</v>
      </c>
      <c r="G335" s="75">
        <f t="shared" si="32"/>
        <v>69.998126045946634</v>
      </c>
      <c r="H335" s="68">
        <f t="shared" si="33"/>
        <v>1.9999464584556183E-2</v>
      </c>
      <c r="I335" s="56"/>
    </row>
    <row r="336" spans="1:9" x14ac:dyDescent="0.25">
      <c r="A336" s="65">
        <v>43084</v>
      </c>
      <c r="B336" s="66">
        <f t="shared" si="34"/>
        <v>334</v>
      </c>
      <c r="C336" s="67">
        <f t="shared" si="35"/>
        <v>162.23800460141373</v>
      </c>
      <c r="D336" s="67">
        <v>160</v>
      </c>
      <c r="E336" s="75">
        <f t="shared" si="30"/>
        <v>2.2380046014137349</v>
      </c>
      <c r="F336" s="67">
        <f t="shared" si="31"/>
        <v>2109.0940598183784</v>
      </c>
      <c r="G336" s="75">
        <f t="shared" si="32"/>
        <v>69.378142643825782</v>
      </c>
      <c r="H336" s="68">
        <f t="shared" si="33"/>
        <v>1.982232646966451E-2</v>
      </c>
      <c r="I336" s="56"/>
    </row>
    <row r="337" spans="1:9" x14ac:dyDescent="0.25">
      <c r="A337" s="65">
        <v>43084</v>
      </c>
      <c r="B337" s="66">
        <f t="shared" si="34"/>
        <v>335</v>
      </c>
      <c r="C337" s="67">
        <f t="shared" si="35"/>
        <v>162.21818227494407</v>
      </c>
      <c r="D337" s="67">
        <v>160</v>
      </c>
      <c r="E337" s="75">
        <f t="shared" si="30"/>
        <v>2.2181822749440698</v>
      </c>
      <c r="F337" s="67">
        <f t="shared" si="31"/>
        <v>2108.8363695742728</v>
      </c>
      <c r="G337" s="75">
        <f t="shared" si="32"/>
        <v>68.763650523266165</v>
      </c>
      <c r="H337" s="68">
        <f t="shared" si="33"/>
        <v>1.9646757292361761E-2</v>
      </c>
      <c r="I337" s="56"/>
    </row>
    <row r="338" spans="1:9" x14ac:dyDescent="0.25">
      <c r="A338" s="65">
        <v>43084</v>
      </c>
      <c r="B338" s="66">
        <f t="shared" si="34"/>
        <v>336</v>
      </c>
      <c r="C338" s="67">
        <f t="shared" si="35"/>
        <v>162.19853551765172</v>
      </c>
      <c r="D338" s="67">
        <v>160</v>
      </c>
      <c r="E338" s="75">
        <f t="shared" si="30"/>
        <v>2.1985355176517203</v>
      </c>
      <c r="F338" s="67">
        <f t="shared" si="31"/>
        <v>2108.5809617294722</v>
      </c>
      <c r="G338" s="75">
        <f t="shared" si="32"/>
        <v>68.154601047203329</v>
      </c>
      <c r="H338" s="68">
        <f t="shared" si="33"/>
        <v>1.9472743156343807E-2</v>
      </c>
      <c r="I338" s="56"/>
    </row>
    <row r="339" spans="1:9" x14ac:dyDescent="0.25">
      <c r="A339" s="65">
        <v>43084</v>
      </c>
      <c r="B339" s="66">
        <f t="shared" si="34"/>
        <v>337</v>
      </c>
      <c r="C339" s="67">
        <f t="shared" si="35"/>
        <v>162.17906277449538</v>
      </c>
      <c r="D339" s="67">
        <v>160</v>
      </c>
      <c r="E339" s="75">
        <f t="shared" si="30"/>
        <v>2.1790627744953781</v>
      </c>
      <c r="F339" s="67">
        <f t="shared" si="31"/>
        <v>2108.3278160684399</v>
      </c>
      <c r="G339" s="75">
        <f t="shared" si="32"/>
        <v>67.550946009356721</v>
      </c>
      <c r="H339" s="68">
        <f t="shared" si="33"/>
        <v>1.9300270288387635E-2</v>
      </c>
      <c r="I339" s="56"/>
    </row>
    <row r="340" spans="1:9" x14ac:dyDescent="0.25">
      <c r="A340" s="65">
        <v>43084</v>
      </c>
      <c r="B340" s="66">
        <f t="shared" si="34"/>
        <v>338</v>
      </c>
      <c r="C340" s="67">
        <f t="shared" si="35"/>
        <v>162.15976250420698</v>
      </c>
      <c r="D340" s="67">
        <v>160</v>
      </c>
      <c r="E340" s="75">
        <f t="shared" si="30"/>
        <v>2.1597625042069808</v>
      </c>
      <c r="F340" s="67">
        <f t="shared" si="31"/>
        <v>2108.0769125546908</v>
      </c>
      <c r="G340" s="75">
        <f t="shared" si="32"/>
        <v>66.952637630416405</v>
      </c>
      <c r="H340" s="68">
        <f t="shared" si="33"/>
        <v>1.9129325037261832E-2</v>
      </c>
      <c r="I340" s="56"/>
    </row>
    <row r="341" spans="1:9" x14ac:dyDescent="0.25">
      <c r="A341" s="65">
        <v>43084</v>
      </c>
      <c r="B341" s="66">
        <f t="shared" si="34"/>
        <v>339</v>
      </c>
      <c r="C341" s="67">
        <f t="shared" si="35"/>
        <v>162.14063317916973</v>
      </c>
      <c r="D341" s="67">
        <v>160</v>
      </c>
      <c r="E341" s="75">
        <f t="shared" si="30"/>
        <v>2.1406331791697255</v>
      </c>
      <c r="F341" s="67">
        <f t="shared" si="31"/>
        <v>2107.8282313292066</v>
      </c>
      <c r="G341" s="75">
        <f t="shared" si="32"/>
        <v>66.359628554261491</v>
      </c>
      <c r="H341" s="68">
        <f t="shared" si="33"/>
        <v>1.8959893872646141E-2</v>
      </c>
      <c r="I341" s="56"/>
    </row>
    <row r="342" spans="1:9" x14ac:dyDescent="0.25">
      <c r="A342" s="65">
        <v>43084</v>
      </c>
      <c r="B342" s="66">
        <f t="shared" si="34"/>
        <v>340</v>
      </c>
      <c r="C342" s="67">
        <f t="shared" si="35"/>
        <v>162.12167328529708</v>
      </c>
      <c r="D342" s="67">
        <v>160</v>
      </c>
      <c r="E342" s="75">
        <f t="shared" si="30"/>
        <v>2.1216732852970779</v>
      </c>
      <c r="F342" s="67">
        <f t="shared" si="31"/>
        <v>2107.581752708862</v>
      </c>
      <c r="G342" s="75">
        <f t="shared" si="32"/>
        <v>65.771871844209414</v>
      </c>
      <c r="H342" s="68">
        <f t="shared" si="33"/>
        <v>1.8791963384059834E-2</v>
      </c>
      <c r="I342" s="56"/>
    </row>
    <row r="343" spans="1:9" x14ac:dyDescent="0.25">
      <c r="A343" s="65">
        <v>43084</v>
      </c>
      <c r="B343" s="66">
        <f t="shared" si="34"/>
        <v>341</v>
      </c>
      <c r="C343" s="67">
        <f t="shared" si="35"/>
        <v>162.10288132191303</v>
      </c>
      <c r="D343" s="67">
        <v>160</v>
      </c>
      <c r="E343" s="75">
        <f t="shared" si="30"/>
        <v>2.1028813219130313</v>
      </c>
      <c r="F343" s="67">
        <f t="shared" si="31"/>
        <v>2107.3374571848694</v>
      </c>
      <c r="G343" s="75">
        <f t="shared" si="32"/>
        <v>65.189320979303972</v>
      </c>
      <c r="H343" s="68">
        <f t="shared" si="33"/>
        <v>1.8625520279801133E-2</v>
      </c>
      <c r="I343" s="56"/>
    </row>
    <row r="344" spans="1:9" x14ac:dyDescent="0.25">
      <c r="A344" s="65">
        <v>43084</v>
      </c>
      <c r="B344" s="66">
        <f t="shared" si="34"/>
        <v>342</v>
      </c>
      <c r="C344" s="67">
        <f t="shared" si="35"/>
        <v>162.08425580163322</v>
      </c>
      <c r="D344" s="67">
        <v>160</v>
      </c>
      <c r="E344" s="75">
        <f t="shared" si="30"/>
        <v>2.0842558016332191</v>
      </c>
      <c r="F344" s="67">
        <f t="shared" si="31"/>
        <v>2107.0953254212318</v>
      </c>
      <c r="G344" s="75">
        <f t="shared" si="32"/>
        <v>64.611929850629792</v>
      </c>
      <c r="H344" s="68">
        <f t="shared" si="33"/>
        <v>1.8460551385894225E-2</v>
      </c>
      <c r="I344" s="56"/>
    </row>
    <row r="345" spans="1:9" x14ac:dyDescent="0.25">
      <c r="A345" s="65">
        <v>43084</v>
      </c>
      <c r="B345" s="66">
        <f t="shared" si="34"/>
        <v>343</v>
      </c>
      <c r="C345" s="67">
        <f t="shared" si="35"/>
        <v>162.06579525024733</v>
      </c>
      <c r="D345" s="67">
        <v>160</v>
      </c>
      <c r="E345" s="75">
        <f t="shared" si="30"/>
        <v>2.0657952502473336</v>
      </c>
      <c r="F345" s="67">
        <f t="shared" si="31"/>
        <v>2106.8553382532155</v>
      </c>
      <c r="G345" s="75">
        <f t="shared" si="32"/>
        <v>64.039652757667341</v>
      </c>
      <c r="H345" s="68">
        <f t="shared" si="33"/>
        <v>1.8297043645047813E-2</v>
      </c>
      <c r="I345" s="56"/>
    </row>
    <row r="346" spans="1:9" x14ac:dyDescent="0.25">
      <c r="A346" s="65">
        <v>43084</v>
      </c>
      <c r="B346" s="66">
        <f t="shared" si="34"/>
        <v>344</v>
      </c>
      <c r="C346" s="67">
        <f t="shared" si="35"/>
        <v>162.04749820660228</v>
      </c>
      <c r="D346" s="67">
        <v>160</v>
      </c>
      <c r="E346" s="75">
        <f t="shared" si="30"/>
        <v>2.0474982066022847</v>
      </c>
      <c r="F346" s="67">
        <f t="shared" si="31"/>
        <v>2106.6174766858298</v>
      </c>
      <c r="G346" s="75">
        <f t="shared" si="32"/>
        <v>63.472444404670824</v>
      </c>
      <c r="H346" s="68">
        <f t="shared" si="33"/>
        <v>1.8134984115620235E-2</v>
      </c>
      <c r="I346" s="56"/>
    </row>
    <row r="347" spans="1:9" x14ac:dyDescent="0.25">
      <c r="A347" s="65">
        <v>43084</v>
      </c>
      <c r="B347" s="66">
        <f t="shared" si="34"/>
        <v>345</v>
      </c>
      <c r="C347" s="67">
        <f t="shared" si="35"/>
        <v>162.02936322248667</v>
      </c>
      <c r="D347" s="67">
        <v>160</v>
      </c>
      <c r="E347" s="75">
        <f t="shared" si="30"/>
        <v>2.0293632224866656</v>
      </c>
      <c r="F347" s="67">
        <f t="shared" si="31"/>
        <v>2106.3817218923268</v>
      </c>
      <c r="G347" s="75">
        <f t="shared" si="32"/>
        <v>62.910259897086632</v>
      </c>
      <c r="H347" s="68">
        <f t="shared" si="33"/>
        <v>1.7974359970596182E-2</v>
      </c>
      <c r="I347" s="56"/>
    </row>
    <row r="348" spans="1:9" x14ac:dyDescent="0.25">
      <c r="A348" s="65">
        <v>43084</v>
      </c>
      <c r="B348" s="66">
        <f t="shared" si="34"/>
        <v>346</v>
      </c>
      <c r="C348" s="67">
        <f t="shared" si="35"/>
        <v>162.01138886251607</v>
      </c>
      <c r="D348" s="67">
        <v>160</v>
      </c>
      <c r="E348" s="75">
        <f t="shared" si="30"/>
        <v>2.0113888625160712</v>
      </c>
      <c r="F348" s="67">
        <f t="shared" si="31"/>
        <v>2106.1480552127091</v>
      </c>
      <c r="G348" s="75">
        <f t="shared" si="32"/>
        <v>62.353054737998207</v>
      </c>
      <c r="H348" s="68">
        <f t="shared" si="33"/>
        <v>1.7815158496570917E-2</v>
      </c>
      <c r="I348" s="56"/>
    </row>
    <row r="349" spans="1:9" x14ac:dyDescent="0.25">
      <c r="A349" s="65">
        <v>43084</v>
      </c>
      <c r="B349" s="66">
        <f t="shared" si="34"/>
        <v>347</v>
      </c>
      <c r="C349" s="67">
        <f t="shared" si="35"/>
        <v>161.9935737040195</v>
      </c>
      <c r="D349" s="67">
        <v>160</v>
      </c>
      <c r="E349" s="75">
        <f t="shared" si="30"/>
        <v>1.9935737040194965</v>
      </c>
      <c r="F349" s="67">
        <f t="shared" si="31"/>
        <v>2105.9164581522537</v>
      </c>
      <c r="G349" s="75">
        <f t="shared" si="32"/>
        <v>61.800784824604392</v>
      </c>
      <c r="H349" s="68">
        <f t="shared" si="33"/>
        <v>1.7657367092744111E-2</v>
      </c>
      <c r="I349" s="56"/>
    </row>
    <row r="350" spans="1:9" x14ac:dyDescent="0.25">
      <c r="A350" s="65">
        <v>43084</v>
      </c>
      <c r="B350" s="66">
        <f t="shared" si="34"/>
        <v>348</v>
      </c>
      <c r="C350" s="67">
        <f t="shared" si="35"/>
        <v>161.97591633692676</v>
      </c>
      <c r="D350" s="67">
        <v>160</v>
      </c>
      <c r="E350" s="75">
        <f t="shared" si="30"/>
        <v>1.9759163369267583</v>
      </c>
      <c r="F350" s="67">
        <f t="shared" si="31"/>
        <v>2105.6869123800479</v>
      </c>
      <c r="G350" s="75">
        <f t="shared" si="32"/>
        <v>61.253406444729507</v>
      </c>
      <c r="H350" s="68">
        <f t="shared" si="33"/>
        <v>1.7500973269922716E-2</v>
      </c>
      <c r="I350" s="56"/>
    </row>
    <row r="351" spans="1:9" x14ac:dyDescent="0.25">
      <c r="A351" s="65">
        <v>43084</v>
      </c>
      <c r="B351" s="66">
        <f t="shared" si="34"/>
        <v>349</v>
      </c>
      <c r="C351" s="67">
        <f t="shared" si="35"/>
        <v>161.95841536365683</v>
      </c>
      <c r="D351" s="67">
        <v>160</v>
      </c>
      <c r="E351" s="75">
        <f t="shared" si="30"/>
        <v>1.958415363656826</v>
      </c>
      <c r="F351" s="67">
        <f t="shared" si="31"/>
        <v>2105.4593997275388</v>
      </c>
      <c r="G351" s="75">
        <f t="shared" si="32"/>
        <v>60.710876273361606</v>
      </c>
      <c r="H351" s="68">
        <f t="shared" si="33"/>
        <v>1.7345964649531889E-2</v>
      </c>
      <c r="I351" s="56"/>
    </row>
    <row r="352" spans="1:9" x14ac:dyDescent="0.25">
      <c r="A352" s="65">
        <v>43084</v>
      </c>
      <c r="B352" s="66">
        <f t="shared" si="34"/>
        <v>350</v>
      </c>
      <c r="C352" s="67">
        <f t="shared" si="35"/>
        <v>161.94106939900729</v>
      </c>
      <c r="D352" s="67">
        <v>160</v>
      </c>
      <c r="E352" s="75">
        <f t="shared" si="30"/>
        <v>1.94106939900729</v>
      </c>
      <c r="F352" s="67">
        <f t="shared" si="31"/>
        <v>2105.2339021870948</v>
      </c>
      <c r="G352" s="75">
        <f t="shared" si="32"/>
        <v>60.173151369225991</v>
      </c>
      <c r="H352" s="68">
        <f t="shared" si="33"/>
        <v>1.7192328962635998E-2</v>
      </c>
      <c r="I352" s="56"/>
    </row>
    <row r="353" spans="1:9" x14ac:dyDescent="0.25">
      <c r="A353" s="65">
        <v>43084</v>
      </c>
      <c r="B353" s="66">
        <f t="shared" si="34"/>
        <v>351</v>
      </c>
      <c r="C353" s="67">
        <f t="shared" si="35"/>
        <v>161.92387707004465</v>
      </c>
      <c r="D353" s="67">
        <v>160</v>
      </c>
      <c r="E353" s="75">
        <f t="shared" si="30"/>
        <v>1.9238770700446537</v>
      </c>
      <c r="F353" s="67">
        <f t="shared" si="31"/>
        <v>2105.0104019105806</v>
      </c>
      <c r="G353" s="75">
        <f t="shared" si="32"/>
        <v>59.640189171384264</v>
      </c>
      <c r="H353" s="68">
        <f t="shared" si="33"/>
        <v>1.7040054048966934E-2</v>
      </c>
      <c r="I353" s="56"/>
    </row>
    <row r="354" spans="1:9" x14ac:dyDescent="0.25">
      <c r="A354" s="65">
        <v>43084</v>
      </c>
      <c r="B354" s="66">
        <f t="shared" si="34"/>
        <v>352</v>
      </c>
      <c r="C354" s="67">
        <f t="shared" si="35"/>
        <v>161.90683701599568</v>
      </c>
      <c r="D354" s="67">
        <v>160</v>
      </c>
      <c r="E354" s="75">
        <f t="shared" si="30"/>
        <v>1.9068370159956771</v>
      </c>
      <c r="F354" s="67">
        <f t="shared" si="31"/>
        <v>2104.7888812079436</v>
      </c>
      <c r="G354" s="75">
        <f t="shared" si="32"/>
        <v>59.111947495865991</v>
      </c>
      <c r="H354" s="68">
        <f t="shared" si="33"/>
        <v>1.6889127855961712E-2</v>
      </c>
      <c r="I354" s="56"/>
    </row>
    <row r="355" spans="1:9" x14ac:dyDescent="0.25">
      <c r="A355" s="65">
        <v>43084</v>
      </c>
      <c r="B355" s="66">
        <f t="shared" si="34"/>
        <v>353</v>
      </c>
      <c r="C355" s="67">
        <f t="shared" si="35"/>
        <v>161.88994788813972</v>
      </c>
      <c r="D355" s="67">
        <v>160</v>
      </c>
      <c r="E355" s="75">
        <f t="shared" si="30"/>
        <v>1.8899478881397158</v>
      </c>
      <c r="F355" s="67">
        <f t="shared" si="31"/>
        <v>2104.5693225458162</v>
      </c>
      <c r="G355" s="75">
        <f t="shared" si="32"/>
        <v>58.58838453233119</v>
      </c>
      <c r="H355" s="68">
        <f t="shared" si="33"/>
        <v>1.6739538437808912E-2</v>
      </c>
      <c r="I355" s="56"/>
    </row>
    <row r="356" spans="1:9" x14ac:dyDescent="0.25">
      <c r="A356" s="65">
        <v>43084</v>
      </c>
      <c r="B356" s="66">
        <f t="shared" si="34"/>
        <v>354</v>
      </c>
      <c r="C356" s="67">
        <f t="shared" si="35"/>
        <v>161.87320834970191</v>
      </c>
      <c r="D356" s="67">
        <v>160</v>
      </c>
      <c r="E356" s="75">
        <f t="shared" si="30"/>
        <v>1.8732083497019119</v>
      </c>
      <c r="F356" s="67">
        <f t="shared" si="31"/>
        <v>2104.3517085461249</v>
      </c>
      <c r="G356" s="75">
        <f t="shared" si="32"/>
        <v>58.069458840759268</v>
      </c>
      <c r="H356" s="68">
        <f t="shared" si="33"/>
        <v>1.6591273954502647E-2</v>
      </c>
      <c r="I356" s="56"/>
    </row>
    <row r="357" spans="1:9" x14ac:dyDescent="0.25">
      <c r="A357" s="65">
        <v>43084</v>
      </c>
      <c r="B357" s="66">
        <f t="shared" si="34"/>
        <v>355</v>
      </c>
      <c r="C357" s="67">
        <f t="shared" si="35"/>
        <v>161.85661707574741</v>
      </c>
      <c r="D357" s="67">
        <v>160</v>
      </c>
      <c r="E357" s="75">
        <f t="shared" si="30"/>
        <v>1.8566170757474083</v>
      </c>
      <c r="F357" s="67">
        <f t="shared" si="31"/>
        <v>2104.1360219847165</v>
      </c>
      <c r="G357" s="75">
        <f t="shared" si="32"/>
        <v>57.555129348169658</v>
      </c>
      <c r="H357" s="68">
        <f t="shared" si="33"/>
        <v>1.6444322670905617E-2</v>
      </c>
      <c r="I357" s="56"/>
    </row>
    <row r="358" spans="1:9" x14ac:dyDescent="0.25">
      <c r="A358" s="65">
        <v>43084</v>
      </c>
      <c r="B358" s="66">
        <f t="shared" si="34"/>
        <v>356</v>
      </c>
      <c r="C358" s="67">
        <f t="shared" si="35"/>
        <v>161.8401727530765</v>
      </c>
      <c r="D358" s="67">
        <v>160</v>
      </c>
      <c r="E358" s="75">
        <f t="shared" si="30"/>
        <v>1.8401727530765015</v>
      </c>
      <c r="F358" s="67">
        <f t="shared" si="31"/>
        <v>2103.9222457899946</v>
      </c>
      <c r="G358" s="75">
        <f t="shared" si="32"/>
        <v>57.045355345371547</v>
      </c>
      <c r="H358" s="68">
        <f t="shared" si="33"/>
        <v>1.629867295582044E-2</v>
      </c>
      <c r="I358" s="56"/>
    </row>
    <row r="359" spans="1:9" x14ac:dyDescent="0.25">
      <c r="A359" s="65">
        <v>43084</v>
      </c>
      <c r="B359" s="66">
        <f t="shared" si="34"/>
        <v>357</v>
      </c>
      <c r="C359" s="67">
        <f t="shared" si="35"/>
        <v>161.82387408012067</v>
      </c>
      <c r="D359" s="67">
        <v>160</v>
      </c>
      <c r="E359" s="75">
        <f t="shared" si="30"/>
        <v>1.8238740801206745</v>
      </c>
      <c r="F359" s="67">
        <f t="shared" si="31"/>
        <v>2103.7103630415686</v>
      </c>
      <c r="G359" s="75">
        <f t="shared" si="32"/>
        <v>56.540096483740911</v>
      </c>
      <c r="H359" s="68">
        <f t="shared" si="33"/>
        <v>1.6154313281068831E-2</v>
      </c>
      <c r="I359" s="56"/>
    </row>
    <row r="360" spans="1:9" x14ac:dyDescent="0.25">
      <c r="A360" s="65">
        <v>43084</v>
      </c>
      <c r="B360" s="66">
        <f t="shared" si="34"/>
        <v>358</v>
      </c>
      <c r="C360" s="67">
        <f t="shared" si="35"/>
        <v>161.8077197668396</v>
      </c>
      <c r="D360" s="67">
        <v>160</v>
      </c>
      <c r="E360" s="75">
        <f t="shared" si="30"/>
        <v>1.8077197668395968</v>
      </c>
      <c r="F360" s="67">
        <f t="shared" si="31"/>
        <v>2103.5003569689147</v>
      </c>
      <c r="G360" s="75">
        <f t="shared" si="32"/>
        <v>56.0393127720275</v>
      </c>
      <c r="H360" s="68">
        <f t="shared" si="33"/>
        <v>1.6011232220579284E-2</v>
      </c>
      <c r="I360" s="56"/>
    </row>
    <row r="361" spans="1:9" x14ac:dyDescent="0.25">
      <c r="A361" s="65">
        <v>43084</v>
      </c>
      <c r="B361" s="66">
        <f t="shared" si="34"/>
        <v>359</v>
      </c>
      <c r="C361" s="67">
        <f t="shared" si="35"/>
        <v>161.791708534619</v>
      </c>
      <c r="D361" s="67">
        <v>160</v>
      </c>
      <c r="E361" s="75">
        <f t="shared" si="30"/>
        <v>1.7917085346190049</v>
      </c>
      <c r="F361" s="67">
        <f t="shared" si="31"/>
        <v>2103.2922109500469</v>
      </c>
      <c r="G361" s="75">
        <f t="shared" si="32"/>
        <v>55.542964573189153</v>
      </c>
      <c r="H361" s="68">
        <f t="shared" si="33"/>
        <v>1.5869418449482614E-2</v>
      </c>
      <c r="I361" s="56"/>
    </row>
    <row r="362" spans="1:9" x14ac:dyDescent="0.25">
      <c r="A362" s="65">
        <v>43084</v>
      </c>
      <c r="B362" s="66">
        <f t="shared" si="34"/>
        <v>360</v>
      </c>
      <c r="C362" s="67">
        <f t="shared" si="35"/>
        <v>161.77583911616952</v>
      </c>
      <c r="D362" s="67">
        <v>160</v>
      </c>
      <c r="E362" s="75">
        <f t="shared" si="30"/>
        <v>1.7758391161695215</v>
      </c>
      <c r="F362" s="67">
        <f t="shared" si="31"/>
        <v>2103.0859085102038</v>
      </c>
      <c r="G362" s="75">
        <f t="shared" si="32"/>
        <v>55.051012601255167</v>
      </c>
      <c r="H362" s="68">
        <f t="shared" si="33"/>
        <v>1.5728860743215761E-2</v>
      </c>
      <c r="I362" s="56"/>
    </row>
    <row r="363" spans="1:9" x14ac:dyDescent="0.25">
      <c r="A363" s="65">
        <v>43084</v>
      </c>
      <c r="B363" s="66">
        <f t="shared" si="34"/>
        <v>361</v>
      </c>
      <c r="C363" s="67">
        <f t="shared" si="35"/>
        <v>161.7601102554263</v>
      </c>
      <c r="D363" s="67">
        <v>160</v>
      </c>
      <c r="E363" s="75">
        <f t="shared" si="30"/>
        <v>1.760110255426298</v>
      </c>
      <c r="F363" s="67">
        <f t="shared" si="31"/>
        <v>2102.8814333205419</v>
      </c>
      <c r="G363" s="75">
        <f t="shared" si="32"/>
        <v>54.563417918215237</v>
      </c>
      <c r="H363" s="68">
        <f t="shared" si="33"/>
        <v>1.5589547976632924E-2</v>
      </c>
      <c r="I363" s="56"/>
    </row>
    <row r="364" spans="1:9" x14ac:dyDescent="0.25">
      <c r="A364" s="65">
        <v>43084</v>
      </c>
      <c r="B364" s="66">
        <f t="shared" si="34"/>
        <v>362</v>
      </c>
      <c r="C364" s="67">
        <f t="shared" si="35"/>
        <v>161.74452070744965</v>
      </c>
      <c r="D364" s="67">
        <v>160</v>
      </c>
      <c r="E364" s="75">
        <f t="shared" si="30"/>
        <v>1.7445207074496523</v>
      </c>
      <c r="F364" s="67">
        <f t="shared" si="31"/>
        <v>2102.6787691968457</v>
      </c>
      <c r="G364" s="75">
        <f t="shared" si="32"/>
        <v>54.08014193093922</v>
      </c>
      <c r="H364" s="68">
        <f t="shared" si="33"/>
        <v>1.5451469123125491E-2</v>
      </c>
      <c r="I364" s="56"/>
    </row>
    <row r="365" spans="1:9" x14ac:dyDescent="0.25">
      <c r="A365" s="65">
        <v>43084</v>
      </c>
      <c r="B365" s="66">
        <f t="shared" si="34"/>
        <v>363</v>
      </c>
      <c r="C365" s="67">
        <f t="shared" si="35"/>
        <v>161.72906923832653</v>
      </c>
      <c r="D365" s="67">
        <v>160</v>
      </c>
      <c r="E365" s="75">
        <f t="shared" si="30"/>
        <v>1.7290692383265309</v>
      </c>
      <c r="F365" s="67">
        <f t="shared" si="31"/>
        <v>2102.4779000982448</v>
      </c>
      <c r="G365" s="75">
        <f t="shared" si="32"/>
        <v>53.601146388122459</v>
      </c>
      <c r="H365" s="68">
        <f t="shared" si="33"/>
        <v>1.5314613253749275E-2</v>
      </c>
      <c r="I365" s="56"/>
    </row>
    <row r="366" spans="1:9" x14ac:dyDescent="0.25">
      <c r="A366" s="65">
        <v>43084</v>
      </c>
      <c r="B366" s="66">
        <f t="shared" si="34"/>
        <v>364</v>
      </c>
      <c r="C366" s="67">
        <f t="shared" si="35"/>
        <v>161.7137546250728</v>
      </c>
      <c r="D366" s="67">
        <v>160</v>
      </c>
      <c r="E366" s="75">
        <f t="shared" si="30"/>
        <v>1.7137546250727951</v>
      </c>
      <c r="F366" s="67">
        <f t="shared" si="31"/>
        <v>2102.2788101259462</v>
      </c>
      <c r="G366" s="75">
        <f t="shared" si="32"/>
        <v>53.126393377256647</v>
      </c>
      <c r="H366" s="68">
        <f t="shared" si="33"/>
        <v>1.5178969536359043E-2</v>
      </c>
      <c r="I366" s="56"/>
    </row>
    <row r="367" spans="1:9" x14ac:dyDescent="0.25">
      <c r="A367" s="65">
        <v>43084</v>
      </c>
      <c r="B367" s="66">
        <f t="shared" si="34"/>
        <v>365</v>
      </c>
      <c r="C367" s="67">
        <f t="shared" si="35"/>
        <v>161.69857565553644</v>
      </c>
      <c r="D367" s="67">
        <v>160</v>
      </c>
      <c r="E367" s="75">
        <f t="shared" si="30"/>
        <v>1.6985756555364446</v>
      </c>
      <c r="F367" s="67">
        <f t="shared" si="31"/>
        <v>2102.081483521974</v>
      </c>
      <c r="G367" s="75">
        <f t="shared" si="32"/>
        <v>52.655845321629783</v>
      </c>
      <c r="H367" s="68">
        <f t="shared" si="33"/>
        <v>1.5044527234751366E-2</v>
      </c>
      <c r="I367" s="56"/>
    </row>
    <row r="368" spans="1:9" x14ac:dyDescent="0.25">
      <c r="A368" s="65">
        <v>43084</v>
      </c>
      <c r="B368" s="66">
        <f t="shared" si="34"/>
        <v>366</v>
      </c>
      <c r="C368" s="67">
        <f t="shared" si="35"/>
        <v>161.68353112830169</v>
      </c>
      <c r="D368" s="67">
        <v>160</v>
      </c>
      <c r="E368" s="75">
        <f t="shared" si="30"/>
        <v>1.6835311283016949</v>
      </c>
      <c r="F368" s="67">
        <f t="shared" si="31"/>
        <v>2101.8859046679222</v>
      </c>
      <c r="G368" s="75">
        <f t="shared" si="32"/>
        <v>52.189464977352543</v>
      </c>
      <c r="H368" s="68">
        <f t="shared" si="33"/>
        <v>1.4911275707815013E-2</v>
      </c>
      <c r="I368" s="56"/>
    </row>
    <row r="369" spans="1:9" x14ac:dyDescent="0.25">
      <c r="A369" s="65">
        <v>43084</v>
      </c>
      <c r="B369" s="66">
        <f t="shared" si="34"/>
        <v>367</v>
      </c>
      <c r="C369" s="67">
        <f t="shared" si="35"/>
        <v>161.66861985259388</v>
      </c>
      <c r="D369" s="67">
        <v>160</v>
      </c>
      <c r="E369" s="75">
        <f t="shared" si="30"/>
        <v>1.6686198525938778</v>
      </c>
      <c r="F369" s="67">
        <f t="shared" si="31"/>
        <v>2101.6920580837204</v>
      </c>
      <c r="G369" s="75">
        <f t="shared" si="32"/>
        <v>51.727215430410212</v>
      </c>
      <c r="H369" s="68">
        <f t="shared" si="33"/>
        <v>1.4779204408688632E-2</v>
      </c>
      <c r="I369" s="56"/>
    </row>
    <row r="370" spans="1:9" x14ac:dyDescent="0.25">
      <c r="A370" s="65">
        <v>43084</v>
      </c>
      <c r="B370" s="66">
        <f t="shared" si="34"/>
        <v>368</v>
      </c>
      <c r="C370" s="67">
        <f t="shared" si="35"/>
        <v>161.6538406481852</v>
      </c>
      <c r="D370" s="67">
        <v>160</v>
      </c>
      <c r="E370" s="75">
        <f t="shared" si="30"/>
        <v>1.6538406481851951</v>
      </c>
      <c r="F370" s="67">
        <f t="shared" si="31"/>
        <v>2101.4999284264077</v>
      </c>
      <c r="G370" s="75">
        <f t="shared" si="32"/>
        <v>51.269060093741047</v>
      </c>
      <c r="H370" s="68">
        <f t="shared" si="33"/>
        <v>1.4648302883926012E-2</v>
      </c>
      <c r="I370" s="56"/>
    </row>
    <row r="371" spans="1:9" x14ac:dyDescent="0.25">
      <c r="A371" s="65">
        <v>43084</v>
      </c>
      <c r="B371" s="66">
        <f t="shared" si="34"/>
        <v>369</v>
      </c>
      <c r="C371" s="67">
        <f t="shared" si="35"/>
        <v>161.63919234530127</v>
      </c>
      <c r="D371" s="67">
        <v>160</v>
      </c>
      <c r="E371" s="75">
        <f t="shared" si="30"/>
        <v>1.639192345301268</v>
      </c>
      <c r="F371" s="67">
        <f t="shared" si="31"/>
        <v>2101.3095004889165</v>
      </c>
      <c r="G371" s="75">
        <f t="shared" si="32"/>
        <v>50.814962704339308</v>
      </c>
      <c r="H371" s="68">
        <f t="shared" si="33"/>
        <v>1.4518560772668374E-2</v>
      </c>
      <c r="I371" s="56"/>
    </row>
    <row r="372" spans="1:9" x14ac:dyDescent="0.25">
      <c r="A372" s="65">
        <v>43084</v>
      </c>
      <c r="B372" s="66">
        <f t="shared" si="34"/>
        <v>370</v>
      </c>
      <c r="C372" s="67">
        <f t="shared" si="35"/>
        <v>161.6246737845286</v>
      </c>
      <c r="D372" s="67">
        <v>160</v>
      </c>
      <c r="E372" s="75">
        <f t="shared" si="30"/>
        <v>1.6246737845285963</v>
      </c>
      <c r="F372" s="67">
        <f t="shared" si="31"/>
        <v>2101.1207591988718</v>
      </c>
      <c r="G372" s="75">
        <f t="shared" si="32"/>
        <v>50.364887320386487</v>
      </c>
      <c r="H372" s="68">
        <f t="shared" si="33"/>
        <v>1.4389967805824711E-2</v>
      </c>
      <c r="I372" s="56"/>
    </row>
    <row r="373" spans="1:9" x14ac:dyDescent="0.25">
      <c r="A373" s="65">
        <v>43084</v>
      </c>
      <c r="B373" s="66">
        <f t="shared" si="34"/>
        <v>371</v>
      </c>
      <c r="C373" s="67">
        <f t="shared" si="35"/>
        <v>161.61028381672278</v>
      </c>
      <c r="D373" s="67">
        <v>160</v>
      </c>
      <c r="E373" s="75">
        <f t="shared" si="30"/>
        <v>1.6102838167227844</v>
      </c>
      <c r="F373" s="67">
        <f t="shared" si="31"/>
        <v>2100.9336896173963</v>
      </c>
      <c r="G373" s="75">
        <f t="shared" si="32"/>
        <v>49.918798318406317</v>
      </c>
      <c r="H373" s="68">
        <f t="shared" si="33"/>
        <v>1.4262513805258947E-2</v>
      </c>
      <c r="I373" s="56"/>
    </row>
    <row r="374" spans="1:9" x14ac:dyDescent="0.25">
      <c r="A374" s="65">
        <v>43084</v>
      </c>
      <c r="B374" s="66">
        <f t="shared" si="34"/>
        <v>372</v>
      </c>
      <c r="C374" s="67">
        <f t="shared" si="35"/>
        <v>161.59602130291753</v>
      </c>
      <c r="D374" s="67">
        <v>160</v>
      </c>
      <c r="E374" s="75">
        <f t="shared" si="30"/>
        <v>1.596021302917535</v>
      </c>
      <c r="F374" s="67">
        <f t="shared" si="31"/>
        <v>2100.748276937928</v>
      </c>
      <c r="G374" s="75">
        <f t="shared" si="32"/>
        <v>49.476660390443584</v>
      </c>
      <c r="H374" s="68">
        <f t="shared" si="33"/>
        <v>1.413618868298388E-2</v>
      </c>
      <c r="I374" s="56"/>
    </row>
    <row r="375" spans="1:9" x14ac:dyDescent="0.25">
      <c r="A375" s="65">
        <v>43084</v>
      </c>
      <c r="B375" s="66">
        <f t="shared" si="34"/>
        <v>373</v>
      </c>
      <c r="C375" s="67">
        <f t="shared" si="35"/>
        <v>161.58188511423455</v>
      </c>
      <c r="D375" s="67">
        <v>160</v>
      </c>
      <c r="E375" s="75">
        <f t="shared" si="30"/>
        <v>1.5818851142345522</v>
      </c>
      <c r="F375" s="67">
        <f t="shared" si="31"/>
        <v>2100.5645064850492</v>
      </c>
      <c r="G375" s="75">
        <f t="shared" si="32"/>
        <v>49.03843854127112</v>
      </c>
      <c r="H375" s="68">
        <f t="shared" si="33"/>
        <v>1.4010982440363176E-2</v>
      </c>
      <c r="I375" s="56"/>
    </row>
    <row r="376" spans="1:9" x14ac:dyDescent="0.25">
      <c r="A376" s="65">
        <v>43084</v>
      </c>
      <c r="B376" s="66">
        <f t="shared" si="34"/>
        <v>374</v>
      </c>
      <c r="C376" s="67">
        <f t="shared" si="35"/>
        <v>161.56787413179418</v>
      </c>
      <c r="D376" s="67">
        <v>160</v>
      </c>
      <c r="E376" s="75">
        <f t="shared" si="30"/>
        <v>1.5678741317941842</v>
      </c>
      <c r="F376" s="67">
        <f t="shared" si="31"/>
        <v>2100.3823637133246</v>
      </c>
      <c r="G376" s="75">
        <f t="shared" si="32"/>
        <v>48.604098085619711</v>
      </c>
      <c r="H376" s="68">
        <f t="shared" si="33"/>
        <v>1.3886885167319918E-2</v>
      </c>
      <c r="I376" s="56"/>
    </row>
    <row r="377" spans="1:9" x14ac:dyDescent="0.25">
      <c r="A377" s="65">
        <v>43084</v>
      </c>
      <c r="B377" s="66">
        <f t="shared" si="34"/>
        <v>375</v>
      </c>
      <c r="C377" s="67">
        <f t="shared" si="35"/>
        <v>161.55398724662686</v>
      </c>
      <c r="D377" s="67">
        <v>160</v>
      </c>
      <c r="E377" s="75">
        <f t="shared" si="30"/>
        <v>1.5539872466268605</v>
      </c>
      <c r="F377" s="67">
        <f t="shared" si="31"/>
        <v>2100.2018342061492</v>
      </c>
      <c r="G377" s="75">
        <f t="shared" si="32"/>
        <v>48.173604645432675</v>
      </c>
      <c r="H377" s="68">
        <f t="shared" si="33"/>
        <v>1.3763887041552193E-2</v>
      </c>
      <c r="I377" s="56"/>
    </row>
    <row r="378" spans="1:9" x14ac:dyDescent="0.25">
      <c r="A378" s="65">
        <v>43084</v>
      </c>
      <c r="B378" s="66">
        <f t="shared" si="34"/>
        <v>376</v>
      </c>
      <c r="C378" s="67">
        <f t="shared" si="35"/>
        <v>161.5402233595853</v>
      </c>
      <c r="D378" s="67">
        <v>160</v>
      </c>
      <c r="E378" s="75">
        <f t="shared" si="30"/>
        <v>1.5402233595852977</v>
      </c>
      <c r="F378" s="67">
        <f t="shared" si="31"/>
        <v>2100.0229036746086</v>
      </c>
      <c r="G378" s="75">
        <f t="shared" si="32"/>
        <v>47.746924147144227</v>
      </c>
      <c r="H378" s="68">
        <f t="shared" si="33"/>
        <v>1.3641978327755494E-2</v>
      </c>
      <c r="I378" s="56"/>
    </row>
    <row r="379" spans="1:9" x14ac:dyDescent="0.25">
      <c r="A379" s="65">
        <v>43084</v>
      </c>
      <c r="B379" s="66">
        <f t="shared" si="34"/>
        <v>377</v>
      </c>
      <c r="C379" s="67">
        <f t="shared" si="35"/>
        <v>161.52658138125753</v>
      </c>
      <c r="D379" s="67">
        <v>160</v>
      </c>
      <c r="E379" s="75">
        <f t="shared" si="30"/>
        <v>1.5265813812575288</v>
      </c>
      <c r="F379" s="67">
        <f t="shared" si="31"/>
        <v>2099.8455579563479</v>
      </c>
      <c r="G379" s="75">
        <f t="shared" si="32"/>
        <v>47.324022818983394</v>
      </c>
      <c r="H379" s="68">
        <f t="shared" si="33"/>
        <v>1.3521149376852398E-2</v>
      </c>
      <c r="I379" s="56"/>
    </row>
    <row r="380" spans="1:9" x14ac:dyDescent="0.25">
      <c r="A380" s="65">
        <v>43084</v>
      </c>
      <c r="B380" s="66">
        <f t="shared" si="34"/>
        <v>378</v>
      </c>
      <c r="C380" s="67">
        <f t="shared" si="35"/>
        <v>161.51306023188067</v>
      </c>
      <c r="D380" s="67">
        <v>160</v>
      </c>
      <c r="E380" s="75">
        <f t="shared" si="30"/>
        <v>1.5130602318806723</v>
      </c>
      <c r="F380" s="67">
        <f t="shared" si="31"/>
        <v>2099.6697830144485</v>
      </c>
      <c r="G380" s="75">
        <f t="shared" si="32"/>
        <v>46.904867188300841</v>
      </c>
      <c r="H380" s="68">
        <f t="shared" si="33"/>
        <v>1.3401390625228812E-2</v>
      </c>
      <c r="I380" s="56"/>
    </row>
    <row r="381" spans="1:9" x14ac:dyDescent="0.25">
      <c r="A381" s="65">
        <v>43084</v>
      </c>
      <c r="B381" s="66">
        <f t="shared" si="34"/>
        <v>379</v>
      </c>
      <c r="C381" s="67">
        <f t="shared" si="35"/>
        <v>161.49965884125544</v>
      </c>
      <c r="D381" s="67">
        <v>160</v>
      </c>
      <c r="E381" s="75">
        <f t="shared" si="30"/>
        <v>1.4996588412554388</v>
      </c>
      <c r="F381" s="67">
        <f t="shared" si="31"/>
        <v>2099.4955649363205</v>
      </c>
      <c r="G381" s="75">
        <f t="shared" si="32"/>
        <v>46.489424078918603</v>
      </c>
      <c r="H381" s="68">
        <f t="shared" si="33"/>
        <v>1.3282692593976743E-2</v>
      </c>
      <c r="I381" s="56"/>
    </row>
    <row r="382" spans="1:9" x14ac:dyDescent="0.25">
      <c r="A382" s="65">
        <v>43084</v>
      </c>
      <c r="B382" s="66">
        <f t="shared" si="34"/>
        <v>380</v>
      </c>
      <c r="C382" s="67">
        <f t="shared" si="35"/>
        <v>161.48637614866146</v>
      </c>
      <c r="D382" s="67">
        <v>160</v>
      </c>
      <c r="E382" s="75">
        <f t="shared" si="30"/>
        <v>1.4863761486614635</v>
      </c>
      <c r="F382" s="67">
        <f t="shared" si="31"/>
        <v>2099.3228899325991</v>
      </c>
      <c r="G382" s="75">
        <f t="shared" si="32"/>
        <v>46.077660608505369</v>
      </c>
      <c r="H382" s="68">
        <f t="shared" si="33"/>
        <v>1.3165045888144392E-2</v>
      </c>
      <c r="I382" s="56"/>
    </row>
    <row r="383" spans="1:9" x14ac:dyDescent="0.25">
      <c r="A383" s="65">
        <v>43084</v>
      </c>
      <c r="B383" s="66">
        <f t="shared" si="34"/>
        <v>381</v>
      </c>
      <c r="C383" s="67">
        <f t="shared" si="35"/>
        <v>161.47321110277332</v>
      </c>
      <c r="D383" s="67">
        <v>160</v>
      </c>
      <c r="E383" s="75">
        <f t="shared" si="30"/>
        <v>1.4732111027733197</v>
      </c>
      <c r="F383" s="67">
        <f t="shared" si="31"/>
        <v>2099.1517443360531</v>
      </c>
      <c r="G383" s="75">
        <f t="shared" si="32"/>
        <v>45.66954418597291</v>
      </c>
      <c r="H383" s="68">
        <f t="shared" si="33"/>
        <v>1.304844119599226E-2</v>
      </c>
      <c r="I383" s="56"/>
    </row>
    <row r="384" spans="1:9" x14ac:dyDescent="0.25">
      <c r="A384" s="65">
        <v>43084</v>
      </c>
      <c r="B384" s="66">
        <f t="shared" si="34"/>
        <v>382</v>
      </c>
      <c r="C384" s="67">
        <f t="shared" si="35"/>
        <v>161.46016266157733</v>
      </c>
      <c r="D384" s="67">
        <v>160</v>
      </c>
      <c r="E384" s="75">
        <f t="shared" si="30"/>
        <v>1.4601626615773284</v>
      </c>
      <c r="F384" s="67">
        <f t="shared" si="31"/>
        <v>2098.9821146005052</v>
      </c>
      <c r="G384" s="75">
        <f t="shared" si="32"/>
        <v>45.265042508897182</v>
      </c>
      <c r="H384" s="68">
        <f t="shared" si="33"/>
        <v>1.2932869288256337E-2</v>
      </c>
      <c r="I384" s="56"/>
    </row>
    <row r="385" spans="1:9" x14ac:dyDescent="0.25">
      <c r="A385" s="65">
        <v>43084</v>
      </c>
      <c r="B385" s="66">
        <f t="shared" si="34"/>
        <v>383</v>
      </c>
      <c r="C385" s="67">
        <f t="shared" si="35"/>
        <v>161.44722979228908</v>
      </c>
      <c r="D385" s="67">
        <v>160</v>
      </c>
      <c r="E385" s="75">
        <f t="shared" si="30"/>
        <v>1.4472297922890789</v>
      </c>
      <c r="F385" s="67">
        <f t="shared" si="31"/>
        <v>2098.8139872997581</v>
      </c>
      <c r="G385" s="75">
        <f t="shared" si="32"/>
        <v>44.864123560961445</v>
      </c>
      <c r="H385" s="68">
        <f t="shared" si="33"/>
        <v>1.2818321017417556E-2</v>
      </c>
      <c r="I385" s="56"/>
    </row>
    <row r="386" spans="1:9" x14ac:dyDescent="0.25">
      <c r="A386" s="65">
        <v>43084</v>
      </c>
      <c r="B386" s="66">
        <f t="shared" si="34"/>
        <v>384</v>
      </c>
      <c r="C386" s="67">
        <f t="shared" si="35"/>
        <v>161.43441147127166</v>
      </c>
      <c r="D386" s="67">
        <v>160</v>
      </c>
      <c r="E386" s="75">
        <f t="shared" si="30"/>
        <v>1.4344114712716589</v>
      </c>
      <c r="F386" s="67">
        <f t="shared" si="31"/>
        <v>2098.6473491265315</v>
      </c>
      <c r="G386" s="75">
        <f t="shared" si="32"/>
        <v>44.466755609421426</v>
      </c>
      <c r="H386" s="68">
        <f t="shared" si="33"/>
        <v>1.270478731697755E-2</v>
      </c>
      <c r="I386" s="56"/>
    </row>
    <row r="387" spans="1:9" x14ac:dyDescent="0.25">
      <c r="A387" s="65">
        <v>43084</v>
      </c>
      <c r="B387" s="66">
        <f t="shared" si="34"/>
        <v>385</v>
      </c>
      <c r="C387" s="67">
        <f t="shared" si="35"/>
        <v>161.42170668395468</v>
      </c>
      <c r="D387" s="67">
        <v>160</v>
      </c>
      <c r="E387" s="75">
        <f t="shared" ref="E387:E388" si="36">C387-D387</f>
        <v>1.4217066839546817</v>
      </c>
      <c r="F387" s="67">
        <f t="shared" si="31"/>
        <v>2098.4821868914109</v>
      </c>
      <c r="G387" s="75">
        <f t="shared" si="32"/>
        <v>44.072907202595133</v>
      </c>
      <c r="H387" s="68">
        <f t="shared" si="33"/>
        <v>1.2592259200741467E-2</v>
      </c>
      <c r="I387" s="56"/>
    </row>
    <row r="388" spans="1:9" x14ac:dyDescent="0.25">
      <c r="A388" s="114">
        <v>43084</v>
      </c>
      <c r="B388" s="79">
        <f t="shared" si="34"/>
        <v>386</v>
      </c>
      <c r="C388" s="80">
        <f t="shared" si="35"/>
        <v>161.40911442475394</v>
      </c>
      <c r="D388" s="80">
        <v>160</v>
      </c>
      <c r="E388" s="81">
        <f t="shared" si="36"/>
        <v>1.4091144247539376</v>
      </c>
      <c r="F388" s="80">
        <f t="shared" si="31"/>
        <v>2098.3184875218012</v>
      </c>
      <c r="G388" s="81">
        <f t="shared" si="32"/>
        <v>43.682547167372064</v>
      </c>
      <c r="H388" s="84">
        <f t="shared" si="33"/>
        <v>1.2480727762106304E-2</v>
      </c>
      <c r="I388" s="56"/>
    </row>
  </sheetData>
  <sheetProtection sheet="1" objects="1" scenarios="1"/>
  <mergeCells count="3">
    <mergeCell ref="J1:M1"/>
    <mergeCell ref="N1:Q1"/>
    <mergeCell ref="S1:X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50" zoomScaleNormal="150" workbookViewId="0">
      <selection activeCell="A5" sqref="A5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6" t="s">
        <v>19</v>
      </c>
    </row>
    <row r="2" spans="1:9" x14ac:dyDescent="0.25">
      <c r="A2" s="7" t="s">
        <v>20</v>
      </c>
    </row>
    <row r="4" spans="1:9" x14ac:dyDescent="0.25">
      <c r="A4" t="s">
        <v>21</v>
      </c>
      <c r="B4" s="8">
        <f>$B$11*$D$18</f>
        <v>2529.6625000000004</v>
      </c>
      <c r="C4" t="s">
        <v>22</v>
      </c>
    </row>
    <row r="5" spans="1:9" x14ac:dyDescent="0.25">
      <c r="A5" t="s">
        <v>23</v>
      </c>
      <c r="B5" s="9">
        <f>$B$4/Measured!B5</f>
        <v>12.443002951303493</v>
      </c>
      <c r="C5" t="s">
        <v>24</v>
      </c>
    </row>
    <row r="7" spans="1:9" x14ac:dyDescent="0.25">
      <c r="A7" s="10" t="s">
        <v>25</v>
      </c>
      <c r="B7" s="11">
        <f>Measured!B6*2.54</f>
        <v>179.07</v>
      </c>
      <c r="C7" s="10" t="s">
        <v>26</v>
      </c>
      <c r="D7" s="10"/>
      <c r="E7" s="10"/>
    </row>
    <row r="8" spans="1:9" x14ac:dyDescent="0.25">
      <c r="A8" s="10" t="s">
        <v>27</v>
      </c>
      <c r="B8" s="11">
        <f>Measured!B5/2.2</f>
        <v>92.409090909090907</v>
      </c>
      <c r="C8" s="10" t="s">
        <v>26</v>
      </c>
      <c r="D8" s="10"/>
      <c r="E8" s="10"/>
    </row>
    <row r="9" spans="1:9" x14ac:dyDescent="0.25">
      <c r="A9" s="12"/>
      <c r="B9" s="12" t="s">
        <v>2</v>
      </c>
      <c r="C9" s="12" t="s">
        <v>28</v>
      </c>
      <c r="D9" s="12"/>
      <c r="E9" s="10"/>
    </row>
    <row r="10" spans="1:9" x14ac:dyDescent="0.25">
      <c r="A10" s="12" t="s">
        <v>29</v>
      </c>
      <c r="B10" s="13">
        <f>66+(13.7*$B$8)+(5*$B$7)-(6.8*Measured!$B$4)</f>
        <v>1839.7545454545457</v>
      </c>
      <c r="C10" s="13">
        <f>655+(9.6*$B$8)+(1.8*$B$7)-(4.7*Measured!$B$4)</f>
        <v>1596.5532727272725</v>
      </c>
      <c r="D10" s="12"/>
      <c r="E10" s="10"/>
    </row>
    <row r="11" spans="1:9" x14ac:dyDescent="0.25">
      <c r="A11" s="12" t="s">
        <v>30</v>
      </c>
      <c r="B11" s="13">
        <f>IF(Measured!$B$3="Male",$B$10,$C$10)</f>
        <v>1839.7545454545457</v>
      </c>
      <c r="C11" s="13"/>
      <c r="D11" s="12"/>
      <c r="E11" s="10"/>
    </row>
    <row r="12" spans="1:9" x14ac:dyDescent="0.25">
      <c r="A12" s="12"/>
      <c r="B12" s="12"/>
      <c r="C12" s="12"/>
      <c r="D12" s="12"/>
      <c r="E12" s="10"/>
    </row>
    <row r="13" spans="1:9" x14ac:dyDescent="0.25">
      <c r="A13" s="12" t="s">
        <v>31</v>
      </c>
      <c r="B13" s="14" t="b">
        <f>IF(Measured!$B$12=$A13,1)</f>
        <v>0</v>
      </c>
      <c r="C13" s="12">
        <v>1.2</v>
      </c>
      <c r="D13" s="12">
        <f>IF(B13,C13,0)</f>
        <v>0</v>
      </c>
      <c r="E13" s="10"/>
      <c r="I13" s="15"/>
    </row>
    <row r="14" spans="1:9" x14ac:dyDescent="0.25">
      <c r="A14" s="12" t="s">
        <v>15</v>
      </c>
      <c r="B14" s="14">
        <f>IF(Measured!$B$12=$A14,1)</f>
        <v>1</v>
      </c>
      <c r="C14" s="12">
        <v>1.375</v>
      </c>
      <c r="D14" s="12">
        <f>IF(B14,C14,0)</f>
        <v>1.375</v>
      </c>
      <c r="E14" s="10"/>
      <c r="I14" s="15"/>
    </row>
    <row r="15" spans="1:9" x14ac:dyDescent="0.25">
      <c r="A15" s="12" t="s">
        <v>32</v>
      </c>
      <c r="B15" s="14" t="b">
        <f>IF(Measured!$B$12=$A15,1)</f>
        <v>0</v>
      </c>
      <c r="C15" s="12">
        <v>1.55</v>
      </c>
      <c r="D15" s="12">
        <f>IF(B15,C15,0)</f>
        <v>0</v>
      </c>
      <c r="E15" s="10"/>
      <c r="I15" s="15"/>
    </row>
    <row r="16" spans="1:9" x14ac:dyDescent="0.25">
      <c r="A16" s="12" t="s">
        <v>33</v>
      </c>
      <c r="B16" s="14" t="b">
        <f>IF(Measured!$B$12=$A16,1)</f>
        <v>0</v>
      </c>
      <c r="C16" s="12">
        <v>1.7250000000000001</v>
      </c>
      <c r="D16" s="12">
        <f>IF(B16,C16,0)</f>
        <v>0</v>
      </c>
      <c r="E16" s="10"/>
      <c r="I16" s="15"/>
    </row>
    <row r="17" spans="1:9" x14ac:dyDescent="0.25">
      <c r="A17" s="12" t="s">
        <v>34</v>
      </c>
      <c r="B17" s="14" t="b">
        <f>IF(Measured!$B$12=$A17,1)</f>
        <v>0</v>
      </c>
      <c r="C17" s="12">
        <v>1.9</v>
      </c>
      <c r="D17" s="12">
        <f>IF(B17,C17,0)</f>
        <v>0</v>
      </c>
      <c r="E17" s="10"/>
      <c r="I17" s="15"/>
    </row>
    <row r="18" spans="1:9" x14ac:dyDescent="0.25">
      <c r="A18" s="12"/>
      <c r="B18" s="12"/>
      <c r="C18" s="12"/>
      <c r="D18" s="12">
        <f>MAX(D13:D17)</f>
        <v>1.375</v>
      </c>
      <c r="E18" s="10"/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50" zoomScaleNormal="150" workbookViewId="0">
      <selection activeCell="B15" sqref="B15"/>
    </sheetView>
  </sheetViews>
  <sheetFormatPr defaultRowHeight="15" x14ac:dyDescent="0.25"/>
  <cols>
    <col min="1" max="1" width="14" style="1" customWidth="1"/>
    <col min="2" max="2" width="5.5703125" style="1" customWidth="1"/>
    <col min="3" max="3" width="7.28515625" style="1" customWidth="1"/>
    <col min="4" max="4" width="12.85546875" style="1" customWidth="1"/>
    <col min="5" max="1025" width="8.7109375" style="1" customWidth="1"/>
  </cols>
  <sheetData>
    <row r="1" spans="1:7" ht="18.75" x14ac:dyDescent="0.3">
      <c r="A1" s="2" t="s">
        <v>35</v>
      </c>
    </row>
    <row r="2" spans="1:7" x14ac:dyDescent="0.25">
      <c r="A2" s="7" t="s">
        <v>36</v>
      </c>
    </row>
    <row r="4" spans="1:7" x14ac:dyDescent="0.25">
      <c r="A4" s="16" t="s">
        <v>37</v>
      </c>
      <c r="B4" s="17">
        <f>IF(Measured!$B$3="Male",$B$13,$B$14)</f>
        <v>26.631813493581198</v>
      </c>
    </row>
    <row r="5" spans="1:7" x14ac:dyDescent="0.25">
      <c r="A5" s="1" t="s">
        <v>38</v>
      </c>
      <c r="B5" s="18">
        <f>Measured!$B$5</f>
        <v>203.3</v>
      </c>
      <c r="C5" s="1" t="s">
        <v>6</v>
      </c>
      <c r="D5" s="1" t="s">
        <v>39</v>
      </c>
    </row>
    <row r="6" spans="1:7" x14ac:dyDescent="0.25">
      <c r="A6" s="1" t="s">
        <v>40</v>
      </c>
      <c r="B6" s="18">
        <f>$B$5*(1-($B$4/100))</f>
        <v>149.15752316754944</v>
      </c>
      <c r="C6" s="1" t="s">
        <v>6</v>
      </c>
      <c r="D6" s="1" t="s">
        <v>41</v>
      </c>
    </row>
    <row r="8" spans="1:7" x14ac:dyDescent="0.25">
      <c r="A8" s="19" t="s">
        <v>7</v>
      </c>
      <c r="B8" s="19">
        <f>Measured!$B$6</f>
        <v>70.5</v>
      </c>
      <c r="C8" s="19" t="s">
        <v>39</v>
      </c>
      <c r="D8" s="19"/>
      <c r="E8" s="19"/>
    </row>
    <row r="9" spans="1:7" x14ac:dyDescent="0.25">
      <c r="A9" s="19" t="s">
        <v>9</v>
      </c>
      <c r="B9" s="19">
        <f>Measured!$B$7</f>
        <v>15</v>
      </c>
      <c r="C9" s="19" t="s">
        <v>39</v>
      </c>
      <c r="D9" s="19"/>
      <c r="E9" s="19"/>
    </row>
    <row r="10" spans="1:7" x14ac:dyDescent="0.25">
      <c r="A10" s="19" t="s">
        <v>10</v>
      </c>
      <c r="B10" s="19">
        <f>Measured!$B$8</f>
        <v>38.75</v>
      </c>
      <c r="C10" s="19" t="s">
        <v>39</v>
      </c>
      <c r="D10" s="19"/>
      <c r="E10" s="19"/>
    </row>
    <row r="11" spans="1:7" x14ac:dyDescent="0.25">
      <c r="A11" s="19" t="s">
        <v>13</v>
      </c>
      <c r="B11" s="19">
        <f>Measured!$B$11</f>
        <v>50</v>
      </c>
      <c r="C11" s="19" t="s">
        <v>39</v>
      </c>
      <c r="D11" s="19"/>
      <c r="E11" s="19"/>
    </row>
    <row r="12" spans="1:7" x14ac:dyDescent="0.25">
      <c r="A12" s="19"/>
      <c r="B12" s="19"/>
      <c r="C12" s="19"/>
      <c r="D12" s="19"/>
      <c r="E12" s="19"/>
    </row>
    <row r="13" spans="1:7" x14ac:dyDescent="0.25">
      <c r="A13" s="19" t="s">
        <v>2</v>
      </c>
      <c r="B13" s="20">
        <f>86.01*(LOG10($B$10-$B$9))-70.041*LOG10($B$8)+37.76</f>
        <v>26.631813493581198</v>
      </c>
      <c r="C13" s="19" t="s">
        <v>42</v>
      </c>
      <c r="D13" s="19"/>
      <c r="E13" s="19"/>
      <c r="G13" s="1">
        <v>-78.387</v>
      </c>
    </row>
    <row r="14" spans="1:7" x14ac:dyDescent="0.25">
      <c r="A14" s="19" t="s">
        <v>28</v>
      </c>
      <c r="B14" s="20">
        <f>(163.205*LOG10($B$11+$B$10-$B$9))-(97.684*LOG10($B$8))-78.387</f>
        <v>45.902595528848252</v>
      </c>
      <c r="C14" s="19" t="s">
        <v>43</v>
      </c>
      <c r="D14" s="19"/>
      <c r="E14" s="19"/>
      <c r="G14" s="1">
        <f>163.205*LOG10($B$11+$B$10-$B$9)</f>
        <v>304.82810123303602</v>
      </c>
    </row>
    <row r="15" spans="1:7" x14ac:dyDescent="0.25">
      <c r="G15" s="1">
        <f>-(97.684*LOG10($B$8))</f>
        <v>-180.53850570418777</v>
      </c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50" zoomScaleNormal="150" workbookViewId="0">
      <selection activeCell="A8" sqref="A8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1" t="s">
        <v>44</v>
      </c>
    </row>
    <row r="2" spans="1:6" x14ac:dyDescent="0.25">
      <c r="A2" t="s">
        <v>45</v>
      </c>
    </row>
    <row r="4" spans="1:6" x14ac:dyDescent="0.25">
      <c r="A4" t="s">
        <v>46</v>
      </c>
      <c r="B4" s="22">
        <f>MAX(D8:D12)</f>
        <v>0.8</v>
      </c>
      <c r="C4" t="s">
        <v>47</v>
      </c>
    </row>
    <row r="5" spans="1:6" x14ac:dyDescent="0.25">
      <c r="A5" t="s">
        <v>48</v>
      </c>
      <c r="B5" s="23">
        <f>BF_DoD!B6</f>
        <v>149.15752316754944</v>
      </c>
      <c r="C5" t="s">
        <v>49</v>
      </c>
    </row>
    <row r="6" spans="1:6" x14ac:dyDescent="0.25">
      <c r="A6" t="s">
        <v>44</v>
      </c>
      <c r="B6" s="23">
        <f>B5*B4</f>
        <v>119.32601853403956</v>
      </c>
      <c r="C6" t="s">
        <v>50</v>
      </c>
    </row>
    <row r="7" spans="1:6" x14ac:dyDescent="0.25">
      <c r="A7" s="24"/>
      <c r="B7" s="24"/>
      <c r="C7" s="24"/>
      <c r="D7" s="24"/>
      <c r="E7" s="24"/>
      <c r="F7" s="24"/>
    </row>
    <row r="8" spans="1:6" x14ac:dyDescent="0.25">
      <c r="A8" s="24" t="s">
        <v>31</v>
      </c>
      <c r="B8" s="24">
        <v>0.69</v>
      </c>
      <c r="C8" s="25">
        <f>IF(A8=Measured!$B$12,1,0)</f>
        <v>0</v>
      </c>
      <c r="D8" s="24">
        <f>IF(C8=1,B8,0)</f>
        <v>0</v>
      </c>
      <c r="E8" s="24"/>
      <c r="F8" s="24"/>
    </row>
    <row r="9" spans="1:6" x14ac:dyDescent="0.25">
      <c r="A9" s="24" t="s">
        <v>15</v>
      </c>
      <c r="B9" s="24">
        <v>0.8</v>
      </c>
      <c r="C9" s="25">
        <f>IF(A9=Measured!$B$12,1,0)</f>
        <v>1</v>
      </c>
      <c r="D9" s="24">
        <f>IF(C9=1,B9,0)</f>
        <v>0.8</v>
      </c>
      <c r="E9" s="24"/>
      <c r="F9" s="24"/>
    </row>
    <row r="10" spans="1:6" x14ac:dyDescent="0.25">
      <c r="A10" s="24" t="s">
        <v>32</v>
      </c>
      <c r="B10" s="24">
        <v>0.9</v>
      </c>
      <c r="C10" s="25">
        <f>IF(A10=Measured!$B$12,1,0)</f>
        <v>0</v>
      </c>
      <c r="D10" s="24">
        <f>IF(C10=1,B10,0)</f>
        <v>0</v>
      </c>
      <c r="E10" s="24"/>
      <c r="F10" s="24"/>
    </row>
    <row r="11" spans="1:6" x14ac:dyDescent="0.25">
      <c r="A11" s="24" t="s">
        <v>33</v>
      </c>
      <c r="B11" s="24">
        <v>1</v>
      </c>
      <c r="C11" s="25">
        <f>IF(A11=Measured!$B$12,1,0)</f>
        <v>0</v>
      </c>
      <c r="D11" s="24">
        <f>IF(C11=1,B11,0)</f>
        <v>0</v>
      </c>
      <c r="E11" s="24"/>
      <c r="F11" s="24"/>
    </row>
    <row r="12" spans="1:6" x14ac:dyDescent="0.25">
      <c r="A12" s="24" t="s">
        <v>34</v>
      </c>
      <c r="B12" s="24">
        <v>1.2</v>
      </c>
      <c r="C12" s="25">
        <f>IF(A12=Measured!$B$12,1,0)</f>
        <v>0</v>
      </c>
      <c r="D12" s="24">
        <f>IF(C12=1,B12,0)</f>
        <v>0</v>
      </c>
      <c r="E12" s="24"/>
      <c r="F12" s="24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workbookViewId="0">
      <selection activeCell="B4" sqref="B4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customWidth="1"/>
    <col min="6" max="1025" width="8.7109375" customWidth="1"/>
  </cols>
  <sheetData>
    <row r="1" spans="1:5" ht="18.75" x14ac:dyDescent="0.3">
      <c r="A1" s="26" t="s">
        <v>51</v>
      </c>
      <c r="B1" s="27"/>
      <c r="C1" s="27"/>
    </row>
    <row r="2" spans="1:5" x14ac:dyDescent="0.25">
      <c r="A2" s="28" t="s">
        <v>52</v>
      </c>
      <c r="B2" s="27"/>
      <c r="C2" s="27"/>
    </row>
    <row r="4" spans="1:5" x14ac:dyDescent="0.25">
      <c r="A4" s="27" t="s">
        <v>53</v>
      </c>
      <c r="B4" s="29">
        <f>($B$7^1.5)*((SQRT($B$9)/22.667) + (SQRT($B$8)/17.0104))*(($B$10/224)+1)</f>
        <v>185.10902667969179</v>
      </c>
      <c r="C4" s="27" t="s">
        <v>6</v>
      </c>
      <c r="E4" s="30"/>
    </row>
    <row r="5" spans="1:5" x14ac:dyDescent="0.25">
      <c r="A5" s="27" t="s">
        <v>54</v>
      </c>
      <c r="B5" s="31">
        <f>(1+(B10/100))*B4</f>
        <v>212.87538068164554</v>
      </c>
      <c r="C5" s="27" t="s">
        <v>6</v>
      </c>
    </row>
    <row r="7" spans="1:5" x14ac:dyDescent="0.25">
      <c r="A7" s="32" t="s">
        <v>55</v>
      </c>
      <c r="B7" s="32">
        <f>Measured!B6</f>
        <v>70.5</v>
      </c>
      <c r="C7" s="32" t="s">
        <v>56</v>
      </c>
    </row>
    <row r="8" spans="1:5" x14ac:dyDescent="0.25">
      <c r="A8" s="32" t="s">
        <v>11</v>
      </c>
      <c r="B8" s="32">
        <f>Measured!B9</f>
        <v>9</v>
      </c>
      <c r="C8" s="32" t="s">
        <v>56</v>
      </c>
    </row>
    <row r="9" spans="1:5" x14ac:dyDescent="0.25">
      <c r="A9" s="32" t="s">
        <v>12</v>
      </c>
      <c r="B9" s="32">
        <f>Measured!B10</f>
        <v>7</v>
      </c>
      <c r="C9" s="32" t="s">
        <v>56</v>
      </c>
    </row>
    <row r="10" spans="1:5" x14ac:dyDescent="0.25">
      <c r="A10" s="32" t="s">
        <v>57</v>
      </c>
      <c r="B10" s="32">
        <f>Measured!B16</f>
        <v>15</v>
      </c>
      <c r="C10" s="32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1"/>
  <sheetViews>
    <sheetView zoomScale="150" zoomScaleNormal="150" workbookViewId="0">
      <pane ySplit="2" topLeftCell="A27" activePane="bottomLeft" state="frozen"/>
      <selection pane="bottomLeft" activeCell="A30" sqref="A30"/>
    </sheetView>
  </sheetViews>
  <sheetFormatPr defaultRowHeight="15" x14ac:dyDescent="0.25"/>
  <cols>
    <col min="1" max="1" width="11.7109375" customWidth="1"/>
    <col min="2" max="2" width="6" customWidth="1"/>
    <col min="3" max="3" width="7.5703125" customWidth="1"/>
    <col min="4" max="4" width="6" customWidth="1"/>
    <col min="5" max="5" width="6.7109375" customWidth="1"/>
    <col min="6" max="6" width="1.7109375" customWidth="1"/>
    <col min="7" max="7" width="7" customWidth="1"/>
    <col min="8" max="8" width="10.85546875" customWidth="1"/>
    <col min="9" max="9" width="7" customWidth="1"/>
    <col min="10" max="10" width="7.5703125" customWidth="1"/>
    <col min="11" max="11" width="5.7109375" customWidth="1"/>
    <col min="12" max="12" width="5" customWidth="1"/>
    <col min="13" max="13" width="7.5703125" customWidth="1"/>
    <col min="14" max="16" width="6" customWidth="1"/>
    <col min="17" max="17" width="7" customWidth="1"/>
    <col min="18" max="18" width="1.42578125" customWidth="1"/>
    <col min="19" max="19" width="7.140625" style="33" customWidth="1"/>
    <col min="20" max="20" width="5.85546875" style="33" customWidth="1"/>
    <col min="21" max="21" width="7.5703125" style="33" customWidth="1"/>
    <col min="22" max="22" width="8.140625" style="33" customWidth="1"/>
    <col min="23" max="23" width="6.5703125" style="33" customWidth="1"/>
    <col min="24" max="24" width="5.5703125" style="33" customWidth="1"/>
    <col min="25" max="25" width="7.5703125" style="33" customWidth="1"/>
    <col min="26" max="26" width="8.140625" style="33" customWidth="1"/>
    <col min="27" max="27" width="7.5703125" customWidth="1"/>
    <col min="28" max="28" width="7" style="33" customWidth="1"/>
    <col min="29" max="1025" width="8.7109375" customWidth="1"/>
  </cols>
  <sheetData>
    <row r="1" spans="1:29" x14ac:dyDescent="0.25">
      <c r="A1" s="21" t="s">
        <v>58</v>
      </c>
      <c r="B1" s="23">
        <f>BF_DoD!B6*(1+(Measured!B16/100))</f>
        <v>171.53115164268183</v>
      </c>
      <c r="C1" s="34"/>
      <c r="D1" s="34"/>
      <c r="E1" s="34"/>
      <c r="F1" s="34"/>
      <c r="G1" s="115" t="s">
        <v>59</v>
      </c>
      <c r="H1" s="115"/>
      <c r="I1" s="115"/>
      <c r="J1" s="115"/>
      <c r="K1" s="115"/>
      <c r="L1" s="115"/>
      <c r="M1" s="115"/>
      <c r="N1" s="115"/>
      <c r="O1" s="115"/>
      <c r="P1" s="115"/>
      <c r="Q1" s="115"/>
      <c r="S1" s="116" t="s">
        <v>60</v>
      </c>
      <c r="T1" s="116"/>
      <c r="U1" s="116"/>
      <c r="V1" s="116"/>
      <c r="W1" s="117" t="s">
        <v>61</v>
      </c>
      <c r="X1" s="117"/>
      <c r="Y1" s="117"/>
      <c r="Z1" s="117"/>
      <c r="AB1" s="35" t="s">
        <v>62</v>
      </c>
    </row>
    <row r="2" spans="1:29" s="51" customFormat="1" ht="45" x14ac:dyDescent="0.25">
      <c r="A2" s="36" t="s">
        <v>63</v>
      </c>
      <c r="B2" s="37" t="s">
        <v>64</v>
      </c>
      <c r="C2" s="38" t="s">
        <v>65</v>
      </c>
      <c r="D2" s="37" t="s">
        <v>48</v>
      </c>
      <c r="E2" s="39" t="s">
        <v>66</v>
      </c>
      <c r="F2" s="40"/>
      <c r="G2" s="41" t="s">
        <v>67</v>
      </c>
      <c r="H2" s="38" t="s">
        <v>68</v>
      </c>
      <c r="I2" s="38" t="s">
        <v>69</v>
      </c>
      <c r="J2" s="38" t="s">
        <v>70</v>
      </c>
      <c r="K2" s="38" t="s">
        <v>71</v>
      </c>
      <c r="L2" s="38" t="s">
        <v>72</v>
      </c>
      <c r="M2" s="38" t="s">
        <v>73</v>
      </c>
      <c r="N2" s="38" t="s">
        <v>74</v>
      </c>
      <c r="O2" s="38" t="s">
        <v>75</v>
      </c>
      <c r="P2" s="38" t="s">
        <v>76</v>
      </c>
      <c r="Q2" s="42" t="s">
        <v>77</v>
      </c>
      <c r="R2" s="43"/>
      <c r="S2" s="44" t="str">
        <f>FoodLog!$G$1</f>
        <v>Fat
(Cal)</v>
      </c>
      <c r="T2" s="45" t="str">
        <f>FoodLog!$H$1</f>
        <v>Carb
(Cal)</v>
      </c>
      <c r="U2" s="45" t="str">
        <f>FoodLog!$I$1</f>
        <v>Protein
(Cal)</v>
      </c>
      <c r="V2" s="46" t="str">
        <f>FoodLog!$J$1</f>
        <v>Total
Calories</v>
      </c>
      <c r="W2" s="47" t="str">
        <f>FoodLog!$G$1</f>
        <v>Fat
(Cal)</v>
      </c>
      <c r="X2" s="48" t="str">
        <f>FoodLog!$H$1</f>
        <v>Carb
(Cal)</v>
      </c>
      <c r="Y2" s="48" t="str">
        <f>FoodLog!$I$1</f>
        <v>Protein
(Cal)</v>
      </c>
      <c r="Z2" s="49" t="str">
        <f>FoodLog!$J$1</f>
        <v>Total
Calories</v>
      </c>
      <c r="AA2" s="50" t="s">
        <v>78</v>
      </c>
      <c r="AB2" s="47" t="s">
        <v>5</v>
      </c>
      <c r="AC2" s="50" t="s">
        <v>79</v>
      </c>
    </row>
    <row r="3" spans="1:29" x14ac:dyDescent="0.25">
      <c r="A3" s="52">
        <v>42992</v>
      </c>
      <c r="B3" s="53">
        <v>1</v>
      </c>
      <c r="C3" s="54">
        <f>Measured!B5</f>
        <v>203.3</v>
      </c>
      <c r="D3" s="54">
        <f>BF_DoD!B6</f>
        <v>149.15752316754944</v>
      </c>
      <c r="E3" s="55">
        <f t="shared" ref="E3:E34" si="0">C3-D3</f>
        <v>54.142476832450569</v>
      </c>
      <c r="F3" s="56"/>
      <c r="G3" s="57">
        <f>C3*TDEE!$B$5</f>
        <v>2529.6625000000004</v>
      </c>
      <c r="H3" s="54">
        <f>E3*31</f>
        <v>1678.4167818059677</v>
      </c>
      <c r="I3" s="54">
        <f>G3-H3</f>
        <v>851.24571819403263</v>
      </c>
      <c r="J3" s="58">
        <f t="shared" ref="J3:J34" si="1">H3/3500</f>
        <v>0.47954765194456223</v>
      </c>
      <c r="K3" s="54">
        <f t="shared" ref="K3:K34" si="2">N3/9</f>
        <v>32.660182673097147</v>
      </c>
      <c r="L3" s="54">
        <v>20</v>
      </c>
      <c r="M3" s="54">
        <f>Protein_Amt!$B$6</f>
        <v>119.32601853403956</v>
      </c>
      <c r="N3" s="54">
        <f t="shared" ref="N3:N34" si="3">MAX(0,I3-(O3+P3))</f>
        <v>293.94164405787433</v>
      </c>
      <c r="O3" s="54">
        <f t="shared" ref="O3:O34" si="4">4*L3</f>
        <v>80</v>
      </c>
      <c r="P3" s="54">
        <f t="shared" ref="P3:P34" si="5">4*M3</f>
        <v>477.30407413615825</v>
      </c>
      <c r="Q3" s="55">
        <f t="shared" ref="Q3:Q34" si="6">SUM(N3:P3)</f>
        <v>851.24571819403263</v>
      </c>
      <c r="S3" s="59">
        <f>FoodLog!G6</f>
        <v>171</v>
      </c>
      <c r="T3" s="60">
        <f>FoodLog!H6</f>
        <v>52</v>
      </c>
      <c r="U3" s="60">
        <f>FoodLog!I6</f>
        <v>455.6</v>
      </c>
      <c r="V3" s="60">
        <f>FoodLog!J6</f>
        <v>678.6</v>
      </c>
      <c r="W3" s="60">
        <f t="shared" ref="W3:Y6" si="7">-N3+S3</f>
        <v>-122.94164405787433</v>
      </c>
      <c r="X3" s="60">
        <f t="shared" si="7"/>
        <v>-28</v>
      </c>
      <c r="Y3" s="60">
        <f t="shared" si="7"/>
        <v>-21.704074136158226</v>
      </c>
      <c r="Z3" s="61">
        <f>SUM(W3:Y3)</f>
        <v>-172.64571819403255</v>
      </c>
      <c r="AA3" s="62">
        <f t="shared" ref="AA3:AA34" si="8">MIN($H3,($H3+Z3))/3500</f>
        <v>0.43022030388912436</v>
      </c>
      <c r="AB3" s="63">
        <f>Scale!C3</f>
        <v>202.8</v>
      </c>
      <c r="AC3" s="64">
        <f t="shared" ref="AC3:AC23" si="9">C3-AB3</f>
        <v>0.5</v>
      </c>
    </row>
    <row r="4" spans="1:29" x14ac:dyDescent="0.25">
      <c r="A4" s="65">
        <f t="shared" ref="A4:A35" si="10">A3+1</f>
        <v>42993</v>
      </c>
      <c r="B4" s="66">
        <f t="shared" ref="B4:B35" si="11">B3+1</f>
        <v>2</v>
      </c>
      <c r="C4" s="67">
        <f t="shared" ref="C4:C35" si="12">C3-AA3</f>
        <v>202.8697796961109</v>
      </c>
      <c r="D4" s="67">
        <f t="shared" ref="D4:D35" si="13">$D$3</f>
        <v>149.15752316754944</v>
      </c>
      <c r="E4" s="68">
        <f t="shared" si="0"/>
        <v>53.712256528561454</v>
      </c>
      <c r="F4" s="56"/>
      <c r="G4" s="69">
        <f>C4*TDEE!$B$5</f>
        <v>2524.3092674889972</v>
      </c>
      <c r="H4" s="67">
        <f t="shared" ref="H4:H35" si="14">$E4*31</f>
        <v>1665.079952385405</v>
      </c>
      <c r="I4" s="67">
        <f t="shared" ref="I4:I35" si="15">$G4-$H4</f>
        <v>859.22931510359217</v>
      </c>
      <c r="J4" s="58">
        <f t="shared" si="1"/>
        <v>0.47573712925297285</v>
      </c>
      <c r="K4" s="67">
        <f t="shared" si="2"/>
        <v>33.547248996381541</v>
      </c>
      <c r="L4" s="67">
        <v>20</v>
      </c>
      <c r="M4" s="54">
        <f>Protein_Amt!$B$6</f>
        <v>119.32601853403956</v>
      </c>
      <c r="N4" s="67">
        <f t="shared" si="3"/>
        <v>301.92524096743387</v>
      </c>
      <c r="O4" s="67">
        <f t="shared" si="4"/>
        <v>80</v>
      </c>
      <c r="P4" s="67">
        <f t="shared" si="5"/>
        <v>477.30407413615825</v>
      </c>
      <c r="Q4" s="68">
        <f t="shared" si="6"/>
        <v>859.22931510359217</v>
      </c>
      <c r="S4" s="70">
        <f>FoodLog!G11</f>
        <v>173.60999999999999</v>
      </c>
      <c r="T4" s="71">
        <f>FoodLog!H11</f>
        <v>0</v>
      </c>
      <c r="U4" s="71">
        <f>FoodLog!I11</f>
        <v>402.24</v>
      </c>
      <c r="V4" s="71">
        <f>FoodLog!J11</f>
        <v>575.84999999999991</v>
      </c>
      <c r="W4" s="72">
        <f t="shared" si="7"/>
        <v>-128.31524096743388</v>
      </c>
      <c r="X4" s="72">
        <f t="shared" si="7"/>
        <v>-80</v>
      </c>
      <c r="Y4" s="72">
        <f t="shared" si="7"/>
        <v>-75.06407413615824</v>
      </c>
      <c r="Z4" s="73">
        <f>SUM(W4:Y4)</f>
        <v>-283.37931510359215</v>
      </c>
      <c r="AA4" s="62">
        <f t="shared" si="8"/>
        <v>0.39477161065194649</v>
      </c>
      <c r="AB4" s="63">
        <f>Scale!C4</f>
        <v>200.2</v>
      </c>
      <c r="AC4" s="64">
        <f t="shared" si="9"/>
        <v>2.6697796961109077</v>
      </c>
    </row>
    <row r="5" spans="1:29" x14ac:dyDescent="0.25">
      <c r="A5" s="65">
        <f t="shared" si="10"/>
        <v>42994</v>
      </c>
      <c r="B5" s="66">
        <f t="shared" si="11"/>
        <v>3</v>
      </c>
      <c r="C5" s="67">
        <f t="shared" si="12"/>
        <v>202.47500808545894</v>
      </c>
      <c r="D5" s="67">
        <f t="shared" si="13"/>
        <v>149.15752316754944</v>
      </c>
      <c r="E5" s="68">
        <f t="shared" si="0"/>
        <v>53.317484917909496</v>
      </c>
      <c r="F5" s="56"/>
      <c r="G5" s="69">
        <f>C5*TDEE!$B$5</f>
        <v>2519.3971231725641</v>
      </c>
      <c r="H5" s="67">
        <f t="shared" si="14"/>
        <v>1652.8420324551944</v>
      </c>
      <c r="I5" s="67">
        <f t="shared" si="15"/>
        <v>866.55509071736969</v>
      </c>
      <c r="J5" s="58">
        <f t="shared" si="1"/>
        <v>0.47224058070148411</v>
      </c>
      <c r="K5" s="67">
        <f t="shared" si="2"/>
        <v>34.361224064579041</v>
      </c>
      <c r="L5" s="67">
        <v>20</v>
      </c>
      <c r="M5" s="54">
        <f>Protein_Amt!$B$6</f>
        <v>119.32601853403956</v>
      </c>
      <c r="N5" s="67">
        <f t="shared" si="3"/>
        <v>309.25101658121139</v>
      </c>
      <c r="O5" s="67">
        <f t="shared" si="4"/>
        <v>80</v>
      </c>
      <c r="P5" s="67">
        <f t="shared" si="5"/>
        <v>477.30407413615825</v>
      </c>
      <c r="Q5" s="68">
        <f t="shared" si="6"/>
        <v>866.55509071736969</v>
      </c>
      <c r="S5" s="70">
        <f>FoodLog!G17</f>
        <v>282.59999999999997</v>
      </c>
      <c r="T5" s="71">
        <f>FoodLog!H17</f>
        <v>28</v>
      </c>
      <c r="U5" s="71">
        <f>FoodLog!I17</f>
        <v>387.2</v>
      </c>
      <c r="V5" s="71">
        <f>FoodLog!J17</f>
        <v>697.8</v>
      </c>
      <c r="W5" s="72">
        <f t="shared" si="7"/>
        <v>-26.651016581211422</v>
      </c>
      <c r="X5" s="72">
        <f t="shared" si="7"/>
        <v>-52</v>
      </c>
      <c r="Y5" s="72">
        <f t="shared" si="7"/>
        <v>-90.10407413615826</v>
      </c>
      <c r="Z5" s="73">
        <f>SUM(W5:Y5)</f>
        <v>-168.75509071736968</v>
      </c>
      <c r="AA5" s="62">
        <f t="shared" si="8"/>
        <v>0.42402484049652134</v>
      </c>
      <c r="AB5" s="63">
        <f>Scale!C5</f>
        <v>198.4</v>
      </c>
      <c r="AC5" s="64">
        <f t="shared" si="9"/>
        <v>4.0750080854589328</v>
      </c>
    </row>
    <row r="6" spans="1:29" x14ac:dyDescent="0.25">
      <c r="A6" s="65">
        <f t="shared" si="10"/>
        <v>42995</v>
      </c>
      <c r="B6" s="66">
        <f t="shared" si="11"/>
        <v>4</v>
      </c>
      <c r="C6" s="67">
        <f t="shared" si="12"/>
        <v>202.05098324496242</v>
      </c>
      <c r="D6" s="67">
        <f t="shared" si="13"/>
        <v>149.15752316754944</v>
      </c>
      <c r="E6" s="68">
        <f t="shared" si="0"/>
        <v>52.893460077412982</v>
      </c>
      <c r="F6" s="56"/>
      <c r="G6" s="69">
        <f>C6*TDEE!$B$5</f>
        <v>2514.1209808308399</v>
      </c>
      <c r="H6" s="67">
        <f t="shared" si="14"/>
        <v>1639.6972623998024</v>
      </c>
      <c r="I6" s="67">
        <f t="shared" si="15"/>
        <v>874.42371843103751</v>
      </c>
      <c r="J6" s="58">
        <f t="shared" si="1"/>
        <v>0.46848493211422926</v>
      </c>
      <c r="K6" s="67">
        <f t="shared" si="2"/>
        <v>35.235516032764359</v>
      </c>
      <c r="L6" s="67">
        <v>20</v>
      </c>
      <c r="M6" s="54">
        <f>Protein_Amt!$B$6</f>
        <v>119.32601853403956</v>
      </c>
      <c r="N6" s="67">
        <f t="shared" si="3"/>
        <v>317.11964429487921</v>
      </c>
      <c r="O6" s="67">
        <f t="shared" si="4"/>
        <v>80</v>
      </c>
      <c r="P6" s="67">
        <f t="shared" si="5"/>
        <v>477.30407413615825</v>
      </c>
      <c r="Q6" s="68">
        <f t="shared" si="6"/>
        <v>874.42371843103751</v>
      </c>
      <c r="S6" s="70">
        <f>FoodLog!G24</f>
        <v>175.85999999999999</v>
      </c>
      <c r="T6" s="71">
        <f>FoodLog!H24</f>
        <v>56</v>
      </c>
      <c r="U6" s="71">
        <f>FoodLog!I24</f>
        <v>535.84</v>
      </c>
      <c r="V6" s="71">
        <f>FoodLog!J24</f>
        <v>767.7</v>
      </c>
      <c r="W6" s="72">
        <f t="shared" si="7"/>
        <v>-141.25964429487922</v>
      </c>
      <c r="X6" s="72">
        <f t="shared" si="7"/>
        <v>-24</v>
      </c>
      <c r="Y6" s="72">
        <f t="shared" si="7"/>
        <v>58.535925863841783</v>
      </c>
      <c r="Z6" s="73">
        <f>SUM(W6:Y6)</f>
        <v>-106.72371843103744</v>
      </c>
      <c r="AA6" s="62">
        <f t="shared" si="8"/>
        <v>0.43799244113393282</v>
      </c>
      <c r="AB6" s="63">
        <f>Scale!C6</f>
        <v>199.4</v>
      </c>
      <c r="AC6" s="64">
        <f t="shared" si="9"/>
        <v>2.6509832449624184</v>
      </c>
    </row>
    <row r="7" spans="1:29" x14ac:dyDescent="0.25">
      <c r="A7" s="65">
        <f t="shared" si="10"/>
        <v>42996</v>
      </c>
      <c r="B7" s="66">
        <f t="shared" si="11"/>
        <v>5</v>
      </c>
      <c r="C7" s="67">
        <f t="shared" si="12"/>
        <v>201.6129908038285</v>
      </c>
      <c r="D7" s="67">
        <f t="shared" si="13"/>
        <v>149.15752316754944</v>
      </c>
      <c r="E7" s="68">
        <f t="shared" si="0"/>
        <v>52.455467636279053</v>
      </c>
      <c r="F7" s="56"/>
      <c r="G7" s="69">
        <f>C7*TDEE!$B$5</f>
        <v>2508.6710395931618</v>
      </c>
      <c r="H7" s="67">
        <f t="shared" si="14"/>
        <v>1626.1194967246506</v>
      </c>
      <c r="I7" s="67">
        <f t="shared" si="15"/>
        <v>882.55154286851121</v>
      </c>
      <c r="J7" s="58">
        <f t="shared" si="1"/>
        <v>0.4646055704927573</v>
      </c>
      <c r="K7" s="67">
        <f t="shared" si="2"/>
        <v>36.1386076369281</v>
      </c>
      <c r="L7" s="67">
        <v>20</v>
      </c>
      <c r="M7" s="54">
        <f>Protein_Amt!$B$6</f>
        <v>119.32601853403956</v>
      </c>
      <c r="N7" s="67">
        <f t="shared" si="3"/>
        <v>325.2474687323529</v>
      </c>
      <c r="O7" s="67">
        <f t="shared" si="4"/>
        <v>80</v>
      </c>
      <c r="P7" s="67">
        <f t="shared" si="5"/>
        <v>477.30407413615825</v>
      </c>
      <c r="Q7" s="68">
        <f t="shared" si="6"/>
        <v>882.55154286851121</v>
      </c>
      <c r="S7" s="70">
        <f>FoodLog!G34</f>
        <v>235.62</v>
      </c>
      <c r="T7" s="71">
        <f>FoodLog!H34</f>
        <v>58.857142857142861</v>
      </c>
      <c r="U7" s="71">
        <f>FoodLog!I34</f>
        <v>531.74857142857138</v>
      </c>
      <c r="V7" s="71">
        <f>FoodLog!J34</f>
        <v>826.22571428571428</v>
      </c>
      <c r="W7" s="71">
        <f>FoodLog!G36</f>
        <v>89.627468732352895</v>
      </c>
      <c r="X7" s="71">
        <f>FoodLog!H36</f>
        <v>21.142857142857139</v>
      </c>
      <c r="Y7" s="71">
        <f>FoodLog!I36</f>
        <v>-54.444497292413132</v>
      </c>
      <c r="Z7" s="74">
        <f>FoodLog!J36</f>
        <v>56.32582858279693</v>
      </c>
      <c r="AA7" s="62">
        <f t="shared" si="8"/>
        <v>0.4646055704927573</v>
      </c>
      <c r="AB7" s="63">
        <f>Scale!C7</f>
        <v>200.3</v>
      </c>
      <c r="AC7" s="64">
        <f t="shared" si="9"/>
        <v>1.3129908038284839</v>
      </c>
    </row>
    <row r="8" spans="1:29" x14ac:dyDescent="0.25">
      <c r="A8" s="65">
        <f t="shared" si="10"/>
        <v>42997</v>
      </c>
      <c r="B8" s="66">
        <f t="shared" si="11"/>
        <v>6</v>
      </c>
      <c r="C8" s="67">
        <f t="shared" si="12"/>
        <v>201.14838523333574</v>
      </c>
      <c r="D8" s="67">
        <f t="shared" si="13"/>
        <v>149.15752316754944</v>
      </c>
      <c r="E8" s="68">
        <f t="shared" si="0"/>
        <v>51.990862065786303</v>
      </c>
      <c r="F8" s="56"/>
      <c r="G8" s="69">
        <f>C8*TDEE!$B$5</f>
        <v>2502.8899511083287</v>
      </c>
      <c r="H8" s="67">
        <f t="shared" si="14"/>
        <v>1611.7167240393753</v>
      </c>
      <c r="I8" s="67">
        <f t="shared" si="15"/>
        <v>891.17322706895334</v>
      </c>
      <c r="J8" s="58">
        <f t="shared" si="1"/>
        <v>0.46049049258267866</v>
      </c>
      <c r="K8" s="67">
        <f t="shared" si="2"/>
        <v>37.096572548088339</v>
      </c>
      <c r="L8" s="67">
        <v>20</v>
      </c>
      <c r="M8" s="54">
        <f>Protein_Amt!$B$6</f>
        <v>119.32601853403956</v>
      </c>
      <c r="N8" s="67">
        <f t="shared" si="3"/>
        <v>333.86915293279503</v>
      </c>
      <c r="O8" s="67">
        <f t="shared" si="4"/>
        <v>80</v>
      </c>
      <c r="P8" s="67">
        <f t="shared" si="5"/>
        <v>477.30407413615825</v>
      </c>
      <c r="Q8" s="68">
        <f t="shared" si="6"/>
        <v>891.17322706895334</v>
      </c>
      <c r="S8" s="70">
        <f>FoodLog!G44</f>
        <v>238.5</v>
      </c>
      <c r="T8" s="70">
        <f>FoodLog!H44</f>
        <v>56.8</v>
      </c>
      <c r="U8" s="70">
        <f>FoodLog!I44</f>
        <v>537.91999999999996</v>
      </c>
      <c r="V8" s="70">
        <f>FoodLog!J44</f>
        <v>833.22</v>
      </c>
      <c r="W8" s="70">
        <f>FoodLog!G46</f>
        <v>95.369152932795032</v>
      </c>
      <c r="X8" s="70">
        <f>FoodLog!H46</f>
        <v>23.200000000000003</v>
      </c>
      <c r="Y8" s="70">
        <f>FoodLog!I46</f>
        <v>-60.61592586384171</v>
      </c>
      <c r="Z8" s="70">
        <f>FoodLog!J46</f>
        <v>57.953227068953311</v>
      </c>
      <c r="AA8" s="62">
        <f t="shared" si="8"/>
        <v>0.46049049258267866</v>
      </c>
      <c r="AB8" s="63">
        <f>Scale!C8</f>
        <v>200.4</v>
      </c>
      <c r="AC8" s="64">
        <f t="shared" si="9"/>
        <v>0.74838523333573903</v>
      </c>
    </row>
    <row r="9" spans="1:29" x14ac:dyDescent="0.25">
      <c r="A9" s="65">
        <f t="shared" si="10"/>
        <v>42998</v>
      </c>
      <c r="B9" s="66">
        <f t="shared" si="11"/>
        <v>7</v>
      </c>
      <c r="C9" s="67">
        <f t="shared" si="12"/>
        <v>200.68789474075308</v>
      </c>
      <c r="D9" s="67">
        <f t="shared" si="13"/>
        <v>149.15752316754944</v>
      </c>
      <c r="E9" s="68">
        <f t="shared" si="0"/>
        <v>51.530371573203638</v>
      </c>
      <c r="F9" s="56"/>
      <c r="G9" s="69">
        <f>C9*TDEE!$B$5</f>
        <v>2497.1600665500755</v>
      </c>
      <c r="H9" s="67">
        <f t="shared" si="14"/>
        <v>1597.4415187693128</v>
      </c>
      <c r="I9" s="67">
        <f t="shared" si="15"/>
        <v>899.71854778076272</v>
      </c>
      <c r="J9" s="58">
        <f t="shared" si="1"/>
        <v>0.45641186250551796</v>
      </c>
      <c r="K9" s="67">
        <f t="shared" si="2"/>
        <v>38.04605262717827</v>
      </c>
      <c r="L9" s="67">
        <v>20</v>
      </c>
      <c r="M9" s="54">
        <f>Protein_Amt!$B$6</f>
        <v>119.32601853403956</v>
      </c>
      <c r="N9" s="67">
        <f t="shared" si="3"/>
        <v>342.41447364460441</v>
      </c>
      <c r="O9" s="67">
        <f t="shared" si="4"/>
        <v>80</v>
      </c>
      <c r="P9" s="67">
        <f t="shared" si="5"/>
        <v>477.30407413615825</v>
      </c>
      <c r="Q9" s="68">
        <f t="shared" si="6"/>
        <v>899.71854778076272</v>
      </c>
      <c r="S9" s="70">
        <f>FoodLog!G56</f>
        <v>401.4</v>
      </c>
      <c r="T9" s="70">
        <f>FoodLog!H56</f>
        <v>64.571428571428569</v>
      </c>
      <c r="U9" s="70">
        <f>FoodLog!I56</f>
        <v>550.60571428571427</v>
      </c>
      <c r="V9" s="70">
        <f>FoodLog!J56</f>
        <v>1016.5771428571428</v>
      </c>
      <c r="W9" s="70">
        <f>FoodLog!G58</f>
        <v>-58.985526355395564</v>
      </c>
      <c r="X9" s="70">
        <f>FoodLog!H58</f>
        <v>15.428571428571431</v>
      </c>
      <c r="Y9" s="70">
        <f>FoodLog!I58</f>
        <v>-73.301640149556022</v>
      </c>
      <c r="Z9" s="70">
        <f>FoodLog!J58</f>
        <v>-116.85859507638008</v>
      </c>
      <c r="AA9" s="62">
        <f t="shared" si="8"/>
        <v>0.42302369248369504</v>
      </c>
      <c r="AB9" s="63">
        <f>Scale!C9</f>
        <v>199.8</v>
      </c>
      <c r="AC9" s="64">
        <f t="shared" si="9"/>
        <v>0.88789474075306885</v>
      </c>
    </row>
    <row r="10" spans="1:29" x14ac:dyDescent="0.25">
      <c r="A10" s="65">
        <f t="shared" si="10"/>
        <v>42999</v>
      </c>
      <c r="B10" s="66">
        <f t="shared" si="11"/>
        <v>8</v>
      </c>
      <c r="C10" s="67">
        <f t="shared" si="12"/>
        <v>200.26487104826938</v>
      </c>
      <c r="D10" s="67">
        <f t="shared" si="13"/>
        <v>149.15752316754944</v>
      </c>
      <c r="E10" s="68">
        <f t="shared" si="0"/>
        <v>51.107347880719942</v>
      </c>
      <c r="F10" s="56"/>
      <c r="G10" s="69">
        <f>C10*TDEE!$B$5</f>
        <v>2491.8963814960293</v>
      </c>
      <c r="H10" s="67">
        <f t="shared" si="14"/>
        <v>1584.3277843023182</v>
      </c>
      <c r="I10" s="67">
        <f t="shared" si="15"/>
        <v>907.56859719371118</v>
      </c>
      <c r="J10" s="58">
        <f t="shared" si="1"/>
        <v>0.45266508122923377</v>
      </c>
      <c r="K10" s="67">
        <f t="shared" si="2"/>
        <v>38.918280339728099</v>
      </c>
      <c r="L10" s="67">
        <v>20</v>
      </c>
      <c r="M10" s="54">
        <f>Protein_Amt!$B$6</f>
        <v>119.32601853403956</v>
      </c>
      <c r="N10" s="67">
        <f t="shared" si="3"/>
        <v>350.26452305755288</v>
      </c>
      <c r="O10" s="67">
        <f t="shared" si="4"/>
        <v>80</v>
      </c>
      <c r="P10" s="67">
        <f t="shared" si="5"/>
        <v>477.30407413615825</v>
      </c>
      <c r="Q10" s="68">
        <f t="shared" si="6"/>
        <v>907.56859719371118</v>
      </c>
      <c r="S10" s="70">
        <f>FoodLog!G68</f>
        <v>340.55999999999995</v>
      </c>
      <c r="T10" s="70">
        <f>FoodLog!H68</f>
        <v>44</v>
      </c>
      <c r="U10" s="70">
        <f>FoodLog!I68</f>
        <v>492.64000000000004</v>
      </c>
      <c r="V10" s="70">
        <f>FoodLog!J68</f>
        <v>877.2</v>
      </c>
      <c r="W10" s="70">
        <f>FoodLog!G70</f>
        <v>9.7045230575529331</v>
      </c>
      <c r="X10" s="70">
        <f>FoodLog!H70</f>
        <v>36</v>
      </c>
      <c r="Y10" s="70">
        <f>FoodLog!I70</f>
        <v>-15.335925863841794</v>
      </c>
      <c r="Z10" s="70">
        <f>FoodLog!J70</f>
        <v>30.368597193711139</v>
      </c>
      <c r="AA10" s="62">
        <f t="shared" si="8"/>
        <v>0.45266508122923377</v>
      </c>
      <c r="AB10" s="63">
        <f>Scale!C10</f>
        <v>199.8</v>
      </c>
      <c r="AC10" s="64">
        <f t="shared" si="9"/>
        <v>0.46487104826937298</v>
      </c>
    </row>
    <row r="11" spans="1:29" x14ac:dyDescent="0.25">
      <c r="A11" s="65">
        <f t="shared" si="10"/>
        <v>43000</v>
      </c>
      <c r="B11" s="66">
        <f t="shared" si="11"/>
        <v>9</v>
      </c>
      <c r="C11" s="67">
        <f t="shared" si="12"/>
        <v>199.81220596704014</v>
      </c>
      <c r="D11" s="67">
        <f t="shared" si="13"/>
        <v>149.15752316754944</v>
      </c>
      <c r="E11" s="68">
        <f t="shared" si="0"/>
        <v>50.654682799490701</v>
      </c>
      <c r="F11" s="56"/>
      <c r="G11" s="69">
        <f>C11*TDEE!$B$5</f>
        <v>2486.263868554342</v>
      </c>
      <c r="H11" s="67">
        <f t="shared" si="14"/>
        <v>1570.2951667842117</v>
      </c>
      <c r="I11" s="67">
        <f t="shared" si="15"/>
        <v>915.96870177013034</v>
      </c>
      <c r="J11" s="58">
        <f t="shared" si="1"/>
        <v>0.44865576193834622</v>
      </c>
      <c r="K11" s="67">
        <f t="shared" si="2"/>
        <v>39.851625292663556</v>
      </c>
      <c r="L11" s="67">
        <v>20</v>
      </c>
      <c r="M11" s="54">
        <f>Protein_Amt!$B$6</f>
        <v>119.32601853403956</v>
      </c>
      <c r="N11" s="67">
        <f t="shared" si="3"/>
        <v>358.66462763397203</v>
      </c>
      <c r="O11" s="67">
        <f t="shared" si="4"/>
        <v>80</v>
      </c>
      <c r="P11" s="67">
        <f t="shared" si="5"/>
        <v>477.30407413615825</v>
      </c>
      <c r="Q11" s="68">
        <f t="shared" si="6"/>
        <v>915.96870177013034</v>
      </c>
      <c r="S11" s="70">
        <f>FoodLog!G80</f>
        <v>469.26</v>
      </c>
      <c r="T11" s="70">
        <f>FoodLog!H80</f>
        <v>79.428571428571431</v>
      </c>
      <c r="U11" s="70">
        <f>FoodLog!I80</f>
        <v>491.31428571428569</v>
      </c>
      <c r="V11" s="70">
        <f>FoodLog!J80</f>
        <v>1040.002857142857</v>
      </c>
      <c r="W11" s="70">
        <f>FoodLog!G82</f>
        <v>-110.59537236602796</v>
      </c>
      <c r="X11" s="70">
        <f>FoodLog!H82</f>
        <v>0.5714285714285694</v>
      </c>
      <c r="Y11" s="70">
        <f>FoodLog!I82</f>
        <v>-14.010211578127439</v>
      </c>
      <c r="Z11" s="70">
        <f>FoodLog!J82</f>
        <v>-124.03415537272667</v>
      </c>
      <c r="AA11" s="62">
        <f t="shared" si="8"/>
        <v>0.41321743183185289</v>
      </c>
      <c r="AB11" s="63">
        <f>Scale!C11</f>
        <v>198.4</v>
      </c>
      <c r="AC11" s="64">
        <f t="shared" si="9"/>
        <v>1.412205967040137</v>
      </c>
    </row>
    <row r="12" spans="1:29" x14ac:dyDescent="0.25">
      <c r="A12" s="65">
        <f t="shared" si="10"/>
        <v>43001</v>
      </c>
      <c r="B12" s="66">
        <f t="shared" si="11"/>
        <v>10</v>
      </c>
      <c r="C12" s="67">
        <f t="shared" si="12"/>
        <v>199.3989885352083</v>
      </c>
      <c r="D12" s="67">
        <f t="shared" si="13"/>
        <v>149.15752316754944</v>
      </c>
      <c r="E12" s="68">
        <f t="shared" si="0"/>
        <v>50.241465367658861</v>
      </c>
      <c r="F12" s="56"/>
      <c r="G12" s="69">
        <f>C12*TDEE!$B$5</f>
        <v>2481.1222028305283</v>
      </c>
      <c r="H12" s="67">
        <f t="shared" si="14"/>
        <v>1557.4854263974248</v>
      </c>
      <c r="I12" s="67">
        <f t="shared" si="15"/>
        <v>923.63677643310348</v>
      </c>
      <c r="J12" s="58">
        <f t="shared" si="1"/>
        <v>0.44499583611354993</v>
      </c>
      <c r="K12" s="67">
        <f t="shared" si="2"/>
        <v>40.703633588549465</v>
      </c>
      <c r="L12" s="67">
        <v>20</v>
      </c>
      <c r="M12" s="54">
        <f>Protein_Amt!$B$6</f>
        <v>119.32601853403956</v>
      </c>
      <c r="N12" s="67">
        <f t="shared" si="3"/>
        <v>366.33270229694517</v>
      </c>
      <c r="O12" s="67">
        <f t="shared" si="4"/>
        <v>80</v>
      </c>
      <c r="P12" s="67">
        <f t="shared" si="5"/>
        <v>477.30407413615825</v>
      </c>
      <c r="Q12" s="68">
        <f t="shared" si="6"/>
        <v>923.63677643310348</v>
      </c>
      <c r="S12" s="70">
        <f>VLOOKUP($A12,FoodLog!$A$1:$Z$441,12,0)</f>
        <v>493.92</v>
      </c>
      <c r="T12" s="70">
        <f>VLOOKUP($A12,FoodLog!$A$1:$Z$441,13,0)</f>
        <v>28</v>
      </c>
      <c r="U12" s="70">
        <f>VLOOKUP($A12,FoodLog!$A$1:$Z$441,14,0)</f>
        <v>458.40000000000003</v>
      </c>
      <c r="V12" s="70">
        <f>VLOOKUP($A12,FoodLog!$A$1:$Z$441,15,0)</f>
        <v>980.32000000000016</v>
      </c>
      <c r="W12" s="70">
        <f>VLOOKUP($A12,FoodLog!$A$1:$Z$441,20,0)</f>
        <v>-127.58729770305484</v>
      </c>
      <c r="X12" s="70">
        <f>VLOOKUP($A12,FoodLog!$A$1:$Z$441,21,0)</f>
        <v>52</v>
      </c>
      <c r="Y12" s="70">
        <f>VLOOKUP($A12,FoodLog!$A$1:$Z$441,22,0)</f>
        <v>18.904074136158215</v>
      </c>
      <c r="Z12" s="70">
        <f>VLOOKUP($A12,FoodLog!$A$1:$Z$441,23,0)</f>
        <v>-56.683223566896686</v>
      </c>
      <c r="AA12" s="62">
        <f t="shared" si="8"/>
        <v>0.4288006293801509</v>
      </c>
      <c r="AB12" s="64">
        <f>Scale!C12</f>
        <v>197.6</v>
      </c>
      <c r="AC12" s="64">
        <f t="shared" si="9"/>
        <v>1.7989885352083093</v>
      </c>
    </row>
    <row r="13" spans="1:29" x14ac:dyDescent="0.25">
      <c r="A13" s="65">
        <f t="shared" si="10"/>
        <v>43002</v>
      </c>
      <c r="B13" s="66">
        <f t="shared" si="11"/>
        <v>11</v>
      </c>
      <c r="C13" s="67">
        <f t="shared" si="12"/>
        <v>198.97018790582814</v>
      </c>
      <c r="D13" s="67">
        <f t="shared" si="13"/>
        <v>149.15752316754944</v>
      </c>
      <c r="E13" s="68">
        <f t="shared" si="0"/>
        <v>49.812664738278698</v>
      </c>
      <c r="F13" s="56"/>
      <c r="G13" s="69">
        <f>C13*TDEE!$B$5</f>
        <v>2475.7866353336299</v>
      </c>
      <c r="H13" s="67">
        <f t="shared" si="14"/>
        <v>1544.1926068866396</v>
      </c>
      <c r="I13" s="67">
        <f t="shared" si="15"/>
        <v>931.59402844699025</v>
      </c>
      <c r="J13" s="58">
        <f t="shared" si="1"/>
        <v>0.44119788768189705</v>
      </c>
      <c r="K13" s="67">
        <f t="shared" si="2"/>
        <v>41.587772701203548</v>
      </c>
      <c r="L13" s="67">
        <v>20</v>
      </c>
      <c r="M13" s="54">
        <f>Protein_Amt!$B$6</f>
        <v>119.32601853403956</v>
      </c>
      <c r="N13" s="67">
        <f t="shared" si="3"/>
        <v>374.28995431083194</v>
      </c>
      <c r="O13" s="67">
        <f t="shared" si="4"/>
        <v>80</v>
      </c>
      <c r="P13" s="67">
        <f t="shared" si="5"/>
        <v>477.30407413615825</v>
      </c>
      <c r="Q13" s="68">
        <f t="shared" si="6"/>
        <v>931.59402844699025</v>
      </c>
      <c r="S13" s="70">
        <f>VLOOKUP($A13,FoodLog!$A$1:$Z$441,12,0)</f>
        <v>402.12</v>
      </c>
      <c r="T13" s="70">
        <f>VLOOKUP($A13,FoodLog!$A$1:$Z$441,13,0)</f>
        <v>80.571428571428569</v>
      </c>
      <c r="U13" s="70">
        <f>VLOOKUP($A13,FoodLog!$A$1:$Z$441,14,0)</f>
        <v>444.20571428571429</v>
      </c>
      <c r="V13" s="70">
        <f>VLOOKUP($A13,FoodLog!$A$1:$Z$441,15,0)</f>
        <v>926.89714285714285</v>
      </c>
      <c r="W13" s="70">
        <f>VLOOKUP($A13,FoodLog!$A$1:$Z$441,16,0)</f>
        <v>-27.83004568916806</v>
      </c>
      <c r="X13" s="70">
        <f>VLOOKUP($A13,FoodLog!$A$1:$Z$441,17,0)</f>
        <v>-0.5714285714285694</v>
      </c>
      <c r="Y13" s="70">
        <f>VLOOKUP($A13,FoodLog!$A$1:$Z$441,18,0)</f>
        <v>33.098359850443956</v>
      </c>
      <c r="Z13" s="70">
        <f>VLOOKUP($A13,FoodLog!$A$1:$Z$441,19,0)</f>
        <v>4.6968855898473976</v>
      </c>
      <c r="AA13" s="62">
        <f t="shared" si="8"/>
        <v>0.44119788768189705</v>
      </c>
      <c r="AB13" s="64">
        <f>Scale!C13</f>
        <v>198</v>
      </c>
      <c r="AC13" s="64">
        <f t="shared" si="9"/>
        <v>0.97018790582814063</v>
      </c>
    </row>
    <row r="14" spans="1:29" x14ac:dyDescent="0.25">
      <c r="A14" s="65">
        <f t="shared" si="10"/>
        <v>43003</v>
      </c>
      <c r="B14" s="66">
        <f t="shared" si="11"/>
        <v>12</v>
      </c>
      <c r="C14" s="67">
        <f t="shared" si="12"/>
        <v>198.52899001814623</v>
      </c>
      <c r="D14" s="67">
        <f t="shared" si="13"/>
        <v>149.15752316754944</v>
      </c>
      <c r="E14" s="68">
        <f t="shared" si="0"/>
        <v>49.371466850596789</v>
      </c>
      <c r="F14" s="56"/>
      <c r="G14" s="69">
        <f>C14*TDEE!$B$5</f>
        <v>2470.2968087150953</v>
      </c>
      <c r="H14" s="67">
        <f t="shared" si="14"/>
        <v>1530.5154723685005</v>
      </c>
      <c r="I14" s="67">
        <f t="shared" si="15"/>
        <v>939.7813363465948</v>
      </c>
      <c r="J14" s="58">
        <f t="shared" si="1"/>
        <v>0.43729013496242869</v>
      </c>
      <c r="K14" s="67">
        <f t="shared" si="2"/>
        <v>42.497473578937388</v>
      </c>
      <c r="L14" s="67">
        <v>20</v>
      </c>
      <c r="M14" s="54">
        <f>Protein_Amt!$B$6</f>
        <v>119.32601853403956</v>
      </c>
      <c r="N14" s="67">
        <f t="shared" si="3"/>
        <v>382.47726221043649</v>
      </c>
      <c r="O14" s="67">
        <f t="shared" si="4"/>
        <v>80</v>
      </c>
      <c r="P14" s="67">
        <f t="shared" si="5"/>
        <v>477.30407413615825</v>
      </c>
      <c r="Q14" s="68">
        <f t="shared" si="6"/>
        <v>939.7813363465948</v>
      </c>
      <c r="S14" s="70">
        <f>VLOOKUP($A14,FoodLog!$A$1:$Z$441,12,0)</f>
        <v>462.59999999999997</v>
      </c>
      <c r="T14" s="70">
        <f>VLOOKUP($A14,FoodLog!$A$1:$Z$441,13,0)</f>
        <v>52.571428571428569</v>
      </c>
      <c r="U14" s="70">
        <f>VLOOKUP($A14,FoodLog!$A$1:$Z$441,14,0)</f>
        <v>498.28571428571428</v>
      </c>
      <c r="V14" s="70">
        <f>VLOOKUP($A14,FoodLog!$A$1:$Z$441,15,0)</f>
        <v>1013.4571428571428</v>
      </c>
      <c r="W14" s="70">
        <f>VLOOKUP($A14,FoodLog!$A$1:$Z$441,16,0)</f>
        <v>-80.122737789563473</v>
      </c>
      <c r="X14" s="70">
        <f>VLOOKUP($A14,FoodLog!$A$1:$Z$441,17,0)</f>
        <v>27.428571428571431</v>
      </c>
      <c r="Y14" s="70">
        <f>VLOOKUP($A14,FoodLog!$A$1:$Z$441,18,0)</f>
        <v>-20.981640149556029</v>
      </c>
      <c r="Z14" s="70">
        <f>VLOOKUP($A14,FoodLog!$A$1:$Z$441,19,0)</f>
        <v>-73.675806510548</v>
      </c>
      <c r="AA14" s="62">
        <f t="shared" si="8"/>
        <v>0.41623990453084359</v>
      </c>
      <c r="AB14" s="64">
        <f>Scale!C14</f>
        <v>198</v>
      </c>
      <c r="AC14" s="64">
        <f t="shared" si="9"/>
        <v>0.52899001814623148</v>
      </c>
    </row>
    <row r="15" spans="1:29" x14ac:dyDescent="0.25">
      <c r="A15" s="65">
        <f t="shared" si="10"/>
        <v>43004</v>
      </c>
      <c r="B15" s="66">
        <f t="shared" si="11"/>
        <v>13</v>
      </c>
      <c r="C15" s="67">
        <f t="shared" si="12"/>
        <v>198.11275011361539</v>
      </c>
      <c r="D15" s="67">
        <f t="shared" si="13"/>
        <v>149.15752316754944</v>
      </c>
      <c r="E15" s="68">
        <f t="shared" si="0"/>
        <v>48.955226946065949</v>
      </c>
      <c r="F15" s="56"/>
      <c r="G15" s="69">
        <f>C15*TDEE!$B$5</f>
        <v>2465.1175343545679</v>
      </c>
      <c r="H15" s="67">
        <f t="shared" si="14"/>
        <v>1517.6120353280444</v>
      </c>
      <c r="I15" s="67">
        <f t="shared" si="15"/>
        <v>947.50549902652347</v>
      </c>
      <c r="J15" s="58">
        <f t="shared" si="1"/>
        <v>0.43360343866515555</v>
      </c>
      <c r="K15" s="67">
        <f t="shared" si="2"/>
        <v>43.355713876707242</v>
      </c>
      <c r="L15" s="67">
        <v>20</v>
      </c>
      <c r="M15" s="54">
        <f>Protein_Amt!$B$6</f>
        <v>119.32601853403956</v>
      </c>
      <c r="N15" s="67">
        <f t="shared" si="3"/>
        <v>390.20142489036516</v>
      </c>
      <c r="O15" s="67">
        <f t="shared" si="4"/>
        <v>80</v>
      </c>
      <c r="P15" s="67">
        <f t="shared" si="5"/>
        <v>477.30407413615825</v>
      </c>
      <c r="Q15" s="68">
        <f t="shared" si="6"/>
        <v>947.50549902652347</v>
      </c>
      <c r="S15" s="70">
        <f>VLOOKUP($A15,FoodLog!$A$1:$Z$10009,12,0)</f>
        <v>469.34999999999997</v>
      </c>
      <c r="T15" s="70">
        <f>VLOOKUP($A15,FoodLog!$A$1:$Z$10009,13,0)</f>
        <v>60.571428571428569</v>
      </c>
      <c r="U15" s="70">
        <f>VLOOKUP($A15,FoodLog!$A$1:$Z$10009,14,0)</f>
        <v>518.28571428571422</v>
      </c>
      <c r="V15" s="70">
        <f>VLOOKUP($A15,FoodLog!$A$1:$Z$10009,15,0)</f>
        <v>1048.2071428571428</v>
      </c>
      <c r="W15" s="70">
        <f>VLOOKUP($A15,FoodLog!$A$1:$Z$10009,16,0)</f>
        <v>-79.148575109634805</v>
      </c>
      <c r="X15" s="70">
        <f>VLOOKUP($A15,FoodLog!$A$1:$Z$10009,17,0)</f>
        <v>19.428571428571431</v>
      </c>
      <c r="Y15" s="70">
        <f>VLOOKUP($A15,FoodLog!$A$1:$Z$10009,18,0)</f>
        <v>-40.981640149555972</v>
      </c>
      <c r="Z15" s="70">
        <f>VLOOKUP($A15,FoodLog!$A$1:$Z$10009,19,0)</f>
        <v>-100.70164383061933</v>
      </c>
      <c r="AA15" s="62">
        <f t="shared" si="8"/>
        <v>0.40483154042783576</v>
      </c>
      <c r="AB15" s="64">
        <f>Scale!C15</f>
        <v>198.8</v>
      </c>
      <c r="AC15" s="64">
        <f t="shared" si="9"/>
        <v>-0.68724988638462037</v>
      </c>
    </row>
    <row r="16" spans="1:29" x14ac:dyDescent="0.25">
      <c r="A16" s="65">
        <f t="shared" si="10"/>
        <v>43005</v>
      </c>
      <c r="B16" s="66">
        <f t="shared" si="11"/>
        <v>14</v>
      </c>
      <c r="C16" s="67">
        <f t="shared" si="12"/>
        <v>197.70791857318756</v>
      </c>
      <c r="D16" s="67">
        <f t="shared" si="13"/>
        <v>149.15752316754944</v>
      </c>
      <c r="E16" s="68">
        <f t="shared" si="0"/>
        <v>48.550395405638113</v>
      </c>
      <c r="F16" s="56"/>
      <c r="G16" s="69">
        <f>C16*TDEE!$B$5</f>
        <v>2460.0802143022433</v>
      </c>
      <c r="H16" s="67">
        <f t="shared" si="14"/>
        <v>1505.0622575747816</v>
      </c>
      <c r="I16" s="67">
        <f t="shared" si="15"/>
        <v>955.01795672746175</v>
      </c>
      <c r="J16" s="58">
        <f t="shared" si="1"/>
        <v>0.43001778787850903</v>
      </c>
      <c r="K16" s="67">
        <f t="shared" si="2"/>
        <v>44.190431399033713</v>
      </c>
      <c r="L16" s="67">
        <v>20</v>
      </c>
      <c r="M16" s="54">
        <f>Protein_Amt!$B$6</f>
        <v>119.32601853403956</v>
      </c>
      <c r="N16" s="67">
        <f t="shared" si="3"/>
        <v>397.71388259130345</v>
      </c>
      <c r="O16" s="67">
        <f t="shared" si="4"/>
        <v>80</v>
      </c>
      <c r="P16" s="67">
        <f t="shared" si="5"/>
        <v>477.30407413615825</v>
      </c>
      <c r="Q16" s="68">
        <f t="shared" si="6"/>
        <v>955.01795672746175</v>
      </c>
      <c r="S16" s="70">
        <f>VLOOKUP($A16,FoodLog!$A$1:$Z$10009,12,0)</f>
        <v>452.07</v>
      </c>
      <c r="T16" s="70">
        <f>VLOOKUP($A16,FoodLog!$A$1:$Z$10009,13,0)</f>
        <v>20</v>
      </c>
      <c r="U16" s="70">
        <f>VLOOKUP($A16,FoodLog!$A$1:$Z$10009,14,0)</f>
        <v>525.6</v>
      </c>
      <c r="V16" s="70">
        <f>VLOOKUP($A16,FoodLog!$A$1:$Z$10009,15,0)</f>
        <v>997.67000000000007</v>
      </c>
      <c r="W16" s="70">
        <f>VLOOKUP($A16,FoodLog!$A$1:$Z$10009,16,0)</f>
        <v>-54.356117408696548</v>
      </c>
      <c r="X16" s="70">
        <f>VLOOKUP($A16,FoodLog!$A$1:$Z$10009,17,0)</f>
        <v>60</v>
      </c>
      <c r="Y16" s="70">
        <f>VLOOKUP($A16,FoodLog!$A$1:$Z$10009,18,0)</f>
        <v>-48.295925863841774</v>
      </c>
      <c r="Z16" s="70">
        <f>VLOOKUP($A16,FoodLog!$A$1:$Z$10009,19,0)</f>
        <v>-42.652043272538322</v>
      </c>
      <c r="AA16" s="62">
        <f t="shared" si="8"/>
        <v>0.41783148980064094</v>
      </c>
      <c r="AB16" s="64">
        <f>Scale!C16</f>
        <v>198.6</v>
      </c>
      <c r="AC16" s="64">
        <f t="shared" si="9"/>
        <v>-0.89208142681243885</v>
      </c>
    </row>
    <row r="17" spans="1:29" x14ac:dyDescent="0.25">
      <c r="A17" s="65">
        <f t="shared" si="10"/>
        <v>43006</v>
      </c>
      <c r="B17" s="66">
        <f t="shared" si="11"/>
        <v>15</v>
      </c>
      <c r="C17" s="67">
        <f t="shared" si="12"/>
        <v>197.29008708338691</v>
      </c>
      <c r="D17" s="67">
        <f t="shared" si="13"/>
        <v>149.15752316754944</v>
      </c>
      <c r="E17" s="68">
        <f t="shared" si="0"/>
        <v>48.132563915837466</v>
      </c>
      <c r="F17" s="56"/>
      <c r="G17" s="69">
        <f>C17*TDEE!$B$5</f>
        <v>2454.8811358415064</v>
      </c>
      <c r="H17" s="67">
        <f t="shared" si="14"/>
        <v>1492.1094813909615</v>
      </c>
      <c r="I17" s="67">
        <f t="shared" si="15"/>
        <v>962.77165445054493</v>
      </c>
      <c r="J17" s="58">
        <f t="shared" si="1"/>
        <v>0.42631699468313183</v>
      </c>
      <c r="K17" s="67">
        <f t="shared" si="2"/>
        <v>45.051953368265181</v>
      </c>
      <c r="L17" s="67">
        <v>20</v>
      </c>
      <c r="M17" s="54">
        <f>Protein_Amt!$B$6</f>
        <v>119.32601853403956</v>
      </c>
      <c r="N17" s="67">
        <f t="shared" si="3"/>
        <v>405.46758031438662</v>
      </c>
      <c r="O17" s="67">
        <f t="shared" si="4"/>
        <v>80</v>
      </c>
      <c r="P17" s="67">
        <f t="shared" si="5"/>
        <v>477.30407413615825</v>
      </c>
      <c r="Q17" s="68">
        <f t="shared" si="6"/>
        <v>962.77165445054493</v>
      </c>
      <c r="S17" s="70">
        <f>VLOOKUP($A17,FoodLog!$A$1:$Z$10009,12,0)</f>
        <v>519.75</v>
      </c>
      <c r="T17" s="70">
        <f>VLOOKUP($A17,FoodLog!$A$1:$Z$10009,13,0)</f>
        <v>55.542857142857144</v>
      </c>
      <c r="U17" s="70">
        <f>VLOOKUP($A17,FoodLog!$A$1:$Z$10009,14,0)</f>
        <v>463.37142857142857</v>
      </c>
      <c r="V17" s="70">
        <f>VLOOKUP($A17,FoodLog!$A$1:$Z$10009,15,0)</f>
        <v>1038.6642857142858</v>
      </c>
      <c r="W17" s="70">
        <f>VLOOKUP($A17,FoodLog!$A$1:$Z$10009,16,0)</f>
        <v>-114.28241968561338</v>
      </c>
      <c r="X17" s="70">
        <f>VLOOKUP($A17,FoodLog!$A$1:$Z$10009,17,0)</f>
        <v>24.457142857142856</v>
      </c>
      <c r="Y17" s="70">
        <f>VLOOKUP($A17,FoodLog!$A$1:$Z$10009,18,0)</f>
        <v>13.932645564729683</v>
      </c>
      <c r="Z17" s="70">
        <f>VLOOKUP($A17,FoodLog!$A$1:$Z$10009,19,0)</f>
        <v>-75.892631263740896</v>
      </c>
      <c r="AA17" s="62">
        <f t="shared" si="8"/>
        <v>0.40463338575063446</v>
      </c>
      <c r="AB17" s="64">
        <f>Scale!C17</f>
        <v>198.2</v>
      </c>
      <c r="AC17" s="64">
        <f t="shared" si="9"/>
        <v>-0.90991291661308082</v>
      </c>
    </row>
    <row r="18" spans="1:29" x14ac:dyDescent="0.25">
      <c r="A18" s="65">
        <f t="shared" si="10"/>
        <v>43007</v>
      </c>
      <c r="B18" s="66">
        <f t="shared" si="11"/>
        <v>16</v>
      </c>
      <c r="C18" s="67">
        <f t="shared" si="12"/>
        <v>196.88545369763628</v>
      </c>
      <c r="D18" s="67">
        <f t="shared" si="13"/>
        <v>149.15752316754944</v>
      </c>
      <c r="E18" s="68">
        <f t="shared" si="0"/>
        <v>47.727930530086837</v>
      </c>
      <c r="F18" s="56"/>
      <c r="G18" s="69">
        <f>C18*TDEE!$B$5</f>
        <v>2449.8462814284153</v>
      </c>
      <c r="H18" s="67">
        <f t="shared" si="14"/>
        <v>1479.5658464326921</v>
      </c>
      <c r="I18" s="67">
        <f t="shared" si="15"/>
        <v>970.28043499572323</v>
      </c>
      <c r="J18" s="58">
        <f t="shared" si="1"/>
        <v>0.42273309898076916</v>
      </c>
      <c r="K18" s="67">
        <f t="shared" si="2"/>
        <v>45.886262317729432</v>
      </c>
      <c r="L18" s="67">
        <v>20</v>
      </c>
      <c r="M18" s="54">
        <f>Protein_Amt!$B$6</f>
        <v>119.32601853403956</v>
      </c>
      <c r="N18" s="67">
        <f t="shared" si="3"/>
        <v>412.97636085956492</v>
      </c>
      <c r="O18" s="67">
        <f t="shared" si="4"/>
        <v>80</v>
      </c>
      <c r="P18" s="67">
        <f t="shared" si="5"/>
        <v>477.30407413615825</v>
      </c>
      <c r="Q18" s="68">
        <f t="shared" si="6"/>
        <v>970.28043499572323</v>
      </c>
      <c r="S18" s="70">
        <f>VLOOKUP($A18,FoodLog!$A$1:$Z$10009,12,0)</f>
        <v>526.5</v>
      </c>
      <c r="T18" s="70">
        <f>VLOOKUP($A18,FoodLog!$A$1:$Z$10009,13,0)</f>
        <v>65.485714285714295</v>
      </c>
      <c r="U18" s="70">
        <f>VLOOKUP($A18,FoodLog!$A$1:$Z$10009,14,0)</f>
        <v>498.74285714285713</v>
      </c>
      <c r="V18" s="70">
        <f>VLOOKUP($A18,FoodLog!$A$1:$Z$10009,15,0)</f>
        <v>1090.7285714285713</v>
      </c>
      <c r="W18" s="70">
        <f>VLOOKUP($A18,FoodLog!$A$1:$Z$10009,16,0)</f>
        <v>-113.52363914043508</v>
      </c>
      <c r="X18" s="70">
        <f>VLOOKUP($A18,FoodLog!$A$1:$Z$10009,17,0)</f>
        <v>14.514285714285705</v>
      </c>
      <c r="Y18" s="70">
        <f>VLOOKUP($A18,FoodLog!$A$1:$Z$10009,18,0)</f>
        <v>-21.438783006698884</v>
      </c>
      <c r="Z18" s="70">
        <f>VLOOKUP($A18,FoodLog!$A$1:$Z$10009,19,0)</f>
        <v>-120.44813643284806</v>
      </c>
      <c r="AA18" s="62">
        <f t="shared" si="8"/>
        <v>0.38831934571424115</v>
      </c>
      <c r="AB18" s="63">
        <f>Scale!C18</f>
        <v>197.2</v>
      </c>
      <c r="AC18" s="64">
        <f t="shared" si="9"/>
        <v>-0.31454630236370917</v>
      </c>
    </row>
    <row r="19" spans="1:29" x14ac:dyDescent="0.25">
      <c r="A19" s="65">
        <f t="shared" si="10"/>
        <v>43008</v>
      </c>
      <c r="B19" s="66">
        <f t="shared" si="11"/>
        <v>17</v>
      </c>
      <c r="C19" s="67">
        <f t="shared" si="12"/>
        <v>196.49713435192203</v>
      </c>
      <c r="D19" s="67">
        <f t="shared" si="13"/>
        <v>149.15752316754944</v>
      </c>
      <c r="E19" s="68">
        <f t="shared" si="0"/>
        <v>47.339611184372586</v>
      </c>
      <c r="F19" s="56"/>
      <c r="G19" s="69">
        <f>C19*TDEE!$B$5</f>
        <v>2445.0144226636448</v>
      </c>
      <c r="H19" s="67">
        <f t="shared" si="14"/>
        <v>1467.5279467155501</v>
      </c>
      <c r="I19" s="67">
        <f t="shared" si="15"/>
        <v>977.48647594809472</v>
      </c>
      <c r="J19" s="58">
        <f t="shared" si="1"/>
        <v>0.41929369906158576</v>
      </c>
      <c r="K19" s="67">
        <f t="shared" si="2"/>
        <v>46.686933534659602</v>
      </c>
      <c r="L19" s="67">
        <v>20</v>
      </c>
      <c r="M19" s="54">
        <f>Protein_Amt!$B$6</f>
        <v>119.32601853403956</v>
      </c>
      <c r="N19" s="67">
        <f t="shared" si="3"/>
        <v>420.18240181193642</v>
      </c>
      <c r="O19" s="67">
        <f t="shared" si="4"/>
        <v>80</v>
      </c>
      <c r="P19" s="67">
        <f t="shared" si="5"/>
        <v>477.30407413615825</v>
      </c>
      <c r="Q19" s="68">
        <f t="shared" si="6"/>
        <v>977.48647594809472</v>
      </c>
      <c r="S19" s="70">
        <f>VLOOKUP($A19,FoodLog!$A$1:$Z$10009,12,0)</f>
        <v>483.48</v>
      </c>
      <c r="T19" s="70">
        <f>VLOOKUP($A19,FoodLog!$A$1:$Z$10009,13,0)</f>
        <v>43.714285714285715</v>
      </c>
      <c r="U19" s="70">
        <f>VLOOKUP($A19,FoodLog!$A$1:$Z$10009,14,0)</f>
        <v>518.97714285714278</v>
      </c>
      <c r="V19" s="70">
        <f>VLOOKUP($A19,FoodLog!$A$1:$Z$10009,15,0)</f>
        <v>1046.1714285714284</v>
      </c>
      <c r="W19" s="70">
        <f>VLOOKUP($A19,FoodLog!$A$1:$Z$10009,16,0)</f>
        <v>-63.297598188063603</v>
      </c>
      <c r="X19" s="70">
        <f>VLOOKUP($A19,FoodLog!$A$1:$Z$10009,17,0)</f>
        <v>36.285714285714285</v>
      </c>
      <c r="Y19" s="70">
        <f>VLOOKUP($A19,FoodLog!$A$1:$Z$10009,18,0)</f>
        <v>-41.673068720984531</v>
      </c>
      <c r="Z19" s="70">
        <f>VLOOKUP($A19,FoodLog!$A$1:$Z$10009,19,0)</f>
        <v>-68.684952623333629</v>
      </c>
      <c r="AA19" s="62">
        <f t="shared" si="8"/>
        <v>0.39966942688349044</v>
      </c>
      <c r="AB19" s="63">
        <f>Scale!C19</f>
        <v>197.8</v>
      </c>
      <c r="AC19" s="64">
        <f t="shared" si="9"/>
        <v>-1.302865648077983</v>
      </c>
    </row>
    <row r="20" spans="1:29" x14ac:dyDescent="0.25">
      <c r="A20" s="65">
        <f t="shared" si="10"/>
        <v>43009</v>
      </c>
      <c r="B20" s="66">
        <f t="shared" si="11"/>
        <v>18</v>
      </c>
      <c r="C20" s="67">
        <f t="shared" si="12"/>
        <v>196.09746492503854</v>
      </c>
      <c r="D20" s="67">
        <f t="shared" si="13"/>
        <v>149.15752316754944</v>
      </c>
      <c r="E20" s="68">
        <f t="shared" si="0"/>
        <v>46.939941757489095</v>
      </c>
      <c r="F20" s="56"/>
      <c r="G20" s="69">
        <f>C20*TDEE!$B$5</f>
        <v>2440.0413348053876</v>
      </c>
      <c r="H20" s="67">
        <f t="shared" si="14"/>
        <v>1455.1381944821619</v>
      </c>
      <c r="I20" s="67">
        <f t="shared" si="15"/>
        <v>984.90314032322567</v>
      </c>
      <c r="J20" s="58">
        <f t="shared" si="1"/>
        <v>0.41575376985204626</v>
      </c>
      <c r="K20" s="67">
        <f t="shared" si="2"/>
        <v>47.511007354118597</v>
      </c>
      <c r="L20" s="67">
        <v>20</v>
      </c>
      <c r="M20" s="54">
        <f>Protein_Amt!$B$6</f>
        <v>119.32601853403956</v>
      </c>
      <c r="N20" s="67">
        <f t="shared" si="3"/>
        <v>427.59906618706736</v>
      </c>
      <c r="O20" s="67">
        <f t="shared" si="4"/>
        <v>80</v>
      </c>
      <c r="P20" s="67">
        <f t="shared" si="5"/>
        <v>477.30407413615825</v>
      </c>
      <c r="Q20" s="68">
        <f t="shared" si="6"/>
        <v>984.90314032322567</v>
      </c>
      <c r="S20" s="70">
        <f>VLOOKUP($A20,FoodLog!$A$1:$Z$10009,12,0)</f>
        <v>504.9</v>
      </c>
      <c r="T20" s="70">
        <f>VLOOKUP($A20,FoodLog!$A$1:$Z$10009,13,0)</f>
        <v>51.714285714285715</v>
      </c>
      <c r="U20" s="70">
        <f>VLOOKUP($A20,FoodLog!$A$1:$Z$10009,14,0)</f>
        <v>476.65714285714284</v>
      </c>
      <c r="V20" s="70">
        <f>VLOOKUP($A20,FoodLog!$A$1:$Z$10009,15,0)</f>
        <v>1033.2714285714285</v>
      </c>
      <c r="W20" s="70">
        <f>VLOOKUP($A20,FoodLog!$A$1:$Z$10009,16,0)</f>
        <v>-77.300933812932612</v>
      </c>
      <c r="X20" s="70">
        <f>VLOOKUP($A20,FoodLog!$A$1:$Z$10009,17,0)</f>
        <v>28.285714285714285</v>
      </c>
      <c r="Y20" s="70">
        <f>VLOOKUP($A20,FoodLog!$A$1:$Z$10009,18,0)</f>
        <v>0.64693127901540493</v>
      </c>
      <c r="Z20" s="70">
        <f>VLOOKUP($A20,FoodLog!$A$1:$Z$10009,19,0)</f>
        <v>-48.368288248202816</v>
      </c>
      <c r="AA20" s="62">
        <f t="shared" si="8"/>
        <v>0.40193425892398832</v>
      </c>
      <c r="AB20" s="63">
        <f>Scale!C20</f>
        <v>197.8</v>
      </c>
      <c r="AC20" s="64">
        <f t="shared" si="9"/>
        <v>-1.7025350749614745</v>
      </c>
    </row>
    <row r="21" spans="1:29" x14ac:dyDescent="0.25">
      <c r="A21" s="65">
        <f t="shared" si="10"/>
        <v>43010</v>
      </c>
      <c r="B21" s="66">
        <f t="shared" si="11"/>
        <v>19</v>
      </c>
      <c r="C21" s="67">
        <f t="shared" si="12"/>
        <v>195.69553066611454</v>
      </c>
      <c r="D21" s="67">
        <f t="shared" si="13"/>
        <v>149.15752316754944</v>
      </c>
      <c r="E21" s="68">
        <f t="shared" si="0"/>
        <v>46.538007498565094</v>
      </c>
      <c r="F21" s="56"/>
      <c r="G21" s="69">
        <f>C21*TDEE!$B$5</f>
        <v>2435.0400656353663</v>
      </c>
      <c r="H21" s="67">
        <f t="shared" si="14"/>
        <v>1442.6782324555179</v>
      </c>
      <c r="I21" s="67">
        <f t="shared" si="15"/>
        <v>992.36183317984842</v>
      </c>
      <c r="J21" s="58">
        <f t="shared" si="1"/>
        <v>0.41219378070157653</v>
      </c>
      <c r="K21" s="67">
        <f t="shared" si="2"/>
        <v>48.339751004854456</v>
      </c>
      <c r="L21" s="67">
        <v>20</v>
      </c>
      <c r="M21" s="54">
        <f>Protein_Amt!$B$6</f>
        <v>119.32601853403956</v>
      </c>
      <c r="N21" s="67">
        <f t="shared" si="3"/>
        <v>435.05775904369011</v>
      </c>
      <c r="O21" s="67">
        <f t="shared" si="4"/>
        <v>80</v>
      </c>
      <c r="P21" s="67">
        <f t="shared" si="5"/>
        <v>477.30407413615825</v>
      </c>
      <c r="Q21" s="68">
        <f t="shared" si="6"/>
        <v>992.36183317984842</v>
      </c>
      <c r="S21" s="70">
        <f>VLOOKUP($A21,FoodLog!$A$1:$Z$10009,12,0)</f>
        <v>504.9</v>
      </c>
      <c r="T21" s="70">
        <f>VLOOKUP($A21,FoodLog!$A$1:$Z$10009,13,0)</f>
        <v>51.714285714285715</v>
      </c>
      <c r="U21" s="70">
        <f>VLOOKUP($A21,FoodLog!$A$1:$Z$10009,14,0)</f>
        <v>476.65714285714284</v>
      </c>
      <c r="V21" s="70">
        <f>VLOOKUP($A21,FoodLog!$A$1:$Z$10009,15,0)</f>
        <v>1033.2714285714285</v>
      </c>
      <c r="W21" s="70">
        <f>VLOOKUP($A21,FoodLog!$A$1:$Z$10009,16,0)</f>
        <v>-69.842240956309865</v>
      </c>
      <c r="X21" s="70">
        <f>VLOOKUP($A21,FoodLog!$A$1:$Z$10009,17,0)</f>
        <v>28.285714285714285</v>
      </c>
      <c r="Y21" s="70">
        <f>VLOOKUP($A21,FoodLog!$A$1:$Z$10009,18,0)</f>
        <v>0.64693127901540493</v>
      </c>
      <c r="Z21" s="70">
        <f>VLOOKUP($A21,FoodLog!$A$1:$Z$10009,19,0)</f>
        <v>-40.909595391580069</v>
      </c>
      <c r="AA21" s="62">
        <f t="shared" si="8"/>
        <v>0.4005053248754108</v>
      </c>
      <c r="AB21" s="63">
        <f>Scale!C21</f>
        <v>197</v>
      </c>
      <c r="AC21" s="64">
        <f t="shared" si="9"/>
        <v>-1.3044693338854643</v>
      </c>
    </row>
    <row r="22" spans="1:29" x14ac:dyDescent="0.25">
      <c r="A22" s="65">
        <f t="shared" si="10"/>
        <v>43011</v>
      </c>
      <c r="B22" s="66">
        <f t="shared" si="11"/>
        <v>20</v>
      </c>
      <c r="C22" s="67">
        <f t="shared" si="12"/>
        <v>195.29502534123912</v>
      </c>
      <c r="D22" s="67">
        <f t="shared" si="13"/>
        <v>149.15752316754944</v>
      </c>
      <c r="E22" s="68">
        <f t="shared" si="0"/>
        <v>46.137502173689683</v>
      </c>
      <c r="F22" s="56"/>
      <c r="G22" s="69">
        <f>C22*TDEE!$B$5</f>
        <v>2430.0565766959289</v>
      </c>
      <c r="H22" s="67">
        <f t="shared" si="14"/>
        <v>1430.2625673843802</v>
      </c>
      <c r="I22" s="67">
        <f t="shared" si="15"/>
        <v>999.79400931154873</v>
      </c>
      <c r="J22" s="58">
        <f t="shared" si="1"/>
        <v>0.40864644782410864</v>
      </c>
      <c r="K22" s="67">
        <f t="shared" si="2"/>
        <v>49.165548352821162</v>
      </c>
      <c r="L22" s="67">
        <v>20</v>
      </c>
      <c r="M22" s="54">
        <f>Protein_Amt!$B$6</f>
        <v>119.32601853403956</v>
      </c>
      <c r="N22" s="67">
        <f t="shared" si="3"/>
        <v>442.48993517539043</v>
      </c>
      <c r="O22" s="67">
        <f t="shared" si="4"/>
        <v>80</v>
      </c>
      <c r="P22" s="67">
        <f t="shared" si="5"/>
        <v>477.30407413615825</v>
      </c>
      <c r="Q22" s="68">
        <f t="shared" si="6"/>
        <v>999.79400931154873</v>
      </c>
      <c r="S22" s="70">
        <f>VLOOKUP($A22,FoodLog!$A$1:$Z$10009,12,0)</f>
        <v>426.6</v>
      </c>
      <c r="T22" s="70">
        <f>VLOOKUP($A22,FoodLog!$A$1:$Z$10009,13,0)</f>
        <v>70.95</v>
      </c>
      <c r="U22" s="70">
        <f>VLOOKUP($A22,FoodLog!$A$1:$Z$10009,14,0)</f>
        <v>500.40000000000003</v>
      </c>
      <c r="V22" s="70">
        <f>VLOOKUP($A22,FoodLog!$A$1:$Z$10009,15,0)</f>
        <v>997.95</v>
      </c>
      <c r="W22" s="70">
        <f>VLOOKUP($A22,FoodLog!$A$1:$Z$10009,16,0)</f>
        <v>15.889935175390406</v>
      </c>
      <c r="X22" s="70">
        <f>VLOOKUP($A22,FoodLog!$A$1:$Z$10009,17,0)</f>
        <v>9.0499999999999972</v>
      </c>
      <c r="Y22" s="70">
        <f>VLOOKUP($A22,FoodLog!$A$1:$Z$10009,18,0)</f>
        <v>-23.095925863841785</v>
      </c>
      <c r="Z22" s="70">
        <f>VLOOKUP($A22,FoodLog!$A$1:$Z$10009,19,0)</f>
        <v>1.8440093115486889</v>
      </c>
      <c r="AA22" s="62">
        <f t="shared" si="8"/>
        <v>0.40864644782410864</v>
      </c>
      <c r="AB22" s="63">
        <f>Scale!C22</f>
        <v>197.2</v>
      </c>
      <c r="AC22" s="64">
        <f t="shared" si="9"/>
        <v>-1.9049746587608638</v>
      </c>
    </row>
    <row r="23" spans="1:29" x14ac:dyDescent="0.25">
      <c r="A23" s="65">
        <f t="shared" si="10"/>
        <v>43012</v>
      </c>
      <c r="B23" s="66">
        <f t="shared" si="11"/>
        <v>21</v>
      </c>
      <c r="C23" s="67">
        <f t="shared" si="12"/>
        <v>194.88637889341501</v>
      </c>
      <c r="D23" s="67">
        <f t="shared" si="13"/>
        <v>149.15752316754944</v>
      </c>
      <c r="E23" s="68">
        <f t="shared" si="0"/>
        <v>45.728855725865571</v>
      </c>
      <c r="F23" s="56"/>
      <c r="G23" s="69">
        <f>C23*TDEE!$B$5</f>
        <v>2424.9717877396138</v>
      </c>
      <c r="H23" s="67">
        <f t="shared" si="14"/>
        <v>1417.5945275018328</v>
      </c>
      <c r="I23" s="67">
        <f t="shared" si="15"/>
        <v>1007.377260237781</v>
      </c>
      <c r="J23" s="58">
        <f t="shared" si="1"/>
        <v>0.40502700785766649</v>
      </c>
      <c r="K23" s="67">
        <f t="shared" si="2"/>
        <v>50.008131789069189</v>
      </c>
      <c r="L23" s="67">
        <v>20</v>
      </c>
      <c r="M23" s="54">
        <f>Protein_Amt!$B$6</f>
        <v>119.32601853403956</v>
      </c>
      <c r="N23" s="67">
        <f t="shared" si="3"/>
        <v>450.0731861016227</v>
      </c>
      <c r="O23" s="67">
        <f t="shared" si="4"/>
        <v>80</v>
      </c>
      <c r="P23" s="67">
        <f t="shared" si="5"/>
        <v>477.30407413615825</v>
      </c>
      <c r="Q23" s="68">
        <f t="shared" si="6"/>
        <v>1007.377260237781</v>
      </c>
      <c r="S23" s="70">
        <f>VLOOKUP($A23,FoodLog!$A$1:$Z$10009,12,0)</f>
        <v>605.70000000000005</v>
      </c>
      <c r="T23" s="70">
        <f>VLOOKUP($A23,FoodLog!$A$1:$Z$10009,13,0)</f>
        <v>64.851428571428571</v>
      </c>
      <c r="U23" s="70">
        <f>VLOOKUP($A23,FoodLog!$A$1:$Z$10009,14,0)</f>
        <v>482.28571428571428</v>
      </c>
      <c r="V23" s="70">
        <f>VLOOKUP($A23,FoodLog!$A$1:$Z$10009,15,0)</f>
        <v>1152.8371428571429</v>
      </c>
      <c r="W23" s="70">
        <f>VLOOKUP($A23,FoodLog!$A$1:$Z$10009,16,0)</f>
        <v>-155.62681389837735</v>
      </c>
      <c r="X23" s="70">
        <f>VLOOKUP($A23,FoodLog!$A$1:$Z$10009,17,0)</f>
        <v>15.148571428571429</v>
      </c>
      <c r="Y23" s="70">
        <f>VLOOKUP($A23,FoodLog!$A$1:$Z$10009,18,0)</f>
        <v>-4.9816401495560285</v>
      </c>
      <c r="Z23" s="70">
        <f>VLOOKUP($A23,FoodLog!$A$1:$Z$10009,19,0)</f>
        <v>-145.45988261936191</v>
      </c>
      <c r="AA23" s="62">
        <f t="shared" si="8"/>
        <v>0.3634670413949917</v>
      </c>
      <c r="AB23" s="63">
        <f>Scale!C23</f>
        <v>197.2</v>
      </c>
      <c r="AC23" s="64">
        <f t="shared" si="9"/>
        <v>-2.313621106584975</v>
      </c>
    </row>
    <row r="24" spans="1:29" x14ac:dyDescent="0.25">
      <c r="A24" s="65">
        <f t="shared" si="10"/>
        <v>43013</v>
      </c>
      <c r="B24" s="66">
        <f t="shared" si="11"/>
        <v>22</v>
      </c>
      <c r="C24" s="67">
        <f t="shared" si="12"/>
        <v>194.52291185202003</v>
      </c>
      <c r="D24" s="67">
        <f t="shared" si="13"/>
        <v>149.15752316754944</v>
      </c>
      <c r="E24" s="68">
        <f t="shared" si="0"/>
        <v>45.365388684470588</v>
      </c>
      <c r="F24" s="56"/>
      <c r="G24" s="69">
        <f>C24*TDEE!$B$5</f>
        <v>2420.4491662708342</v>
      </c>
      <c r="H24" s="67">
        <f t="shared" si="14"/>
        <v>1406.3270492185882</v>
      </c>
      <c r="I24" s="67">
        <f t="shared" si="15"/>
        <v>1014.122117052246</v>
      </c>
      <c r="J24" s="58">
        <f t="shared" si="1"/>
        <v>0.40180772834816803</v>
      </c>
      <c r="K24" s="67">
        <f t="shared" si="2"/>
        <v>50.757560324009745</v>
      </c>
      <c r="L24" s="67">
        <v>20</v>
      </c>
      <c r="M24" s="54">
        <f>Protein_Amt!$B$6</f>
        <v>119.32601853403956</v>
      </c>
      <c r="N24" s="67">
        <f t="shared" si="3"/>
        <v>456.81804291608773</v>
      </c>
      <c r="O24" s="67">
        <f t="shared" si="4"/>
        <v>80</v>
      </c>
      <c r="P24" s="67">
        <f t="shared" si="5"/>
        <v>477.30407413615825</v>
      </c>
      <c r="Q24" s="68">
        <f t="shared" si="6"/>
        <v>1014.122117052246</v>
      </c>
      <c r="S24" s="70">
        <f>VLOOKUP($A24,FoodLog!$A$1:$Z$10009,12,0)</f>
        <v>391.5</v>
      </c>
      <c r="T24" s="70">
        <f>VLOOKUP($A24,FoodLog!$A$1:$Z$10009,13,0)</f>
        <v>82.057142857142864</v>
      </c>
      <c r="U24" s="70">
        <f>VLOOKUP($A24,FoodLog!$A$1:$Z$10009,14,0)</f>
        <v>455.62857142857143</v>
      </c>
      <c r="V24" s="70">
        <f>VLOOKUP($A24,FoodLog!$A$1:$Z$10009,15,0)</f>
        <v>929.18571428571431</v>
      </c>
      <c r="W24" s="70">
        <f>VLOOKUP($A24,FoodLog!$A$1:$Z$10009,16,0)</f>
        <v>65.318042916087734</v>
      </c>
      <c r="X24" s="70">
        <f>VLOOKUP($A24,FoodLog!$A$1:$Z$10009,17,0)</f>
        <v>-2.057142857142864</v>
      </c>
      <c r="Y24" s="70">
        <f>VLOOKUP($A24,FoodLog!$A$1:$Z$10009,18,0)</f>
        <v>21.675502707586816</v>
      </c>
      <c r="Z24" s="70">
        <f>VLOOKUP($A24,FoodLog!$A$1:$Z$10009,19,0)</f>
        <v>84.936402766531728</v>
      </c>
      <c r="AA24" s="62">
        <f t="shared" si="8"/>
        <v>0.40180772834816803</v>
      </c>
      <c r="AB24" s="63">
        <f>Scale!C24</f>
        <v>194.8</v>
      </c>
    </row>
    <row r="25" spans="1:29" x14ac:dyDescent="0.25">
      <c r="A25" s="65">
        <f t="shared" si="10"/>
        <v>43014</v>
      </c>
      <c r="B25" s="66">
        <f t="shared" si="11"/>
        <v>23</v>
      </c>
      <c r="C25" s="67">
        <f t="shared" si="12"/>
        <v>194.12110412367187</v>
      </c>
      <c r="D25" s="67">
        <f t="shared" si="13"/>
        <v>149.15752316754944</v>
      </c>
      <c r="E25" s="68">
        <f t="shared" si="0"/>
        <v>44.963580956122428</v>
      </c>
      <c r="F25" s="56"/>
      <c r="G25" s="69">
        <f>C25*TDEE!$B$5</f>
        <v>2415.4494715211417</v>
      </c>
      <c r="H25" s="67">
        <f t="shared" si="14"/>
        <v>1393.8710096397954</v>
      </c>
      <c r="I25" s="67">
        <f t="shared" si="15"/>
        <v>1021.5784618813464</v>
      </c>
      <c r="J25" s="58">
        <f t="shared" si="1"/>
        <v>0.39824885989708442</v>
      </c>
      <c r="K25" s="67">
        <f t="shared" si="2"/>
        <v>51.586043082798675</v>
      </c>
      <c r="L25" s="67">
        <v>20</v>
      </c>
      <c r="M25" s="54">
        <f>Protein_Amt!$B$6</f>
        <v>119.32601853403956</v>
      </c>
      <c r="N25" s="67">
        <f t="shared" si="3"/>
        <v>464.27438774518805</v>
      </c>
      <c r="O25" s="67">
        <f t="shared" si="4"/>
        <v>80</v>
      </c>
      <c r="P25" s="67">
        <f t="shared" si="5"/>
        <v>477.30407413615825</v>
      </c>
      <c r="Q25" s="68">
        <f t="shared" si="6"/>
        <v>1021.5784618813464</v>
      </c>
      <c r="S25" s="70">
        <f>VLOOKUP($A25,FoodLog!$A$1:$Z$10009,12,0)</f>
        <v>177.75</v>
      </c>
      <c r="T25" s="70">
        <f>VLOOKUP($A25,FoodLog!$A$1:$Z$10009,13,0)</f>
        <v>12</v>
      </c>
      <c r="U25" s="70">
        <f>VLOOKUP($A25,FoodLog!$A$1:$Z$10009,14,0)</f>
        <v>820</v>
      </c>
      <c r="V25" s="70">
        <f>VLOOKUP($A25,FoodLog!$A$1:$Z$10009,15,0)</f>
        <v>1009.75</v>
      </c>
      <c r="W25" s="70">
        <f>VLOOKUP($A25,FoodLog!$A$1:$Z$10009,16,0)</f>
        <v>286.52438774518805</v>
      </c>
      <c r="X25" s="70">
        <f>VLOOKUP($A25,FoodLog!$A$1:$Z$10009,17,0)</f>
        <v>68</v>
      </c>
      <c r="Y25" s="70">
        <f>VLOOKUP($A25,FoodLog!$A$1:$Z$10009,18,0)</f>
        <v>-342.69592586384175</v>
      </c>
      <c r="Z25" s="70">
        <f>VLOOKUP($A25,FoodLog!$A$1:$Z$10009,19,0)</f>
        <v>11.828461881346357</v>
      </c>
      <c r="AA25" s="62">
        <f t="shared" si="8"/>
        <v>0.39824885989708442</v>
      </c>
      <c r="AB25" s="63">
        <f>Scale!C25</f>
        <v>195</v>
      </c>
    </row>
    <row r="26" spans="1:29" x14ac:dyDescent="0.25">
      <c r="A26" s="65">
        <f t="shared" si="10"/>
        <v>43015</v>
      </c>
      <c r="B26" s="66">
        <f t="shared" si="11"/>
        <v>24</v>
      </c>
      <c r="C26" s="67">
        <f t="shared" si="12"/>
        <v>193.72285526377479</v>
      </c>
      <c r="D26" s="67">
        <f t="shared" si="13"/>
        <v>149.15752316754944</v>
      </c>
      <c r="E26" s="68">
        <f t="shared" si="0"/>
        <v>44.565332096225347</v>
      </c>
      <c r="F26" s="56"/>
      <c r="G26" s="69">
        <f>C26*TDEE!$B$5</f>
        <v>2410.4940597820892</v>
      </c>
      <c r="H26" s="67">
        <f t="shared" si="14"/>
        <v>1381.5252949829858</v>
      </c>
      <c r="I26" s="67">
        <f t="shared" si="15"/>
        <v>1028.9687647991034</v>
      </c>
      <c r="J26" s="58">
        <f t="shared" si="1"/>
        <v>0.39472151285228163</v>
      </c>
      <c r="K26" s="67">
        <f t="shared" si="2"/>
        <v>52.407187851438344</v>
      </c>
      <c r="L26" s="67">
        <v>20</v>
      </c>
      <c r="M26" s="54">
        <f>Protein_Amt!$B$6</f>
        <v>119.32601853403956</v>
      </c>
      <c r="N26" s="67">
        <f t="shared" si="3"/>
        <v>471.66469066294508</v>
      </c>
      <c r="O26" s="67">
        <f t="shared" si="4"/>
        <v>80</v>
      </c>
      <c r="P26" s="67">
        <f t="shared" si="5"/>
        <v>477.30407413615825</v>
      </c>
      <c r="Q26" s="68">
        <f t="shared" si="6"/>
        <v>1028.9687647991034</v>
      </c>
      <c r="S26" s="70">
        <f>VLOOKUP($A26,FoodLog!$A$1:$Z$10009,12,0)</f>
        <v>1836</v>
      </c>
      <c r="T26" s="70">
        <f>VLOOKUP($A26,FoodLog!$A$1:$Z$10009,13,0)</f>
        <v>32</v>
      </c>
      <c r="U26" s="70">
        <f>VLOOKUP($A26,FoodLog!$A$1:$Z$10009,14,0)</f>
        <v>112</v>
      </c>
      <c r="V26" s="70">
        <f>VLOOKUP($A26,FoodLog!$A$1:$Z$10009,15,0)</f>
        <v>1980</v>
      </c>
      <c r="W26" s="70">
        <f>VLOOKUP($A26,FoodLog!$A$1:$Z$10009,16,0)</f>
        <v>-1364.3353093370549</v>
      </c>
      <c r="X26" s="70">
        <f>VLOOKUP($A26,FoodLog!$A$1:$Z$10009,17,0)</f>
        <v>48</v>
      </c>
      <c r="Y26" s="70">
        <f>VLOOKUP($A26,FoodLog!$A$1:$Z$10009,18,0)</f>
        <v>365.30407413615825</v>
      </c>
      <c r="Z26" s="70">
        <f>VLOOKUP($A26,FoodLog!$A$1:$Z$10009,19,0)</f>
        <v>-951.03123520089662</v>
      </c>
      <c r="AA26" s="62">
        <f t="shared" si="8"/>
        <v>0.12299830279488262</v>
      </c>
      <c r="AB26" s="63">
        <f>Scale!C26</f>
        <v>196</v>
      </c>
    </row>
    <row r="27" spans="1:29" x14ac:dyDescent="0.25">
      <c r="A27" s="65">
        <f t="shared" si="10"/>
        <v>43016</v>
      </c>
      <c r="B27" s="66">
        <f t="shared" si="11"/>
        <v>25</v>
      </c>
      <c r="C27" s="67">
        <f t="shared" si="12"/>
        <v>193.59985696097991</v>
      </c>
      <c r="D27" s="67">
        <f t="shared" si="13"/>
        <v>149.15752316754944</v>
      </c>
      <c r="E27" s="68">
        <f t="shared" si="0"/>
        <v>44.442333793430464</v>
      </c>
      <c r="F27" s="56"/>
      <c r="G27" s="69">
        <f>C27*TDEE!$B$5</f>
        <v>2408.963591537407</v>
      </c>
      <c r="H27" s="67">
        <f t="shared" si="14"/>
        <v>1377.7123475963444</v>
      </c>
      <c r="I27" s="67">
        <f t="shared" si="15"/>
        <v>1031.2512439410625</v>
      </c>
      <c r="J27" s="58">
        <f t="shared" si="1"/>
        <v>0.39363209931324128</v>
      </c>
      <c r="K27" s="67">
        <f t="shared" si="2"/>
        <v>52.660796644989354</v>
      </c>
      <c r="L27" s="67">
        <v>20</v>
      </c>
      <c r="M27" s="54">
        <f>Protein_Amt!$B$6</f>
        <v>119.32601853403956</v>
      </c>
      <c r="N27" s="67">
        <f t="shared" si="3"/>
        <v>473.94716980490421</v>
      </c>
      <c r="O27" s="67">
        <f t="shared" si="4"/>
        <v>80</v>
      </c>
      <c r="P27" s="67">
        <f t="shared" si="5"/>
        <v>477.30407413615825</v>
      </c>
      <c r="Q27" s="68">
        <f t="shared" si="6"/>
        <v>1031.2512439410625</v>
      </c>
      <c r="S27" s="70">
        <f>VLOOKUP($A27,FoodLog!$A$1:$Z$10009,12,0)</f>
        <v>1836</v>
      </c>
      <c r="T27" s="70">
        <f>VLOOKUP($A27,FoodLog!$A$1:$Z$10009,13,0)</f>
        <v>32</v>
      </c>
      <c r="U27" s="70">
        <f>VLOOKUP($A27,FoodLog!$A$1:$Z$10009,14,0)</f>
        <v>112</v>
      </c>
      <c r="V27" s="70">
        <f>VLOOKUP($A27,FoodLog!$A$1:$Z$10009,15,0)</f>
        <v>1980</v>
      </c>
      <c r="W27" s="70">
        <f>VLOOKUP($A27,FoodLog!$A$1:$Z$10009,16,0)</f>
        <v>-1362.0528301950958</v>
      </c>
      <c r="X27" s="70">
        <f>VLOOKUP($A27,FoodLog!$A$1:$Z$10009,17,0)</f>
        <v>48</v>
      </c>
      <c r="Y27" s="70">
        <f>VLOOKUP($A27,FoodLog!$A$1:$Z$10009,18,0)</f>
        <v>365.30407413615825</v>
      </c>
      <c r="Z27" s="70">
        <f>VLOOKUP($A27,FoodLog!$A$1:$Z$10009,19,0)</f>
        <v>-948.74875605893749</v>
      </c>
      <c r="AA27" s="62">
        <f t="shared" si="8"/>
        <v>0.12256102615354485</v>
      </c>
      <c r="AB27" s="63">
        <f>Scale!C27</f>
        <v>197</v>
      </c>
    </row>
    <row r="28" spans="1:29" x14ac:dyDescent="0.25">
      <c r="A28" s="65">
        <f t="shared" si="10"/>
        <v>43017</v>
      </c>
      <c r="B28" s="66">
        <f t="shared" si="11"/>
        <v>26</v>
      </c>
      <c r="C28" s="67">
        <f t="shared" si="12"/>
        <v>193.47729593482637</v>
      </c>
      <c r="D28" s="67">
        <f t="shared" si="13"/>
        <v>149.15752316754944</v>
      </c>
      <c r="E28" s="68">
        <f t="shared" si="0"/>
        <v>44.31977276727693</v>
      </c>
      <c r="F28" s="56"/>
      <c r="G28" s="69">
        <f>C28*TDEE!$B$5</f>
        <v>2407.438564327264</v>
      </c>
      <c r="H28" s="67">
        <f t="shared" si="14"/>
        <v>1373.9129557855849</v>
      </c>
      <c r="I28" s="67">
        <f t="shared" si="15"/>
        <v>1033.525608541679</v>
      </c>
      <c r="J28" s="58">
        <f t="shared" si="1"/>
        <v>0.39254655879588141</v>
      </c>
      <c r="K28" s="67">
        <f t="shared" si="2"/>
        <v>52.913503822835636</v>
      </c>
      <c r="L28" s="67">
        <v>20</v>
      </c>
      <c r="M28" s="54">
        <f>Protein_Amt!$B$6</f>
        <v>119.32601853403956</v>
      </c>
      <c r="N28" s="67">
        <f t="shared" si="3"/>
        <v>476.22153440552074</v>
      </c>
      <c r="O28" s="67">
        <f t="shared" si="4"/>
        <v>80</v>
      </c>
      <c r="P28" s="67">
        <f t="shared" si="5"/>
        <v>477.30407413615825</v>
      </c>
      <c r="Q28" s="68">
        <f t="shared" si="6"/>
        <v>1033.525608541679</v>
      </c>
      <c r="S28" s="70">
        <f>VLOOKUP($A28,FoodLog!$A$1:$Z$10009,12,0)</f>
        <v>1851.75</v>
      </c>
      <c r="T28" s="70">
        <f>VLOOKUP($A28,FoodLog!$A$1:$Z$10009,13,0)</f>
        <v>44</v>
      </c>
      <c r="U28" s="70">
        <f>VLOOKUP($A28,FoodLog!$A$1:$Z$10009,14,0)</f>
        <v>312</v>
      </c>
      <c r="V28" s="70">
        <f>VLOOKUP($A28,FoodLog!$A$1:$Z$10009,15,0)</f>
        <v>2207.75</v>
      </c>
      <c r="W28" s="70">
        <f>VLOOKUP($A28,FoodLog!$A$1:$Z$10009,16,0)</f>
        <v>-1375.5284655944793</v>
      </c>
      <c r="X28" s="70">
        <f>VLOOKUP($A28,FoodLog!$A$1:$Z$10009,17,0)</f>
        <v>36</v>
      </c>
      <c r="Y28" s="70">
        <f>VLOOKUP($A28,FoodLog!$A$1:$Z$10009,18,0)</f>
        <v>165.30407413615825</v>
      </c>
      <c r="Z28" s="70">
        <f>VLOOKUP($A28,FoodLog!$A$1:$Z$10009,19,0)</f>
        <v>-1174.224391458321</v>
      </c>
      <c r="AA28" s="62">
        <f t="shared" si="8"/>
        <v>5.7053875522075422E-2</v>
      </c>
      <c r="AB28" s="63">
        <f>Scale!C28</f>
        <v>198</v>
      </c>
    </row>
    <row r="29" spans="1:29" x14ac:dyDescent="0.25">
      <c r="A29" s="65">
        <f t="shared" si="10"/>
        <v>43018</v>
      </c>
      <c r="B29" s="66">
        <f t="shared" si="11"/>
        <v>27</v>
      </c>
      <c r="C29" s="67">
        <f t="shared" si="12"/>
        <v>193.42024205930429</v>
      </c>
      <c r="D29" s="67">
        <f t="shared" si="13"/>
        <v>149.15752316754944</v>
      </c>
      <c r="E29" s="68">
        <f t="shared" si="0"/>
        <v>44.262718891754844</v>
      </c>
      <c r="F29" s="56"/>
      <c r="G29" s="69">
        <f>C29*TDEE!$B$5</f>
        <v>2406.7286427857593</v>
      </c>
      <c r="H29" s="67">
        <f t="shared" si="14"/>
        <v>1372.1442856444</v>
      </c>
      <c r="I29" s="67">
        <f t="shared" si="15"/>
        <v>1034.5843571413593</v>
      </c>
      <c r="J29" s="58">
        <f t="shared" si="1"/>
        <v>0.39204122446982859</v>
      </c>
      <c r="K29" s="67">
        <f t="shared" si="2"/>
        <v>53.031142556133446</v>
      </c>
      <c r="L29" s="67">
        <v>20</v>
      </c>
      <c r="M29" s="54">
        <f>Protein_Amt!$B$6</f>
        <v>119.32601853403956</v>
      </c>
      <c r="N29" s="67">
        <f t="shared" si="3"/>
        <v>477.280283005201</v>
      </c>
      <c r="O29" s="67">
        <f t="shared" si="4"/>
        <v>80</v>
      </c>
      <c r="P29" s="67">
        <f t="shared" si="5"/>
        <v>477.30407413615825</v>
      </c>
      <c r="Q29" s="68">
        <f t="shared" si="6"/>
        <v>1034.5843571413593</v>
      </c>
      <c r="S29" s="70">
        <f>VLOOKUP($A29,FoodLog!$A$1:$Z$10009,12,0)</f>
        <v>364.95</v>
      </c>
      <c r="T29" s="70">
        <f>VLOOKUP($A29,FoodLog!$A$1:$Z$10009,13,0)</f>
        <v>148</v>
      </c>
      <c r="U29" s="70">
        <f>VLOOKUP($A29,FoodLog!$A$1:$Z$10009,14,0)</f>
        <v>508</v>
      </c>
      <c r="V29" s="70">
        <f>VLOOKUP($A29,FoodLog!$A$1:$Z$10009,15,0)</f>
        <v>1020.95</v>
      </c>
      <c r="W29" s="70">
        <f>VLOOKUP($A29,FoodLog!$A$1:$Z$10009,16,0)</f>
        <v>112.33028300520101</v>
      </c>
      <c r="X29" s="70">
        <f>VLOOKUP($A29,FoodLog!$A$1:$Z$10009,17,0)</f>
        <v>-68</v>
      </c>
      <c r="Y29" s="70">
        <f>VLOOKUP($A29,FoodLog!$A$1:$Z$10009,18,0)</f>
        <v>-30.695925863841751</v>
      </c>
      <c r="Z29" s="70">
        <f>VLOOKUP($A29,FoodLog!$A$1:$Z$10009,19,0)</f>
        <v>13.63435714135926</v>
      </c>
      <c r="AA29" s="62">
        <f t="shared" si="8"/>
        <v>0.39204122446982859</v>
      </c>
      <c r="AB29" s="63">
        <f>Scale!C29</f>
        <v>199.8</v>
      </c>
    </row>
    <row r="30" spans="1:29" x14ac:dyDescent="0.25">
      <c r="A30" s="65">
        <f t="shared" si="10"/>
        <v>43019</v>
      </c>
      <c r="B30" s="66">
        <f t="shared" si="11"/>
        <v>28</v>
      </c>
      <c r="C30" s="67">
        <f t="shared" si="12"/>
        <v>193.02820083483445</v>
      </c>
      <c r="D30" s="67">
        <f t="shared" si="13"/>
        <v>149.15752316754944</v>
      </c>
      <c r="E30" s="68">
        <f t="shared" si="0"/>
        <v>43.870677667285008</v>
      </c>
      <c r="F30" s="56"/>
      <c r="G30" s="69">
        <f>C30*TDEE!$B$5</f>
        <v>2401.8504726726483</v>
      </c>
      <c r="H30" s="67">
        <f t="shared" si="14"/>
        <v>1359.9910076858353</v>
      </c>
      <c r="I30" s="67">
        <f t="shared" si="15"/>
        <v>1041.859464986813</v>
      </c>
      <c r="J30" s="58">
        <f t="shared" si="1"/>
        <v>0.38856885933881008</v>
      </c>
      <c r="K30" s="67">
        <f t="shared" si="2"/>
        <v>53.839487872294967</v>
      </c>
      <c r="L30" s="67">
        <v>20</v>
      </c>
      <c r="M30" s="54">
        <f>Protein_Amt!$B$6</f>
        <v>119.32601853403956</v>
      </c>
      <c r="N30" s="67">
        <f t="shared" si="3"/>
        <v>484.5553908506547</v>
      </c>
      <c r="O30" s="67">
        <f t="shared" si="4"/>
        <v>80</v>
      </c>
      <c r="P30" s="67">
        <f t="shared" si="5"/>
        <v>477.30407413615825</v>
      </c>
      <c r="Q30" s="68">
        <f t="shared" si="6"/>
        <v>1041.859464986813</v>
      </c>
      <c r="S30" s="70">
        <f>VLOOKUP($A30,FoodLog!$A$1:$Z$10009,12,0)</f>
        <v>445.95</v>
      </c>
      <c r="T30" s="70">
        <f>VLOOKUP($A30,FoodLog!$A$1:$Z$10009,13,0)</f>
        <v>88</v>
      </c>
      <c r="U30" s="70">
        <f>VLOOKUP($A30,FoodLog!$A$1:$Z$10009,14,0)</f>
        <v>500</v>
      </c>
      <c r="V30" s="70">
        <f>VLOOKUP($A30,FoodLog!$A$1:$Z$10009,15,0)</f>
        <v>1033.95</v>
      </c>
      <c r="W30" s="70">
        <f>VLOOKUP($A30,FoodLog!$A$1:$Z$10009,16,0)</f>
        <v>38.605390850654715</v>
      </c>
      <c r="X30" s="70">
        <f>VLOOKUP($A30,FoodLog!$A$1:$Z$10009,17,0)</f>
        <v>-8</v>
      </c>
      <c r="Y30" s="70">
        <f>VLOOKUP($A30,FoodLog!$A$1:$Z$10009,18,0)</f>
        <v>-22.695925863841751</v>
      </c>
      <c r="Z30" s="70">
        <f>VLOOKUP($A30,FoodLog!$A$1:$Z$10009,19,0)</f>
        <v>7.9094649868129636</v>
      </c>
      <c r="AA30" s="62">
        <f t="shared" si="8"/>
        <v>0.38856885933881008</v>
      </c>
      <c r="AB30" s="63">
        <f>Scale!C30</f>
        <v>197.4</v>
      </c>
    </row>
    <row r="31" spans="1:29" x14ac:dyDescent="0.25">
      <c r="A31" s="65">
        <f t="shared" si="10"/>
        <v>43020</v>
      </c>
      <c r="B31" s="66">
        <f t="shared" si="11"/>
        <v>29</v>
      </c>
      <c r="C31" s="67">
        <f t="shared" si="12"/>
        <v>192.63963197549563</v>
      </c>
      <c r="D31" s="67">
        <f t="shared" si="13"/>
        <v>149.15752316754944</v>
      </c>
      <c r="E31" s="68">
        <f t="shared" si="0"/>
        <v>43.48210880794619</v>
      </c>
      <c r="F31" s="56"/>
      <c r="G31" s="69">
        <f>C31*TDEE!$B$5</f>
        <v>2397.0155092091109</v>
      </c>
      <c r="H31" s="67">
        <f t="shared" si="14"/>
        <v>1347.945373046332</v>
      </c>
      <c r="I31" s="67">
        <f t="shared" si="15"/>
        <v>1049.0701361627789</v>
      </c>
      <c r="J31" s="58">
        <f t="shared" si="1"/>
        <v>0.38512724944180915</v>
      </c>
      <c r="K31" s="67">
        <f t="shared" si="2"/>
        <v>54.640673558513399</v>
      </c>
      <c r="L31" s="67">
        <v>20</v>
      </c>
      <c r="M31" s="54">
        <f>Protein_Amt!$B$6</f>
        <v>119.32601853403956</v>
      </c>
      <c r="N31" s="67">
        <f t="shared" si="3"/>
        <v>491.7660620266206</v>
      </c>
      <c r="O31" s="67">
        <f t="shared" si="4"/>
        <v>80</v>
      </c>
      <c r="P31" s="67">
        <f t="shared" si="5"/>
        <v>477.30407413615825</v>
      </c>
      <c r="Q31" s="68">
        <f t="shared" si="6"/>
        <v>1049.0701361627789</v>
      </c>
      <c r="S31" s="70">
        <f>VLOOKUP($A31,FoodLog!$A$1:$Z$10009,12,0)</f>
        <v>267.75</v>
      </c>
      <c r="T31" s="70">
        <f>VLOOKUP($A31,FoodLog!$A$1:$Z$10009,13,0)</f>
        <v>36</v>
      </c>
      <c r="U31" s="70">
        <f>VLOOKUP($A31,FoodLog!$A$1:$Z$10009,14,0)</f>
        <v>256</v>
      </c>
      <c r="V31" s="70">
        <f>VLOOKUP($A31,FoodLog!$A$1:$Z$10009,15,0)</f>
        <v>559.75</v>
      </c>
      <c r="W31" s="70">
        <f>VLOOKUP($A31,FoodLog!$A$1:$Z$10009,16,0)</f>
        <v>224.0160620266206</v>
      </c>
      <c r="X31" s="70">
        <f>VLOOKUP($A31,FoodLog!$A$1:$Z$10009,17,0)</f>
        <v>44</v>
      </c>
      <c r="Y31" s="70">
        <f>VLOOKUP($A31,FoodLog!$A$1:$Z$10009,18,0)</f>
        <v>221.30407413615825</v>
      </c>
      <c r="Z31" s="70">
        <f>VLOOKUP($A31,FoodLog!$A$1:$Z$10009,19,0)</f>
        <v>489.32013616277891</v>
      </c>
      <c r="AA31" s="62">
        <f t="shared" si="8"/>
        <v>0.38512724944180915</v>
      </c>
      <c r="AB31" s="63">
        <f>Scale!C31</f>
        <v>194.4</v>
      </c>
    </row>
    <row r="32" spans="1:29" x14ac:dyDescent="0.25">
      <c r="A32" s="65">
        <f t="shared" si="10"/>
        <v>43021</v>
      </c>
      <c r="B32" s="66">
        <f t="shared" si="11"/>
        <v>30</v>
      </c>
      <c r="C32" s="67">
        <f t="shared" si="12"/>
        <v>192.25450472605382</v>
      </c>
      <c r="D32" s="67">
        <f t="shared" si="13"/>
        <v>149.15752316754944</v>
      </c>
      <c r="E32" s="68">
        <f t="shared" si="0"/>
        <v>43.096981558504382</v>
      </c>
      <c r="F32" s="56"/>
      <c r="G32" s="69">
        <f>C32*TDEE!$B$5</f>
        <v>2392.223369707679</v>
      </c>
      <c r="H32" s="67">
        <f t="shared" si="14"/>
        <v>1336.0064283136358</v>
      </c>
      <c r="I32" s="67">
        <f t="shared" si="15"/>
        <v>1056.2169413940433</v>
      </c>
      <c r="J32" s="58">
        <f t="shared" si="1"/>
        <v>0.38171612237532448</v>
      </c>
      <c r="K32" s="67">
        <f t="shared" si="2"/>
        <v>55.434763028653883</v>
      </c>
      <c r="L32" s="67">
        <v>20</v>
      </c>
      <c r="M32" s="54">
        <f>Protein_Amt!$B$6</f>
        <v>119.32601853403956</v>
      </c>
      <c r="N32" s="67">
        <f t="shared" si="3"/>
        <v>498.91286725788495</v>
      </c>
      <c r="O32" s="67">
        <f t="shared" si="4"/>
        <v>80</v>
      </c>
      <c r="P32" s="67">
        <f t="shared" si="5"/>
        <v>477.30407413615825</v>
      </c>
      <c r="Q32" s="68">
        <f t="shared" si="6"/>
        <v>1056.2169413940433</v>
      </c>
      <c r="S32" s="70">
        <f>VLOOKUP($A32,FoodLog!$A$1:$Z$10009,12,0)</f>
        <v>0</v>
      </c>
      <c r="T32" s="70">
        <f>VLOOKUP($A32,FoodLog!$A$1:$Z$10009,13,0)</f>
        <v>0</v>
      </c>
      <c r="U32" s="70">
        <f>VLOOKUP($A32,FoodLog!$A$1:$Z$10009,14,0)</f>
        <v>0</v>
      </c>
      <c r="V32" s="70">
        <f>VLOOKUP($A32,FoodLog!$A$1:$Z$10009,15,0)</f>
        <v>0</v>
      </c>
      <c r="W32" s="70">
        <f>VLOOKUP($A32,FoodLog!$A$1:$Z$10009,16,0)</f>
        <v>498.91286725788495</v>
      </c>
      <c r="X32" s="70">
        <f>VLOOKUP($A32,FoodLog!$A$1:$Z$10009,17,0)</f>
        <v>80</v>
      </c>
      <c r="Y32" s="70">
        <f>VLOOKUP($A32,FoodLog!$A$1:$Z$10009,18,0)</f>
        <v>477.30407413615825</v>
      </c>
      <c r="Z32" s="70">
        <f>VLOOKUP($A32,FoodLog!$A$1:$Z$10009,19,0)</f>
        <v>1056.2169413940433</v>
      </c>
      <c r="AA32" s="62">
        <f t="shared" si="8"/>
        <v>0.38171612237532448</v>
      </c>
      <c r="AB32" s="63">
        <f>Scale!C32</f>
        <v>0</v>
      </c>
    </row>
    <row r="33" spans="1:28" x14ac:dyDescent="0.25">
      <c r="A33" s="65">
        <f t="shared" si="10"/>
        <v>43022</v>
      </c>
      <c r="B33" s="66">
        <f t="shared" si="11"/>
        <v>31</v>
      </c>
      <c r="C33" s="67">
        <f t="shared" si="12"/>
        <v>191.87278860367849</v>
      </c>
      <c r="D33" s="67">
        <f t="shared" si="13"/>
        <v>149.15752316754944</v>
      </c>
      <c r="E33" s="68">
        <f t="shared" si="0"/>
        <v>42.715265436129044</v>
      </c>
      <c r="F33" s="56"/>
      <c r="G33" s="69">
        <f>C33*TDEE!$B$5</f>
        <v>2387.4736748704026</v>
      </c>
      <c r="H33" s="67">
        <f t="shared" si="14"/>
        <v>1324.1732285200003</v>
      </c>
      <c r="I33" s="67">
        <f t="shared" si="15"/>
        <v>1063.3004463504024</v>
      </c>
      <c r="J33" s="58">
        <f t="shared" si="1"/>
        <v>0.37833520814857152</v>
      </c>
      <c r="K33" s="67">
        <f t="shared" si="2"/>
        <v>56.221819134916004</v>
      </c>
      <c r="L33" s="67">
        <v>20</v>
      </c>
      <c r="M33" s="54">
        <f>Protein_Amt!$B$6</f>
        <v>119.32601853403956</v>
      </c>
      <c r="N33" s="67">
        <f t="shared" si="3"/>
        <v>505.99637221424405</v>
      </c>
      <c r="O33" s="67">
        <f t="shared" si="4"/>
        <v>80</v>
      </c>
      <c r="P33" s="67">
        <f t="shared" si="5"/>
        <v>477.30407413615825</v>
      </c>
      <c r="Q33" s="68">
        <f t="shared" si="6"/>
        <v>1063.3004463504024</v>
      </c>
      <c r="S33" s="70">
        <f>VLOOKUP($A33,FoodLog!$A$1:$Z$10009,12,0)</f>
        <v>0</v>
      </c>
      <c r="T33" s="70">
        <f>VLOOKUP($A33,FoodLog!$A$1:$Z$10009,13,0)</f>
        <v>0</v>
      </c>
      <c r="U33" s="70">
        <f>VLOOKUP($A33,FoodLog!$A$1:$Z$10009,14,0)</f>
        <v>0</v>
      </c>
      <c r="V33" s="70">
        <f>VLOOKUP($A33,FoodLog!$A$1:$Z$10009,15,0)</f>
        <v>0</v>
      </c>
      <c r="W33" s="70">
        <f>VLOOKUP($A33,FoodLog!$A$1:$Z$10009,16,0)</f>
        <v>505.99637221424405</v>
      </c>
      <c r="X33" s="70">
        <f>VLOOKUP($A33,FoodLog!$A$1:$Z$10009,17,0)</f>
        <v>80</v>
      </c>
      <c r="Y33" s="70">
        <f>VLOOKUP($A33,FoodLog!$A$1:$Z$10009,18,0)</f>
        <v>477.30407413615825</v>
      </c>
      <c r="Z33" s="70">
        <f>VLOOKUP($A33,FoodLog!$A$1:$Z$10009,19,0)</f>
        <v>1063.3004463504024</v>
      </c>
      <c r="AA33" s="62">
        <f t="shared" si="8"/>
        <v>0.37833520814857152</v>
      </c>
      <c r="AB33" s="63">
        <f>Scale!C33</f>
        <v>0</v>
      </c>
    </row>
    <row r="34" spans="1:28" x14ac:dyDescent="0.25">
      <c r="A34" s="65">
        <f t="shared" si="10"/>
        <v>43023</v>
      </c>
      <c r="B34" s="66">
        <f t="shared" si="11"/>
        <v>32</v>
      </c>
      <c r="C34" s="67">
        <f t="shared" si="12"/>
        <v>191.49445339552992</v>
      </c>
      <c r="D34" s="67">
        <f t="shared" si="13"/>
        <v>149.15752316754944</v>
      </c>
      <c r="E34" s="68">
        <f t="shared" si="0"/>
        <v>42.336930227980474</v>
      </c>
      <c r="F34" s="56"/>
      <c r="G34" s="69">
        <f>C34*TDEE!$B$5</f>
        <v>2382.7660487588278</v>
      </c>
      <c r="H34" s="67">
        <f t="shared" si="14"/>
        <v>1312.4448370673947</v>
      </c>
      <c r="I34" s="67">
        <f t="shared" si="15"/>
        <v>1070.3212116914331</v>
      </c>
      <c r="J34" s="58">
        <f t="shared" si="1"/>
        <v>0.37498423916211276</v>
      </c>
      <c r="K34" s="67">
        <f t="shared" si="2"/>
        <v>57.00190417280831</v>
      </c>
      <c r="L34" s="67">
        <v>20</v>
      </c>
      <c r="M34" s="54">
        <f>Protein_Amt!$B$6</f>
        <v>119.32601853403956</v>
      </c>
      <c r="N34" s="67">
        <f t="shared" si="3"/>
        <v>513.01713755527476</v>
      </c>
      <c r="O34" s="67">
        <f t="shared" si="4"/>
        <v>80</v>
      </c>
      <c r="P34" s="67">
        <f t="shared" si="5"/>
        <v>477.30407413615825</v>
      </c>
      <c r="Q34" s="68">
        <f t="shared" si="6"/>
        <v>1070.3212116914331</v>
      </c>
      <c r="S34" s="70">
        <f>VLOOKUP($A34,FoodLog!$A$1:$Z$10009,12,0)</f>
        <v>0</v>
      </c>
      <c r="T34" s="70">
        <f>VLOOKUP($A34,FoodLog!$A$1:$Z$10009,13,0)</f>
        <v>0</v>
      </c>
      <c r="U34" s="70">
        <f>VLOOKUP($A34,FoodLog!$A$1:$Z$10009,14,0)</f>
        <v>0</v>
      </c>
      <c r="V34" s="70">
        <f>VLOOKUP($A34,FoodLog!$A$1:$Z$10009,15,0)</f>
        <v>0</v>
      </c>
      <c r="W34" s="70">
        <f>VLOOKUP($A34,FoodLog!$A$1:$Z$10009,16,0)</f>
        <v>513.01713755527476</v>
      </c>
      <c r="X34" s="70">
        <f>VLOOKUP($A34,FoodLog!$A$1:$Z$10009,17,0)</f>
        <v>80</v>
      </c>
      <c r="Y34" s="70">
        <f>VLOOKUP($A34,FoodLog!$A$1:$Z$10009,18,0)</f>
        <v>477.30407413615825</v>
      </c>
      <c r="Z34" s="70">
        <f>VLOOKUP($A34,FoodLog!$A$1:$Z$10009,19,0)</f>
        <v>1070.3212116914331</v>
      </c>
      <c r="AA34" s="62">
        <f t="shared" si="8"/>
        <v>0.37498423916211276</v>
      </c>
      <c r="AB34" s="63">
        <f>Scale!C34</f>
        <v>0</v>
      </c>
    </row>
    <row r="35" spans="1:28" x14ac:dyDescent="0.25">
      <c r="A35" s="65">
        <f t="shared" si="10"/>
        <v>43024</v>
      </c>
      <c r="B35" s="66">
        <f t="shared" si="11"/>
        <v>33</v>
      </c>
      <c r="C35" s="67">
        <f t="shared" si="12"/>
        <v>191.11946915636781</v>
      </c>
      <c r="D35" s="67">
        <f t="shared" si="13"/>
        <v>149.15752316754944</v>
      </c>
      <c r="E35" s="68">
        <f t="shared" ref="E35:E66" si="16">C35-D35</f>
        <v>41.961945988818371</v>
      </c>
      <c r="F35" s="56"/>
      <c r="G35" s="69">
        <f>C35*TDEE!$B$5</f>
        <v>2378.1001187642414</v>
      </c>
      <c r="H35" s="67">
        <f t="shared" si="14"/>
        <v>1300.8203256533695</v>
      </c>
      <c r="I35" s="67">
        <f t="shared" si="15"/>
        <v>1077.2797931108719</v>
      </c>
      <c r="J35" s="58">
        <f t="shared" ref="J35:J66" si="17">H35/3500</f>
        <v>0.371662950186677</v>
      </c>
      <c r="K35" s="67">
        <f t="shared" ref="K35:K66" si="18">N35/9</f>
        <v>57.775079886079283</v>
      </c>
      <c r="L35" s="67">
        <v>20</v>
      </c>
      <c r="M35" s="54">
        <f>Protein_Amt!$B$6</f>
        <v>119.32601853403956</v>
      </c>
      <c r="N35" s="67">
        <f t="shared" ref="N35:N66" si="19">MAX(0,I35-(O35+P35))</f>
        <v>519.97571897471357</v>
      </c>
      <c r="O35" s="67">
        <f t="shared" ref="O35:O66" si="20">4*L35</f>
        <v>80</v>
      </c>
      <c r="P35" s="67">
        <f t="shared" ref="P35:P66" si="21">4*M35</f>
        <v>477.30407413615825</v>
      </c>
      <c r="Q35" s="68">
        <f t="shared" ref="Q35:Q66" si="22">SUM(N35:P35)</f>
        <v>1077.2797931108719</v>
      </c>
      <c r="S35" s="70">
        <f>VLOOKUP($A35,FoodLog!$A$1:$Z$10009,12,0)</f>
        <v>0</v>
      </c>
      <c r="T35" s="70">
        <f>VLOOKUP($A35,FoodLog!$A$1:$Z$10009,13,0)</f>
        <v>0</v>
      </c>
      <c r="U35" s="70">
        <f>VLOOKUP($A35,FoodLog!$A$1:$Z$10009,14,0)</f>
        <v>0</v>
      </c>
      <c r="V35" s="70">
        <f>VLOOKUP($A35,FoodLog!$A$1:$Z$10009,15,0)</f>
        <v>0</v>
      </c>
      <c r="W35" s="70">
        <f>VLOOKUP($A35,FoodLog!$A$1:$Z$10009,16,0)</f>
        <v>519.97571897471357</v>
      </c>
      <c r="X35" s="70">
        <f>VLOOKUP($A35,FoodLog!$A$1:$Z$10009,17,0)</f>
        <v>80</v>
      </c>
      <c r="Y35" s="70">
        <f>VLOOKUP($A35,FoodLog!$A$1:$Z$10009,18,0)</f>
        <v>477.30407413615825</v>
      </c>
      <c r="Z35" s="70">
        <f>VLOOKUP($A35,FoodLog!$A$1:$Z$10009,19,0)</f>
        <v>1077.2797931108719</v>
      </c>
      <c r="AA35" s="62">
        <f t="shared" ref="AA35:AA66" si="23">MIN($H35,($H35+Z35))/3500</f>
        <v>0.371662950186677</v>
      </c>
      <c r="AB35" s="63">
        <f>Scale!C35</f>
        <v>0</v>
      </c>
    </row>
    <row r="36" spans="1:28" x14ac:dyDescent="0.25">
      <c r="A36" s="65">
        <f t="shared" ref="A36:A67" si="24">A35+1</f>
        <v>43025</v>
      </c>
      <c r="B36" s="66">
        <f t="shared" ref="B36:B67" si="25">B35+1</f>
        <v>34</v>
      </c>
      <c r="C36" s="67">
        <f t="shared" ref="C36:C67" si="26">C35-AA35</f>
        <v>190.74780620618114</v>
      </c>
      <c r="D36" s="67">
        <f t="shared" ref="D36:D67" si="27">$D$3</f>
        <v>149.15752316754944</v>
      </c>
      <c r="E36" s="68">
        <f t="shared" si="16"/>
        <v>41.590283038631696</v>
      </c>
      <c r="F36" s="56"/>
      <c r="G36" s="69">
        <f>C36*TDEE!$B$5</f>
        <v>2373.4755155781786</v>
      </c>
      <c r="H36" s="67">
        <f t="shared" ref="H36:H67" si="28">$E36*31</f>
        <v>1289.2987741975826</v>
      </c>
      <c r="I36" s="67">
        <f t="shared" ref="I36:I67" si="29">$G36-$H36</f>
        <v>1084.176741380596</v>
      </c>
      <c r="J36" s="58">
        <f t="shared" si="17"/>
        <v>0.36837107834216648</v>
      </c>
      <c r="K36" s="67">
        <f t="shared" si="18"/>
        <v>58.541407471604188</v>
      </c>
      <c r="L36" s="67">
        <v>20</v>
      </c>
      <c r="M36" s="54">
        <f>Protein_Amt!$B$6</f>
        <v>119.32601853403956</v>
      </c>
      <c r="N36" s="67">
        <f t="shared" si="19"/>
        <v>526.87266724443771</v>
      </c>
      <c r="O36" s="67">
        <f t="shared" si="20"/>
        <v>80</v>
      </c>
      <c r="P36" s="67">
        <f t="shared" si="21"/>
        <v>477.30407413615825</v>
      </c>
      <c r="Q36" s="68">
        <f t="shared" si="22"/>
        <v>1084.176741380596</v>
      </c>
      <c r="S36" s="70">
        <f>VLOOKUP($A36,FoodLog!$A$1:$Z$10009,12,0)</f>
        <v>0</v>
      </c>
      <c r="T36" s="70">
        <f>VLOOKUP($A36,FoodLog!$A$1:$Z$10009,13,0)</f>
        <v>0</v>
      </c>
      <c r="U36" s="70">
        <f>VLOOKUP($A36,FoodLog!$A$1:$Z$10009,14,0)</f>
        <v>0</v>
      </c>
      <c r="V36" s="70">
        <f>VLOOKUP($A36,FoodLog!$A$1:$Z$10009,15,0)</f>
        <v>0</v>
      </c>
      <c r="W36" s="70">
        <f>VLOOKUP($A36,FoodLog!$A$1:$Z$10009,16,0)</f>
        <v>526.87266724443771</v>
      </c>
      <c r="X36" s="70">
        <f>VLOOKUP($A36,FoodLog!$A$1:$Z$10009,17,0)</f>
        <v>80</v>
      </c>
      <c r="Y36" s="70">
        <f>VLOOKUP($A36,FoodLog!$A$1:$Z$10009,18,0)</f>
        <v>477.30407413615825</v>
      </c>
      <c r="Z36" s="70">
        <f>VLOOKUP($A36,FoodLog!$A$1:$Z$10009,19,0)</f>
        <v>1084.176741380596</v>
      </c>
      <c r="AA36" s="62">
        <f t="shared" si="23"/>
        <v>0.36837107834216648</v>
      </c>
      <c r="AB36" s="63">
        <f>Scale!C36</f>
        <v>0</v>
      </c>
    </row>
    <row r="37" spans="1:28" x14ac:dyDescent="0.25">
      <c r="A37" s="65">
        <f t="shared" si="24"/>
        <v>43026</v>
      </c>
      <c r="B37" s="66">
        <f t="shared" si="25"/>
        <v>35</v>
      </c>
      <c r="C37" s="67">
        <f t="shared" si="26"/>
        <v>190.37943512783897</v>
      </c>
      <c r="D37" s="67">
        <f t="shared" si="27"/>
        <v>149.15752316754944</v>
      </c>
      <c r="E37" s="68">
        <f t="shared" si="16"/>
        <v>41.221911960289532</v>
      </c>
      <c r="F37" s="56"/>
      <c r="G37" s="69">
        <f>C37*TDEE!$B$5</f>
        <v>2368.891873163192</v>
      </c>
      <c r="H37" s="67">
        <f t="shared" si="28"/>
        <v>1277.8792707689754</v>
      </c>
      <c r="I37" s="67">
        <f t="shared" si="29"/>
        <v>1091.0126023942166</v>
      </c>
      <c r="J37" s="58">
        <f t="shared" si="17"/>
        <v>0.36510836307685013</v>
      </c>
      <c r="K37" s="67">
        <f t="shared" si="18"/>
        <v>59.300947584228702</v>
      </c>
      <c r="L37" s="67">
        <v>20</v>
      </c>
      <c r="M37" s="54">
        <f>Protein_Amt!$B$6</f>
        <v>119.32601853403956</v>
      </c>
      <c r="N37" s="67">
        <f t="shared" si="19"/>
        <v>533.70852825805832</v>
      </c>
      <c r="O37" s="67">
        <f t="shared" si="20"/>
        <v>80</v>
      </c>
      <c r="P37" s="67">
        <f t="shared" si="21"/>
        <v>477.30407413615825</v>
      </c>
      <c r="Q37" s="68">
        <f t="shared" si="22"/>
        <v>1091.0126023942166</v>
      </c>
      <c r="S37" s="70">
        <f>VLOOKUP($A37,FoodLog!$A$1:$Z$10009,12,0)</f>
        <v>0</v>
      </c>
      <c r="T37" s="70">
        <f>VLOOKUP($A37,FoodLog!$A$1:$Z$10009,13,0)</f>
        <v>0</v>
      </c>
      <c r="U37" s="70">
        <f>VLOOKUP($A37,FoodLog!$A$1:$Z$10009,14,0)</f>
        <v>0</v>
      </c>
      <c r="V37" s="70">
        <f>VLOOKUP($A37,FoodLog!$A$1:$Z$10009,15,0)</f>
        <v>0</v>
      </c>
      <c r="W37" s="70">
        <f>VLOOKUP($A37,FoodLog!$A$1:$Z$10009,16,0)</f>
        <v>533.70852825805832</v>
      </c>
      <c r="X37" s="70">
        <f>VLOOKUP($A37,FoodLog!$A$1:$Z$10009,17,0)</f>
        <v>80</v>
      </c>
      <c r="Y37" s="70">
        <f>VLOOKUP($A37,FoodLog!$A$1:$Z$10009,18,0)</f>
        <v>477.30407413615825</v>
      </c>
      <c r="Z37" s="70">
        <f>VLOOKUP($A37,FoodLog!$A$1:$Z$10009,19,0)</f>
        <v>1091.0126023942166</v>
      </c>
      <c r="AA37" s="62">
        <f t="shared" si="23"/>
        <v>0.36510836307685013</v>
      </c>
      <c r="AB37" s="63">
        <f>Scale!C37</f>
        <v>0</v>
      </c>
    </row>
    <row r="38" spans="1:28" x14ac:dyDescent="0.25">
      <c r="A38" s="65">
        <f t="shared" si="24"/>
        <v>43027</v>
      </c>
      <c r="B38" s="66">
        <f t="shared" si="25"/>
        <v>36</v>
      </c>
      <c r="C38" s="67">
        <f t="shared" si="26"/>
        <v>190.01432676476213</v>
      </c>
      <c r="D38" s="67">
        <f t="shared" si="27"/>
        <v>149.15752316754944</v>
      </c>
      <c r="E38" s="68">
        <f t="shared" si="16"/>
        <v>40.856803597212689</v>
      </c>
      <c r="F38" s="56"/>
      <c r="G38" s="69">
        <f>C38*TDEE!$B$5</f>
        <v>2364.3488287238815</v>
      </c>
      <c r="H38" s="67">
        <f t="shared" si="28"/>
        <v>1266.5609115135933</v>
      </c>
      <c r="I38" s="67">
        <f t="shared" si="29"/>
        <v>1097.7879172102882</v>
      </c>
      <c r="J38" s="58">
        <f t="shared" si="17"/>
        <v>0.36187454614674092</v>
      </c>
      <c r="K38" s="67">
        <f t="shared" si="18"/>
        <v>60.053760341569991</v>
      </c>
      <c r="L38" s="67">
        <v>20</v>
      </c>
      <c r="M38" s="54">
        <f>Protein_Amt!$B$6</f>
        <v>119.32601853403956</v>
      </c>
      <c r="N38" s="67">
        <f t="shared" si="19"/>
        <v>540.48384307412994</v>
      </c>
      <c r="O38" s="67">
        <f t="shared" si="20"/>
        <v>80</v>
      </c>
      <c r="P38" s="67">
        <f t="shared" si="21"/>
        <v>477.30407413615825</v>
      </c>
      <c r="Q38" s="68">
        <f t="shared" si="22"/>
        <v>1097.7879172102882</v>
      </c>
      <c r="S38" s="70">
        <f>VLOOKUP($A38,FoodLog!$A$1:$Z$10009,12,0)</f>
        <v>0</v>
      </c>
      <c r="T38" s="70">
        <f>VLOOKUP($A38,FoodLog!$A$1:$Z$10009,13,0)</f>
        <v>0</v>
      </c>
      <c r="U38" s="70">
        <f>VLOOKUP($A38,FoodLog!$A$1:$Z$10009,14,0)</f>
        <v>0</v>
      </c>
      <c r="V38" s="70">
        <f>VLOOKUP($A38,FoodLog!$A$1:$Z$10009,15,0)</f>
        <v>0</v>
      </c>
      <c r="W38" s="70">
        <f>VLOOKUP($A38,FoodLog!$A$1:$Z$10009,16,0)</f>
        <v>540.48384307412994</v>
      </c>
      <c r="X38" s="70">
        <f>VLOOKUP($A38,FoodLog!$A$1:$Z$10009,17,0)</f>
        <v>80</v>
      </c>
      <c r="Y38" s="70">
        <f>VLOOKUP($A38,FoodLog!$A$1:$Z$10009,18,0)</f>
        <v>477.30407413615825</v>
      </c>
      <c r="Z38" s="70">
        <f>VLOOKUP($A38,FoodLog!$A$1:$Z$10009,19,0)</f>
        <v>1097.7879172102882</v>
      </c>
      <c r="AA38" s="62">
        <f t="shared" si="23"/>
        <v>0.36187454614674092</v>
      </c>
      <c r="AB38" s="63">
        <f>Scale!C38</f>
        <v>0</v>
      </c>
    </row>
    <row r="39" spans="1:28" x14ac:dyDescent="0.25">
      <c r="A39" s="65">
        <f t="shared" si="24"/>
        <v>43028</v>
      </c>
      <c r="B39" s="66">
        <f t="shared" si="25"/>
        <v>37</v>
      </c>
      <c r="C39" s="67">
        <f t="shared" si="26"/>
        <v>189.65245221861539</v>
      </c>
      <c r="D39" s="67">
        <f t="shared" si="27"/>
        <v>149.15752316754944</v>
      </c>
      <c r="E39" s="68">
        <f t="shared" si="16"/>
        <v>40.494929051065952</v>
      </c>
      <c r="F39" s="56"/>
      <c r="G39" s="69">
        <f>C39*TDEE!$B$5</f>
        <v>2359.8460226781758</v>
      </c>
      <c r="H39" s="67">
        <f t="shared" si="28"/>
        <v>1255.3428005830444</v>
      </c>
      <c r="I39" s="67">
        <f t="shared" si="29"/>
        <v>1104.5032220951314</v>
      </c>
      <c r="J39" s="58">
        <f t="shared" si="17"/>
        <v>0.35866937159515555</v>
      </c>
      <c r="K39" s="67">
        <f t="shared" si="18"/>
        <v>60.799905328774784</v>
      </c>
      <c r="L39" s="67">
        <v>20</v>
      </c>
      <c r="M39" s="54">
        <f>Protein_Amt!$B$6</f>
        <v>119.32601853403956</v>
      </c>
      <c r="N39" s="67">
        <f t="shared" si="19"/>
        <v>547.19914795897307</v>
      </c>
      <c r="O39" s="67">
        <f t="shared" si="20"/>
        <v>80</v>
      </c>
      <c r="P39" s="67">
        <f t="shared" si="21"/>
        <v>477.30407413615825</v>
      </c>
      <c r="Q39" s="68">
        <f t="shared" si="22"/>
        <v>1104.5032220951314</v>
      </c>
      <c r="S39" s="70">
        <f>VLOOKUP($A39,FoodLog!$A$1:$Z$10009,12,0)</f>
        <v>0</v>
      </c>
      <c r="T39" s="70">
        <f>VLOOKUP($A39,FoodLog!$A$1:$Z$10009,13,0)</f>
        <v>0</v>
      </c>
      <c r="U39" s="70">
        <f>VLOOKUP($A39,FoodLog!$A$1:$Z$10009,14,0)</f>
        <v>0</v>
      </c>
      <c r="V39" s="70">
        <f>VLOOKUP($A39,FoodLog!$A$1:$Z$10009,15,0)</f>
        <v>0</v>
      </c>
      <c r="W39" s="70">
        <f>VLOOKUP($A39,FoodLog!$A$1:$Z$10009,16,0)</f>
        <v>547.19914795897307</v>
      </c>
      <c r="X39" s="70">
        <f>VLOOKUP($A39,FoodLog!$A$1:$Z$10009,17,0)</f>
        <v>80</v>
      </c>
      <c r="Y39" s="70">
        <f>VLOOKUP($A39,FoodLog!$A$1:$Z$10009,18,0)</f>
        <v>477.30407413615825</v>
      </c>
      <c r="Z39" s="70">
        <f>VLOOKUP($A39,FoodLog!$A$1:$Z$10009,19,0)</f>
        <v>1104.5032220951314</v>
      </c>
      <c r="AA39" s="62">
        <f t="shared" si="23"/>
        <v>0.35866937159515555</v>
      </c>
      <c r="AB39" s="63">
        <f>Scale!C39</f>
        <v>0</v>
      </c>
    </row>
    <row r="40" spans="1:28" x14ac:dyDescent="0.25">
      <c r="A40" s="65">
        <f t="shared" si="24"/>
        <v>43029</v>
      </c>
      <c r="B40" s="66">
        <f t="shared" si="25"/>
        <v>38</v>
      </c>
      <c r="C40" s="67">
        <f t="shared" si="26"/>
        <v>189.29378284702022</v>
      </c>
      <c r="D40" s="67">
        <f t="shared" si="27"/>
        <v>149.15752316754944</v>
      </c>
      <c r="E40" s="68">
        <f t="shared" si="16"/>
        <v>40.136259679470783</v>
      </c>
      <c r="F40" s="56"/>
      <c r="G40" s="69">
        <f>C40*TDEE!$B$5</f>
        <v>2355.3830986288754</v>
      </c>
      <c r="H40" s="67">
        <f t="shared" si="28"/>
        <v>1244.2240500635942</v>
      </c>
      <c r="I40" s="67">
        <f t="shared" si="29"/>
        <v>1111.1590485652812</v>
      </c>
      <c r="J40" s="58">
        <f t="shared" si="17"/>
        <v>0.35549258573245546</v>
      </c>
      <c r="K40" s="67">
        <f t="shared" si="18"/>
        <v>61.539441603235872</v>
      </c>
      <c r="L40" s="67">
        <v>20</v>
      </c>
      <c r="M40" s="54">
        <f>Protein_Amt!$B$6</f>
        <v>119.32601853403956</v>
      </c>
      <c r="N40" s="67">
        <f t="shared" si="19"/>
        <v>553.85497442912288</v>
      </c>
      <c r="O40" s="67">
        <f t="shared" si="20"/>
        <v>80</v>
      </c>
      <c r="P40" s="67">
        <f t="shared" si="21"/>
        <v>477.30407413615825</v>
      </c>
      <c r="Q40" s="68">
        <f t="shared" si="22"/>
        <v>1111.1590485652812</v>
      </c>
      <c r="S40" s="70">
        <f>VLOOKUP($A40,FoodLog!$A$1:$Z$10009,12,0)</f>
        <v>0</v>
      </c>
      <c r="T40" s="70">
        <f>VLOOKUP($A40,FoodLog!$A$1:$Z$10009,13,0)</f>
        <v>0</v>
      </c>
      <c r="U40" s="70">
        <f>VLOOKUP($A40,FoodLog!$A$1:$Z$10009,14,0)</f>
        <v>0</v>
      </c>
      <c r="V40" s="70">
        <f>VLOOKUP($A40,FoodLog!$A$1:$Z$10009,15,0)</f>
        <v>0</v>
      </c>
      <c r="W40" s="70">
        <f>VLOOKUP($A40,FoodLog!$A$1:$Z$10009,16,0)</f>
        <v>553.85497442912288</v>
      </c>
      <c r="X40" s="70">
        <f>VLOOKUP($A40,FoodLog!$A$1:$Z$10009,17,0)</f>
        <v>80</v>
      </c>
      <c r="Y40" s="70">
        <f>VLOOKUP($A40,FoodLog!$A$1:$Z$10009,18,0)</f>
        <v>477.30407413615825</v>
      </c>
      <c r="Z40" s="70">
        <f>VLOOKUP($A40,FoodLog!$A$1:$Z$10009,19,0)</f>
        <v>1111.1590485652812</v>
      </c>
      <c r="AA40" s="62">
        <f t="shared" si="23"/>
        <v>0.35549258573245546</v>
      </c>
      <c r="AB40" s="63">
        <f>Scale!C40</f>
        <v>0</v>
      </c>
    </row>
    <row r="41" spans="1:28" x14ac:dyDescent="0.25">
      <c r="A41" s="65">
        <f t="shared" si="24"/>
        <v>43030</v>
      </c>
      <c r="B41" s="66">
        <f t="shared" si="25"/>
        <v>39</v>
      </c>
      <c r="C41" s="67">
        <f t="shared" si="26"/>
        <v>188.93829026128776</v>
      </c>
      <c r="D41" s="67">
        <f t="shared" si="27"/>
        <v>149.15752316754944</v>
      </c>
      <c r="E41" s="68">
        <f t="shared" si="16"/>
        <v>39.780767093738319</v>
      </c>
      <c r="F41" s="56"/>
      <c r="G41" s="69">
        <f>C41*TDEE!$B$5</f>
        <v>2350.9597033354394</v>
      </c>
      <c r="H41" s="67">
        <f t="shared" si="28"/>
        <v>1233.2037799058878</v>
      </c>
      <c r="I41" s="67">
        <f t="shared" si="29"/>
        <v>1117.7559234295516</v>
      </c>
      <c r="J41" s="58">
        <f t="shared" si="17"/>
        <v>0.35234393711596795</v>
      </c>
      <c r="K41" s="67">
        <f t="shared" si="18"/>
        <v>62.272427699265918</v>
      </c>
      <c r="L41" s="67">
        <v>20</v>
      </c>
      <c r="M41" s="54">
        <f>Protein_Amt!$B$6</f>
        <v>119.32601853403956</v>
      </c>
      <c r="N41" s="67">
        <f t="shared" si="19"/>
        <v>560.45184929339325</v>
      </c>
      <c r="O41" s="67">
        <f t="shared" si="20"/>
        <v>80</v>
      </c>
      <c r="P41" s="67">
        <f t="shared" si="21"/>
        <v>477.30407413615825</v>
      </c>
      <c r="Q41" s="68">
        <f t="shared" si="22"/>
        <v>1117.7559234295516</v>
      </c>
      <c r="S41" s="70">
        <f>VLOOKUP($A41,FoodLog!$A$1:$Z$10009,12,0)</f>
        <v>0</v>
      </c>
      <c r="T41" s="70">
        <f>VLOOKUP($A41,FoodLog!$A$1:$Z$10009,13,0)</f>
        <v>0</v>
      </c>
      <c r="U41" s="70">
        <f>VLOOKUP($A41,FoodLog!$A$1:$Z$10009,14,0)</f>
        <v>0</v>
      </c>
      <c r="V41" s="70">
        <f>VLOOKUP($A41,FoodLog!$A$1:$Z$10009,15,0)</f>
        <v>0</v>
      </c>
      <c r="W41" s="70">
        <f>VLOOKUP($A41,FoodLog!$A$1:$Z$10009,16,0)</f>
        <v>560.45184929339325</v>
      </c>
      <c r="X41" s="70">
        <f>VLOOKUP($A41,FoodLog!$A$1:$Z$10009,17,0)</f>
        <v>80</v>
      </c>
      <c r="Y41" s="70">
        <f>VLOOKUP($A41,FoodLog!$A$1:$Z$10009,18,0)</f>
        <v>477.30407413615825</v>
      </c>
      <c r="Z41" s="70">
        <f>VLOOKUP($A41,FoodLog!$A$1:$Z$10009,19,0)</f>
        <v>1117.7559234295516</v>
      </c>
      <c r="AA41" s="62">
        <f t="shared" si="23"/>
        <v>0.35234393711596795</v>
      </c>
      <c r="AB41" s="63">
        <f>Scale!C41</f>
        <v>0</v>
      </c>
    </row>
    <row r="42" spans="1:28" x14ac:dyDescent="0.25">
      <c r="A42" s="65">
        <f t="shared" si="24"/>
        <v>43031</v>
      </c>
      <c r="B42" s="66">
        <f t="shared" si="25"/>
        <v>40</v>
      </c>
      <c r="C42" s="67">
        <f t="shared" si="26"/>
        <v>188.5859463241718</v>
      </c>
      <c r="D42" s="67">
        <f t="shared" si="27"/>
        <v>149.15752316754944</v>
      </c>
      <c r="E42" s="68">
        <f t="shared" si="16"/>
        <v>39.428423156622358</v>
      </c>
      <c r="F42" s="56"/>
      <c r="G42" s="69">
        <f>C42*TDEE!$B$5</f>
        <v>2346.5754866860316</v>
      </c>
      <c r="H42" s="67">
        <f t="shared" si="28"/>
        <v>1222.2811178552931</v>
      </c>
      <c r="I42" s="67">
        <f t="shared" si="29"/>
        <v>1124.2943688307384</v>
      </c>
      <c r="J42" s="58">
        <f t="shared" si="17"/>
        <v>0.34922317653008378</v>
      </c>
      <c r="K42" s="67">
        <f t="shared" si="18"/>
        <v>62.998921632731125</v>
      </c>
      <c r="L42" s="67">
        <v>20</v>
      </c>
      <c r="M42" s="54">
        <f>Protein_Amt!$B$6</f>
        <v>119.32601853403956</v>
      </c>
      <c r="N42" s="67">
        <f t="shared" si="19"/>
        <v>566.99029469458014</v>
      </c>
      <c r="O42" s="67">
        <f t="shared" si="20"/>
        <v>80</v>
      </c>
      <c r="P42" s="67">
        <f t="shared" si="21"/>
        <v>477.30407413615825</v>
      </c>
      <c r="Q42" s="68">
        <f t="shared" si="22"/>
        <v>1124.2943688307384</v>
      </c>
      <c r="S42" s="70">
        <f>VLOOKUP($A42,FoodLog!$A$1:$Z$10009,12,0)</f>
        <v>0</v>
      </c>
      <c r="T42" s="70">
        <f>VLOOKUP($A42,FoodLog!$A$1:$Z$10009,13,0)</f>
        <v>0</v>
      </c>
      <c r="U42" s="70">
        <f>VLOOKUP($A42,FoodLog!$A$1:$Z$10009,14,0)</f>
        <v>0</v>
      </c>
      <c r="V42" s="70">
        <f>VLOOKUP($A42,FoodLog!$A$1:$Z$10009,15,0)</f>
        <v>0</v>
      </c>
      <c r="W42" s="70">
        <f>VLOOKUP($A42,FoodLog!$A$1:$Z$10009,16,0)</f>
        <v>566.99029469458014</v>
      </c>
      <c r="X42" s="70">
        <f>VLOOKUP($A42,FoodLog!$A$1:$Z$10009,17,0)</f>
        <v>80</v>
      </c>
      <c r="Y42" s="70">
        <f>VLOOKUP($A42,FoodLog!$A$1:$Z$10009,18,0)</f>
        <v>477.30407413615825</v>
      </c>
      <c r="Z42" s="70">
        <f>VLOOKUP($A42,FoodLog!$A$1:$Z$10009,19,0)</f>
        <v>1124.2943688307384</v>
      </c>
      <c r="AA42" s="62">
        <f t="shared" si="23"/>
        <v>0.34922317653008378</v>
      </c>
      <c r="AB42" s="63">
        <f>Scale!C42</f>
        <v>0</v>
      </c>
    </row>
    <row r="43" spans="1:28" x14ac:dyDescent="0.25">
      <c r="A43" s="65">
        <f t="shared" si="24"/>
        <v>43032</v>
      </c>
      <c r="B43" s="66">
        <f t="shared" si="25"/>
        <v>41</v>
      </c>
      <c r="C43" s="67">
        <f t="shared" si="26"/>
        <v>188.23672314764173</v>
      </c>
      <c r="D43" s="67">
        <f t="shared" si="27"/>
        <v>149.15752316754944</v>
      </c>
      <c r="E43" s="68">
        <f t="shared" si="16"/>
        <v>39.079199980092284</v>
      </c>
      <c r="F43" s="56"/>
      <c r="G43" s="69">
        <f>C43*TDEE!$B$5</f>
        <v>2342.2301016698043</v>
      </c>
      <c r="H43" s="67">
        <f t="shared" si="28"/>
        <v>1211.4551993828609</v>
      </c>
      <c r="I43" s="67">
        <f t="shared" si="29"/>
        <v>1130.7749022869434</v>
      </c>
      <c r="J43" s="58">
        <f t="shared" si="17"/>
        <v>0.34613005696653171</v>
      </c>
      <c r="K43" s="67">
        <f t="shared" si="18"/>
        <v>63.718980905642788</v>
      </c>
      <c r="L43" s="67">
        <v>20</v>
      </c>
      <c r="M43" s="54">
        <f>Protein_Amt!$B$6</f>
        <v>119.32601853403956</v>
      </c>
      <c r="N43" s="67">
        <f t="shared" si="19"/>
        <v>573.47082815078511</v>
      </c>
      <c r="O43" s="67">
        <f t="shared" si="20"/>
        <v>80</v>
      </c>
      <c r="P43" s="67">
        <f t="shared" si="21"/>
        <v>477.30407413615825</v>
      </c>
      <c r="Q43" s="68">
        <f t="shared" si="22"/>
        <v>1130.7749022869434</v>
      </c>
      <c r="S43" s="70">
        <f>VLOOKUP($A43,FoodLog!$A$1:$Z$10009,12,0)</f>
        <v>0</v>
      </c>
      <c r="T43" s="70">
        <f>VLOOKUP($A43,FoodLog!$A$1:$Z$10009,13,0)</f>
        <v>0</v>
      </c>
      <c r="U43" s="70">
        <f>VLOOKUP($A43,FoodLog!$A$1:$Z$10009,14,0)</f>
        <v>0</v>
      </c>
      <c r="V43" s="70">
        <f>VLOOKUP($A43,FoodLog!$A$1:$Z$10009,15,0)</f>
        <v>0</v>
      </c>
      <c r="W43" s="70">
        <f>VLOOKUP($A43,FoodLog!$A$1:$Z$10009,16,0)</f>
        <v>573.47082815078511</v>
      </c>
      <c r="X43" s="70">
        <f>VLOOKUP($A43,FoodLog!$A$1:$Z$10009,17,0)</f>
        <v>80</v>
      </c>
      <c r="Y43" s="70">
        <f>VLOOKUP($A43,FoodLog!$A$1:$Z$10009,18,0)</f>
        <v>477.30407413615825</v>
      </c>
      <c r="Z43" s="70">
        <f>VLOOKUP($A43,FoodLog!$A$1:$Z$10009,19,0)</f>
        <v>1130.7749022869434</v>
      </c>
      <c r="AA43" s="62">
        <f t="shared" si="23"/>
        <v>0.34613005696653171</v>
      </c>
      <c r="AB43" s="63">
        <f>Scale!C43</f>
        <v>0</v>
      </c>
    </row>
    <row r="44" spans="1:28" x14ac:dyDescent="0.25">
      <c r="A44" s="65">
        <f t="shared" si="24"/>
        <v>43033</v>
      </c>
      <c r="B44" s="66">
        <f t="shared" si="25"/>
        <v>42</v>
      </c>
      <c r="C44" s="67">
        <f t="shared" si="26"/>
        <v>187.8905930906752</v>
      </c>
      <c r="D44" s="67">
        <f t="shared" si="27"/>
        <v>149.15752316754944</v>
      </c>
      <c r="E44" s="68">
        <f t="shared" si="16"/>
        <v>38.733069923125754</v>
      </c>
      <c r="F44" s="56"/>
      <c r="G44" s="69">
        <f>C44*TDEE!$B$5</f>
        <v>2337.9232043494353</v>
      </c>
      <c r="H44" s="67">
        <f t="shared" si="28"/>
        <v>1200.7251676168985</v>
      </c>
      <c r="I44" s="67">
        <f t="shared" si="29"/>
        <v>1137.1980367325368</v>
      </c>
      <c r="J44" s="58">
        <f t="shared" si="17"/>
        <v>0.34306433360482813</v>
      </c>
      <c r="K44" s="67">
        <f t="shared" si="18"/>
        <v>64.432662510708724</v>
      </c>
      <c r="L44" s="67">
        <v>20</v>
      </c>
      <c r="M44" s="54">
        <f>Protein_Amt!$B$6</f>
        <v>119.32601853403956</v>
      </c>
      <c r="N44" s="67">
        <f t="shared" si="19"/>
        <v>579.89396259637851</v>
      </c>
      <c r="O44" s="67">
        <f t="shared" si="20"/>
        <v>80</v>
      </c>
      <c r="P44" s="67">
        <f t="shared" si="21"/>
        <v>477.30407413615825</v>
      </c>
      <c r="Q44" s="68">
        <f t="shared" si="22"/>
        <v>1137.1980367325368</v>
      </c>
      <c r="S44" s="70">
        <f>VLOOKUP($A44,FoodLog!$A$1:$Z$10009,12,0)</f>
        <v>0</v>
      </c>
      <c r="T44" s="70">
        <f>VLOOKUP($A44,FoodLog!$A$1:$Z$10009,13,0)</f>
        <v>0</v>
      </c>
      <c r="U44" s="70">
        <f>VLOOKUP($A44,FoodLog!$A$1:$Z$10009,14,0)</f>
        <v>0</v>
      </c>
      <c r="V44" s="70">
        <f>VLOOKUP($A44,FoodLog!$A$1:$Z$10009,15,0)</f>
        <v>0</v>
      </c>
      <c r="W44" s="70">
        <f>VLOOKUP($A44,FoodLog!$A$1:$Z$10009,16,0)</f>
        <v>579.89396259637851</v>
      </c>
      <c r="X44" s="70">
        <f>VLOOKUP($A44,FoodLog!$A$1:$Z$10009,17,0)</f>
        <v>80</v>
      </c>
      <c r="Y44" s="70">
        <f>VLOOKUP($A44,FoodLog!$A$1:$Z$10009,18,0)</f>
        <v>477.30407413615825</v>
      </c>
      <c r="Z44" s="70">
        <f>VLOOKUP($A44,FoodLog!$A$1:$Z$10009,19,0)</f>
        <v>1137.1980367325368</v>
      </c>
      <c r="AA44" s="62">
        <f t="shared" si="23"/>
        <v>0.34306433360482813</v>
      </c>
      <c r="AB44" s="63">
        <f>Scale!C44</f>
        <v>0</v>
      </c>
    </row>
    <row r="45" spans="1:28" x14ac:dyDescent="0.25">
      <c r="A45" s="65">
        <f t="shared" si="24"/>
        <v>43034</v>
      </c>
      <c r="B45" s="66">
        <f t="shared" si="25"/>
        <v>43</v>
      </c>
      <c r="C45" s="67">
        <f t="shared" si="26"/>
        <v>187.54752875707038</v>
      </c>
      <c r="D45" s="67">
        <f t="shared" si="27"/>
        <v>149.15752316754944</v>
      </c>
      <c r="E45" s="68">
        <f t="shared" si="16"/>
        <v>38.390005589520939</v>
      </c>
      <c r="F45" s="56"/>
      <c r="G45" s="69">
        <f>C45*TDEE!$B$5</f>
        <v>2333.6544538339035</v>
      </c>
      <c r="H45" s="67">
        <f t="shared" si="28"/>
        <v>1190.090173275149</v>
      </c>
      <c r="I45" s="67">
        <f t="shared" si="29"/>
        <v>1143.5642805587545</v>
      </c>
      <c r="J45" s="58">
        <f t="shared" si="17"/>
        <v>0.34002576379289973</v>
      </c>
      <c r="K45" s="67">
        <f t="shared" si="18"/>
        <v>65.140022935844016</v>
      </c>
      <c r="L45" s="67">
        <v>20</v>
      </c>
      <c r="M45" s="54">
        <f>Protein_Amt!$B$6</f>
        <v>119.32601853403956</v>
      </c>
      <c r="N45" s="67">
        <f t="shared" si="19"/>
        <v>586.26020642259618</v>
      </c>
      <c r="O45" s="67">
        <f t="shared" si="20"/>
        <v>80</v>
      </c>
      <c r="P45" s="67">
        <f t="shared" si="21"/>
        <v>477.30407413615825</v>
      </c>
      <c r="Q45" s="68">
        <f t="shared" si="22"/>
        <v>1143.5642805587545</v>
      </c>
      <c r="S45" s="70">
        <f>VLOOKUP($A45,FoodLog!$A$1:$Z$10009,12,0)</f>
        <v>0</v>
      </c>
      <c r="T45" s="70">
        <f>VLOOKUP($A45,FoodLog!$A$1:$Z$10009,13,0)</f>
        <v>0</v>
      </c>
      <c r="U45" s="70">
        <f>VLOOKUP($A45,FoodLog!$A$1:$Z$10009,14,0)</f>
        <v>0</v>
      </c>
      <c r="V45" s="70">
        <f>VLOOKUP($A45,FoodLog!$A$1:$Z$10009,15,0)</f>
        <v>0</v>
      </c>
      <c r="W45" s="70">
        <f>VLOOKUP($A45,FoodLog!$A$1:$Z$10009,16,0)</f>
        <v>586.26020642259618</v>
      </c>
      <c r="X45" s="70">
        <f>VLOOKUP($A45,FoodLog!$A$1:$Z$10009,17,0)</f>
        <v>80</v>
      </c>
      <c r="Y45" s="70">
        <f>VLOOKUP($A45,FoodLog!$A$1:$Z$10009,18,0)</f>
        <v>477.30407413615825</v>
      </c>
      <c r="Z45" s="70">
        <f>VLOOKUP($A45,FoodLog!$A$1:$Z$10009,19,0)</f>
        <v>1143.5642805587545</v>
      </c>
      <c r="AA45" s="62">
        <f t="shared" si="23"/>
        <v>0.34002576379289973</v>
      </c>
      <c r="AB45" s="63">
        <f>Scale!C45</f>
        <v>0</v>
      </c>
    </row>
    <row r="46" spans="1:28" x14ac:dyDescent="0.25">
      <c r="A46" s="65">
        <f t="shared" si="24"/>
        <v>43035</v>
      </c>
      <c r="B46" s="66">
        <f t="shared" si="25"/>
        <v>44</v>
      </c>
      <c r="C46" s="67">
        <f t="shared" si="26"/>
        <v>187.20750299327747</v>
      </c>
      <c r="D46" s="67">
        <f t="shared" si="27"/>
        <v>149.15752316754944</v>
      </c>
      <c r="E46" s="68">
        <f t="shared" si="16"/>
        <v>38.04997982572803</v>
      </c>
      <c r="F46" s="56"/>
      <c r="G46" s="69">
        <f>C46*TDEE!$B$5</f>
        <v>2329.4235122515092</v>
      </c>
      <c r="H46" s="67">
        <f t="shared" si="28"/>
        <v>1179.5493745975689</v>
      </c>
      <c r="I46" s="67">
        <f t="shared" si="29"/>
        <v>1149.8741376539404</v>
      </c>
      <c r="J46" s="58">
        <f t="shared" si="17"/>
        <v>0.33701410702787682</v>
      </c>
      <c r="K46" s="67">
        <f t="shared" si="18"/>
        <v>65.841118168642453</v>
      </c>
      <c r="L46" s="67">
        <v>20</v>
      </c>
      <c r="M46" s="54">
        <f>Protein_Amt!$B$6</f>
        <v>119.32601853403956</v>
      </c>
      <c r="N46" s="67">
        <f t="shared" si="19"/>
        <v>592.57006351778205</v>
      </c>
      <c r="O46" s="67">
        <f t="shared" si="20"/>
        <v>80</v>
      </c>
      <c r="P46" s="67">
        <f t="shared" si="21"/>
        <v>477.30407413615825</v>
      </c>
      <c r="Q46" s="68">
        <f t="shared" si="22"/>
        <v>1149.8741376539404</v>
      </c>
      <c r="S46" s="70">
        <f>VLOOKUP($A46,FoodLog!$A$1:$Z$10009,12,0)</f>
        <v>0</v>
      </c>
      <c r="T46" s="70">
        <f>VLOOKUP($A46,FoodLog!$A$1:$Z$10009,13,0)</f>
        <v>0</v>
      </c>
      <c r="U46" s="70">
        <f>VLOOKUP($A46,FoodLog!$A$1:$Z$10009,14,0)</f>
        <v>0</v>
      </c>
      <c r="V46" s="70">
        <f>VLOOKUP($A46,FoodLog!$A$1:$Z$10009,15,0)</f>
        <v>0</v>
      </c>
      <c r="W46" s="70">
        <f>VLOOKUP($A46,FoodLog!$A$1:$Z$10009,16,0)</f>
        <v>592.57006351778205</v>
      </c>
      <c r="X46" s="70">
        <f>VLOOKUP($A46,FoodLog!$A$1:$Z$10009,17,0)</f>
        <v>80</v>
      </c>
      <c r="Y46" s="70">
        <f>VLOOKUP($A46,FoodLog!$A$1:$Z$10009,18,0)</f>
        <v>477.30407413615825</v>
      </c>
      <c r="Z46" s="70">
        <f>VLOOKUP($A46,FoodLog!$A$1:$Z$10009,19,0)</f>
        <v>1149.8741376539404</v>
      </c>
      <c r="AA46" s="62">
        <f t="shared" si="23"/>
        <v>0.33701410702787682</v>
      </c>
      <c r="AB46" s="63">
        <f>Scale!C46</f>
        <v>0</v>
      </c>
    </row>
    <row r="47" spans="1:28" x14ac:dyDescent="0.25">
      <c r="A47" s="65">
        <f t="shared" si="24"/>
        <v>43036</v>
      </c>
      <c r="B47" s="66">
        <f t="shared" si="25"/>
        <v>45</v>
      </c>
      <c r="C47" s="67">
        <f t="shared" si="26"/>
        <v>186.8704888862496</v>
      </c>
      <c r="D47" s="67">
        <f t="shared" si="27"/>
        <v>149.15752316754944</v>
      </c>
      <c r="E47" s="68">
        <f t="shared" si="16"/>
        <v>37.712965718700161</v>
      </c>
      <c r="F47" s="56"/>
      <c r="G47" s="69">
        <f>C47*TDEE!$B$5</f>
        <v>2325.2300447231305</v>
      </c>
      <c r="H47" s="67">
        <f t="shared" si="28"/>
        <v>1169.101937279705</v>
      </c>
      <c r="I47" s="67">
        <f t="shared" si="29"/>
        <v>1156.1281074434255</v>
      </c>
      <c r="J47" s="58">
        <f t="shared" si="17"/>
        <v>0.33402912493705855</v>
      </c>
      <c r="K47" s="67">
        <f t="shared" si="18"/>
        <v>66.53600370080747</v>
      </c>
      <c r="L47" s="67">
        <v>20</v>
      </c>
      <c r="M47" s="54">
        <f>Protein_Amt!$B$6</f>
        <v>119.32601853403956</v>
      </c>
      <c r="N47" s="67">
        <f t="shared" si="19"/>
        <v>598.8240333072672</v>
      </c>
      <c r="O47" s="67">
        <f t="shared" si="20"/>
        <v>80</v>
      </c>
      <c r="P47" s="67">
        <f t="shared" si="21"/>
        <v>477.30407413615825</v>
      </c>
      <c r="Q47" s="68">
        <f t="shared" si="22"/>
        <v>1156.1281074434255</v>
      </c>
      <c r="S47" s="70">
        <f>VLOOKUP($A47,FoodLog!$A$1:$Z$10009,12,0)</f>
        <v>0</v>
      </c>
      <c r="T47" s="70">
        <f>VLOOKUP($A47,FoodLog!$A$1:$Z$10009,13,0)</f>
        <v>0</v>
      </c>
      <c r="U47" s="70">
        <f>VLOOKUP($A47,FoodLog!$A$1:$Z$10009,14,0)</f>
        <v>0</v>
      </c>
      <c r="V47" s="70">
        <f>VLOOKUP($A47,FoodLog!$A$1:$Z$10009,15,0)</f>
        <v>0</v>
      </c>
      <c r="W47" s="70">
        <f>VLOOKUP($A47,FoodLog!$A$1:$Z$10009,16,0)</f>
        <v>598.8240333072672</v>
      </c>
      <c r="X47" s="70">
        <f>VLOOKUP($A47,FoodLog!$A$1:$Z$10009,17,0)</f>
        <v>80</v>
      </c>
      <c r="Y47" s="70">
        <f>VLOOKUP($A47,FoodLog!$A$1:$Z$10009,18,0)</f>
        <v>477.30407413615825</v>
      </c>
      <c r="Z47" s="70">
        <f>VLOOKUP($A47,FoodLog!$A$1:$Z$10009,19,0)</f>
        <v>1156.1281074434255</v>
      </c>
      <c r="AA47" s="62">
        <f t="shared" si="23"/>
        <v>0.33402912493705855</v>
      </c>
      <c r="AB47" s="63">
        <f>Scale!C47</f>
        <v>0</v>
      </c>
    </row>
    <row r="48" spans="1:28" x14ac:dyDescent="0.25">
      <c r="A48" s="65">
        <f t="shared" si="24"/>
        <v>43037</v>
      </c>
      <c r="B48" s="66">
        <f t="shared" si="25"/>
        <v>46</v>
      </c>
      <c r="C48" s="67">
        <f t="shared" si="26"/>
        <v>186.53645976131256</v>
      </c>
      <c r="D48" s="67">
        <f t="shared" si="27"/>
        <v>149.15752316754944</v>
      </c>
      <c r="E48" s="68">
        <f t="shared" si="16"/>
        <v>37.378936593763115</v>
      </c>
      <c r="F48" s="56"/>
      <c r="G48" s="69">
        <f>C48*TDEE!$B$5</f>
        <v>2321.0737193357172</v>
      </c>
      <c r="H48" s="67">
        <f t="shared" si="28"/>
        <v>1158.7470344066564</v>
      </c>
      <c r="I48" s="67">
        <f t="shared" si="29"/>
        <v>1162.3266849290608</v>
      </c>
      <c r="J48" s="58">
        <f t="shared" si="17"/>
        <v>0.33107058125904471</v>
      </c>
      <c r="K48" s="67">
        <f t="shared" si="18"/>
        <v>67.224734532544716</v>
      </c>
      <c r="L48" s="67">
        <v>20</v>
      </c>
      <c r="M48" s="54">
        <f>Protein_Amt!$B$6</f>
        <v>119.32601853403956</v>
      </c>
      <c r="N48" s="67">
        <f t="shared" si="19"/>
        <v>605.02261079290247</v>
      </c>
      <c r="O48" s="67">
        <f t="shared" si="20"/>
        <v>80</v>
      </c>
      <c r="P48" s="67">
        <f t="shared" si="21"/>
        <v>477.30407413615825</v>
      </c>
      <c r="Q48" s="68">
        <f t="shared" si="22"/>
        <v>1162.3266849290608</v>
      </c>
      <c r="S48" s="70">
        <f>VLOOKUP($A48,FoodLog!$A$1:$Z$10009,12,0)</f>
        <v>0</v>
      </c>
      <c r="T48" s="70">
        <f>VLOOKUP($A48,FoodLog!$A$1:$Z$10009,13,0)</f>
        <v>0</v>
      </c>
      <c r="U48" s="70">
        <f>VLOOKUP($A48,FoodLog!$A$1:$Z$10009,14,0)</f>
        <v>0</v>
      </c>
      <c r="V48" s="70">
        <f>VLOOKUP($A48,FoodLog!$A$1:$Z$10009,15,0)</f>
        <v>0</v>
      </c>
      <c r="W48" s="70">
        <f>VLOOKUP($A48,FoodLog!$A$1:$Z$10009,16,0)</f>
        <v>605.02261079290247</v>
      </c>
      <c r="X48" s="70">
        <f>VLOOKUP($A48,FoodLog!$A$1:$Z$10009,17,0)</f>
        <v>80</v>
      </c>
      <c r="Y48" s="70">
        <f>VLOOKUP($A48,FoodLog!$A$1:$Z$10009,18,0)</f>
        <v>477.30407413615825</v>
      </c>
      <c r="Z48" s="70">
        <f>VLOOKUP($A48,FoodLog!$A$1:$Z$10009,19,0)</f>
        <v>1162.3266849290608</v>
      </c>
      <c r="AA48" s="62">
        <f t="shared" si="23"/>
        <v>0.33107058125904471</v>
      </c>
      <c r="AB48" s="63">
        <f>Scale!C48</f>
        <v>0</v>
      </c>
    </row>
    <row r="49" spans="1:28" x14ac:dyDescent="0.25">
      <c r="A49" s="65">
        <f t="shared" si="24"/>
        <v>43038</v>
      </c>
      <c r="B49" s="66">
        <f t="shared" si="25"/>
        <v>47</v>
      </c>
      <c r="C49" s="67">
        <f t="shared" si="26"/>
        <v>186.20538918005352</v>
      </c>
      <c r="D49" s="67">
        <f t="shared" si="27"/>
        <v>149.15752316754944</v>
      </c>
      <c r="E49" s="68">
        <f t="shared" si="16"/>
        <v>37.047866012504073</v>
      </c>
      <c r="F49" s="56"/>
      <c r="G49" s="69">
        <f>C49*TDEE!$B$5</f>
        <v>2316.9542071160213</v>
      </c>
      <c r="H49" s="67">
        <f t="shared" si="28"/>
        <v>1148.4838463876263</v>
      </c>
      <c r="I49" s="67">
        <f t="shared" si="29"/>
        <v>1168.470360728395</v>
      </c>
      <c r="J49" s="58">
        <f t="shared" si="17"/>
        <v>0.32813824182503609</v>
      </c>
      <c r="K49" s="67">
        <f t="shared" si="18"/>
        <v>67.907365176915192</v>
      </c>
      <c r="L49" s="67">
        <v>20</v>
      </c>
      <c r="M49" s="54">
        <f>Protein_Amt!$B$6</f>
        <v>119.32601853403956</v>
      </c>
      <c r="N49" s="67">
        <f t="shared" si="19"/>
        <v>611.1662865922367</v>
      </c>
      <c r="O49" s="67">
        <f t="shared" si="20"/>
        <v>80</v>
      </c>
      <c r="P49" s="67">
        <f t="shared" si="21"/>
        <v>477.30407413615825</v>
      </c>
      <c r="Q49" s="68">
        <f t="shared" si="22"/>
        <v>1168.470360728395</v>
      </c>
      <c r="S49" s="70">
        <f>VLOOKUP($A49,FoodLog!$A$1:$Z$10009,12,0)</f>
        <v>0</v>
      </c>
      <c r="T49" s="70">
        <f>VLOOKUP($A49,FoodLog!$A$1:$Z$10009,13,0)</f>
        <v>0</v>
      </c>
      <c r="U49" s="70">
        <f>VLOOKUP($A49,FoodLog!$A$1:$Z$10009,14,0)</f>
        <v>0</v>
      </c>
      <c r="V49" s="70">
        <f>VLOOKUP($A49,FoodLog!$A$1:$Z$10009,15,0)</f>
        <v>0</v>
      </c>
      <c r="W49" s="70">
        <f>VLOOKUP($A49,FoodLog!$A$1:$Z$10009,16,0)</f>
        <v>611.1662865922367</v>
      </c>
      <c r="X49" s="70">
        <f>VLOOKUP($A49,FoodLog!$A$1:$Z$10009,17,0)</f>
        <v>80</v>
      </c>
      <c r="Y49" s="70">
        <f>VLOOKUP($A49,FoodLog!$A$1:$Z$10009,18,0)</f>
        <v>477.30407413615825</v>
      </c>
      <c r="Z49" s="70">
        <f>VLOOKUP($A49,FoodLog!$A$1:$Z$10009,19,0)</f>
        <v>1168.470360728395</v>
      </c>
      <c r="AA49" s="62">
        <f t="shared" si="23"/>
        <v>0.32813824182503609</v>
      </c>
      <c r="AB49" s="63">
        <f>Scale!C49</f>
        <v>0</v>
      </c>
    </row>
    <row r="50" spans="1:28" x14ac:dyDescent="0.25">
      <c r="A50" s="65">
        <f t="shared" si="24"/>
        <v>43039</v>
      </c>
      <c r="B50" s="66">
        <f t="shared" si="25"/>
        <v>48</v>
      </c>
      <c r="C50" s="67">
        <f t="shared" si="26"/>
        <v>185.87725093822849</v>
      </c>
      <c r="D50" s="67">
        <f t="shared" si="27"/>
        <v>149.15752316754944</v>
      </c>
      <c r="E50" s="68">
        <f t="shared" si="16"/>
        <v>36.719727770679043</v>
      </c>
      <c r="F50" s="56"/>
      <c r="G50" s="69">
        <f>C50*TDEE!$B$5</f>
        <v>2312.8711820045569</v>
      </c>
      <c r="H50" s="67">
        <f t="shared" si="28"/>
        <v>1138.3115608910502</v>
      </c>
      <c r="I50" s="67">
        <f t="shared" si="29"/>
        <v>1174.5596211135066</v>
      </c>
      <c r="J50" s="58">
        <f t="shared" si="17"/>
        <v>0.32523187454030006</v>
      </c>
      <c r="K50" s="67">
        <f t="shared" si="18"/>
        <v>68.583949664149813</v>
      </c>
      <c r="L50" s="67">
        <v>20</v>
      </c>
      <c r="M50" s="54">
        <f>Protein_Amt!$B$6</f>
        <v>119.32601853403956</v>
      </c>
      <c r="N50" s="67">
        <f t="shared" si="19"/>
        <v>617.25554697734833</v>
      </c>
      <c r="O50" s="67">
        <f t="shared" si="20"/>
        <v>80</v>
      </c>
      <c r="P50" s="67">
        <f t="shared" si="21"/>
        <v>477.30407413615825</v>
      </c>
      <c r="Q50" s="68">
        <f t="shared" si="22"/>
        <v>1174.5596211135066</v>
      </c>
      <c r="S50" s="70">
        <f>VLOOKUP($A50,FoodLog!$A$1:$Z$10009,12,0)</f>
        <v>0</v>
      </c>
      <c r="T50" s="70">
        <f>VLOOKUP($A50,FoodLog!$A$1:$Z$10009,13,0)</f>
        <v>0</v>
      </c>
      <c r="U50" s="70">
        <f>VLOOKUP($A50,FoodLog!$A$1:$Z$10009,14,0)</f>
        <v>0</v>
      </c>
      <c r="V50" s="70">
        <f>VLOOKUP($A50,FoodLog!$A$1:$Z$10009,15,0)</f>
        <v>0</v>
      </c>
      <c r="W50" s="70">
        <f>VLOOKUP($A50,FoodLog!$A$1:$Z$10009,16,0)</f>
        <v>617.25554697734833</v>
      </c>
      <c r="X50" s="70">
        <f>VLOOKUP($A50,FoodLog!$A$1:$Z$10009,17,0)</f>
        <v>80</v>
      </c>
      <c r="Y50" s="70">
        <f>VLOOKUP($A50,FoodLog!$A$1:$Z$10009,18,0)</f>
        <v>477.30407413615825</v>
      </c>
      <c r="Z50" s="70">
        <f>VLOOKUP($A50,FoodLog!$A$1:$Z$10009,19,0)</f>
        <v>1174.5596211135066</v>
      </c>
      <c r="AA50" s="62">
        <f t="shared" si="23"/>
        <v>0.32523187454030006</v>
      </c>
      <c r="AB50" s="63">
        <f>Scale!C50</f>
        <v>0</v>
      </c>
    </row>
    <row r="51" spans="1:28" x14ac:dyDescent="0.25">
      <c r="A51" s="65">
        <f t="shared" si="24"/>
        <v>43040</v>
      </c>
      <c r="B51" s="66">
        <f t="shared" si="25"/>
        <v>49</v>
      </c>
      <c r="C51" s="67">
        <f t="shared" si="26"/>
        <v>185.55201906368819</v>
      </c>
      <c r="D51" s="67">
        <f t="shared" si="27"/>
        <v>149.15752316754944</v>
      </c>
      <c r="E51" s="68">
        <f t="shared" si="16"/>
        <v>36.39449589613875</v>
      </c>
      <c r="F51" s="56"/>
      <c r="G51" s="69">
        <f>C51*TDEE!$B$5</f>
        <v>2308.824320829794</v>
      </c>
      <c r="H51" s="67">
        <f t="shared" si="28"/>
        <v>1128.2293727803012</v>
      </c>
      <c r="I51" s="67">
        <f t="shared" si="29"/>
        <v>1180.5949480494928</v>
      </c>
      <c r="J51" s="58">
        <f t="shared" si="17"/>
        <v>0.32235124936580034</v>
      </c>
      <c r="K51" s="67">
        <f t="shared" si="18"/>
        <v>69.25454154592606</v>
      </c>
      <c r="L51" s="67">
        <v>20</v>
      </c>
      <c r="M51" s="54">
        <f>Protein_Amt!$B$6</f>
        <v>119.32601853403956</v>
      </c>
      <c r="N51" s="67">
        <f t="shared" si="19"/>
        <v>623.29087391333451</v>
      </c>
      <c r="O51" s="67">
        <f t="shared" si="20"/>
        <v>80</v>
      </c>
      <c r="P51" s="67">
        <f t="shared" si="21"/>
        <v>477.30407413615825</v>
      </c>
      <c r="Q51" s="68">
        <f t="shared" si="22"/>
        <v>1180.5949480494928</v>
      </c>
      <c r="S51" s="70">
        <f>VLOOKUP($A51,FoodLog!$A$1:$Z$10009,12,0)</f>
        <v>0</v>
      </c>
      <c r="T51" s="70">
        <f>VLOOKUP($A51,FoodLog!$A$1:$Z$10009,13,0)</f>
        <v>0</v>
      </c>
      <c r="U51" s="70">
        <f>VLOOKUP($A51,FoodLog!$A$1:$Z$10009,14,0)</f>
        <v>0</v>
      </c>
      <c r="V51" s="70">
        <f>VLOOKUP($A51,FoodLog!$A$1:$Z$10009,15,0)</f>
        <v>0</v>
      </c>
      <c r="W51" s="70">
        <f>VLOOKUP($A51,FoodLog!$A$1:$Z$10009,16,0)</f>
        <v>623.29087391333451</v>
      </c>
      <c r="X51" s="70">
        <f>VLOOKUP($A51,FoodLog!$A$1:$Z$10009,17,0)</f>
        <v>80</v>
      </c>
      <c r="Y51" s="70">
        <f>VLOOKUP($A51,FoodLog!$A$1:$Z$10009,18,0)</f>
        <v>477.30407413615825</v>
      </c>
      <c r="Z51" s="70">
        <f>VLOOKUP($A51,FoodLog!$A$1:$Z$10009,19,0)</f>
        <v>1180.5949480494928</v>
      </c>
      <c r="AA51" s="62">
        <f t="shared" si="23"/>
        <v>0.32235124936580034</v>
      </c>
      <c r="AB51" s="63">
        <f>Scale!C51</f>
        <v>0</v>
      </c>
    </row>
    <row r="52" spans="1:28" x14ac:dyDescent="0.25">
      <c r="A52" s="65">
        <f t="shared" si="24"/>
        <v>43041</v>
      </c>
      <c r="B52" s="66">
        <f t="shared" si="25"/>
        <v>50</v>
      </c>
      <c r="C52" s="67">
        <f t="shared" si="26"/>
        <v>185.2296678143224</v>
      </c>
      <c r="D52" s="67">
        <f t="shared" si="27"/>
        <v>149.15752316754944</v>
      </c>
      <c r="E52" s="68">
        <f t="shared" si="16"/>
        <v>36.072144646772955</v>
      </c>
      <c r="F52" s="56"/>
      <c r="G52" s="69">
        <f>C52*TDEE!$B$5</f>
        <v>2304.813303282579</v>
      </c>
      <c r="H52" s="67">
        <f t="shared" si="28"/>
        <v>1118.2364840499615</v>
      </c>
      <c r="I52" s="67">
        <f t="shared" si="29"/>
        <v>1186.5768192326175</v>
      </c>
      <c r="J52" s="58">
        <f t="shared" si="17"/>
        <v>0.31949613829998902</v>
      </c>
      <c r="K52" s="67">
        <f t="shared" si="18"/>
        <v>69.919193899606569</v>
      </c>
      <c r="L52" s="67">
        <v>20</v>
      </c>
      <c r="M52" s="54">
        <f>Protein_Amt!$B$6</f>
        <v>119.32601853403956</v>
      </c>
      <c r="N52" s="67">
        <f t="shared" si="19"/>
        <v>629.27274509645918</v>
      </c>
      <c r="O52" s="67">
        <f t="shared" si="20"/>
        <v>80</v>
      </c>
      <c r="P52" s="67">
        <f t="shared" si="21"/>
        <v>477.30407413615825</v>
      </c>
      <c r="Q52" s="68">
        <f t="shared" si="22"/>
        <v>1186.5768192326175</v>
      </c>
      <c r="S52" s="70">
        <f>VLOOKUP($A52,FoodLog!$A$1:$Z$10009,12,0)</f>
        <v>0</v>
      </c>
      <c r="T52" s="70">
        <f>VLOOKUP($A52,FoodLog!$A$1:$Z$10009,13,0)</f>
        <v>0</v>
      </c>
      <c r="U52" s="70">
        <f>VLOOKUP($A52,FoodLog!$A$1:$Z$10009,14,0)</f>
        <v>0</v>
      </c>
      <c r="V52" s="70">
        <f>VLOOKUP($A52,FoodLog!$A$1:$Z$10009,15,0)</f>
        <v>0</v>
      </c>
      <c r="W52" s="70">
        <f>VLOOKUP($A52,FoodLog!$A$1:$Z$10009,16,0)</f>
        <v>629.27274509645918</v>
      </c>
      <c r="X52" s="70">
        <f>VLOOKUP($A52,FoodLog!$A$1:$Z$10009,17,0)</f>
        <v>80</v>
      </c>
      <c r="Y52" s="70">
        <f>VLOOKUP($A52,FoodLog!$A$1:$Z$10009,18,0)</f>
        <v>477.30407413615825</v>
      </c>
      <c r="Z52" s="70">
        <f>VLOOKUP($A52,FoodLog!$A$1:$Z$10009,19,0)</f>
        <v>1186.5768192326175</v>
      </c>
      <c r="AA52" s="62">
        <f t="shared" si="23"/>
        <v>0.31949613829998902</v>
      </c>
      <c r="AB52" s="63">
        <f>Scale!C52</f>
        <v>0</v>
      </c>
    </row>
    <row r="53" spans="1:28" x14ac:dyDescent="0.25">
      <c r="A53" s="65">
        <f t="shared" si="24"/>
        <v>43042</v>
      </c>
      <c r="B53" s="66">
        <f t="shared" si="25"/>
        <v>51</v>
      </c>
      <c r="C53" s="67">
        <f t="shared" si="26"/>
        <v>184.9101716760224</v>
      </c>
      <c r="D53" s="67">
        <f t="shared" si="27"/>
        <v>149.15752316754944</v>
      </c>
      <c r="E53" s="68">
        <f t="shared" si="16"/>
        <v>35.752648508472959</v>
      </c>
      <c r="F53" s="56"/>
      <c r="G53" s="69">
        <f>C53*TDEE!$B$5</f>
        <v>2300.8378118907822</v>
      </c>
      <c r="H53" s="67">
        <f t="shared" si="28"/>
        <v>1108.3321037626617</v>
      </c>
      <c r="I53" s="67">
        <f t="shared" si="29"/>
        <v>1192.5057081281204</v>
      </c>
      <c r="J53" s="58">
        <f t="shared" si="17"/>
        <v>0.31666631536076051</v>
      </c>
      <c r="K53" s="67">
        <f t="shared" si="18"/>
        <v>70.57795933244023</v>
      </c>
      <c r="L53" s="67">
        <v>20</v>
      </c>
      <c r="M53" s="54">
        <f>Protein_Amt!$B$6</f>
        <v>119.32601853403956</v>
      </c>
      <c r="N53" s="67">
        <f t="shared" si="19"/>
        <v>635.20163399196213</v>
      </c>
      <c r="O53" s="67">
        <f t="shared" si="20"/>
        <v>80</v>
      </c>
      <c r="P53" s="67">
        <f t="shared" si="21"/>
        <v>477.30407413615825</v>
      </c>
      <c r="Q53" s="68">
        <f t="shared" si="22"/>
        <v>1192.5057081281204</v>
      </c>
      <c r="S53" s="70">
        <f>VLOOKUP($A53,FoodLog!$A$1:$Z$10009,12,0)</f>
        <v>0</v>
      </c>
      <c r="T53" s="70">
        <f>VLOOKUP($A53,FoodLog!$A$1:$Z$10009,13,0)</f>
        <v>0</v>
      </c>
      <c r="U53" s="70">
        <f>VLOOKUP($A53,FoodLog!$A$1:$Z$10009,14,0)</f>
        <v>0</v>
      </c>
      <c r="V53" s="70">
        <f>VLOOKUP($A53,FoodLog!$A$1:$Z$10009,15,0)</f>
        <v>0</v>
      </c>
      <c r="W53" s="70">
        <f>VLOOKUP($A53,FoodLog!$A$1:$Z$10009,16,0)</f>
        <v>635.20163399196213</v>
      </c>
      <c r="X53" s="70">
        <f>VLOOKUP($A53,FoodLog!$A$1:$Z$10009,17,0)</f>
        <v>80</v>
      </c>
      <c r="Y53" s="70">
        <f>VLOOKUP($A53,FoodLog!$A$1:$Z$10009,18,0)</f>
        <v>477.30407413615825</v>
      </c>
      <c r="Z53" s="70">
        <f>VLOOKUP($A53,FoodLog!$A$1:$Z$10009,19,0)</f>
        <v>1192.5057081281204</v>
      </c>
      <c r="AA53" s="62">
        <f t="shared" si="23"/>
        <v>0.31666631536076051</v>
      </c>
      <c r="AB53" s="63">
        <f>Scale!C53</f>
        <v>0</v>
      </c>
    </row>
    <row r="54" spans="1:28" x14ac:dyDescent="0.25">
      <c r="A54" s="65">
        <f t="shared" si="24"/>
        <v>43043</v>
      </c>
      <c r="B54" s="66">
        <f t="shared" si="25"/>
        <v>52</v>
      </c>
      <c r="C54" s="67">
        <f t="shared" si="26"/>
        <v>184.59350536066165</v>
      </c>
      <c r="D54" s="67">
        <f t="shared" si="27"/>
        <v>149.15752316754944</v>
      </c>
      <c r="E54" s="68">
        <f t="shared" si="16"/>
        <v>35.43598219311221</v>
      </c>
      <c r="F54" s="56"/>
      <c r="G54" s="69">
        <f>C54*TDEE!$B$5</f>
        <v>2296.8975319941701</v>
      </c>
      <c r="H54" s="67">
        <f t="shared" si="28"/>
        <v>1098.5154479864784</v>
      </c>
      <c r="I54" s="67">
        <f t="shared" si="29"/>
        <v>1198.3820840076917</v>
      </c>
      <c r="J54" s="58">
        <f t="shared" si="17"/>
        <v>0.31386155656756526</v>
      </c>
      <c r="K54" s="67">
        <f t="shared" si="18"/>
        <v>71.230889985725923</v>
      </c>
      <c r="L54" s="67">
        <v>20</v>
      </c>
      <c r="M54" s="54">
        <f>Protein_Amt!$B$6</f>
        <v>119.32601853403956</v>
      </c>
      <c r="N54" s="67">
        <f t="shared" si="19"/>
        <v>641.07800987153337</v>
      </c>
      <c r="O54" s="67">
        <f t="shared" si="20"/>
        <v>80</v>
      </c>
      <c r="P54" s="67">
        <f t="shared" si="21"/>
        <v>477.30407413615825</v>
      </c>
      <c r="Q54" s="68">
        <f t="shared" si="22"/>
        <v>1198.3820840076917</v>
      </c>
      <c r="S54" s="70">
        <f>VLOOKUP($A54,FoodLog!$A$1:$Z$10009,12,0)</f>
        <v>0</v>
      </c>
      <c r="T54" s="70">
        <f>VLOOKUP($A54,FoodLog!$A$1:$Z$10009,13,0)</f>
        <v>0</v>
      </c>
      <c r="U54" s="70">
        <f>VLOOKUP($A54,FoodLog!$A$1:$Z$10009,14,0)</f>
        <v>0</v>
      </c>
      <c r="V54" s="70">
        <f>VLOOKUP($A54,FoodLog!$A$1:$Z$10009,15,0)</f>
        <v>0</v>
      </c>
      <c r="W54" s="70">
        <f>VLOOKUP($A54,FoodLog!$A$1:$Z$10009,16,0)</f>
        <v>641.07800987153337</v>
      </c>
      <c r="X54" s="70">
        <f>VLOOKUP($A54,FoodLog!$A$1:$Z$10009,17,0)</f>
        <v>80</v>
      </c>
      <c r="Y54" s="70">
        <f>VLOOKUP($A54,FoodLog!$A$1:$Z$10009,18,0)</f>
        <v>477.30407413615825</v>
      </c>
      <c r="Z54" s="70">
        <f>VLOOKUP($A54,FoodLog!$A$1:$Z$10009,19,0)</f>
        <v>1198.3820840076917</v>
      </c>
      <c r="AA54" s="62">
        <f t="shared" si="23"/>
        <v>0.31386155656756526</v>
      </c>
      <c r="AB54" s="63">
        <f>Scale!C54</f>
        <v>0</v>
      </c>
    </row>
    <row r="55" spans="1:28" x14ac:dyDescent="0.25">
      <c r="A55" s="65">
        <f t="shared" si="24"/>
        <v>43044</v>
      </c>
      <c r="B55" s="66">
        <f t="shared" si="25"/>
        <v>53</v>
      </c>
      <c r="C55" s="67">
        <f t="shared" si="26"/>
        <v>184.27964380409409</v>
      </c>
      <c r="D55" s="67">
        <f t="shared" si="27"/>
        <v>149.15752316754944</v>
      </c>
      <c r="E55" s="68">
        <f t="shared" si="16"/>
        <v>35.122120636544651</v>
      </c>
      <c r="F55" s="56"/>
      <c r="G55" s="69">
        <f>C55*TDEE!$B$5</f>
        <v>2292.9921517194994</v>
      </c>
      <c r="H55" s="67">
        <f t="shared" si="28"/>
        <v>1088.7857397328842</v>
      </c>
      <c r="I55" s="67">
        <f t="shared" si="29"/>
        <v>1204.2064119866152</v>
      </c>
      <c r="J55" s="58">
        <f t="shared" si="17"/>
        <v>0.31108163992368121</v>
      </c>
      <c r="K55" s="67">
        <f t="shared" si="18"/>
        <v>71.878037538939651</v>
      </c>
      <c r="L55" s="67">
        <v>20</v>
      </c>
      <c r="M55" s="54">
        <f>Protein_Amt!$B$6</f>
        <v>119.32601853403956</v>
      </c>
      <c r="N55" s="67">
        <f t="shared" si="19"/>
        <v>646.90233785045689</v>
      </c>
      <c r="O55" s="67">
        <f t="shared" si="20"/>
        <v>80</v>
      </c>
      <c r="P55" s="67">
        <f t="shared" si="21"/>
        <v>477.30407413615825</v>
      </c>
      <c r="Q55" s="68">
        <f t="shared" si="22"/>
        <v>1204.2064119866152</v>
      </c>
      <c r="S55" s="70">
        <f>VLOOKUP($A55,FoodLog!$A$1:$Z$10009,12,0)</f>
        <v>0</v>
      </c>
      <c r="T55" s="70">
        <f>VLOOKUP($A55,FoodLog!$A$1:$Z$10009,13,0)</f>
        <v>0</v>
      </c>
      <c r="U55" s="70">
        <f>VLOOKUP($A55,FoodLog!$A$1:$Z$10009,14,0)</f>
        <v>0</v>
      </c>
      <c r="V55" s="70">
        <f>VLOOKUP($A55,FoodLog!$A$1:$Z$10009,15,0)</f>
        <v>0</v>
      </c>
      <c r="W55" s="70">
        <f>VLOOKUP($A55,FoodLog!$A$1:$Z$10009,16,0)</f>
        <v>646.90233785045689</v>
      </c>
      <c r="X55" s="70">
        <f>VLOOKUP($A55,FoodLog!$A$1:$Z$10009,17,0)</f>
        <v>80</v>
      </c>
      <c r="Y55" s="70">
        <f>VLOOKUP($A55,FoodLog!$A$1:$Z$10009,18,0)</f>
        <v>477.30407413615825</v>
      </c>
      <c r="Z55" s="70">
        <f>VLOOKUP($A55,FoodLog!$A$1:$Z$10009,19,0)</f>
        <v>1204.2064119866152</v>
      </c>
      <c r="AA55" s="62">
        <f t="shared" si="23"/>
        <v>0.31108163992368121</v>
      </c>
      <c r="AB55" s="63">
        <f>Scale!C55</f>
        <v>0</v>
      </c>
    </row>
    <row r="56" spans="1:28" x14ac:dyDescent="0.25">
      <c r="A56" s="65">
        <f t="shared" si="24"/>
        <v>43045</v>
      </c>
      <c r="B56" s="66">
        <f t="shared" si="25"/>
        <v>54</v>
      </c>
      <c r="C56" s="67">
        <f t="shared" si="26"/>
        <v>183.96856216417041</v>
      </c>
      <c r="D56" s="67">
        <f t="shared" si="27"/>
        <v>149.15752316754944</v>
      </c>
      <c r="E56" s="68">
        <f t="shared" si="16"/>
        <v>34.811038996620965</v>
      </c>
      <c r="F56" s="56"/>
      <c r="G56" s="69">
        <f>C56*TDEE!$B$5</f>
        <v>2289.1213619558325</v>
      </c>
      <c r="H56" s="67">
        <f t="shared" si="28"/>
        <v>1079.14220889525</v>
      </c>
      <c r="I56" s="67">
        <f t="shared" si="29"/>
        <v>1209.9791530605826</v>
      </c>
      <c r="J56" s="58">
        <f t="shared" si="17"/>
        <v>0.30832634539864284</v>
      </c>
      <c r="K56" s="67">
        <f t="shared" si="18"/>
        <v>72.519453213824917</v>
      </c>
      <c r="L56" s="67">
        <v>20</v>
      </c>
      <c r="M56" s="54">
        <f>Protein_Amt!$B$6</f>
        <v>119.32601853403956</v>
      </c>
      <c r="N56" s="67">
        <f t="shared" si="19"/>
        <v>652.67507892442427</v>
      </c>
      <c r="O56" s="67">
        <f t="shared" si="20"/>
        <v>80</v>
      </c>
      <c r="P56" s="67">
        <f t="shared" si="21"/>
        <v>477.30407413615825</v>
      </c>
      <c r="Q56" s="68">
        <f t="shared" si="22"/>
        <v>1209.9791530605826</v>
      </c>
      <c r="S56" s="70">
        <f>VLOOKUP($A56,FoodLog!$A$1:$Z$10009,12,0)</f>
        <v>0</v>
      </c>
      <c r="T56" s="70">
        <f>VLOOKUP($A56,FoodLog!$A$1:$Z$10009,13,0)</f>
        <v>0</v>
      </c>
      <c r="U56" s="70">
        <f>VLOOKUP($A56,FoodLog!$A$1:$Z$10009,14,0)</f>
        <v>0</v>
      </c>
      <c r="V56" s="70">
        <f>VLOOKUP($A56,FoodLog!$A$1:$Z$10009,15,0)</f>
        <v>0</v>
      </c>
      <c r="W56" s="70">
        <f>VLOOKUP($A56,FoodLog!$A$1:$Z$10009,16,0)</f>
        <v>652.67507892442427</v>
      </c>
      <c r="X56" s="70">
        <f>VLOOKUP($A56,FoodLog!$A$1:$Z$10009,17,0)</f>
        <v>80</v>
      </c>
      <c r="Y56" s="70">
        <f>VLOOKUP($A56,FoodLog!$A$1:$Z$10009,18,0)</f>
        <v>477.30407413615825</v>
      </c>
      <c r="Z56" s="70">
        <f>VLOOKUP($A56,FoodLog!$A$1:$Z$10009,19,0)</f>
        <v>1209.9791530605826</v>
      </c>
      <c r="AA56" s="62">
        <f t="shared" si="23"/>
        <v>0.30832634539864284</v>
      </c>
      <c r="AB56" s="63">
        <f>Scale!C56</f>
        <v>0</v>
      </c>
    </row>
    <row r="57" spans="1:28" x14ac:dyDescent="0.25">
      <c r="A57" s="65">
        <f t="shared" si="24"/>
        <v>43046</v>
      </c>
      <c r="B57" s="66">
        <f t="shared" si="25"/>
        <v>55</v>
      </c>
      <c r="C57" s="67">
        <f t="shared" si="26"/>
        <v>183.66023581877175</v>
      </c>
      <c r="D57" s="67">
        <f t="shared" si="27"/>
        <v>149.15752316754944</v>
      </c>
      <c r="E57" s="68">
        <f t="shared" si="16"/>
        <v>34.502712651222311</v>
      </c>
      <c r="F57" s="56"/>
      <c r="G57" s="69">
        <f>C57*TDEE!$B$5</f>
        <v>2285.2848563300722</v>
      </c>
      <c r="H57" s="67">
        <f t="shared" si="28"/>
        <v>1069.5840921878917</v>
      </c>
      <c r="I57" s="67">
        <f t="shared" si="29"/>
        <v>1215.7007641421806</v>
      </c>
      <c r="J57" s="58">
        <f t="shared" si="17"/>
        <v>0.30559545491082618</v>
      </c>
      <c r="K57" s="67">
        <f t="shared" si="18"/>
        <v>73.155187778446916</v>
      </c>
      <c r="L57" s="67">
        <v>20</v>
      </c>
      <c r="M57" s="54">
        <f>Protein_Amt!$B$6</f>
        <v>119.32601853403956</v>
      </c>
      <c r="N57" s="67">
        <f t="shared" si="19"/>
        <v>658.39669000602225</v>
      </c>
      <c r="O57" s="67">
        <f t="shared" si="20"/>
        <v>80</v>
      </c>
      <c r="P57" s="67">
        <f t="shared" si="21"/>
        <v>477.30407413615825</v>
      </c>
      <c r="Q57" s="68">
        <f t="shared" si="22"/>
        <v>1215.7007641421806</v>
      </c>
      <c r="S57" s="70">
        <f>VLOOKUP($A57,FoodLog!$A$1:$Z$10009,12,0)</f>
        <v>0</v>
      </c>
      <c r="T57" s="70">
        <f>VLOOKUP($A57,FoodLog!$A$1:$Z$10009,13,0)</f>
        <v>0</v>
      </c>
      <c r="U57" s="70">
        <f>VLOOKUP($A57,FoodLog!$A$1:$Z$10009,14,0)</f>
        <v>0</v>
      </c>
      <c r="V57" s="70">
        <f>VLOOKUP($A57,FoodLog!$A$1:$Z$10009,15,0)</f>
        <v>0</v>
      </c>
      <c r="W57" s="70">
        <f>VLOOKUP($A57,FoodLog!$A$1:$Z$10009,16,0)</f>
        <v>658.39669000602225</v>
      </c>
      <c r="X57" s="70">
        <f>VLOOKUP($A57,FoodLog!$A$1:$Z$10009,17,0)</f>
        <v>80</v>
      </c>
      <c r="Y57" s="70">
        <f>VLOOKUP($A57,FoodLog!$A$1:$Z$10009,18,0)</f>
        <v>477.30407413615825</v>
      </c>
      <c r="Z57" s="70">
        <f>VLOOKUP($A57,FoodLog!$A$1:$Z$10009,19,0)</f>
        <v>1215.7007641421806</v>
      </c>
      <c r="AA57" s="62">
        <f t="shared" si="23"/>
        <v>0.30559545491082618</v>
      </c>
      <c r="AB57" s="63">
        <f>Scale!C57</f>
        <v>0</v>
      </c>
    </row>
    <row r="58" spans="1:28" x14ac:dyDescent="0.25">
      <c r="A58" s="65">
        <f t="shared" si="24"/>
        <v>43047</v>
      </c>
      <c r="B58" s="66">
        <f t="shared" si="25"/>
        <v>56</v>
      </c>
      <c r="C58" s="67">
        <f t="shared" si="26"/>
        <v>183.35464036386094</v>
      </c>
      <c r="D58" s="67">
        <f t="shared" si="27"/>
        <v>149.15752316754944</v>
      </c>
      <c r="E58" s="68">
        <f t="shared" si="16"/>
        <v>34.197117196311495</v>
      </c>
      <c r="F58" s="56"/>
      <c r="G58" s="69">
        <f>C58*TDEE!$B$5</f>
        <v>2281.4823311827122</v>
      </c>
      <c r="H58" s="67">
        <f t="shared" si="28"/>
        <v>1060.1106330856564</v>
      </c>
      <c r="I58" s="67">
        <f t="shared" si="29"/>
        <v>1221.3716980970557</v>
      </c>
      <c r="J58" s="58">
        <f t="shared" si="17"/>
        <v>0.30288875231018758</v>
      </c>
      <c r="K58" s="67">
        <f t="shared" si="18"/>
        <v>73.785291551210832</v>
      </c>
      <c r="L58" s="67">
        <v>20</v>
      </c>
      <c r="M58" s="54">
        <f>Protein_Amt!$B$6</f>
        <v>119.32601853403956</v>
      </c>
      <c r="N58" s="67">
        <f t="shared" si="19"/>
        <v>664.06762396089744</v>
      </c>
      <c r="O58" s="67">
        <f t="shared" si="20"/>
        <v>80</v>
      </c>
      <c r="P58" s="67">
        <f t="shared" si="21"/>
        <v>477.30407413615825</v>
      </c>
      <c r="Q58" s="68">
        <f t="shared" si="22"/>
        <v>1221.3716980970557</v>
      </c>
      <c r="S58" s="70">
        <f>VLOOKUP($A58,FoodLog!$A$1:$Z$10009,12,0)</f>
        <v>0</v>
      </c>
      <c r="T58" s="70">
        <f>VLOOKUP($A58,FoodLog!$A$1:$Z$10009,13,0)</f>
        <v>0</v>
      </c>
      <c r="U58" s="70">
        <f>VLOOKUP($A58,FoodLog!$A$1:$Z$10009,14,0)</f>
        <v>0</v>
      </c>
      <c r="V58" s="70">
        <f>VLOOKUP($A58,FoodLog!$A$1:$Z$10009,15,0)</f>
        <v>0</v>
      </c>
      <c r="W58" s="70">
        <f>VLOOKUP($A58,FoodLog!$A$1:$Z$10009,16,0)</f>
        <v>664.06762396089744</v>
      </c>
      <c r="X58" s="70">
        <f>VLOOKUP($A58,FoodLog!$A$1:$Z$10009,17,0)</f>
        <v>80</v>
      </c>
      <c r="Y58" s="70">
        <f>VLOOKUP($A58,FoodLog!$A$1:$Z$10009,18,0)</f>
        <v>477.30407413615825</v>
      </c>
      <c r="Z58" s="70">
        <f>VLOOKUP($A58,FoodLog!$A$1:$Z$10009,19,0)</f>
        <v>1221.3716980970557</v>
      </c>
      <c r="AA58" s="62">
        <f t="shared" si="23"/>
        <v>0.30288875231018758</v>
      </c>
      <c r="AB58" s="63">
        <f>Scale!C58</f>
        <v>0</v>
      </c>
    </row>
    <row r="59" spans="1:28" x14ac:dyDescent="0.25">
      <c r="A59" s="65">
        <f t="shared" si="24"/>
        <v>43048</v>
      </c>
      <c r="B59" s="66">
        <f t="shared" si="25"/>
        <v>57</v>
      </c>
      <c r="C59" s="67">
        <f t="shared" si="26"/>
        <v>183.05175161155074</v>
      </c>
      <c r="D59" s="67">
        <f t="shared" si="27"/>
        <v>149.15752316754944</v>
      </c>
      <c r="E59" s="68">
        <f t="shared" si="16"/>
        <v>33.8942284440013</v>
      </c>
      <c r="F59" s="56"/>
      <c r="G59" s="69">
        <f>C59*TDEE!$B$5</f>
        <v>2277.7134855437998</v>
      </c>
      <c r="H59" s="67">
        <f t="shared" si="28"/>
        <v>1050.7210817640403</v>
      </c>
      <c r="I59" s="67">
        <f t="shared" si="29"/>
        <v>1226.9924037797596</v>
      </c>
      <c r="J59" s="58">
        <f t="shared" si="17"/>
        <v>0.30020602336115437</v>
      </c>
      <c r="K59" s="67">
        <f t="shared" si="18"/>
        <v>74.409814404844582</v>
      </c>
      <c r="L59" s="67">
        <v>20</v>
      </c>
      <c r="M59" s="54">
        <f>Protein_Amt!$B$6</f>
        <v>119.32601853403956</v>
      </c>
      <c r="N59" s="67">
        <f t="shared" si="19"/>
        <v>669.68832964360126</v>
      </c>
      <c r="O59" s="67">
        <f t="shared" si="20"/>
        <v>80</v>
      </c>
      <c r="P59" s="67">
        <f t="shared" si="21"/>
        <v>477.30407413615825</v>
      </c>
      <c r="Q59" s="68">
        <f t="shared" si="22"/>
        <v>1226.9924037797596</v>
      </c>
      <c r="S59" s="70">
        <f>VLOOKUP($A59,FoodLog!$A$1:$Z$10009,12,0)</f>
        <v>0</v>
      </c>
      <c r="T59" s="70">
        <f>VLOOKUP($A59,FoodLog!$A$1:$Z$10009,13,0)</f>
        <v>0</v>
      </c>
      <c r="U59" s="70">
        <f>VLOOKUP($A59,FoodLog!$A$1:$Z$10009,14,0)</f>
        <v>0</v>
      </c>
      <c r="V59" s="70">
        <f>VLOOKUP($A59,FoodLog!$A$1:$Z$10009,15,0)</f>
        <v>0</v>
      </c>
      <c r="W59" s="70">
        <f>VLOOKUP($A59,FoodLog!$A$1:$Z$10009,16,0)</f>
        <v>669.68832964360126</v>
      </c>
      <c r="X59" s="70">
        <f>VLOOKUP($A59,FoodLog!$A$1:$Z$10009,17,0)</f>
        <v>80</v>
      </c>
      <c r="Y59" s="70">
        <f>VLOOKUP($A59,FoodLog!$A$1:$Z$10009,18,0)</f>
        <v>477.30407413615825</v>
      </c>
      <c r="Z59" s="70">
        <f>VLOOKUP($A59,FoodLog!$A$1:$Z$10009,19,0)</f>
        <v>1226.9924037797596</v>
      </c>
      <c r="AA59" s="62">
        <f t="shared" si="23"/>
        <v>0.30020602336115437</v>
      </c>
      <c r="AB59" s="63">
        <f>Scale!C59</f>
        <v>0</v>
      </c>
    </row>
    <row r="60" spans="1:28" x14ac:dyDescent="0.25">
      <c r="A60" s="65">
        <f t="shared" si="24"/>
        <v>43049</v>
      </c>
      <c r="B60" s="66">
        <f t="shared" si="25"/>
        <v>58</v>
      </c>
      <c r="C60" s="67">
        <f t="shared" si="26"/>
        <v>182.7515455881896</v>
      </c>
      <c r="D60" s="67">
        <f t="shared" si="27"/>
        <v>149.15752316754944</v>
      </c>
      <c r="E60" s="68">
        <f t="shared" si="16"/>
        <v>33.594022420640158</v>
      </c>
      <c r="F60" s="56"/>
      <c r="G60" s="69">
        <f>C60*TDEE!$B$5</f>
        <v>2273.9780211091179</v>
      </c>
      <c r="H60" s="67">
        <f t="shared" si="28"/>
        <v>1041.4146950398449</v>
      </c>
      <c r="I60" s="67">
        <f t="shared" si="29"/>
        <v>1232.563326069273</v>
      </c>
      <c r="J60" s="58">
        <f t="shared" si="17"/>
        <v>0.29754705572566997</v>
      </c>
      <c r="K60" s="67">
        <f t="shared" si="18"/>
        <v>75.028805770346082</v>
      </c>
      <c r="L60" s="67">
        <v>20</v>
      </c>
      <c r="M60" s="54">
        <f>Protein_Amt!$B$6</f>
        <v>119.32601853403956</v>
      </c>
      <c r="N60" s="67">
        <f t="shared" si="19"/>
        <v>675.25925193311468</v>
      </c>
      <c r="O60" s="67">
        <f t="shared" si="20"/>
        <v>80</v>
      </c>
      <c r="P60" s="67">
        <f t="shared" si="21"/>
        <v>477.30407413615825</v>
      </c>
      <c r="Q60" s="68">
        <f t="shared" si="22"/>
        <v>1232.563326069273</v>
      </c>
      <c r="S60" s="70">
        <f>VLOOKUP($A60,FoodLog!$A$1:$Z$10009,12,0)</f>
        <v>0</v>
      </c>
      <c r="T60" s="70">
        <f>VLOOKUP($A60,FoodLog!$A$1:$Z$10009,13,0)</f>
        <v>0</v>
      </c>
      <c r="U60" s="70">
        <f>VLOOKUP($A60,FoodLog!$A$1:$Z$10009,14,0)</f>
        <v>0</v>
      </c>
      <c r="V60" s="70">
        <f>VLOOKUP($A60,FoodLog!$A$1:$Z$10009,15,0)</f>
        <v>0</v>
      </c>
      <c r="W60" s="70">
        <f>VLOOKUP($A60,FoodLog!$A$1:$Z$10009,16,0)</f>
        <v>675.25925193311468</v>
      </c>
      <c r="X60" s="70">
        <f>VLOOKUP($A60,FoodLog!$A$1:$Z$10009,17,0)</f>
        <v>80</v>
      </c>
      <c r="Y60" s="70">
        <f>VLOOKUP($A60,FoodLog!$A$1:$Z$10009,18,0)</f>
        <v>477.30407413615825</v>
      </c>
      <c r="Z60" s="70">
        <f>VLOOKUP($A60,FoodLog!$A$1:$Z$10009,19,0)</f>
        <v>1232.563326069273</v>
      </c>
      <c r="AA60" s="62">
        <f t="shared" si="23"/>
        <v>0.29754705572566997</v>
      </c>
      <c r="AB60" s="63">
        <f>Scale!C60</f>
        <v>0</v>
      </c>
    </row>
    <row r="61" spans="1:28" x14ac:dyDescent="0.25">
      <c r="A61" s="65">
        <f t="shared" si="24"/>
        <v>43050</v>
      </c>
      <c r="B61" s="66">
        <f t="shared" si="25"/>
        <v>59</v>
      </c>
      <c r="C61" s="67">
        <f t="shared" si="26"/>
        <v>182.45399853246394</v>
      </c>
      <c r="D61" s="67">
        <f t="shared" si="27"/>
        <v>149.15752316754944</v>
      </c>
      <c r="E61" s="68">
        <f t="shared" si="16"/>
        <v>33.2964753649145</v>
      </c>
      <c r="F61" s="56"/>
      <c r="G61" s="69">
        <f>C61*TDEE!$B$5</f>
        <v>2270.2756422165721</v>
      </c>
      <c r="H61" s="67">
        <f t="shared" si="28"/>
        <v>1032.1907363123496</v>
      </c>
      <c r="I61" s="67">
        <f t="shared" si="29"/>
        <v>1238.0849059042225</v>
      </c>
      <c r="J61" s="58">
        <f t="shared" si="17"/>
        <v>0.29491163894638561</v>
      </c>
      <c r="K61" s="67">
        <f t="shared" si="18"/>
        <v>75.642314640896018</v>
      </c>
      <c r="L61" s="67">
        <v>20</v>
      </c>
      <c r="M61" s="54">
        <f>Protein_Amt!$B$6</f>
        <v>119.32601853403956</v>
      </c>
      <c r="N61" s="67">
        <f t="shared" si="19"/>
        <v>680.78083176806422</v>
      </c>
      <c r="O61" s="67">
        <f t="shared" si="20"/>
        <v>80</v>
      </c>
      <c r="P61" s="67">
        <f t="shared" si="21"/>
        <v>477.30407413615825</v>
      </c>
      <c r="Q61" s="68">
        <f t="shared" si="22"/>
        <v>1238.0849059042225</v>
      </c>
      <c r="S61" s="70">
        <f>VLOOKUP($A61,FoodLog!$A$1:$Z$10009,12,0)</f>
        <v>0</v>
      </c>
      <c r="T61" s="70">
        <f>VLOOKUP($A61,FoodLog!$A$1:$Z$10009,13,0)</f>
        <v>0</v>
      </c>
      <c r="U61" s="70">
        <f>VLOOKUP($A61,FoodLog!$A$1:$Z$10009,14,0)</f>
        <v>0</v>
      </c>
      <c r="V61" s="70">
        <f>VLOOKUP($A61,FoodLog!$A$1:$Z$10009,15,0)</f>
        <v>0</v>
      </c>
      <c r="W61" s="70">
        <f>VLOOKUP($A61,FoodLog!$A$1:$Z$10009,16,0)</f>
        <v>680.78083176806422</v>
      </c>
      <c r="X61" s="70">
        <f>VLOOKUP($A61,FoodLog!$A$1:$Z$10009,17,0)</f>
        <v>80</v>
      </c>
      <c r="Y61" s="70">
        <f>VLOOKUP($A61,FoodLog!$A$1:$Z$10009,18,0)</f>
        <v>477.30407413615825</v>
      </c>
      <c r="Z61" s="70">
        <f>VLOOKUP($A61,FoodLog!$A$1:$Z$10009,19,0)</f>
        <v>1238.0849059042225</v>
      </c>
      <c r="AA61" s="62">
        <f t="shared" si="23"/>
        <v>0.29491163894638561</v>
      </c>
      <c r="AB61" s="63">
        <f>Scale!C61</f>
        <v>0</v>
      </c>
    </row>
    <row r="62" spans="1:28" x14ac:dyDescent="0.25">
      <c r="A62" s="65">
        <f t="shared" si="24"/>
        <v>43051</v>
      </c>
      <c r="B62" s="66">
        <f t="shared" si="25"/>
        <v>60</v>
      </c>
      <c r="C62" s="67">
        <f t="shared" si="26"/>
        <v>182.15908689351755</v>
      </c>
      <c r="D62" s="67">
        <f t="shared" si="27"/>
        <v>149.15752316754944</v>
      </c>
      <c r="E62" s="68">
        <f t="shared" si="16"/>
        <v>33.001563725968111</v>
      </c>
      <c r="F62" s="56"/>
      <c r="G62" s="69">
        <f>C62*TDEE!$B$5</f>
        <v>2266.6060558227882</v>
      </c>
      <c r="H62" s="67">
        <f t="shared" si="28"/>
        <v>1023.0484755050114</v>
      </c>
      <c r="I62" s="67">
        <f t="shared" si="29"/>
        <v>1243.5575803177767</v>
      </c>
      <c r="J62" s="58">
        <f t="shared" si="17"/>
        <v>0.29229956443000327</v>
      </c>
      <c r="K62" s="67">
        <f t="shared" si="18"/>
        <v>76.250389575735369</v>
      </c>
      <c r="L62" s="67">
        <v>20</v>
      </c>
      <c r="M62" s="54">
        <f>Protein_Amt!$B$6</f>
        <v>119.32601853403956</v>
      </c>
      <c r="N62" s="67">
        <f t="shared" si="19"/>
        <v>686.25350618161838</v>
      </c>
      <c r="O62" s="67">
        <f t="shared" si="20"/>
        <v>80</v>
      </c>
      <c r="P62" s="67">
        <f t="shared" si="21"/>
        <v>477.30407413615825</v>
      </c>
      <c r="Q62" s="68">
        <f t="shared" si="22"/>
        <v>1243.5575803177767</v>
      </c>
      <c r="S62" s="70">
        <f>VLOOKUP($A62,FoodLog!$A$1:$Z$10009,12,0)</f>
        <v>0</v>
      </c>
      <c r="T62" s="70">
        <f>VLOOKUP($A62,FoodLog!$A$1:$Z$10009,13,0)</f>
        <v>0</v>
      </c>
      <c r="U62" s="70">
        <f>VLOOKUP($A62,FoodLog!$A$1:$Z$10009,14,0)</f>
        <v>0</v>
      </c>
      <c r="V62" s="70">
        <f>VLOOKUP($A62,FoodLog!$A$1:$Z$10009,15,0)</f>
        <v>0</v>
      </c>
      <c r="W62" s="70">
        <f>VLOOKUP($A62,FoodLog!$A$1:$Z$10009,16,0)</f>
        <v>686.25350618161838</v>
      </c>
      <c r="X62" s="70">
        <f>VLOOKUP($A62,FoodLog!$A$1:$Z$10009,17,0)</f>
        <v>80</v>
      </c>
      <c r="Y62" s="70">
        <f>VLOOKUP($A62,FoodLog!$A$1:$Z$10009,18,0)</f>
        <v>477.30407413615825</v>
      </c>
      <c r="Z62" s="70">
        <f>VLOOKUP($A62,FoodLog!$A$1:$Z$10009,19,0)</f>
        <v>1243.5575803177767</v>
      </c>
      <c r="AA62" s="62">
        <f t="shared" si="23"/>
        <v>0.29229956443000327</v>
      </c>
      <c r="AB62" s="63">
        <f>Scale!C62</f>
        <v>0</v>
      </c>
    </row>
    <row r="63" spans="1:28" x14ac:dyDescent="0.25">
      <c r="A63" s="65">
        <f t="shared" si="24"/>
        <v>43052</v>
      </c>
      <c r="B63" s="66">
        <f t="shared" si="25"/>
        <v>61</v>
      </c>
      <c r="C63" s="67">
        <f t="shared" si="26"/>
        <v>181.86678732908754</v>
      </c>
      <c r="D63" s="67">
        <f t="shared" si="27"/>
        <v>149.15752316754944</v>
      </c>
      <c r="E63" s="68">
        <f t="shared" si="16"/>
        <v>32.709264161538101</v>
      </c>
      <c r="F63" s="56"/>
      <c r="G63" s="69">
        <f>C63*TDEE!$B$5</f>
        <v>2262.968971479921</v>
      </c>
      <c r="H63" s="67">
        <f t="shared" si="28"/>
        <v>1013.9871890076811</v>
      </c>
      <c r="I63" s="67">
        <f t="shared" si="29"/>
        <v>1248.98178247224</v>
      </c>
      <c r="J63" s="58">
        <f t="shared" si="17"/>
        <v>0.28971062543076603</v>
      </c>
      <c r="K63" s="67">
        <f t="shared" si="18"/>
        <v>76.853078704009079</v>
      </c>
      <c r="L63" s="67">
        <v>20</v>
      </c>
      <c r="M63" s="54">
        <f>Protein_Amt!$B$6</f>
        <v>119.32601853403956</v>
      </c>
      <c r="N63" s="67">
        <f t="shared" si="19"/>
        <v>691.67770833608165</v>
      </c>
      <c r="O63" s="67">
        <f t="shared" si="20"/>
        <v>80</v>
      </c>
      <c r="P63" s="67">
        <f t="shared" si="21"/>
        <v>477.30407413615825</v>
      </c>
      <c r="Q63" s="68">
        <f t="shared" si="22"/>
        <v>1248.98178247224</v>
      </c>
      <c r="S63" s="70">
        <f>VLOOKUP($A63,FoodLog!$A$1:$Z$10009,12,0)</f>
        <v>0</v>
      </c>
      <c r="T63" s="70">
        <f>VLOOKUP($A63,FoodLog!$A$1:$Z$10009,13,0)</f>
        <v>0</v>
      </c>
      <c r="U63" s="70">
        <f>VLOOKUP($A63,FoodLog!$A$1:$Z$10009,14,0)</f>
        <v>0</v>
      </c>
      <c r="V63" s="70">
        <f>VLOOKUP($A63,FoodLog!$A$1:$Z$10009,15,0)</f>
        <v>0</v>
      </c>
      <c r="W63" s="70">
        <f>VLOOKUP($A63,FoodLog!$A$1:$Z$10009,16,0)</f>
        <v>691.67770833608165</v>
      </c>
      <c r="X63" s="70">
        <f>VLOOKUP($A63,FoodLog!$A$1:$Z$10009,17,0)</f>
        <v>80</v>
      </c>
      <c r="Y63" s="70">
        <f>VLOOKUP($A63,FoodLog!$A$1:$Z$10009,18,0)</f>
        <v>477.30407413615825</v>
      </c>
      <c r="Z63" s="70">
        <f>VLOOKUP($A63,FoodLog!$A$1:$Z$10009,19,0)</f>
        <v>1248.98178247224</v>
      </c>
      <c r="AA63" s="62">
        <f t="shared" si="23"/>
        <v>0.28971062543076603</v>
      </c>
      <c r="AB63" s="63">
        <f>Scale!C63</f>
        <v>0</v>
      </c>
    </row>
    <row r="64" spans="1:28" x14ac:dyDescent="0.25">
      <c r="A64" s="65">
        <f t="shared" si="24"/>
        <v>43053</v>
      </c>
      <c r="B64" s="66">
        <f t="shared" si="25"/>
        <v>62</v>
      </c>
      <c r="C64" s="67">
        <f t="shared" si="26"/>
        <v>181.57707670365679</v>
      </c>
      <c r="D64" s="67">
        <f t="shared" si="27"/>
        <v>149.15752316754944</v>
      </c>
      <c r="E64" s="68">
        <f t="shared" si="16"/>
        <v>32.419553536107344</v>
      </c>
      <c r="F64" s="56"/>
      <c r="G64" s="69">
        <f>C64*TDEE!$B$5</f>
        <v>2259.3641013126621</v>
      </c>
      <c r="H64" s="67">
        <f t="shared" si="28"/>
        <v>1005.0061596193277</v>
      </c>
      <c r="I64" s="67">
        <f t="shared" si="29"/>
        <v>1254.3579416933344</v>
      </c>
      <c r="J64" s="58">
        <f t="shared" si="17"/>
        <v>0.28714461703409361</v>
      </c>
      <c r="K64" s="67">
        <f t="shared" si="18"/>
        <v>77.450429728575116</v>
      </c>
      <c r="L64" s="67">
        <v>20</v>
      </c>
      <c r="M64" s="54">
        <f>Protein_Amt!$B$6</f>
        <v>119.32601853403956</v>
      </c>
      <c r="N64" s="67">
        <f t="shared" si="19"/>
        <v>697.05386755717609</v>
      </c>
      <c r="O64" s="67">
        <f t="shared" si="20"/>
        <v>80</v>
      </c>
      <c r="P64" s="67">
        <f t="shared" si="21"/>
        <v>477.30407413615825</v>
      </c>
      <c r="Q64" s="68">
        <f t="shared" si="22"/>
        <v>1254.3579416933344</v>
      </c>
      <c r="S64" s="70">
        <f>VLOOKUP($A64,FoodLog!$A$1:$Z$10009,12,0)</f>
        <v>0</v>
      </c>
      <c r="T64" s="70">
        <f>VLOOKUP($A64,FoodLog!$A$1:$Z$10009,13,0)</f>
        <v>0</v>
      </c>
      <c r="U64" s="70">
        <f>VLOOKUP($A64,FoodLog!$A$1:$Z$10009,14,0)</f>
        <v>0</v>
      </c>
      <c r="V64" s="70">
        <f>VLOOKUP($A64,FoodLog!$A$1:$Z$10009,15,0)</f>
        <v>0</v>
      </c>
      <c r="W64" s="70">
        <f>VLOOKUP($A64,FoodLog!$A$1:$Z$10009,16,0)</f>
        <v>697.05386755717609</v>
      </c>
      <c r="X64" s="70">
        <f>VLOOKUP($A64,FoodLog!$A$1:$Z$10009,17,0)</f>
        <v>80</v>
      </c>
      <c r="Y64" s="70">
        <f>VLOOKUP($A64,FoodLog!$A$1:$Z$10009,18,0)</f>
        <v>477.30407413615825</v>
      </c>
      <c r="Z64" s="70">
        <f>VLOOKUP($A64,FoodLog!$A$1:$Z$10009,19,0)</f>
        <v>1254.3579416933344</v>
      </c>
      <c r="AA64" s="62">
        <f t="shared" si="23"/>
        <v>0.28714461703409361</v>
      </c>
      <c r="AB64" s="63">
        <f>Scale!C64</f>
        <v>0</v>
      </c>
    </row>
    <row r="65" spans="1:28" x14ac:dyDescent="0.25">
      <c r="A65" s="65">
        <f t="shared" si="24"/>
        <v>43054</v>
      </c>
      <c r="B65" s="66">
        <f t="shared" si="25"/>
        <v>63</v>
      </c>
      <c r="C65" s="67">
        <f t="shared" si="26"/>
        <v>181.28993208662268</v>
      </c>
      <c r="D65" s="67">
        <f t="shared" si="27"/>
        <v>149.15752316754944</v>
      </c>
      <c r="E65" s="68">
        <f t="shared" si="16"/>
        <v>32.132408919073242</v>
      </c>
      <c r="F65" s="56"/>
      <c r="G65" s="69">
        <f>C65*TDEE!$B$5</f>
        <v>2255.7911599954559</v>
      </c>
      <c r="H65" s="67">
        <f t="shared" si="28"/>
        <v>996.10467649127054</v>
      </c>
      <c r="I65" s="67">
        <f t="shared" si="29"/>
        <v>1259.6864835041854</v>
      </c>
      <c r="J65" s="58">
        <f t="shared" si="17"/>
        <v>0.28460133614036304</v>
      </c>
      <c r="K65" s="67">
        <f t="shared" si="18"/>
        <v>78.042489929780785</v>
      </c>
      <c r="L65" s="67">
        <v>20</v>
      </c>
      <c r="M65" s="54">
        <f>Protein_Amt!$B$6</f>
        <v>119.32601853403956</v>
      </c>
      <c r="N65" s="67">
        <f t="shared" si="19"/>
        <v>702.38240936802708</v>
      </c>
      <c r="O65" s="67">
        <f t="shared" si="20"/>
        <v>80</v>
      </c>
      <c r="P65" s="67">
        <f t="shared" si="21"/>
        <v>477.30407413615825</v>
      </c>
      <c r="Q65" s="68">
        <f t="shared" si="22"/>
        <v>1259.6864835041854</v>
      </c>
      <c r="S65" s="70">
        <f>VLOOKUP($A65,FoodLog!$A$1:$Z$10009,12,0)</f>
        <v>0</v>
      </c>
      <c r="T65" s="70">
        <f>VLOOKUP($A65,FoodLog!$A$1:$Z$10009,13,0)</f>
        <v>0</v>
      </c>
      <c r="U65" s="70">
        <f>VLOOKUP($A65,FoodLog!$A$1:$Z$10009,14,0)</f>
        <v>0</v>
      </c>
      <c r="V65" s="70">
        <f>VLOOKUP($A65,FoodLog!$A$1:$Z$10009,15,0)</f>
        <v>0</v>
      </c>
      <c r="W65" s="70">
        <f>VLOOKUP($A65,FoodLog!$A$1:$Z$10009,16,0)</f>
        <v>702.38240936802708</v>
      </c>
      <c r="X65" s="70">
        <f>VLOOKUP($A65,FoodLog!$A$1:$Z$10009,17,0)</f>
        <v>80</v>
      </c>
      <c r="Y65" s="70">
        <f>VLOOKUP($A65,FoodLog!$A$1:$Z$10009,18,0)</f>
        <v>477.30407413615825</v>
      </c>
      <c r="Z65" s="70">
        <f>VLOOKUP($A65,FoodLog!$A$1:$Z$10009,19,0)</f>
        <v>1259.6864835041854</v>
      </c>
      <c r="AA65" s="62">
        <f t="shared" si="23"/>
        <v>0.28460133614036304</v>
      </c>
      <c r="AB65" s="63">
        <f>Scale!C65</f>
        <v>0</v>
      </c>
    </row>
    <row r="66" spans="1:28" x14ac:dyDescent="0.25">
      <c r="A66" s="65">
        <f t="shared" si="24"/>
        <v>43055</v>
      </c>
      <c r="B66" s="66">
        <f t="shared" si="25"/>
        <v>64</v>
      </c>
      <c r="C66" s="67">
        <f t="shared" si="26"/>
        <v>181.00533075048233</v>
      </c>
      <c r="D66" s="67">
        <f t="shared" si="27"/>
        <v>149.15752316754944</v>
      </c>
      <c r="E66" s="68">
        <f t="shared" si="16"/>
        <v>31.847807582932887</v>
      </c>
      <c r="F66" s="56"/>
      <c r="G66" s="69">
        <f>C66*TDEE!$B$5</f>
        <v>2252.2498647299167</v>
      </c>
      <c r="H66" s="67">
        <f t="shared" si="28"/>
        <v>987.28203507091951</v>
      </c>
      <c r="I66" s="67">
        <f t="shared" si="29"/>
        <v>1264.9678296589973</v>
      </c>
      <c r="J66" s="58">
        <f t="shared" si="17"/>
        <v>0.28208058144883413</v>
      </c>
      <c r="K66" s="67">
        <f t="shared" si="18"/>
        <v>78.629306169204327</v>
      </c>
      <c r="L66" s="67">
        <v>20</v>
      </c>
      <c r="M66" s="54">
        <f>Protein_Amt!$B$6</f>
        <v>119.32601853403956</v>
      </c>
      <c r="N66" s="67">
        <f t="shared" si="19"/>
        <v>707.66375552283898</v>
      </c>
      <c r="O66" s="67">
        <f t="shared" si="20"/>
        <v>80</v>
      </c>
      <c r="P66" s="67">
        <f t="shared" si="21"/>
        <v>477.30407413615825</v>
      </c>
      <c r="Q66" s="68">
        <f t="shared" si="22"/>
        <v>1264.9678296589973</v>
      </c>
      <c r="S66" s="70">
        <f>VLOOKUP($A66,FoodLog!$A$1:$Z$10009,12,0)</f>
        <v>0</v>
      </c>
      <c r="T66" s="70">
        <f>VLOOKUP($A66,FoodLog!$A$1:$Z$10009,13,0)</f>
        <v>0</v>
      </c>
      <c r="U66" s="70">
        <f>VLOOKUP($A66,FoodLog!$A$1:$Z$10009,14,0)</f>
        <v>0</v>
      </c>
      <c r="V66" s="70">
        <f>VLOOKUP($A66,FoodLog!$A$1:$Z$10009,15,0)</f>
        <v>0</v>
      </c>
      <c r="W66" s="70">
        <f>VLOOKUP($A66,FoodLog!$A$1:$Z$10009,16,0)</f>
        <v>707.66375552283898</v>
      </c>
      <c r="X66" s="70">
        <f>VLOOKUP($A66,FoodLog!$A$1:$Z$10009,17,0)</f>
        <v>80</v>
      </c>
      <c r="Y66" s="70">
        <f>VLOOKUP($A66,FoodLog!$A$1:$Z$10009,18,0)</f>
        <v>477.30407413615825</v>
      </c>
      <c r="Z66" s="70">
        <f>VLOOKUP($A66,FoodLog!$A$1:$Z$10009,19,0)</f>
        <v>1264.9678296589973</v>
      </c>
      <c r="AA66" s="62">
        <f t="shared" si="23"/>
        <v>0.28208058144883413</v>
      </c>
      <c r="AB66" s="63">
        <f>Scale!C66</f>
        <v>0</v>
      </c>
    </row>
    <row r="67" spans="1:28" x14ac:dyDescent="0.25">
      <c r="A67" s="65">
        <f t="shared" si="24"/>
        <v>43056</v>
      </c>
      <c r="B67" s="66">
        <f t="shared" si="25"/>
        <v>65</v>
      </c>
      <c r="C67" s="67">
        <f t="shared" si="26"/>
        <v>180.72325016903349</v>
      </c>
      <c r="D67" s="67">
        <f t="shared" si="27"/>
        <v>149.15752316754944</v>
      </c>
      <c r="E67" s="68">
        <f t="shared" ref="E67:E98" si="30">C67-D67</f>
        <v>31.565727001484049</v>
      </c>
      <c r="F67" s="56"/>
      <c r="G67" s="69">
        <f>C67*TDEE!$B$5</f>
        <v>2248.7399352224434</v>
      </c>
      <c r="H67" s="67">
        <f t="shared" si="28"/>
        <v>978.53753704600558</v>
      </c>
      <c r="I67" s="67">
        <f t="shared" si="29"/>
        <v>1270.2023981764378</v>
      </c>
      <c r="J67" s="58">
        <f t="shared" ref="J67:J98" si="31">H67/3500</f>
        <v>0.27958215344171589</v>
      </c>
      <c r="K67" s="67">
        <f t="shared" ref="K67:K98" si="32">N67/9</f>
        <v>79.210924893364393</v>
      </c>
      <c r="L67" s="67">
        <v>20</v>
      </c>
      <c r="M67" s="54">
        <f>Protein_Amt!$B$6</f>
        <v>119.32601853403956</v>
      </c>
      <c r="N67" s="67">
        <f t="shared" ref="N67:N98" si="33">MAX(0,I67-(O67+P67))</f>
        <v>712.89832404027948</v>
      </c>
      <c r="O67" s="67">
        <f t="shared" ref="O67:O98" si="34">4*L67</f>
        <v>80</v>
      </c>
      <c r="P67" s="67">
        <f t="shared" ref="P67:P98" si="35">4*M67</f>
        <v>477.30407413615825</v>
      </c>
      <c r="Q67" s="68">
        <f t="shared" ref="Q67:Q98" si="36">SUM(N67:P67)</f>
        <v>1270.2023981764378</v>
      </c>
      <c r="S67" s="70">
        <f>VLOOKUP($A67,FoodLog!$A$1:$Z$10009,12,0)</f>
        <v>0</v>
      </c>
      <c r="T67" s="70">
        <f>VLOOKUP($A67,FoodLog!$A$1:$Z$10009,13,0)</f>
        <v>0</v>
      </c>
      <c r="U67" s="70">
        <f>VLOOKUP($A67,FoodLog!$A$1:$Z$10009,14,0)</f>
        <v>0</v>
      </c>
      <c r="V67" s="70">
        <f>VLOOKUP($A67,FoodLog!$A$1:$Z$10009,15,0)</f>
        <v>0</v>
      </c>
      <c r="W67" s="70">
        <f>VLOOKUP($A67,FoodLog!$A$1:$Z$10009,16,0)</f>
        <v>712.89832404027948</v>
      </c>
      <c r="X67" s="70">
        <f>VLOOKUP($A67,FoodLog!$A$1:$Z$10009,17,0)</f>
        <v>80</v>
      </c>
      <c r="Y67" s="70">
        <f>VLOOKUP($A67,FoodLog!$A$1:$Z$10009,18,0)</f>
        <v>477.30407413615825</v>
      </c>
      <c r="Z67" s="70">
        <f>VLOOKUP($A67,FoodLog!$A$1:$Z$10009,19,0)</f>
        <v>1270.2023981764378</v>
      </c>
      <c r="AA67" s="62">
        <f t="shared" ref="AA67:AA98" si="37">MIN($H67,($H67+Z67))/3500</f>
        <v>0.27958215344171589</v>
      </c>
      <c r="AB67" s="63">
        <f>Scale!C67</f>
        <v>0</v>
      </c>
    </row>
    <row r="68" spans="1:28" x14ac:dyDescent="0.25">
      <c r="A68" s="65">
        <f t="shared" ref="A68:A99" si="38">A67+1</f>
        <v>43057</v>
      </c>
      <c r="B68" s="66">
        <f t="shared" ref="B68:B99" si="39">B67+1</f>
        <v>66</v>
      </c>
      <c r="C68" s="67">
        <f t="shared" ref="C68:C99" si="40">C67-AA67</f>
        <v>180.44366801559178</v>
      </c>
      <c r="D68" s="67">
        <f t="shared" ref="D68:D99" si="41">$D$3</f>
        <v>149.15752316754944</v>
      </c>
      <c r="E68" s="68">
        <f t="shared" si="30"/>
        <v>31.286144848042341</v>
      </c>
      <c r="F68" s="56"/>
      <c r="G68" s="69">
        <f>C68*TDEE!$B$5</f>
        <v>2245.2610936620363</v>
      </c>
      <c r="H68" s="67">
        <f t="shared" ref="H68:H104" si="42">$E68*31</f>
        <v>969.87049028931256</v>
      </c>
      <c r="I68" s="67">
        <f t="shared" ref="I68:I104" si="43">$G68-$H68</f>
        <v>1275.3906033727237</v>
      </c>
      <c r="J68" s="58">
        <f t="shared" si="31"/>
        <v>0.27710585436837504</v>
      </c>
      <c r="K68" s="67">
        <f t="shared" si="32"/>
        <v>79.787392137396154</v>
      </c>
      <c r="L68" s="67">
        <v>20</v>
      </c>
      <c r="M68" s="54">
        <f>Protein_Amt!$B$6</f>
        <v>119.32601853403956</v>
      </c>
      <c r="N68" s="67">
        <f t="shared" si="33"/>
        <v>718.08652923656541</v>
      </c>
      <c r="O68" s="67">
        <f t="shared" si="34"/>
        <v>80</v>
      </c>
      <c r="P68" s="67">
        <f t="shared" si="35"/>
        <v>477.30407413615825</v>
      </c>
      <c r="Q68" s="68">
        <f t="shared" si="36"/>
        <v>1275.3906033727237</v>
      </c>
      <c r="S68" s="70">
        <f>VLOOKUP($A68,FoodLog!$A$1:$Z$10009,12,0)</f>
        <v>0</v>
      </c>
      <c r="T68" s="70">
        <f>VLOOKUP($A68,FoodLog!$A$1:$Z$10009,13,0)</f>
        <v>0</v>
      </c>
      <c r="U68" s="70">
        <f>VLOOKUP($A68,FoodLog!$A$1:$Z$10009,14,0)</f>
        <v>0</v>
      </c>
      <c r="V68" s="70">
        <f>VLOOKUP($A68,FoodLog!$A$1:$Z$10009,15,0)</f>
        <v>0</v>
      </c>
      <c r="W68" s="70">
        <f>VLOOKUP($A68,FoodLog!$A$1:$Z$10009,16,0)</f>
        <v>718.08652923656541</v>
      </c>
      <c r="X68" s="70">
        <f>VLOOKUP($A68,FoodLog!$A$1:$Z$10009,17,0)</f>
        <v>80</v>
      </c>
      <c r="Y68" s="70">
        <f>VLOOKUP($A68,FoodLog!$A$1:$Z$10009,18,0)</f>
        <v>477.30407413615825</v>
      </c>
      <c r="Z68" s="70">
        <f>VLOOKUP($A68,FoodLog!$A$1:$Z$10009,19,0)</f>
        <v>1275.3906033727237</v>
      </c>
      <c r="AA68" s="62">
        <f t="shared" si="37"/>
        <v>0.27710585436837504</v>
      </c>
      <c r="AB68" s="63">
        <f>Scale!C68</f>
        <v>0</v>
      </c>
    </row>
    <row r="69" spans="1:28" x14ac:dyDescent="0.25">
      <c r="A69" s="65">
        <f t="shared" si="38"/>
        <v>43058</v>
      </c>
      <c r="B69" s="66">
        <f t="shared" si="39"/>
        <v>67</v>
      </c>
      <c r="C69" s="67">
        <f t="shared" si="40"/>
        <v>180.1665621612234</v>
      </c>
      <c r="D69" s="67">
        <f t="shared" si="41"/>
        <v>149.15752316754944</v>
      </c>
      <c r="E69" s="68">
        <f t="shared" si="30"/>
        <v>31.009038993673954</v>
      </c>
      <c r="F69" s="56"/>
      <c r="G69" s="69">
        <f>C69*TDEE!$B$5</f>
        <v>2241.8130646983068</v>
      </c>
      <c r="H69" s="67">
        <f t="shared" si="42"/>
        <v>961.28020880389261</v>
      </c>
      <c r="I69" s="67">
        <f t="shared" si="43"/>
        <v>1280.5328558944143</v>
      </c>
      <c r="J69" s="58">
        <f t="shared" si="31"/>
        <v>0.2746514882296836</v>
      </c>
      <c r="K69" s="67">
        <f t="shared" si="32"/>
        <v>80.358753528695104</v>
      </c>
      <c r="L69" s="67">
        <v>20</v>
      </c>
      <c r="M69" s="54">
        <f>Protein_Amt!$B$6</f>
        <v>119.32601853403956</v>
      </c>
      <c r="N69" s="67">
        <f t="shared" si="33"/>
        <v>723.22878175825599</v>
      </c>
      <c r="O69" s="67">
        <f t="shared" si="34"/>
        <v>80</v>
      </c>
      <c r="P69" s="67">
        <f t="shared" si="35"/>
        <v>477.30407413615825</v>
      </c>
      <c r="Q69" s="68">
        <f t="shared" si="36"/>
        <v>1280.5328558944143</v>
      </c>
      <c r="S69" s="70">
        <f>VLOOKUP($A69,FoodLog!$A$1:$Z$10009,12,0)</f>
        <v>0</v>
      </c>
      <c r="T69" s="70">
        <f>VLOOKUP($A69,FoodLog!$A$1:$Z$10009,13,0)</f>
        <v>0</v>
      </c>
      <c r="U69" s="70">
        <f>VLOOKUP($A69,FoodLog!$A$1:$Z$10009,14,0)</f>
        <v>0</v>
      </c>
      <c r="V69" s="70">
        <f>VLOOKUP($A69,FoodLog!$A$1:$Z$10009,15,0)</f>
        <v>0</v>
      </c>
      <c r="W69" s="70">
        <f>VLOOKUP($A69,FoodLog!$A$1:$Z$10009,16,0)</f>
        <v>723.22878175825599</v>
      </c>
      <c r="X69" s="70">
        <f>VLOOKUP($A69,FoodLog!$A$1:$Z$10009,17,0)</f>
        <v>80</v>
      </c>
      <c r="Y69" s="70">
        <f>VLOOKUP($A69,FoodLog!$A$1:$Z$10009,18,0)</f>
        <v>477.30407413615825</v>
      </c>
      <c r="Z69" s="70">
        <f>VLOOKUP($A69,FoodLog!$A$1:$Z$10009,19,0)</f>
        <v>1280.5328558944143</v>
      </c>
      <c r="AA69" s="62">
        <f t="shared" si="37"/>
        <v>0.2746514882296836</v>
      </c>
      <c r="AB69" s="63">
        <f>Scale!C69</f>
        <v>0</v>
      </c>
    </row>
    <row r="70" spans="1:28" x14ac:dyDescent="0.25">
      <c r="A70" s="65">
        <f t="shared" si="38"/>
        <v>43059</v>
      </c>
      <c r="B70" s="66">
        <f t="shared" si="39"/>
        <v>68</v>
      </c>
      <c r="C70" s="67">
        <f t="shared" si="40"/>
        <v>179.8919106729937</v>
      </c>
      <c r="D70" s="67">
        <f t="shared" si="41"/>
        <v>149.15752316754944</v>
      </c>
      <c r="E70" s="68">
        <f t="shared" si="30"/>
        <v>30.734387505444261</v>
      </c>
      <c r="F70" s="56"/>
      <c r="G70" s="69">
        <f>C70*TDEE!$B$5</f>
        <v>2238.395575419685</v>
      </c>
      <c r="H70" s="67">
        <f t="shared" si="42"/>
        <v>952.76601266877208</v>
      </c>
      <c r="I70" s="67">
        <f t="shared" si="43"/>
        <v>1285.629562750913</v>
      </c>
      <c r="J70" s="58">
        <f t="shared" si="31"/>
        <v>0.27221886076250629</v>
      </c>
      <c r="K70" s="67">
        <f t="shared" si="32"/>
        <v>80.925054290528294</v>
      </c>
      <c r="L70" s="67">
        <v>20</v>
      </c>
      <c r="M70" s="54">
        <f>Protein_Amt!$B$6</f>
        <v>119.32601853403956</v>
      </c>
      <c r="N70" s="67">
        <f t="shared" si="33"/>
        <v>728.3254886147547</v>
      </c>
      <c r="O70" s="67">
        <f t="shared" si="34"/>
        <v>80</v>
      </c>
      <c r="P70" s="67">
        <f t="shared" si="35"/>
        <v>477.30407413615825</v>
      </c>
      <c r="Q70" s="68">
        <f t="shared" si="36"/>
        <v>1285.629562750913</v>
      </c>
      <c r="S70" s="70">
        <f>VLOOKUP($A70,FoodLog!$A$1:$Z$10009,12,0)</f>
        <v>0</v>
      </c>
      <c r="T70" s="70">
        <f>VLOOKUP($A70,FoodLog!$A$1:$Z$10009,13,0)</f>
        <v>0</v>
      </c>
      <c r="U70" s="70">
        <f>VLOOKUP($A70,FoodLog!$A$1:$Z$10009,14,0)</f>
        <v>0</v>
      </c>
      <c r="V70" s="70">
        <f>VLOOKUP($A70,FoodLog!$A$1:$Z$10009,15,0)</f>
        <v>0</v>
      </c>
      <c r="W70" s="70">
        <f>VLOOKUP($A70,FoodLog!$A$1:$Z$10009,16,0)</f>
        <v>728.3254886147547</v>
      </c>
      <c r="X70" s="70">
        <f>VLOOKUP($A70,FoodLog!$A$1:$Z$10009,17,0)</f>
        <v>80</v>
      </c>
      <c r="Y70" s="70">
        <f>VLOOKUP($A70,FoodLog!$A$1:$Z$10009,18,0)</f>
        <v>477.30407413615825</v>
      </c>
      <c r="Z70" s="70">
        <f>VLOOKUP($A70,FoodLog!$A$1:$Z$10009,19,0)</f>
        <v>1285.629562750913</v>
      </c>
      <c r="AA70" s="62">
        <f t="shared" si="37"/>
        <v>0.27221886076250629</v>
      </c>
      <c r="AB70" s="63">
        <f>Scale!C70</f>
        <v>0</v>
      </c>
    </row>
    <row r="71" spans="1:28" x14ac:dyDescent="0.25">
      <c r="A71" s="65">
        <f t="shared" si="38"/>
        <v>43060</v>
      </c>
      <c r="B71" s="66">
        <f t="shared" si="39"/>
        <v>69</v>
      </c>
      <c r="C71" s="67">
        <f t="shared" si="40"/>
        <v>179.6196918122312</v>
      </c>
      <c r="D71" s="67">
        <f t="shared" si="41"/>
        <v>149.15752316754944</v>
      </c>
      <c r="E71" s="68">
        <f t="shared" si="30"/>
        <v>30.462168644681753</v>
      </c>
      <c r="F71" s="56"/>
      <c r="G71" s="69">
        <f>C71*TDEE!$B$5</f>
        <v>2235.0083553318168</v>
      </c>
      <c r="H71" s="67">
        <f t="shared" si="42"/>
        <v>944.32722798513441</v>
      </c>
      <c r="I71" s="67">
        <f t="shared" si="43"/>
        <v>1290.6811273466824</v>
      </c>
      <c r="J71" s="58">
        <f t="shared" si="31"/>
        <v>0.2698077794243241</v>
      </c>
      <c r="K71" s="67">
        <f t="shared" si="32"/>
        <v>81.486339245613792</v>
      </c>
      <c r="L71" s="67">
        <v>20</v>
      </c>
      <c r="M71" s="54">
        <f>Protein_Amt!$B$6</f>
        <v>119.32601853403956</v>
      </c>
      <c r="N71" s="67">
        <f t="shared" si="33"/>
        <v>733.37705321052408</v>
      </c>
      <c r="O71" s="67">
        <f t="shared" si="34"/>
        <v>80</v>
      </c>
      <c r="P71" s="67">
        <f t="shared" si="35"/>
        <v>477.30407413615825</v>
      </c>
      <c r="Q71" s="68">
        <f t="shared" si="36"/>
        <v>1290.6811273466824</v>
      </c>
      <c r="S71" s="70">
        <f>VLOOKUP($A71,FoodLog!$A$1:$Z$10009,12,0)</f>
        <v>0</v>
      </c>
      <c r="T71" s="70">
        <f>VLOOKUP($A71,FoodLog!$A$1:$Z$10009,13,0)</f>
        <v>0</v>
      </c>
      <c r="U71" s="70">
        <f>VLOOKUP($A71,FoodLog!$A$1:$Z$10009,14,0)</f>
        <v>0</v>
      </c>
      <c r="V71" s="70">
        <f>VLOOKUP($A71,FoodLog!$A$1:$Z$10009,15,0)</f>
        <v>0</v>
      </c>
      <c r="W71" s="70">
        <f>VLOOKUP($A71,FoodLog!$A$1:$Z$10009,16,0)</f>
        <v>733.37705321052408</v>
      </c>
      <c r="X71" s="70">
        <f>VLOOKUP($A71,FoodLog!$A$1:$Z$10009,17,0)</f>
        <v>80</v>
      </c>
      <c r="Y71" s="70">
        <f>VLOOKUP($A71,FoodLog!$A$1:$Z$10009,18,0)</f>
        <v>477.30407413615825</v>
      </c>
      <c r="Z71" s="70">
        <f>VLOOKUP($A71,FoodLog!$A$1:$Z$10009,19,0)</f>
        <v>1290.6811273466824</v>
      </c>
      <c r="AA71" s="62">
        <f t="shared" si="37"/>
        <v>0.2698077794243241</v>
      </c>
      <c r="AB71" s="63">
        <f>Scale!C71</f>
        <v>0</v>
      </c>
    </row>
    <row r="72" spans="1:28" x14ac:dyDescent="0.25">
      <c r="A72" s="65">
        <f t="shared" si="38"/>
        <v>43061</v>
      </c>
      <c r="B72" s="66">
        <f t="shared" si="39"/>
        <v>70</v>
      </c>
      <c r="C72" s="67">
        <f t="shared" si="40"/>
        <v>179.34988403280687</v>
      </c>
      <c r="D72" s="67">
        <f t="shared" si="41"/>
        <v>149.15752316754944</v>
      </c>
      <c r="E72" s="68">
        <f t="shared" si="30"/>
        <v>30.192360865257427</v>
      </c>
      <c r="F72" s="56"/>
      <c r="G72" s="69">
        <f>C72*TDEE!$B$5</f>
        <v>2231.6511363361551</v>
      </c>
      <c r="H72" s="67">
        <f t="shared" si="42"/>
        <v>935.96318682298022</v>
      </c>
      <c r="I72" s="67">
        <f t="shared" si="43"/>
        <v>1295.6879495131748</v>
      </c>
      <c r="J72" s="58">
        <f t="shared" si="31"/>
        <v>0.26741805337799435</v>
      </c>
      <c r="K72" s="67">
        <f t="shared" si="32"/>
        <v>82.04265281966849</v>
      </c>
      <c r="L72" s="67">
        <v>20</v>
      </c>
      <c r="M72" s="54">
        <f>Protein_Amt!$B$6</f>
        <v>119.32601853403956</v>
      </c>
      <c r="N72" s="67">
        <f t="shared" si="33"/>
        <v>738.38387537701647</v>
      </c>
      <c r="O72" s="67">
        <f t="shared" si="34"/>
        <v>80</v>
      </c>
      <c r="P72" s="67">
        <f t="shared" si="35"/>
        <v>477.30407413615825</v>
      </c>
      <c r="Q72" s="68">
        <f t="shared" si="36"/>
        <v>1295.6879495131748</v>
      </c>
      <c r="S72" s="70">
        <f>VLOOKUP($A72,FoodLog!$A$1:$Z$10009,12,0)</f>
        <v>0</v>
      </c>
      <c r="T72" s="70">
        <f>VLOOKUP($A72,FoodLog!$A$1:$Z$10009,13,0)</f>
        <v>0</v>
      </c>
      <c r="U72" s="70">
        <f>VLOOKUP($A72,FoodLog!$A$1:$Z$10009,14,0)</f>
        <v>0</v>
      </c>
      <c r="V72" s="70">
        <f>VLOOKUP($A72,FoodLog!$A$1:$Z$10009,15,0)</f>
        <v>0</v>
      </c>
      <c r="W72" s="70">
        <f>VLOOKUP($A72,FoodLog!$A$1:$Z$10009,16,0)</f>
        <v>738.38387537701647</v>
      </c>
      <c r="X72" s="70">
        <f>VLOOKUP($A72,FoodLog!$A$1:$Z$10009,17,0)</f>
        <v>80</v>
      </c>
      <c r="Y72" s="70">
        <f>VLOOKUP($A72,FoodLog!$A$1:$Z$10009,18,0)</f>
        <v>477.30407413615825</v>
      </c>
      <c r="Z72" s="70">
        <f>VLOOKUP($A72,FoodLog!$A$1:$Z$10009,19,0)</f>
        <v>1295.6879495131748</v>
      </c>
      <c r="AA72" s="62">
        <f t="shared" si="37"/>
        <v>0.26741805337799435</v>
      </c>
      <c r="AB72" s="63">
        <f>Scale!C72</f>
        <v>0</v>
      </c>
    </row>
    <row r="73" spans="1:28" x14ac:dyDescent="0.25">
      <c r="A73" s="65">
        <f t="shared" si="38"/>
        <v>43062</v>
      </c>
      <c r="B73" s="66">
        <f t="shared" si="39"/>
        <v>71</v>
      </c>
      <c r="C73" s="67">
        <f t="shared" si="40"/>
        <v>179.08246597942889</v>
      </c>
      <c r="D73" s="67">
        <f t="shared" si="41"/>
        <v>149.15752316754944</v>
      </c>
      <c r="E73" s="68">
        <f t="shared" si="30"/>
        <v>29.924942811879447</v>
      </c>
      <c r="F73" s="56"/>
      <c r="G73" s="69">
        <f>C73*TDEE!$B$5</f>
        <v>2228.3236527087411</v>
      </c>
      <c r="H73" s="67">
        <f t="shared" si="42"/>
        <v>927.67322716826288</v>
      </c>
      <c r="I73" s="67">
        <f t="shared" si="43"/>
        <v>1300.6504255404782</v>
      </c>
      <c r="J73" s="58">
        <f t="shared" si="31"/>
        <v>0.26504949347664652</v>
      </c>
      <c r="K73" s="67">
        <f t="shared" si="32"/>
        <v>82.594039044924429</v>
      </c>
      <c r="L73" s="67">
        <v>20</v>
      </c>
      <c r="M73" s="54">
        <f>Protein_Amt!$B$6</f>
        <v>119.32601853403956</v>
      </c>
      <c r="N73" s="67">
        <f t="shared" si="33"/>
        <v>743.34635140431988</v>
      </c>
      <c r="O73" s="67">
        <f t="shared" si="34"/>
        <v>80</v>
      </c>
      <c r="P73" s="67">
        <f t="shared" si="35"/>
        <v>477.30407413615825</v>
      </c>
      <c r="Q73" s="68">
        <f t="shared" si="36"/>
        <v>1300.6504255404782</v>
      </c>
      <c r="S73" s="70">
        <f>VLOOKUP($A73,FoodLog!$A$1:$Z$10009,12,0)</f>
        <v>0</v>
      </c>
      <c r="T73" s="70">
        <f>VLOOKUP($A73,FoodLog!$A$1:$Z$10009,13,0)</f>
        <v>0</v>
      </c>
      <c r="U73" s="70">
        <f>VLOOKUP($A73,FoodLog!$A$1:$Z$10009,14,0)</f>
        <v>0</v>
      </c>
      <c r="V73" s="70">
        <f>VLOOKUP($A73,FoodLog!$A$1:$Z$10009,15,0)</f>
        <v>0</v>
      </c>
      <c r="W73" s="70">
        <f>VLOOKUP($A73,FoodLog!$A$1:$Z$10009,16,0)</f>
        <v>743.34635140431988</v>
      </c>
      <c r="X73" s="70">
        <f>VLOOKUP($A73,FoodLog!$A$1:$Z$10009,17,0)</f>
        <v>80</v>
      </c>
      <c r="Y73" s="70">
        <f>VLOOKUP($A73,FoodLog!$A$1:$Z$10009,18,0)</f>
        <v>477.30407413615825</v>
      </c>
      <c r="Z73" s="70">
        <f>VLOOKUP($A73,FoodLog!$A$1:$Z$10009,19,0)</f>
        <v>1300.6504255404782</v>
      </c>
      <c r="AA73" s="62">
        <f t="shared" si="37"/>
        <v>0.26504949347664652</v>
      </c>
      <c r="AB73" s="63">
        <f>Scale!C73</f>
        <v>0</v>
      </c>
    </row>
    <row r="74" spans="1:28" x14ac:dyDescent="0.25">
      <c r="A74" s="65">
        <f t="shared" si="38"/>
        <v>43063</v>
      </c>
      <c r="B74" s="66">
        <f t="shared" si="39"/>
        <v>72</v>
      </c>
      <c r="C74" s="67">
        <f t="shared" si="40"/>
        <v>178.81741648595224</v>
      </c>
      <c r="D74" s="67">
        <f t="shared" si="41"/>
        <v>149.15752316754944</v>
      </c>
      <c r="E74" s="68">
        <f t="shared" si="30"/>
        <v>29.659893318402794</v>
      </c>
      <c r="F74" s="56"/>
      <c r="G74" s="69">
        <f>C74*TDEE!$B$5</f>
        <v>2225.0256410791694</v>
      </c>
      <c r="H74" s="67">
        <f t="shared" si="42"/>
        <v>919.45669287048668</v>
      </c>
      <c r="I74" s="67">
        <f t="shared" si="43"/>
        <v>1305.5689482086827</v>
      </c>
      <c r="J74" s="58">
        <f t="shared" si="31"/>
        <v>0.26270191224871048</v>
      </c>
      <c r="K74" s="67">
        <f t="shared" si="32"/>
        <v>83.140541563613823</v>
      </c>
      <c r="L74" s="67">
        <v>20</v>
      </c>
      <c r="M74" s="54">
        <f>Protein_Amt!$B$6</f>
        <v>119.32601853403956</v>
      </c>
      <c r="N74" s="67">
        <f t="shared" si="33"/>
        <v>748.26487407252444</v>
      </c>
      <c r="O74" s="67">
        <f t="shared" si="34"/>
        <v>80</v>
      </c>
      <c r="P74" s="67">
        <f t="shared" si="35"/>
        <v>477.30407413615825</v>
      </c>
      <c r="Q74" s="68">
        <f t="shared" si="36"/>
        <v>1305.5689482086827</v>
      </c>
      <c r="S74" s="70">
        <f>VLOOKUP($A74,FoodLog!$A$1:$Z$10009,12,0)</f>
        <v>0</v>
      </c>
      <c r="T74" s="70">
        <f>VLOOKUP($A74,FoodLog!$A$1:$Z$10009,13,0)</f>
        <v>0</v>
      </c>
      <c r="U74" s="70">
        <f>VLOOKUP($A74,FoodLog!$A$1:$Z$10009,14,0)</f>
        <v>0</v>
      </c>
      <c r="V74" s="70">
        <f>VLOOKUP($A74,FoodLog!$A$1:$Z$10009,15,0)</f>
        <v>0</v>
      </c>
      <c r="W74" s="70">
        <f>VLOOKUP($A74,FoodLog!$A$1:$Z$10009,16,0)</f>
        <v>748.26487407252444</v>
      </c>
      <c r="X74" s="70">
        <f>VLOOKUP($A74,FoodLog!$A$1:$Z$10009,17,0)</f>
        <v>80</v>
      </c>
      <c r="Y74" s="70">
        <f>VLOOKUP($A74,FoodLog!$A$1:$Z$10009,18,0)</f>
        <v>477.30407413615825</v>
      </c>
      <c r="Z74" s="70">
        <f>VLOOKUP($A74,FoodLog!$A$1:$Z$10009,19,0)</f>
        <v>1305.5689482086827</v>
      </c>
      <c r="AA74" s="62">
        <f t="shared" si="37"/>
        <v>0.26270191224871048</v>
      </c>
      <c r="AB74" s="63">
        <f>Scale!C74</f>
        <v>0</v>
      </c>
    </row>
    <row r="75" spans="1:28" x14ac:dyDescent="0.25">
      <c r="A75" s="65">
        <f t="shared" si="38"/>
        <v>43064</v>
      </c>
      <c r="B75" s="66">
        <f t="shared" si="39"/>
        <v>73</v>
      </c>
      <c r="C75" s="67">
        <f t="shared" si="40"/>
        <v>178.55471457370354</v>
      </c>
      <c r="D75" s="67">
        <f t="shared" si="41"/>
        <v>149.15752316754944</v>
      </c>
      <c r="E75" s="68">
        <f t="shared" si="30"/>
        <v>29.397191406154093</v>
      </c>
      <c r="F75" s="56"/>
      <c r="G75" s="69">
        <f>C75*TDEE!$B$5</f>
        <v>2221.756840409746</v>
      </c>
      <c r="H75" s="67">
        <f t="shared" si="42"/>
        <v>911.31293359077688</v>
      </c>
      <c r="I75" s="67">
        <f t="shared" si="43"/>
        <v>1310.443906818969</v>
      </c>
      <c r="J75" s="58">
        <f t="shared" si="31"/>
        <v>0.2603751238830791</v>
      </c>
      <c r="K75" s="67">
        <f t="shared" si="32"/>
        <v>83.68220363142342</v>
      </c>
      <c r="L75" s="67">
        <v>20</v>
      </c>
      <c r="M75" s="54">
        <f>Protein_Amt!$B$6</f>
        <v>119.32601853403956</v>
      </c>
      <c r="N75" s="67">
        <f t="shared" si="33"/>
        <v>753.13983268281072</v>
      </c>
      <c r="O75" s="67">
        <f t="shared" si="34"/>
        <v>80</v>
      </c>
      <c r="P75" s="67">
        <f t="shared" si="35"/>
        <v>477.30407413615825</v>
      </c>
      <c r="Q75" s="68">
        <f t="shared" si="36"/>
        <v>1310.443906818969</v>
      </c>
      <c r="S75" s="70">
        <f>VLOOKUP($A75,FoodLog!$A$1:$Z$10009,12,0)</f>
        <v>0</v>
      </c>
      <c r="T75" s="70">
        <f>VLOOKUP($A75,FoodLog!$A$1:$Z$10009,13,0)</f>
        <v>0</v>
      </c>
      <c r="U75" s="70">
        <f>VLOOKUP($A75,FoodLog!$A$1:$Z$10009,14,0)</f>
        <v>0</v>
      </c>
      <c r="V75" s="70">
        <f>VLOOKUP($A75,FoodLog!$A$1:$Z$10009,15,0)</f>
        <v>0</v>
      </c>
      <c r="W75" s="70">
        <f>VLOOKUP($A75,FoodLog!$A$1:$Z$10009,16,0)</f>
        <v>753.13983268281072</v>
      </c>
      <c r="X75" s="70">
        <f>VLOOKUP($A75,FoodLog!$A$1:$Z$10009,17,0)</f>
        <v>80</v>
      </c>
      <c r="Y75" s="70">
        <f>VLOOKUP($A75,FoodLog!$A$1:$Z$10009,18,0)</f>
        <v>477.30407413615825</v>
      </c>
      <c r="Z75" s="70">
        <f>VLOOKUP($A75,FoodLog!$A$1:$Z$10009,19,0)</f>
        <v>1310.443906818969</v>
      </c>
      <c r="AA75" s="62">
        <f t="shared" si="37"/>
        <v>0.2603751238830791</v>
      </c>
      <c r="AB75" s="63">
        <f>Scale!C75</f>
        <v>0</v>
      </c>
    </row>
    <row r="76" spans="1:28" x14ac:dyDescent="0.25">
      <c r="A76" s="65">
        <f t="shared" si="38"/>
        <v>43065</v>
      </c>
      <c r="B76" s="66">
        <f t="shared" si="39"/>
        <v>74</v>
      </c>
      <c r="C76" s="67">
        <f t="shared" si="40"/>
        <v>178.29433944982046</v>
      </c>
      <c r="D76" s="67">
        <f t="shared" si="41"/>
        <v>149.15752316754944</v>
      </c>
      <c r="E76" s="68">
        <f t="shared" si="30"/>
        <v>29.136816282271013</v>
      </c>
      <c r="F76" s="56"/>
      <c r="G76" s="69">
        <f>C76*TDEE!$B$5</f>
        <v>2218.5169919748228</v>
      </c>
      <c r="H76" s="67">
        <f t="shared" si="42"/>
        <v>903.24130475040147</v>
      </c>
      <c r="I76" s="67">
        <f t="shared" si="43"/>
        <v>1315.2756872244213</v>
      </c>
      <c r="J76" s="58">
        <f t="shared" si="31"/>
        <v>0.25806894421440041</v>
      </c>
      <c r="K76" s="67">
        <f t="shared" si="32"/>
        <v>84.219068120918109</v>
      </c>
      <c r="L76" s="67">
        <v>20</v>
      </c>
      <c r="M76" s="54">
        <f>Protein_Amt!$B$6</f>
        <v>119.32601853403956</v>
      </c>
      <c r="N76" s="67">
        <f t="shared" si="33"/>
        <v>757.97161308826298</v>
      </c>
      <c r="O76" s="67">
        <f t="shared" si="34"/>
        <v>80</v>
      </c>
      <c r="P76" s="67">
        <f t="shared" si="35"/>
        <v>477.30407413615825</v>
      </c>
      <c r="Q76" s="68">
        <f t="shared" si="36"/>
        <v>1315.2756872244213</v>
      </c>
      <c r="S76" s="70">
        <f>VLOOKUP($A76,FoodLog!$A$1:$Z$10009,12,0)</f>
        <v>0</v>
      </c>
      <c r="T76" s="70">
        <f>VLOOKUP($A76,FoodLog!$A$1:$Z$10009,13,0)</f>
        <v>0</v>
      </c>
      <c r="U76" s="70">
        <f>VLOOKUP($A76,FoodLog!$A$1:$Z$10009,14,0)</f>
        <v>0</v>
      </c>
      <c r="V76" s="70">
        <f>VLOOKUP($A76,FoodLog!$A$1:$Z$10009,15,0)</f>
        <v>0</v>
      </c>
      <c r="W76" s="70">
        <f>VLOOKUP($A76,FoodLog!$A$1:$Z$10009,16,0)</f>
        <v>757.97161308826298</v>
      </c>
      <c r="X76" s="70">
        <f>VLOOKUP($A76,FoodLog!$A$1:$Z$10009,17,0)</f>
        <v>80</v>
      </c>
      <c r="Y76" s="70">
        <f>VLOOKUP($A76,FoodLog!$A$1:$Z$10009,18,0)</f>
        <v>477.30407413615825</v>
      </c>
      <c r="Z76" s="70">
        <f>VLOOKUP($A76,FoodLog!$A$1:$Z$10009,19,0)</f>
        <v>1315.2756872244213</v>
      </c>
      <c r="AA76" s="62">
        <f t="shared" si="37"/>
        <v>0.25806894421440041</v>
      </c>
      <c r="AB76" s="63">
        <f>Scale!C76</f>
        <v>0</v>
      </c>
    </row>
    <row r="77" spans="1:28" x14ac:dyDescent="0.25">
      <c r="A77" s="65">
        <f t="shared" si="38"/>
        <v>43066</v>
      </c>
      <c r="B77" s="66">
        <f t="shared" si="39"/>
        <v>75</v>
      </c>
      <c r="C77" s="67">
        <f t="shared" si="40"/>
        <v>178.03627050560607</v>
      </c>
      <c r="D77" s="67">
        <f t="shared" si="41"/>
        <v>149.15752316754944</v>
      </c>
      <c r="E77" s="68">
        <f t="shared" si="30"/>
        <v>28.878747338056627</v>
      </c>
      <c r="F77" s="56"/>
      <c r="G77" s="69">
        <f>C77*TDEE!$B$5</f>
        <v>2215.3058393403235</v>
      </c>
      <c r="H77" s="67">
        <f t="shared" si="42"/>
        <v>895.2411674797554</v>
      </c>
      <c r="I77" s="67">
        <f t="shared" si="43"/>
        <v>1320.0646718605681</v>
      </c>
      <c r="J77" s="58">
        <f t="shared" si="31"/>
        <v>0.25578319070850153</v>
      </c>
      <c r="K77" s="67">
        <f t="shared" si="32"/>
        <v>84.75117752493442</v>
      </c>
      <c r="L77" s="67">
        <v>20</v>
      </c>
      <c r="M77" s="54">
        <f>Protein_Amt!$B$6</f>
        <v>119.32601853403956</v>
      </c>
      <c r="N77" s="67">
        <f t="shared" si="33"/>
        <v>762.76059772440976</v>
      </c>
      <c r="O77" s="67">
        <f t="shared" si="34"/>
        <v>80</v>
      </c>
      <c r="P77" s="67">
        <f t="shared" si="35"/>
        <v>477.30407413615825</v>
      </c>
      <c r="Q77" s="68">
        <f t="shared" si="36"/>
        <v>1320.0646718605681</v>
      </c>
      <c r="S77" s="70">
        <f>VLOOKUP($A77,FoodLog!$A$1:$Z$10009,12,0)</f>
        <v>0</v>
      </c>
      <c r="T77" s="70">
        <f>VLOOKUP($A77,FoodLog!$A$1:$Z$10009,13,0)</f>
        <v>0</v>
      </c>
      <c r="U77" s="70">
        <f>VLOOKUP($A77,FoodLog!$A$1:$Z$10009,14,0)</f>
        <v>0</v>
      </c>
      <c r="V77" s="70">
        <f>VLOOKUP($A77,FoodLog!$A$1:$Z$10009,15,0)</f>
        <v>0</v>
      </c>
      <c r="W77" s="70">
        <f>VLOOKUP($A77,FoodLog!$A$1:$Z$10009,16,0)</f>
        <v>762.76059772440976</v>
      </c>
      <c r="X77" s="70">
        <f>VLOOKUP($A77,FoodLog!$A$1:$Z$10009,17,0)</f>
        <v>80</v>
      </c>
      <c r="Y77" s="70">
        <f>VLOOKUP($A77,FoodLog!$A$1:$Z$10009,18,0)</f>
        <v>477.30407413615825</v>
      </c>
      <c r="Z77" s="70">
        <f>VLOOKUP($A77,FoodLog!$A$1:$Z$10009,19,0)</f>
        <v>1320.0646718605681</v>
      </c>
      <c r="AA77" s="62">
        <f t="shared" si="37"/>
        <v>0.25578319070850153</v>
      </c>
      <c r="AB77" s="63">
        <f>Scale!C77</f>
        <v>0</v>
      </c>
    </row>
    <row r="78" spans="1:28" x14ac:dyDescent="0.25">
      <c r="A78" s="65">
        <f t="shared" si="38"/>
        <v>43067</v>
      </c>
      <c r="B78" s="66">
        <f t="shared" si="39"/>
        <v>76</v>
      </c>
      <c r="C78" s="67">
        <f t="shared" si="40"/>
        <v>177.78048731489756</v>
      </c>
      <c r="D78" s="67">
        <f t="shared" si="41"/>
        <v>149.15752316754944</v>
      </c>
      <c r="E78" s="68">
        <f t="shared" si="30"/>
        <v>28.622964147348114</v>
      </c>
      <c r="F78" s="56"/>
      <c r="G78" s="69">
        <f>C78*TDEE!$B$5</f>
        <v>2212.1231283434436</v>
      </c>
      <c r="H78" s="67">
        <f t="shared" si="42"/>
        <v>887.31188856779158</v>
      </c>
      <c r="I78" s="67">
        <f t="shared" si="43"/>
        <v>1324.811239775652</v>
      </c>
      <c r="J78" s="58">
        <f t="shared" si="31"/>
        <v>0.25351768244794043</v>
      </c>
      <c r="K78" s="67">
        <f t="shared" si="32"/>
        <v>85.278573959943742</v>
      </c>
      <c r="L78" s="67">
        <v>20</v>
      </c>
      <c r="M78" s="54">
        <f>Protein_Amt!$B$6</f>
        <v>119.32601853403956</v>
      </c>
      <c r="N78" s="67">
        <f t="shared" si="33"/>
        <v>767.50716563949368</v>
      </c>
      <c r="O78" s="67">
        <f t="shared" si="34"/>
        <v>80</v>
      </c>
      <c r="P78" s="67">
        <f t="shared" si="35"/>
        <v>477.30407413615825</v>
      </c>
      <c r="Q78" s="68">
        <f t="shared" si="36"/>
        <v>1324.811239775652</v>
      </c>
      <c r="S78" s="70">
        <f>VLOOKUP($A78,FoodLog!$A$1:$Z$10009,12,0)</f>
        <v>0</v>
      </c>
      <c r="T78" s="70">
        <f>VLOOKUP($A78,FoodLog!$A$1:$Z$10009,13,0)</f>
        <v>0</v>
      </c>
      <c r="U78" s="70">
        <f>VLOOKUP($A78,FoodLog!$A$1:$Z$10009,14,0)</f>
        <v>0</v>
      </c>
      <c r="V78" s="70">
        <f>VLOOKUP($A78,FoodLog!$A$1:$Z$10009,15,0)</f>
        <v>0</v>
      </c>
      <c r="W78" s="70">
        <f>VLOOKUP($A78,FoodLog!$A$1:$Z$10009,16,0)</f>
        <v>767.50716563949368</v>
      </c>
      <c r="X78" s="70">
        <f>VLOOKUP($A78,FoodLog!$A$1:$Z$10009,17,0)</f>
        <v>80</v>
      </c>
      <c r="Y78" s="70">
        <f>VLOOKUP($A78,FoodLog!$A$1:$Z$10009,18,0)</f>
        <v>477.30407413615825</v>
      </c>
      <c r="Z78" s="70">
        <f>VLOOKUP($A78,FoodLog!$A$1:$Z$10009,19,0)</f>
        <v>1324.811239775652</v>
      </c>
      <c r="AA78" s="62">
        <f t="shared" si="37"/>
        <v>0.25351768244794043</v>
      </c>
      <c r="AB78" s="63">
        <f>Scale!C78</f>
        <v>0</v>
      </c>
    </row>
    <row r="79" spans="1:28" x14ac:dyDescent="0.25">
      <c r="A79" s="65">
        <f t="shared" si="38"/>
        <v>43068</v>
      </c>
      <c r="B79" s="66">
        <f t="shared" si="39"/>
        <v>77</v>
      </c>
      <c r="C79" s="67">
        <f t="shared" si="40"/>
        <v>177.52696963244961</v>
      </c>
      <c r="D79" s="67">
        <f t="shared" si="41"/>
        <v>149.15752316754944</v>
      </c>
      <c r="E79" s="68">
        <f t="shared" si="30"/>
        <v>28.369446464900165</v>
      </c>
      <c r="F79" s="56"/>
      <c r="G79" s="69">
        <f>C79*TDEE!$B$5</f>
        <v>2208.9686070725361</v>
      </c>
      <c r="H79" s="67">
        <f t="shared" si="42"/>
        <v>879.45284041190507</v>
      </c>
      <c r="I79" s="67">
        <f t="shared" si="43"/>
        <v>1329.515766660631</v>
      </c>
      <c r="J79" s="58">
        <f t="shared" si="31"/>
        <v>0.25127224011768717</v>
      </c>
      <c r="K79" s="67">
        <f t="shared" si="32"/>
        <v>85.801299169385857</v>
      </c>
      <c r="L79" s="67">
        <v>20</v>
      </c>
      <c r="M79" s="54">
        <f>Protein_Amt!$B$6</f>
        <v>119.32601853403956</v>
      </c>
      <c r="N79" s="67">
        <f t="shared" si="33"/>
        <v>772.21169252447271</v>
      </c>
      <c r="O79" s="67">
        <f t="shared" si="34"/>
        <v>80</v>
      </c>
      <c r="P79" s="67">
        <f t="shared" si="35"/>
        <v>477.30407413615825</v>
      </c>
      <c r="Q79" s="68">
        <f t="shared" si="36"/>
        <v>1329.515766660631</v>
      </c>
      <c r="S79" s="70">
        <f>VLOOKUP($A79,FoodLog!$A$1:$Z$10009,12,0)</f>
        <v>0</v>
      </c>
      <c r="T79" s="70">
        <f>VLOOKUP($A79,FoodLog!$A$1:$Z$10009,13,0)</f>
        <v>0</v>
      </c>
      <c r="U79" s="70">
        <f>VLOOKUP($A79,FoodLog!$A$1:$Z$10009,14,0)</f>
        <v>0</v>
      </c>
      <c r="V79" s="70">
        <f>VLOOKUP($A79,FoodLog!$A$1:$Z$10009,15,0)</f>
        <v>0</v>
      </c>
      <c r="W79" s="70">
        <f>VLOOKUP($A79,FoodLog!$A$1:$Z$10009,16,0)</f>
        <v>772.21169252447271</v>
      </c>
      <c r="X79" s="70">
        <f>VLOOKUP($A79,FoodLog!$A$1:$Z$10009,17,0)</f>
        <v>80</v>
      </c>
      <c r="Y79" s="70">
        <f>VLOOKUP($A79,FoodLog!$A$1:$Z$10009,18,0)</f>
        <v>477.30407413615825</v>
      </c>
      <c r="Z79" s="70">
        <f>VLOOKUP($A79,FoodLog!$A$1:$Z$10009,19,0)</f>
        <v>1329.515766660631</v>
      </c>
      <c r="AA79" s="62">
        <f t="shared" si="37"/>
        <v>0.25127224011768717</v>
      </c>
      <c r="AB79" s="63">
        <f>Scale!C79</f>
        <v>0</v>
      </c>
    </row>
    <row r="80" spans="1:28" x14ac:dyDescent="0.25">
      <c r="A80" s="65">
        <f t="shared" si="38"/>
        <v>43069</v>
      </c>
      <c r="B80" s="66">
        <f t="shared" si="39"/>
        <v>78</v>
      </c>
      <c r="C80" s="67">
        <f t="shared" si="40"/>
        <v>177.27569739233192</v>
      </c>
      <c r="D80" s="67">
        <f t="shared" si="41"/>
        <v>149.15752316754944</v>
      </c>
      <c r="E80" s="68">
        <f t="shared" si="30"/>
        <v>28.118174224782479</v>
      </c>
      <c r="F80" s="56"/>
      <c r="G80" s="69">
        <f>C80*TDEE!$B$5</f>
        <v>2205.842025847171</v>
      </c>
      <c r="H80" s="67">
        <f t="shared" si="42"/>
        <v>871.66340096825684</v>
      </c>
      <c r="I80" s="67">
        <f t="shared" si="43"/>
        <v>1334.1786248789142</v>
      </c>
      <c r="J80" s="58">
        <f t="shared" si="31"/>
        <v>0.24904668599093052</v>
      </c>
      <c r="K80" s="67">
        <f t="shared" si="32"/>
        <v>86.319394526972872</v>
      </c>
      <c r="L80" s="67">
        <v>20</v>
      </c>
      <c r="M80" s="54">
        <f>Protein_Amt!$B$6</f>
        <v>119.32601853403956</v>
      </c>
      <c r="N80" s="67">
        <f t="shared" si="33"/>
        <v>776.8745507427559</v>
      </c>
      <c r="O80" s="67">
        <f t="shared" si="34"/>
        <v>80</v>
      </c>
      <c r="P80" s="67">
        <f t="shared" si="35"/>
        <v>477.30407413615825</v>
      </c>
      <c r="Q80" s="68">
        <f t="shared" si="36"/>
        <v>1334.1786248789142</v>
      </c>
      <c r="S80" s="70">
        <f>VLOOKUP($A80,FoodLog!$A$1:$Z$10009,12,0)</f>
        <v>0</v>
      </c>
      <c r="T80" s="70">
        <f>VLOOKUP($A80,FoodLog!$A$1:$Z$10009,13,0)</f>
        <v>0</v>
      </c>
      <c r="U80" s="70">
        <f>VLOOKUP($A80,FoodLog!$A$1:$Z$10009,14,0)</f>
        <v>0</v>
      </c>
      <c r="V80" s="70">
        <f>VLOOKUP($A80,FoodLog!$A$1:$Z$10009,15,0)</f>
        <v>0</v>
      </c>
      <c r="W80" s="70">
        <f>VLOOKUP($A80,FoodLog!$A$1:$Z$10009,16,0)</f>
        <v>776.8745507427559</v>
      </c>
      <c r="X80" s="70">
        <f>VLOOKUP($A80,FoodLog!$A$1:$Z$10009,17,0)</f>
        <v>80</v>
      </c>
      <c r="Y80" s="70">
        <f>VLOOKUP($A80,FoodLog!$A$1:$Z$10009,18,0)</f>
        <v>477.30407413615825</v>
      </c>
      <c r="Z80" s="70">
        <f>VLOOKUP($A80,FoodLog!$A$1:$Z$10009,19,0)</f>
        <v>1334.1786248789142</v>
      </c>
      <c r="AA80" s="62">
        <f t="shared" si="37"/>
        <v>0.24904668599093052</v>
      </c>
      <c r="AB80" s="63">
        <f>Scale!C80</f>
        <v>0</v>
      </c>
    </row>
    <row r="81" spans="1:28" x14ac:dyDescent="0.25">
      <c r="A81" s="65">
        <f t="shared" si="38"/>
        <v>43070</v>
      </c>
      <c r="B81" s="66">
        <f t="shared" si="39"/>
        <v>79</v>
      </c>
      <c r="C81" s="67">
        <f t="shared" si="40"/>
        <v>177.026650706341</v>
      </c>
      <c r="D81" s="67">
        <f t="shared" si="41"/>
        <v>149.15752316754944</v>
      </c>
      <c r="E81" s="68">
        <f t="shared" si="30"/>
        <v>27.86912753879156</v>
      </c>
      <c r="F81" s="56"/>
      <c r="G81" s="69">
        <f>C81*TDEE!$B$5</f>
        <v>2202.7431371983735</v>
      </c>
      <c r="H81" s="67">
        <f t="shared" si="42"/>
        <v>863.94295370253838</v>
      </c>
      <c r="I81" s="67">
        <f t="shared" si="43"/>
        <v>1338.800183495835</v>
      </c>
      <c r="J81" s="58">
        <f t="shared" si="31"/>
        <v>0.24684084391501096</v>
      </c>
      <c r="K81" s="67">
        <f t="shared" si="32"/>
        <v>86.832901039964071</v>
      </c>
      <c r="L81" s="67">
        <v>20</v>
      </c>
      <c r="M81" s="54">
        <f>Protein_Amt!$B$6</f>
        <v>119.32601853403956</v>
      </c>
      <c r="N81" s="67">
        <f t="shared" si="33"/>
        <v>781.49610935967667</v>
      </c>
      <c r="O81" s="67">
        <f t="shared" si="34"/>
        <v>80</v>
      </c>
      <c r="P81" s="67">
        <f t="shared" si="35"/>
        <v>477.30407413615825</v>
      </c>
      <c r="Q81" s="68">
        <f t="shared" si="36"/>
        <v>1338.800183495835</v>
      </c>
      <c r="S81" s="70">
        <f>VLOOKUP($A81,FoodLog!$A$1:$Z$10009,12,0)</f>
        <v>0</v>
      </c>
      <c r="T81" s="70">
        <f>VLOOKUP($A81,FoodLog!$A$1:$Z$10009,13,0)</f>
        <v>0</v>
      </c>
      <c r="U81" s="70">
        <f>VLOOKUP($A81,FoodLog!$A$1:$Z$10009,14,0)</f>
        <v>0</v>
      </c>
      <c r="V81" s="70">
        <f>VLOOKUP($A81,FoodLog!$A$1:$Z$10009,15,0)</f>
        <v>0</v>
      </c>
      <c r="W81" s="70">
        <f>VLOOKUP($A81,FoodLog!$A$1:$Z$10009,16,0)</f>
        <v>781.49610935967667</v>
      </c>
      <c r="X81" s="70">
        <f>VLOOKUP($A81,FoodLog!$A$1:$Z$10009,17,0)</f>
        <v>80</v>
      </c>
      <c r="Y81" s="70">
        <f>VLOOKUP($A81,FoodLog!$A$1:$Z$10009,18,0)</f>
        <v>477.30407413615825</v>
      </c>
      <c r="Z81" s="70">
        <f>VLOOKUP($A81,FoodLog!$A$1:$Z$10009,19,0)</f>
        <v>1338.800183495835</v>
      </c>
      <c r="AA81" s="62">
        <f t="shared" si="37"/>
        <v>0.24684084391501096</v>
      </c>
      <c r="AB81" s="63">
        <f>Scale!C81</f>
        <v>0</v>
      </c>
    </row>
    <row r="82" spans="1:28" x14ac:dyDescent="0.25">
      <c r="A82" s="65">
        <f t="shared" si="38"/>
        <v>43071</v>
      </c>
      <c r="B82" s="66">
        <f t="shared" si="39"/>
        <v>80</v>
      </c>
      <c r="C82" s="67">
        <f t="shared" si="40"/>
        <v>176.77980986242599</v>
      </c>
      <c r="D82" s="67">
        <f t="shared" si="41"/>
        <v>149.15752316754944</v>
      </c>
      <c r="E82" s="68">
        <f t="shared" si="30"/>
        <v>27.62228669487655</v>
      </c>
      <c r="F82" s="56"/>
      <c r="G82" s="69">
        <f>C82*TDEE!$B$5</f>
        <v>2199.671695849037</v>
      </c>
      <c r="H82" s="67">
        <f t="shared" si="42"/>
        <v>856.29088754117311</v>
      </c>
      <c r="I82" s="67">
        <f t="shared" si="43"/>
        <v>1343.3808083078638</v>
      </c>
      <c r="J82" s="58">
        <f t="shared" si="31"/>
        <v>0.24465453929747802</v>
      </c>
      <c r="K82" s="67">
        <f t="shared" si="32"/>
        <v>87.341859352411731</v>
      </c>
      <c r="L82" s="67">
        <v>20</v>
      </c>
      <c r="M82" s="54">
        <f>Protein_Amt!$B$6</f>
        <v>119.32601853403956</v>
      </c>
      <c r="N82" s="67">
        <f t="shared" si="33"/>
        <v>786.07673417170554</v>
      </c>
      <c r="O82" s="67">
        <f t="shared" si="34"/>
        <v>80</v>
      </c>
      <c r="P82" s="67">
        <f t="shared" si="35"/>
        <v>477.30407413615825</v>
      </c>
      <c r="Q82" s="68">
        <f t="shared" si="36"/>
        <v>1343.3808083078638</v>
      </c>
      <c r="S82" s="70">
        <f>VLOOKUP($A82,FoodLog!$A$1:$Z$10009,12,0)</f>
        <v>0</v>
      </c>
      <c r="T82" s="70">
        <f>VLOOKUP($A82,FoodLog!$A$1:$Z$10009,13,0)</f>
        <v>0</v>
      </c>
      <c r="U82" s="70">
        <f>VLOOKUP($A82,FoodLog!$A$1:$Z$10009,14,0)</f>
        <v>0</v>
      </c>
      <c r="V82" s="70">
        <f>VLOOKUP($A82,FoodLog!$A$1:$Z$10009,15,0)</f>
        <v>0</v>
      </c>
      <c r="W82" s="70">
        <f>VLOOKUP($A82,FoodLog!$A$1:$Z$10009,16,0)</f>
        <v>786.07673417170554</v>
      </c>
      <c r="X82" s="70">
        <f>VLOOKUP($A82,FoodLog!$A$1:$Z$10009,17,0)</f>
        <v>80</v>
      </c>
      <c r="Y82" s="70">
        <f>VLOOKUP($A82,FoodLog!$A$1:$Z$10009,18,0)</f>
        <v>477.30407413615825</v>
      </c>
      <c r="Z82" s="70">
        <f>VLOOKUP($A82,FoodLog!$A$1:$Z$10009,19,0)</f>
        <v>1343.3808083078638</v>
      </c>
      <c r="AA82" s="62">
        <f t="shared" si="37"/>
        <v>0.24465453929747802</v>
      </c>
      <c r="AB82" s="63">
        <f>Scale!C82</f>
        <v>0</v>
      </c>
    </row>
    <row r="83" spans="1:28" x14ac:dyDescent="0.25">
      <c r="A83" s="65">
        <f t="shared" si="38"/>
        <v>43072</v>
      </c>
      <c r="B83" s="66">
        <f t="shared" si="39"/>
        <v>81</v>
      </c>
      <c r="C83" s="67">
        <f t="shared" si="40"/>
        <v>176.53515532312852</v>
      </c>
      <c r="D83" s="67">
        <f t="shared" si="41"/>
        <v>149.15752316754944</v>
      </c>
      <c r="E83" s="68">
        <f t="shared" si="30"/>
        <v>27.377632155579079</v>
      </c>
      <c r="F83" s="56"/>
      <c r="G83" s="69">
        <f>C83*TDEE!$B$5</f>
        <v>2196.6274586945087</v>
      </c>
      <c r="H83" s="67">
        <f t="shared" si="42"/>
        <v>848.7065968229515</v>
      </c>
      <c r="I83" s="67">
        <f t="shared" si="43"/>
        <v>1347.9208618715572</v>
      </c>
      <c r="J83" s="58">
        <f t="shared" si="31"/>
        <v>0.24248759909227185</v>
      </c>
      <c r="K83" s="67">
        <f t="shared" si="32"/>
        <v>87.846309748377664</v>
      </c>
      <c r="L83" s="67">
        <v>20</v>
      </c>
      <c r="M83" s="54">
        <f>Protein_Amt!$B$6</f>
        <v>119.32601853403956</v>
      </c>
      <c r="N83" s="67">
        <f t="shared" si="33"/>
        <v>790.61678773539893</v>
      </c>
      <c r="O83" s="67">
        <f t="shared" si="34"/>
        <v>80</v>
      </c>
      <c r="P83" s="67">
        <f t="shared" si="35"/>
        <v>477.30407413615825</v>
      </c>
      <c r="Q83" s="68">
        <f t="shared" si="36"/>
        <v>1347.9208618715572</v>
      </c>
      <c r="S83" s="70">
        <f>VLOOKUP($A83,FoodLog!$A$1:$Z$10009,12,0)</f>
        <v>0</v>
      </c>
      <c r="T83" s="70">
        <f>VLOOKUP($A83,FoodLog!$A$1:$Z$10009,13,0)</f>
        <v>0</v>
      </c>
      <c r="U83" s="70">
        <f>VLOOKUP($A83,FoodLog!$A$1:$Z$10009,14,0)</f>
        <v>0</v>
      </c>
      <c r="V83" s="70">
        <f>VLOOKUP($A83,FoodLog!$A$1:$Z$10009,15,0)</f>
        <v>0</v>
      </c>
      <c r="W83" s="70">
        <f>VLOOKUP($A83,FoodLog!$A$1:$Z$10009,16,0)</f>
        <v>790.61678773539893</v>
      </c>
      <c r="X83" s="70">
        <f>VLOOKUP($A83,FoodLog!$A$1:$Z$10009,17,0)</f>
        <v>80</v>
      </c>
      <c r="Y83" s="70">
        <f>VLOOKUP($A83,FoodLog!$A$1:$Z$10009,18,0)</f>
        <v>477.30407413615825</v>
      </c>
      <c r="Z83" s="70">
        <f>VLOOKUP($A83,FoodLog!$A$1:$Z$10009,19,0)</f>
        <v>1347.9208618715572</v>
      </c>
      <c r="AA83" s="62">
        <f t="shared" si="37"/>
        <v>0.24248759909227185</v>
      </c>
      <c r="AB83" s="63">
        <f>Scale!C83</f>
        <v>0</v>
      </c>
    </row>
    <row r="84" spans="1:28" x14ac:dyDescent="0.25">
      <c r="A84" s="65">
        <f t="shared" si="38"/>
        <v>43073</v>
      </c>
      <c r="B84" s="66">
        <f t="shared" si="39"/>
        <v>82</v>
      </c>
      <c r="C84" s="67">
        <f t="shared" si="40"/>
        <v>176.29266772403625</v>
      </c>
      <c r="D84" s="67">
        <f t="shared" si="41"/>
        <v>149.15752316754944</v>
      </c>
      <c r="E84" s="68">
        <f t="shared" si="30"/>
        <v>27.135144556486807</v>
      </c>
      <c r="F84" s="56"/>
      <c r="G84" s="69">
        <f>C84*TDEE!$B$5</f>
        <v>2193.6101847833493</v>
      </c>
      <c r="H84" s="67">
        <f t="shared" si="42"/>
        <v>841.18948125109102</v>
      </c>
      <c r="I84" s="67">
        <f t="shared" si="43"/>
        <v>1352.4207035322584</v>
      </c>
      <c r="J84" s="58">
        <f t="shared" si="31"/>
        <v>0.24033985178602602</v>
      </c>
      <c r="K84" s="67">
        <f t="shared" si="32"/>
        <v>88.346292155122228</v>
      </c>
      <c r="L84" s="67">
        <v>20</v>
      </c>
      <c r="M84" s="54">
        <f>Protein_Amt!$B$6</f>
        <v>119.32601853403956</v>
      </c>
      <c r="N84" s="67">
        <f t="shared" si="33"/>
        <v>795.11662939610005</v>
      </c>
      <c r="O84" s="67">
        <f t="shared" si="34"/>
        <v>80</v>
      </c>
      <c r="P84" s="67">
        <f t="shared" si="35"/>
        <v>477.30407413615825</v>
      </c>
      <c r="Q84" s="68">
        <f t="shared" si="36"/>
        <v>1352.4207035322584</v>
      </c>
      <c r="S84" s="70">
        <f>VLOOKUP($A84,FoodLog!$A$1:$Z$10009,12,0)</f>
        <v>0</v>
      </c>
      <c r="T84" s="70">
        <f>VLOOKUP($A84,FoodLog!$A$1:$Z$10009,13,0)</f>
        <v>0</v>
      </c>
      <c r="U84" s="70">
        <f>VLOOKUP($A84,FoodLog!$A$1:$Z$10009,14,0)</f>
        <v>0</v>
      </c>
      <c r="V84" s="70">
        <f>VLOOKUP($A84,FoodLog!$A$1:$Z$10009,15,0)</f>
        <v>0</v>
      </c>
      <c r="W84" s="70">
        <f>VLOOKUP($A84,FoodLog!$A$1:$Z$10009,16,0)</f>
        <v>795.11662939610005</v>
      </c>
      <c r="X84" s="70">
        <f>VLOOKUP($A84,FoodLog!$A$1:$Z$10009,17,0)</f>
        <v>80</v>
      </c>
      <c r="Y84" s="70">
        <f>VLOOKUP($A84,FoodLog!$A$1:$Z$10009,18,0)</f>
        <v>477.30407413615825</v>
      </c>
      <c r="Z84" s="70">
        <f>VLOOKUP($A84,FoodLog!$A$1:$Z$10009,19,0)</f>
        <v>1352.4207035322584</v>
      </c>
      <c r="AA84" s="62">
        <f t="shared" si="37"/>
        <v>0.24033985178602602</v>
      </c>
      <c r="AB84" s="63">
        <f>Scale!C84</f>
        <v>0</v>
      </c>
    </row>
    <row r="85" spans="1:28" x14ac:dyDescent="0.25">
      <c r="A85" s="65">
        <f t="shared" si="38"/>
        <v>43074</v>
      </c>
      <c r="B85" s="66">
        <f t="shared" si="39"/>
        <v>83</v>
      </c>
      <c r="C85" s="67">
        <f t="shared" si="40"/>
        <v>176.05232787225023</v>
      </c>
      <c r="D85" s="67">
        <f t="shared" si="41"/>
        <v>149.15752316754944</v>
      </c>
      <c r="E85" s="68">
        <f t="shared" si="30"/>
        <v>26.894804704700789</v>
      </c>
      <c r="F85" s="56"/>
      <c r="G85" s="69">
        <f>C85*TDEE!$B$5</f>
        <v>2190.6196352982597</v>
      </c>
      <c r="H85" s="67">
        <f t="shared" si="42"/>
        <v>833.7389458457244</v>
      </c>
      <c r="I85" s="67">
        <f t="shared" si="43"/>
        <v>1356.8806894525353</v>
      </c>
      <c r="J85" s="58">
        <f t="shared" si="31"/>
        <v>0.23821112738449268</v>
      </c>
      <c r="K85" s="67">
        <f t="shared" si="32"/>
        <v>88.841846146264118</v>
      </c>
      <c r="L85" s="67">
        <v>20</v>
      </c>
      <c r="M85" s="54">
        <f>Protein_Amt!$B$6</f>
        <v>119.32601853403956</v>
      </c>
      <c r="N85" s="67">
        <f t="shared" si="33"/>
        <v>799.576615316377</v>
      </c>
      <c r="O85" s="67">
        <f t="shared" si="34"/>
        <v>80</v>
      </c>
      <c r="P85" s="67">
        <f t="shared" si="35"/>
        <v>477.30407413615825</v>
      </c>
      <c r="Q85" s="68">
        <f t="shared" si="36"/>
        <v>1356.8806894525353</v>
      </c>
      <c r="S85" s="70">
        <f>VLOOKUP($A85,FoodLog!$A$1:$Z$10009,12,0)</f>
        <v>0</v>
      </c>
      <c r="T85" s="70">
        <f>VLOOKUP($A85,FoodLog!$A$1:$Z$10009,13,0)</f>
        <v>0</v>
      </c>
      <c r="U85" s="70">
        <f>VLOOKUP($A85,FoodLog!$A$1:$Z$10009,14,0)</f>
        <v>0</v>
      </c>
      <c r="V85" s="70">
        <f>VLOOKUP($A85,FoodLog!$A$1:$Z$10009,15,0)</f>
        <v>0</v>
      </c>
      <c r="W85" s="70">
        <f>VLOOKUP($A85,FoodLog!$A$1:$Z$10009,16,0)</f>
        <v>799.576615316377</v>
      </c>
      <c r="X85" s="70">
        <f>VLOOKUP($A85,FoodLog!$A$1:$Z$10009,17,0)</f>
        <v>80</v>
      </c>
      <c r="Y85" s="70">
        <f>VLOOKUP($A85,FoodLog!$A$1:$Z$10009,18,0)</f>
        <v>477.30407413615825</v>
      </c>
      <c r="Z85" s="70">
        <f>VLOOKUP($A85,FoodLog!$A$1:$Z$10009,19,0)</f>
        <v>1356.8806894525353</v>
      </c>
      <c r="AA85" s="62">
        <f t="shared" si="37"/>
        <v>0.23821112738449268</v>
      </c>
      <c r="AB85" s="63">
        <f>Scale!C85</f>
        <v>0</v>
      </c>
    </row>
    <row r="86" spans="1:28" x14ac:dyDescent="0.25">
      <c r="A86" s="65">
        <f t="shared" si="38"/>
        <v>43075</v>
      </c>
      <c r="B86" s="66">
        <f t="shared" si="39"/>
        <v>84</v>
      </c>
      <c r="C86" s="67">
        <f t="shared" si="40"/>
        <v>175.81411674486574</v>
      </c>
      <c r="D86" s="75">
        <f t="shared" si="41"/>
        <v>149.15752316754944</v>
      </c>
      <c r="E86" s="76">
        <f t="shared" si="30"/>
        <v>26.656593577316301</v>
      </c>
      <c r="F86" s="77"/>
      <c r="G86" s="78">
        <f>C86*TDEE!$B$5</f>
        <v>2187.6555735371812</v>
      </c>
      <c r="H86" s="67">
        <f t="shared" si="42"/>
        <v>826.35440089680537</v>
      </c>
      <c r="I86" s="67">
        <f t="shared" si="43"/>
        <v>1361.3011726403759</v>
      </c>
      <c r="J86" s="58">
        <f t="shared" si="31"/>
        <v>0.23610125739908724</v>
      </c>
      <c r="K86" s="75">
        <f t="shared" si="32"/>
        <v>89.333010944913056</v>
      </c>
      <c r="L86" s="75">
        <v>20</v>
      </c>
      <c r="M86" s="54">
        <f>Protein_Amt!$B$6</f>
        <v>119.32601853403956</v>
      </c>
      <c r="N86" s="67">
        <f t="shared" si="33"/>
        <v>803.99709850421755</v>
      </c>
      <c r="O86" s="75">
        <f t="shared" si="34"/>
        <v>80</v>
      </c>
      <c r="P86" s="75">
        <f t="shared" si="35"/>
        <v>477.30407413615825</v>
      </c>
      <c r="Q86" s="68">
        <f t="shared" si="36"/>
        <v>1361.3011726403759</v>
      </c>
      <c r="S86" s="70">
        <f>VLOOKUP($A86,FoodLog!$A$1:$Z$10009,12,0)</f>
        <v>0</v>
      </c>
      <c r="T86" s="70">
        <f>VLOOKUP($A86,FoodLog!$A$1:$Z$10009,13,0)</f>
        <v>0</v>
      </c>
      <c r="U86" s="70">
        <f>VLOOKUP($A86,FoodLog!$A$1:$Z$10009,14,0)</f>
        <v>0</v>
      </c>
      <c r="V86" s="70">
        <f>VLOOKUP($A86,FoodLog!$A$1:$Z$10009,15,0)</f>
        <v>0</v>
      </c>
      <c r="W86" s="70">
        <f>VLOOKUP($A86,FoodLog!$A$1:$Z$10009,16,0)</f>
        <v>803.99709850421755</v>
      </c>
      <c r="X86" s="70">
        <f>VLOOKUP($A86,FoodLog!$A$1:$Z$10009,17,0)</f>
        <v>80</v>
      </c>
      <c r="Y86" s="70">
        <f>VLOOKUP($A86,FoodLog!$A$1:$Z$10009,18,0)</f>
        <v>477.30407413615825</v>
      </c>
      <c r="Z86" s="70">
        <f>VLOOKUP($A86,FoodLog!$A$1:$Z$10009,19,0)</f>
        <v>1361.3011726403759</v>
      </c>
      <c r="AA86" s="62">
        <f t="shared" si="37"/>
        <v>0.23610125739908724</v>
      </c>
      <c r="AB86" s="63">
        <f>Scale!C86</f>
        <v>0</v>
      </c>
    </row>
    <row r="87" spans="1:28" x14ac:dyDescent="0.25">
      <c r="A87" s="65">
        <f t="shared" si="38"/>
        <v>43076</v>
      </c>
      <c r="B87" s="66">
        <f t="shared" si="39"/>
        <v>85</v>
      </c>
      <c r="C87" s="67">
        <f t="shared" si="40"/>
        <v>175.57801548746664</v>
      </c>
      <c r="D87" s="75">
        <f t="shared" si="41"/>
        <v>149.15752316754944</v>
      </c>
      <c r="E87" s="76">
        <f t="shared" si="30"/>
        <v>26.420492319917201</v>
      </c>
      <c r="F87" s="77"/>
      <c r="G87" s="78">
        <f>C87*TDEE!$B$5</f>
        <v>2184.7177648945576</v>
      </c>
      <c r="H87" s="67">
        <f t="shared" si="42"/>
        <v>819.03526191743322</v>
      </c>
      <c r="I87" s="67">
        <f t="shared" si="43"/>
        <v>1365.6825029771244</v>
      </c>
      <c r="J87" s="58">
        <f t="shared" si="31"/>
        <v>0.23401007483355235</v>
      </c>
      <c r="K87" s="75">
        <f t="shared" si="32"/>
        <v>89.37538098232956</v>
      </c>
      <c r="L87" s="75">
        <v>21</v>
      </c>
      <c r="M87" s="54">
        <f>Protein_Amt!$B$6</f>
        <v>119.32601853403956</v>
      </c>
      <c r="N87" s="67">
        <f t="shared" si="33"/>
        <v>804.37842884096608</v>
      </c>
      <c r="O87" s="75">
        <f t="shared" si="34"/>
        <v>84</v>
      </c>
      <c r="P87" s="75">
        <f t="shared" si="35"/>
        <v>477.30407413615825</v>
      </c>
      <c r="Q87" s="68">
        <f t="shared" si="36"/>
        <v>1365.6825029771244</v>
      </c>
      <c r="S87" s="70">
        <f>VLOOKUP($A87,FoodLog!$A$1:$Z$10009,12,0)</f>
        <v>0</v>
      </c>
      <c r="T87" s="70">
        <f>VLOOKUP($A87,FoodLog!$A$1:$Z$10009,13,0)</f>
        <v>0</v>
      </c>
      <c r="U87" s="70">
        <f>VLOOKUP($A87,FoodLog!$A$1:$Z$10009,14,0)</f>
        <v>0</v>
      </c>
      <c r="V87" s="70">
        <f>VLOOKUP($A87,FoodLog!$A$1:$Z$10009,15,0)</f>
        <v>0</v>
      </c>
      <c r="W87" s="70">
        <f>VLOOKUP($A87,FoodLog!$A$1:$Z$10009,16,0)</f>
        <v>804.37842884096608</v>
      </c>
      <c r="X87" s="70">
        <f>VLOOKUP($A87,FoodLog!$A$1:$Z$10009,17,0)</f>
        <v>84</v>
      </c>
      <c r="Y87" s="70">
        <f>VLOOKUP($A87,FoodLog!$A$1:$Z$10009,18,0)</f>
        <v>477.30407413615825</v>
      </c>
      <c r="Z87" s="70">
        <f>VLOOKUP($A87,FoodLog!$A$1:$Z$10009,19,0)</f>
        <v>1365.6825029771244</v>
      </c>
      <c r="AA87" s="62">
        <f t="shared" si="37"/>
        <v>0.23401007483355235</v>
      </c>
      <c r="AB87" s="63">
        <f>Scale!C87</f>
        <v>0</v>
      </c>
    </row>
    <row r="88" spans="1:28" x14ac:dyDescent="0.25">
      <c r="A88" s="65">
        <f t="shared" si="38"/>
        <v>43077</v>
      </c>
      <c r="B88" s="66">
        <f t="shared" si="39"/>
        <v>86</v>
      </c>
      <c r="C88" s="67">
        <f t="shared" si="40"/>
        <v>175.34400541263309</v>
      </c>
      <c r="D88" s="75">
        <f t="shared" si="41"/>
        <v>149.15752316754944</v>
      </c>
      <c r="E88" s="76">
        <f t="shared" si="30"/>
        <v>26.186482245083653</v>
      </c>
      <c r="F88" s="77"/>
      <c r="G88" s="78">
        <f>C88*TDEE!$B$5</f>
        <v>2181.8059768427693</v>
      </c>
      <c r="H88" s="67">
        <f t="shared" si="42"/>
        <v>811.78094959759324</v>
      </c>
      <c r="I88" s="67">
        <f t="shared" si="43"/>
        <v>1370.025027245176</v>
      </c>
      <c r="J88" s="58">
        <f t="shared" si="31"/>
        <v>0.23193741417074093</v>
      </c>
      <c r="K88" s="75">
        <f t="shared" si="32"/>
        <v>89.4134392343353</v>
      </c>
      <c r="L88" s="75">
        <v>22</v>
      </c>
      <c r="M88" s="54">
        <f>Protein_Amt!$B$6</f>
        <v>119.32601853403956</v>
      </c>
      <c r="N88" s="67">
        <f t="shared" si="33"/>
        <v>804.72095310901773</v>
      </c>
      <c r="O88" s="75">
        <f t="shared" si="34"/>
        <v>88</v>
      </c>
      <c r="P88" s="75">
        <f t="shared" si="35"/>
        <v>477.30407413615825</v>
      </c>
      <c r="Q88" s="68">
        <f t="shared" si="36"/>
        <v>1370.025027245176</v>
      </c>
      <c r="S88" s="70">
        <f>VLOOKUP($A88,FoodLog!$A$1:$Z$10009,12,0)</f>
        <v>0</v>
      </c>
      <c r="T88" s="70">
        <f>VLOOKUP($A88,FoodLog!$A$1:$Z$10009,13,0)</f>
        <v>0</v>
      </c>
      <c r="U88" s="70">
        <f>VLOOKUP($A88,FoodLog!$A$1:$Z$10009,14,0)</f>
        <v>0</v>
      </c>
      <c r="V88" s="70">
        <f>VLOOKUP($A88,FoodLog!$A$1:$Z$10009,15,0)</f>
        <v>0</v>
      </c>
      <c r="W88" s="70">
        <f>VLOOKUP($A88,FoodLog!$A$1:$Z$10009,16,0)</f>
        <v>804.72095310901773</v>
      </c>
      <c r="X88" s="70">
        <f>VLOOKUP($A88,FoodLog!$A$1:$Z$10009,17,0)</f>
        <v>88</v>
      </c>
      <c r="Y88" s="70">
        <f>VLOOKUP($A88,FoodLog!$A$1:$Z$10009,18,0)</f>
        <v>477.30407413615825</v>
      </c>
      <c r="Z88" s="70">
        <f>VLOOKUP($A88,FoodLog!$A$1:$Z$10009,19,0)</f>
        <v>1370.025027245176</v>
      </c>
      <c r="AA88" s="62">
        <f t="shared" si="37"/>
        <v>0.23193741417074093</v>
      </c>
      <c r="AB88" s="63">
        <f>Scale!C88</f>
        <v>0</v>
      </c>
    </row>
    <row r="89" spans="1:28" x14ac:dyDescent="0.25">
      <c r="A89" s="65">
        <f t="shared" si="38"/>
        <v>43078</v>
      </c>
      <c r="B89" s="66">
        <f t="shared" si="39"/>
        <v>87</v>
      </c>
      <c r="C89" s="67">
        <f t="shared" si="40"/>
        <v>175.11206799846235</v>
      </c>
      <c r="D89" s="75">
        <f t="shared" si="41"/>
        <v>149.15752316754944</v>
      </c>
      <c r="E89" s="76">
        <f t="shared" si="30"/>
        <v>25.954544830912909</v>
      </c>
      <c r="F89" s="77"/>
      <c r="G89" s="78">
        <f>C89*TDEE!$B$5</f>
        <v>2178.9199789137251</v>
      </c>
      <c r="H89" s="67">
        <f t="shared" si="42"/>
        <v>804.59088975830014</v>
      </c>
      <c r="I89" s="67">
        <f t="shared" si="43"/>
        <v>1374.329089155425</v>
      </c>
      <c r="J89" s="58">
        <f t="shared" si="31"/>
        <v>0.22988311135951434</v>
      </c>
      <c r="K89" s="75">
        <f t="shared" si="32"/>
        <v>89.447223891029637</v>
      </c>
      <c r="L89" s="75">
        <v>23</v>
      </c>
      <c r="M89" s="54">
        <f>Protein_Amt!$B$6</f>
        <v>119.32601853403956</v>
      </c>
      <c r="N89" s="67">
        <f t="shared" si="33"/>
        <v>805.02501501926668</v>
      </c>
      <c r="O89" s="75">
        <f t="shared" si="34"/>
        <v>92</v>
      </c>
      <c r="P89" s="75">
        <f t="shared" si="35"/>
        <v>477.30407413615825</v>
      </c>
      <c r="Q89" s="68">
        <f t="shared" si="36"/>
        <v>1374.329089155425</v>
      </c>
      <c r="S89" s="70">
        <f>VLOOKUP($A89,FoodLog!$A$1:$Z$10009,12,0)</f>
        <v>0</v>
      </c>
      <c r="T89" s="70">
        <f>VLOOKUP($A89,FoodLog!$A$1:$Z$10009,13,0)</f>
        <v>0</v>
      </c>
      <c r="U89" s="70">
        <f>VLOOKUP($A89,FoodLog!$A$1:$Z$10009,14,0)</f>
        <v>0</v>
      </c>
      <c r="V89" s="70">
        <f>VLOOKUP($A89,FoodLog!$A$1:$Z$10009,15,0)</f>
        <v>0</v>
      </c>
      <c r="W89" s="70">
        <f>VLOOKUP($A89,FoodLog!$A$1:$Z$10009,16,0)</f>
        <v>805.02501501926668</v>
      </c>
      <c r="X89" s="70">
        <f>VLOOKUP($A89,FoodLog!$A$1:$Z$10009,17,0)</f>
        <v>92</v>
      </c>
      <c r="Y89" s="70">
        <f>VLOOKUP($A89,FoodLog!$A$1:$Z$10009,18,0)</f>
        <v>477.30407413615825</v>
      </c>
      <c r="Z89" s="70">
        <f>VLOOKUP($A89,FoodLog!$A$1:$Z$10009,19,0)</f>
        <v>1374.329089155425</v>
      </c>
      <c r="AA89" s="62">
        <f t="shared" si="37"/>
        <v>0.22988311135951434</v>
      </c>
      <c r="AB89" s="63">
        <f>Scale!C89</f>
        <v>0</v>
      </c>
    </row>
    <row r="90" spans="1:28" x14ac:dyDescent="0.25">
      <c r="A90" s="65">
        <f t="shared" si="38"/>
        <v>43079</v>
      </c>
      <c r="B90" s="66">
        <f t="shared" si="39"/>
        <v>88</v>
      </c>
      <c r="C90" s="67">
        <f t="shared" si="40"/>
        <v>174.88218488710282</v>
      </c>
      <c r="D90" s="75">
        <f t="shared" si="41"/>
        <v>149.15752316754944</v>
      </c>
      <c r="E90" s="76">
        <f t="shared" si="30"/>
        <v>25.724661719553382</v>
      </c>
      <c r="F90" s="77"/>
      <c r="G90" s="78">
        <f>C90*TDEE!$B$5</f>
        <v>2176.0595426806235</v>
      </c>
      <c r="H90" s="67">
        <f t="shared" si="42"/>
        <v>797.4645133061548</v>
      </c>
      <c r="I90" s="67">
        <f t="shared" si="43"/>
        <v>1378.5950293744686</v>
      </c>
      <c r="J90" s="58">
        <f t="shared" si="31"/>
        <v>0.22784700380175851</v>
      </c>
      <c r="K90" s="75">
        <f t="shared" si="32"/>
        <v>89.476772804256697</v>
      </c>
      <c r="L90" s="75">
        <v>24</v>
      </c>
      <c r="M90" s="54">
        <f>Protein_Amt!$B$6</f>
        <v>119.32601853403956</v>
      </c>
      <c r="N90" s="67">
        <f t="shared" si="33"/>
        <v>805.29095523831029</v>
      </c>
      <c r="O90" s="75">
        <f t="shared" si="34"/>
        <v>96</v>
      </c>
      <c r="P90" s="75">
        <f t="shared" si="35"/>
        <v>477.30407413615825</v>
      </c>
      <c r="Q90" s="68">
        <f t="shared" si="36"/>
        <v>1378.5950293744686</v>
      </c>
      <c r="S90" s="70">
        <f>VLOOKUP($A90,FoodLog!$A$1:$Z$10009,12,0)</f>
        <v>0</v>
      </c>
      <c r="T90" s="70">
        <f>VLOOKUP($A90,FoodLog!$A$1:$Z$10009,13,0)</f>
        <v>0</v>
      </c>
      <c r="U90" s="70">
        <f>VLOOKUP($A90,FoodLog!$A$1:$Z$10009,14,0)</f>
        <v>0</v>
      </c>
      <c r="V90" s="70">
        <f>VLOOKUP($A90,FoodLog!$A$1:$Z$10009,15,0)</f>
        <v>0</v>
      </c>
      <c r="W90" s="70">
        <f>VLOOKUP($A90,FoodLog!$A$1:$Z$10009,16,0)</f>
        <v>805.29095523831029</v>
      </c>
      <c r="X90" s="70">
        <f>VLOOKUP($A90,FoodLog!$A$1:$Z$10009,17,0)</f>
        <v>96</v>
      </c>
      <c r="Y90" s="70">
        <f>VLOOKUP($A90,FoodLog!$A$1:$Z$10009,18,0)</f>
        <v>477.30407413615825</v>
      </c>
      <c r="Z90" s="70">
        <f>VLOOKUP($A90,FoodLog!$A$1:$Z$10009,19,0)</f>
        <v>1378.5950293744686</v>
      </c>
      <c r="AA90" s="62">
        <f t="shared" si="37"/>
        <v>0.22784700380175851</v>
      </c>
      <c r="AB90" s="63">
        <f>Scale!C90</f>
        <v>0</v>
      </c>
    </row>
    <row r="91" spans="1:28" x14ac:dyDescent="0.25">
      <c r="A91" s="65">
        <f t="shared" si="38"/>
        <v>43080</v>
      </c>
      <c r="B91" s="66">
        <f t="shared" si="39"/>
        <v>89</v>
      </c>
      <c r="C91" s="67">
        <f t="shared" si="40"/>
        <v>174.65433788330105</v>
      </c>
      <c r="D91" s="75">
        <f t="shared" si="41"/>
        <v>149.15752316754944</v>
      </c>
      <c r="E91" s="76">
        <f t="shared" si="30"/>
        <v>25.496814715751611</v>
      </c>
      <c r="F91" s="77"/>
      <c r="G91" s="78">
        <f>C91*TDEE!$B$5</f>
        <v>2173.2244417398724</v>
      </c>
      <c r="H91" s="67">
        <f t="shared" si="42"/>
        <v>790.40125618829995</v>
      </c>
      <c r="I91" s="67">
        <f t="shared" si="43"/>
        <v>1382.8231855515724</v>
      </c>
      <c r="J91" s="58">
        <f t="shared" si="31"/>
        <v>0.22582893033951426</v>
      </c>
      <c r="K91" s="75">
        <f t="shared" si="32"/>
        <v>89.502123490601562</v>
      </c>
      <c r="L91" s="75">
        <v>25</v>
      </c>
      <c r="M91" s="54">
        <f>Protein_Amt!$B$6</f>
        <v>119.32601853403956</v>
      </c>
      <c r="N91" s="67">
        <f t="shared" si="33"/>
        <v>805.51911141541405</v>
      </c>
      <c r="O91" s="75">
        <f t="shared" si="34"/>
        <v>100</v>
      </c>
      <c r="P91" s="75">
        <f t="shared" si="35"/>
        <v>477.30407413615825</v>
      </c>
      <c r="Q91" s="68">
        <f t="shared" si="36"/>
        <v>1382.8231855515724</v>
      </c>
      <c r="S91" s="70">
        <f>VLOOKUP($A91,FoodLog!$A$1:$Z$10009,12,0)</f>
        <v>0</v>
      </c>
      <c r="T91" s="70">
        <f>VLOOKUP($A91,FoodLog!$A$1:$Z$10009,13,0)</f>
        <v>0</v>
      </c>
      <c r="U91" s="70">
        <f>VLOOKUP($A91,FoodLog!$A$1:$Z$10009,14,0)</f>
        <v>0</v>
      </c>
      <c r="V91" s="70">
        <f>VLOOKUP($A91,FoodLog!$A$1:$Z$10009,15,0)</f>
        <v>0</v>
      </c>
      <c r="W91" s="70">
        <f>VLOOKUP($A91,FoodLog!$A$1:$Z$10009,16,0)</f>
        <v>805.51911141541405</v>
      </c>
      <c r="X91" s="70">
        <f>VLOOKUP($A91,FoodLog!$A$1:$Z$10009,17,0)</f>
        <v>100</v>
      </c>
      <c r="Y91" s="70">
        <f>VLOOKUP($A91,FoodLog!$A$1:$Z$10009,18,0)</f>
        <v>477.30407413615825</v>
      </c>
      <c r="Z91" s="70">
        <f>VLOOKUP($A91,FoodLog!$A$1:$Z$10009,19,0)</f>
        <v>1382.8231855515724</v>
      </c>
      <c r="AA91" s="62">
        <f t="shared" si="37"/>
        <v>0.22582893033951426</v>
      </c>
      <c r="AB91" s="63">
        <f>Scale!C91</f>
        <v>0</v>
      </c>
    </row>
    <row r="92" spans="1:28" x14ac:dyDescent="0.25">
      <c r="A92" s="65">
        <f t="shared" si="38"/>
        <v>43081</v>
      </c>
      <c r="B92" s="66">
        <f t="shared" si="39"/>
        <v>90</v>
      </c>
      <c r="C92" s="67">
        <f t="shared" si="40"/>
        <v>174.42850895296155</v>
      </c>
      <c r="D92" s="75">
        <f t="shared" si="41"/>
        <v>149.15752316754944</v>
      </c>
      <c r="E92" s="76">
        <f t="shared" si="30"/>
        <v>25.270985785412108</v>
      </c>
      <c r="F92" s="77"/>
      <c r="G92" s="78">
        <f>C92*TDEE!$B$5</f>
        <v>2170.4144516931683</v>
      </c>
      <c r="H92" s="67">
        <f t="shared" si="42"/>
        <v>783.40055934777536</v>
      </c>
      <c r="I92" s="67">
        <f t="shared" si="43"/>
        <v>1387.0138923453928</v>
      </c>
      <c r="J92" s="58">
        <f t="shared" si="31"/>
        <v>0.22382873124222152</v>
      </c>
      <c r="K92" s="75">
        <f t="shared" si="32"/>
        <v>89.523313134359398</v>
      </c>
      <c r="L92" s="75">
        <v>26</v>
      </c>
      <c r="M92" s="54">
        <f>Protein_Amt!$B$6</f>
        <v>119.32601853403956</v>
      </c>
      <c r="N92" s="67">
        <f t="shared" si="33"/>
        <v>805.70981820923453</v>
      </c>
      <c r="O92" s="75">
        <f t="shared" si="34"/>
        <v>104</v>
      </c>
      <c r="P92" s="75">
        <f t="shared" si="35"/>
        <v>477.30407413615825</v>
      </c>
      <c r="Q92" s="68">
        <f t="shared" si="36"/>
        <v>1387.0138923453928</v>
      </c>
      <c r="S92" s="70">
        <f>VLOOKUP($A92,FoodLog!$A$1:$Z$10009,12,0)</f>
        <v>0</v>
      </c>
      <c r="T92" s="70">
        <f>VLOOKUP($A92,FoodLog!$A$1:$Z$10009,13,0)</f>
        <v>0</v>
      </c>
      <c r="U92" s="70">
        <f>VLOOKUP($A92,FoodLog!$A$1:$Z$10009,14,0)</f>
        <v>0</v>
      </c>
      <c r="V92" s="70">
        <f>VLOOKUP($A92,FoodLog!$A$1:$Z$10009,15,0)</f>
        <v>0</v>
      </c>
      <c r="W92" s="70">
        <f>VLOOKUP($A92,FoodLog!$A$1:$Z$10009,16,0)</f>
        <v>805.70981820923453</v>
      </c>
      <c r="X92" s="70">
        <f>VLOOKUP($A92,FoodLog!$A$1:$Z$10009,17,0)</f>
        <v>104</v>
      </c>
      <c r="Y92" s="70">
        <f>VLOOKUP($A92,FoodLog!$A$1:$Z$10009,18,0)</f>
        <v>477.30407413615825</v>
      </c>
      <c r="Z92" s="70">
        <f>VLOOKUP($A92,FoodLog!$A$1:$Z$10009,19,0)</f>
        <v>1387.0138923453928</v>
      </c>
      <c r="AA92" s="62">
        <f t="shared" si="37"/>
        <v>0.22382873124222152</v>
      </c>
      <c r="AB92" s="63">
        <f>Scale!C92</f>
        <v>0</v>
      </c>
    </row>
    <row r="93" spans="1:28" x14ac:dyDescent="0.25">
      <c r="A93" s="65">
        <f t="shared" si="38"/>
        <v>43082</v>
      </c>
      <c r="B93" s="66">
        <f t="shared" si="39"/>
        <v>91</v>
      </c>
      <c r="C93" s="67">
        <f t="shared" si="40"/>
        <v>174.20468022171934</v>
      </c>
      <c r="D93" s="75">
        <f t="shared" si="41"/>
        <v>149.15752316754944</v>
      </c>
      <c r="E93" s="76">
        <f t="shared" si="30"/>
        <v>25.047157054169901</v>
      </c>
      <c r="F93" s="77"/>
      <c r="G93" s="78">
        <f>C93*TDEE!$B$5</f>
        <v>2167.629350129735</v>
      </c>
      <c r="H93" s="67">
        <f t="shared" si="42"/>
        <v>776.4618686792669</v>
      </c>
      <c r="I93" s="67">
        <f t="shared" si="43"/>
        <v>1391.1674814504681</v>
      </c>
      <c r="J93" s="58">
        <f t="shared" si="31"/>
        <v>0.22184624819407625</v>
      </c>
      <c r="K93" s="75">
        <f t="shared" si="32"/>
        <v>89.540378590478866</v>
      </c>
      <c r="L93" s="75">
        <v>27</v>
      </c>
      <c r="M93" s="54">
        <f>Protein_Amt!$B$6</f>
        <v>119.32601853403956</v>
      </c>
      <c r="N93" s="67">
        <f t="shared" si="33"/>
        <v>805.86340731430982</v>
      </c>
      <c r="O93" s="75">
        <f t="shared" si="34"/>
        <v>108</v>
      </c>
      <c r="P93" s="75">
        <f t="shared" si="35"/>
        <v>477.30407413615825</v>
      </c>
      <c r="Q93" s="68">
        <f t="shared" si="36"/>
        <v>1391.1674814504681</v>
      </c>
      <c r="S93" s="70">
        <f>VLOOKUP($A93,FoodLog!$A$1:$Z$10009,12,0)</f>
        <v>0</v>
      </c>
      <c r="T93" s="70">
        <f>VLOOKUP($A93,FoodLog!$A$1:$Z$10009,13,0)</f>
        <v>0</v>
      </c>
      <c r="U93" s="70">
        <f>VLOOKUP($A93,FoodLog!$A$1:$Z$10009,14,0)</f>
        <v>0</v>
      </c>
      <c r="V93" s="70">
        <f>VLOOKUP($A93,FoodLog!$A$1:$Z$10009,15,0)</f>
        <v>0</v>
      </c>
      <c r="W93" s="70">
        <f>VLOOKUP($A93,FoodLog!$A$1:$Z$10009,16,0)</f>
        <v>805.86340731430982</v>
      </c>
      <c r="X93" s="70">
        <f>VLOOKUP($A93,FoodLog!$A$1:$Z$10009,17,0)</f>
        <v>108</v>
      </c>
      <c r="Y93" s="70">
        <f>VLOOKUP($A93,FoodLog!$A$1:$Z$10009,18,0)</f>
        <v>477.30407413615825</v>
      </c>
      <c r="Z93" s="70">
        <f>VLOOKUP($A93,FoodLog!$A$1:$Z$10009,19,0)</f>
        <v>1391.1674814504681</v>
      </c>
      <c r="AA93" s="62">
        <f t="shared" si="37"/>
        <v>0.22184624819407625</v>
      </c>
      <c r="AB93" s="63">
        <f>Scale!C93</f>
        <v>0</v>
      </c>
    </row>
    <row r="94" spans="1:28" x14ac:dyDescent="0.25">
      <c r="A94" s="65">
        <f t="shared" si="38"/>
        <v>43083</v>
      </c>
      <c r="B94" s="66">
        <f t="shared" si="39"/>
        <v>92</v>
      </c>
      <c r="C94" s="67">
        <f t="shared" si="40"/>
        <v>173.98283397352526</v>
      </c>
      <c r="D94" s="75">
        <f t="shared" si="41"/>
        <v>149.15752316754944</v>
      </c>
      <c r="E94" s="76">
        <f t="shared" si="30"/>
        <v>24.825310805975818</v>
      </c>
      <c r="F94" s="77"/>
      <c r="G94" s="78">
        <f>C94*TDEE!$B$5</f>
        <v>2164.8689166087206</v>
      </c>
      <c r="H94" s="67">
        <f t="shared" si="42"/>
        <v>769.58463498525032</v>
      </c>
      <c r="I94" s="67">
        <f t="shared" si="43"/>
        <v>1395.2842816234702</v>
      </c>
      <c r="J94" s="58">
        <f t="shared" si="31"/>
        <v>0.21988132428150009</v>
      </c>
      <c r="K94" s="75">
        <f t="shared" si="32"/>
        <v>89.553356387479099</v>
      </c>
      <c r="L94" s="75">
        <v>28</v>
      </c>
      <c r="M94" s="54">
        <f>Protein_Amt!$B$6</f>
        <v>119.32601853403956</v>
      </c>
      <c r="N94" s="67">
        <f t="shared" si="33"/>
        <v>805.98020748731187</v>
      </c>
      <c r="O94" s="75">
        <f t="shared" si="34"/>
        <v>112</v>
      </c>
      <c r="P94" s="75">
        <f t="shared" si="35"/>
        <v>477.30407413615825</v>
      </c>
      <c r="Q94" s="68">
        <f t="shared" si="36"/>
        <v>1395.2842816234702</v>
      </c>
      <c r="S94" s="70">
        <f>VLOOKUP($A94,FoodLog!$A$1:$Z$10009,12,0)</f>
        <v>0</v>
      </c>
      <c r="T94" s="70">
        <f>VLOOKUP($A94,FoodLog!$A$1:$Z$10009,13,0)</f>
        <v>0</v>
      </c>
      <c r="U94" s="70">
        <f>VLOOKUP($A94,FoodLog!$A$1:$Z$10009,14,0)</f>
        <v>0</v>
      </c>
      <c r="V94" s="70">
        <f>VLOOKUP($A94,FoodLog!$A$1:$Z$10009,15,0)</f>
        <v>0</v>
      </c>
      <c r="W94" s="70">
        <f>VLOOKUP($A94,FoodLog!$A$1:$Z$10009,16,0)</f>
        <v>805.98020748731187</v>
      </c>
      <c r="X94" s="70">
        <f>VLOOKUP($A94,FoodLog!$A$1:$Z$10009,17,0)</f>
        <v>112</v>
      </c>
      <c r="Y94" s="70">
        <f>VLOOKUP($A94,FoodLog!$A$1:$Z$10009,18,0)</f>
        <v>477.30407413615825</v>
      </c>
      <c r="Z94" s="70">
        <f>VLOOKUP($A94,FoodLog!$A$1:$Z$10009,19,0)</f>
        <v>1395.2842816234702</v>
      </c>
      <c r="AA94" s="62">
        <f t="shared" si="37"/>
        <v>0.21988132428150009</v>
      </c>
      <c r="AB94" s="63">
        <f>Scale!C94</f>
        <v>0</v>
      </c>
    </row>
    <row r="95" spans="1:28" x14ac:dyDescent="0.25">
      <c r="A95" s="65">
        <f t="shared" si="38"/>
        <v>43084</v>
      </c>
      <c r="B95" s="66">
        <f t="shared" si="39"/>
        <v>93</v>
      </c>
      <c r="C95" s="67">
        <f t="shared" si="40"/>
        <v>173.76295264924377</v>
      </c>
      <c r="D95" s="75">
        <f t="shared" si="41"/>
        <v>149.15752316754944</v>
      </c>
      <c r="E95" s="76">
        <f t="shared" si="30"/>
        <v>24.60542948169433</v>
      </c>
      <c r="F95" s="77"/>
      <c r="G95" s="78">
        <f>C95*TDEE!$B$5</f>
        <v>2162.1329326417494</v>
      </c>
      <c r="H95" s="67">
        <f t="shared" si="42"/>
        <v>762.76831393252428</v>
      </c>
      <c r="I95" s="67">
        <f t="shared" si="43"/>
        <v>1399.3646187092252</v>
      </c>
      <c r="J95" s="58">
        <f t="shared" si="31"/>
        <v>0.21793380398072124</v>
      </c>
      <c r="K95" s="75">
        <f t="shared" si="32"/>
        <v>89.562282730340769</v>
      </c>
      <c r="L95" s="75">
        <v>29</v>
      </c>
      <c r="M95" s="54">
        <f>Protein_Amt!$B$6</f>
        <v>119.32601853403956</v>
      </c>
      <c r="N95" s="67">
        <f t="shared" si="33"/>
        <v>806.06054457306686</v>
      </c>
      <c r="O95" s="75">
        <f t="shared" si="34"/>
        <v>116</v>
      </c>
      <c r="P95" s="75">
        <f t="shared" si="35"/>
        <v>477.30407413615825</v>
      </c>
      <c r="Q95" s="68">
        <f t="shared" si="36"/>
        <v>1399.3646187092252</v>
      </c>
      <c r="S95" s="70">
        <f>VLOOKUP($A95,FoodLog!$A$1:$Z$10009,12,0)</f>
        <v>0</v>
      </c>
      <c r="T95" s="70">
        <f>VLOOKUP($A95,FoodLog!$A$1:$Z$10009,13,0)</f>
        <v>0</v>
      </c>
      <c r="U95" s="70">
        <f>VLOOKUP($A95,FoodLog!$A$1:$Z$10009,14,0)</f>
        <v>0</v>
      </c>
      <c r="V95" s="70">
        <f>VLOOKUP($A95,FoodLog!$A$1:$Z$10009,15,0)</f>
        <v>0</v>
      </c>
      <c r="W95" s="70">
        <f>VLOOKUP($A95,FoodLog!$A$1:$Z$10009,16,0)</f>
        <v>806.06054457306686</v>
      </c>
      <c r="X95" s="70">
        <f>VLOOKUP($A95,FoodLog!$A$1:$Z$10009,17,0)</f>
        <v>116</v>
      </c>
      <c r="Y95" s="70">
        <f>VLOOKUP($A95,FoodLog!$A$1:$Z$10009,18,0)</f>
        <v>477.30407413615825</v>
      </c>
      <c r="Z95" s="70">
        <f>VLOOKUP($A95,FoodLog!$A$1:$Z$10009,19,0)</f>
        <v>1399.3646187092252</v>
      </c>
      <c r="AA95" s="62">
        <f t="shared" si="37"/>
        <v>0.21793380398072124</v>
      </c>
      <c r="AB95" s="63">
        <f>Scale!C95</f>
        <v>0</v>
      </c>
    </row>
    <row r="96" spans="1:28" x14ac:dyDescent="0.25">
      <c r="A96" s="65">
        <f t="shared" si="38"/>
        <v>43085</v>
      </c>
      <c r="B96" s="66">
        <f t="shared" si="39"/>
        <v>94</v>
      </c>
      <c r="C96" s="67">
        <f t="shared" si="40"/>
        <v>173.54501884526306</v>
      </c>
      <c r="D96" s="75">
        <f t="shared" si="41"/>
        <v>149.15752316754944</v>
      </c>
      <c r="E96" s="76">
        <f t="shared" si="30"/>
        <v>24.387495677713616</v>
      </c>
      <c r="F96" s="77"/>
      <c r="G96" s="78">
        <f>C96*TDEE!$B$5</f>
        <v>2159.4211816756283</v>
      </c>
      <c r="H96" s="67">
        <f t="shared" si="42"/>
        <v>756.01236600912216</v>
      </c>
      <c r="I96" s="67">
        <f t="shared" si="43"/>
        <v>1403.4088156665061</v>
      </c>
      <c r="J96" s="58">
        <f t="shared" si="31"/>
        <v>0.21600353314546347</v>
      </c>
      <c r="K96" s="75">
        <f t="shared" si="32"/>
        <v>90.011637947816425</v>
      </c>
      <c r="L96" s="75">
        <v>29</v>
      </c>
      <c r="M96" s="54">
        <f>Protein_Amt!$B$6</f>
        <v>119.32601853403956</v>
      </c>
      <c r="N96" s="67">
        <f t="shared" si="33"/>
        <v>810.10474153034784</v>
      </c>
      <c r="O96" s="75">
        <f t="shared" si="34"/>
        <v>116</v>
      </c>
      <c r="P96" s="75">
        <f t="shared" si="35"/>
        <v>477.30407413615825</v>
      </c>
      <c r="Q96" s="68">
        <f t="shared" si="36"/>
        <v>1403.4088156665061</v>
      </c>
      <c r="S96" s="70">
        <f>VLOOKUP($A96,FoodLog!$A$1:$Z$10009,12,0)</f>
        <v>0</v>
      </c>
      <c r="T96" s="70">
        <f>VLOOKUP($A96,FoodLog!$A$1:$Z$10009,13,0)</f>
        <v>0</v>
      </c>
      <c r="U96" s="70">
        <f>VLOOKUP($A96,FoodLog!$A$1:$Z$10009,14,0)</f>
        <v>0</v>
      </c>
      <c r="V96" s="70">
        <f>VLOOKUP($A96,FoodLog!$A$1:$Z$10009,15,0)</f>
        <v>0</v>
      </c>
      <c r="W96" s="70">
        <f>VLOOKUP($A96,FoodLog!$A$1:$Z$10009,16,0)</f>
        <v>810.10474153034784</v>
      </c>
      <c r="X96" s="70">
        <f>VLOOKUP($A96,FoodLog!$A$1:$Z$10009,17,0)</f>
        <v>116</v>
      </c>
      <c r="Y96" s="70">
        <f>VLOOKUP($A96,FoodLog!$A$1:$Z$10009,18,0)</f>
        <v>477.30407413615825</v>
      </c>
      <c r="Z96" s="70">
        <f>VLOOKUP($A96,FoodLog!$A$1:$Z$10009,19,0)</f>
        <v>1403.4088156665061</v>
      </c>
      <c r="AA96" s="62">
        <f t="shared" si="37"/>
        <v>0.21600353314546347</v>
      </c>
      <c r="AB96" s="63">
        <f>Scale!C96</f>
        <v>0</v>
      </c>
    </row>
    <row r="97" spans="1:28" x14ac:dyDescent="0.25">
      <c r="A97" s="65">
        <f t="shared" si="38"/>
        <v>43086</v>
      </c>
      <c r="B97" s="66">
        <f t="shared" si="39"/>
        <v>95</v>
      </c>
      <c r="C97" s="67">
        <f t="shared" si="40"/>
        <v>173.3290153121176</v>
      </c>
      <c r="D97" s="75">
        <f t="shared" si="41"/>
        <v>149.15752316754944</v>
      </c>
      <c r="E97" s="76">
        <f t="shared" si="30"/>
        <v>24.171492144568163</v>
      </c>
      <c r="F97" s="77"/>
      <c r="G97" s="78">
        <f>C97*TDEE!$B$5</f>
        <v>2156.7334490752078</v>
      </c>
      <c r="H97" s="67">
        <f t="shared" si="42"/>
        <v>749.31625648161298</v>
      </c>
      <c r="I97" s="67">
        <f t="shared" si="43"/>
        <v>1407.4171925935948</v>
      </c>
      <c r="J97" s="58">
        <f t="shared" si="31"/>
        <v>0.21409035899474657</v>
      </c>
      <c r="K97" s="75">
        <f t="shared" si="32"/>
        <v>90.457013161937383</v>
      </c>
      <c r="L97" s="75">
        <v>29</v>
      </c>
      <c r="M97" s="54">
        <f>Protein_Amt!$B$6</f>
        <v>119.32601853403956</v>
      </c>
      <c r="N97" s="67">
        <f t="shared" si="33"/>
        <v>814.11311845743649</v>
      </c>
      <c r="O97" s="75">
        <f t="shared" si="34"/>
        <v>116</v>
      </c>
      <c r="P97" s="75">
        <f t="shared" si="35"/>
        <v>477.30407413615825</v>
      </c>
      <c r="Q97" s="68">
        <f t="shared" si="36"/>
        <v>1407.4171925935948</v>
      </c>
      <c r="S97" s="70">
        <f>VLOOKUP($A97,FoodLog!$A$1:$Z$10009,12,0)</f>
        <v>0</v>
      </c>
      <c r="T97" s="70">
        <f>VLOOKUP($A97,FoodLog!$A$1:$Z$10009,13,0)</f>
        <v>0</v>
      </c>
      <c r="U97" s="70">
        <f>VLOOKUP($A97,FoodLog!$A$1:$Z$10009,14,0)</f>
        <v>0</v>
      </c>
      <c r="V97" s="70">
        <f>VLOOKUP($A97,FoodLog!$A$1:$Z$10009,15,0)</f>
        <v>0</v>
      </c>
      <c r="W97" s="70">
        <f>VLOOKUP($A97,FoodLog!$A$1:$Z$10009,16,0)</f>
        <v>814.11311845743649</v>
      </c>
      <c r="X97" s="70">
        <f>VLOOKUP($A97,FoodLog!$A$1:$Z$10009,17,0)</f>
        <v>116</v>
      </c>
      <c r="Y97" s="70">
        <f>VLOOKUP($A97,FoodLog!$A$1:$Z$10009,18,0)</f>
        <v>477.30407413615825</v>
      </c>
      <c r="Z97" s="70">
        <f>VLOOKUP($A97,FoodLog!$A$1:$Z$10009,19,0)</f>
        <v>1407.4171925935948</v>
      </c>
      <c r="AA97" s="62">
        <f t="shared" si="37"/>
        <v>0.21409035899474657</v>
      </c>
      <c r="AB97" s="63">
        <f>Scale!C97</f>
        <v>0</v>
      </c>
    </row>
    <row r="98" spans="1:28" x14ac:dyDescent="0.25">
      <c r="A98" s="65">
        <f t="shared" si="38"/>
        <v>43087</v>
      </c>
      <c r="B98" s="66">
        <f t="shared" si="39"/>
        <v>96</v>
      </c>
      <c r="C98" s="67">
        <f t="shared" si="40"/>
        <v>173.11492495312285</v>
      </c>
      <c r="D98" s="75">
        <f t="shared" si="41"/>
        <v>149.15752316754944</v>
      </c>
      <c r="E98" s="76">
        <f t="shared" si="30"/>
        <v>23.95740178557341</v>
      </c>
      <c r="F98" s="77"/>
      <c r="G98" s="78">
        <f>C98*TDEE!$B$5</f>
        <v>2154.0695221063902</v>
      </c>
      <c r="H98" s="67">
        <f t="shared" si="42"/>
        <v>742.67945535277568</v>
      </c>
      <c r="I98" s="67">
        <f t="shared" si="43"/>
        <v>1411.3900667536145</v>
      </c>
      <c r="J98" s="58">
        <f t="shared" si="31"/>
        <v>0.21219413010079305</v>
      </c>
      <c r="K98" s="75">
        <f t="shared" si="32"/>
        <v>90.8984436241618</v>
      </c>
      <c r="L98" s="75">
        <v>29</v>
      </c>
      <c r="M98" s="54">
        <f>Protein_Amt!$B$6</f>
        <v>119.32601853403956</v>
      </c>
      <c r="N98" s="67">
        <f t="shared" si="33"/>
        <v>818.08599261745621</v>
      </c>
      <c r="O98" s="75">
        <f t="shared" si="34"/>
        <v>116</v>
      </c>
      <c r="P98" s="75">
        <f t="shared" si="35"/>
        <v>477.30407413615825</v>
      </c>
      <c r="Q98" s="68">
        <f t="shared" si="36"/>
        <v>1411.3900667536145</v>
      </c>
      <c r="S98" s="70">
        <f>VLOOKUP($A98,FoodLog!$A$1:$Z$10009,12,0)</f>
        <v>0</v>
      </c>
      <c r="T98" s="70">
        <f>VLOOKUP($A98,FoodLog!$A$1:$Z$10009,13,0)</f>
        <v>0</v>
      </c>
      <c r="U98" s="70">
        <f>VLOOKUP($A98,FoodLog!$A$1:$Z$10009,14,0)</f>
        <v>0</v>
      </c>
      <c r="V98" s="70">
        <f>VLOOKUP($A98,FoodLog!$A$1:$Z$10009,15,0)</f>
        <v>0</v>
      </c>
      <c r="W98" s="70">
        <f>VLOOKUP($A98,FoodLog!$A$1:$Z$10009,16,0)</f>
        <v>818.08599261745621</v>
      </c>
      <c r="X98" s="70">
        <f>VLOOKUP($A98,FoodLog!$A$1:$Z$10009,17,0)</f>
        <v>116</v>
      </c>
      <c r="Y98" s="70">
        <f>VLOOKUP($A98,FoodLog!$A$1:$Z$10009,18,0)</f>
        <v>477.30407413615825</v>
      </c>
      <c r="Z98" s="70">
        <f>VLOOKUP($A98,FoodLog!$A$1:$Z$10009,19,0)</f>
        <v>1411.3900667536145</v>
      </c>
      <c r="AA98" s="62">
        <f t="shared" si="37"/>
        <v>0.21219413010079305</v>
      </c>
      <c r="AB98" s="63">
        <f>Scale!C98</f>
        <v>0</v>
      </c>
    </row>
    <row r="99" spans="1:28" x14ac:dyDescent="0.25">
      <c r="A99" s="65">
        <f t="shared" si="38"/>
        <v>43088</v>
      </c>
      <c r="B99" s="66">
        <f t="shared" si="39"/>
        <v>97</v>
      </c>
      <c r="C99" s="67">
        <f t="shared" si="40"/>
        <v>172.90273082302207</v>
      </c>
      <c r="D99" s="75">
        <f t="shared" si="41"/>
        <v>149.15752316754944</v>
      </c>
      <c r="E99" s="76">
        <f t="shared" ref="E99:E111" si="44">C99-D99</f>
        <v>23.745207655472626</v>
      </c>
      <c r="F99" s="77"/>
      <c r="G99" s="78">
        <f>C99*TDEE!$B$5</f>
        <v>2151.4291899192972</v>
      </c>
      <c r="H99" s="67">
        <f t="shared" si="42"/>
        <v>736.10143731965138</v>
      </c>
      <c r="I99" s="67">
        <f t="shared" si="43"/>
        <v>1415.3277525996459</v>
      </c>
      <c r="J99" s="58">
        <f t="shared" ref="J99:J111" si="45">H99/3500</f>
        <v>0.21031469637704325</v>
      </c>
      <c r="K99" s="75">
        <f t="shared" ref="K99:K111" si="46">N99/9</f>
        <v>91.335964273720847</v>
      </c>
      <c r="L99" s="75">
        <v>29</v>
      </c>
      <c r="M99" s="54">
        <f>Protein_Amt!$B$6</f>
        <v>119.32601853403956</v>
      </c>
      <c r="N99" s="67">
        <f t="shared" ref="N99:N111" si="47">MAX(0,I99-(O99+P99))</f>
        <v>822.02367846348761</v>
      </c>
      <c r="O99" s="75">
        <f t="shared" ref="O99:O111" si="48">4*L99</f>
        <v>116</v>
      </c>
      <c r="P99" s="75">
        <f t="shared" ref="P99:P111" si="49">4*M99</f>
        <v>477.30407413615825</v>
      </c>
      <c r="Q99" s="68">
        <f t="shared" ref="Q99:Q111" si="50">SUM(N99:P99)</f>
        <v>1415.3277525996459</v>
      </c>
      <c r="S99" s="70">
        <f>VLOOKUP($A99,FoodLog!$A$1:$Z$10009,12,0)</f>
        <v>0</v>
      </c>
      <c r="T99" s="70">
        <f>VLOOKUP($A99,FoodLog!$A$1:$Z$10009,13,0)</f>
        <v>0</v>
      </c>
      <c r="U99" s="70">
        <f>VLOOKUP($A99,FoodLog!$A$1:$Z$10009,14,0)</f>
        <v>0</v>
      </c>
      <c r="V99" s="70">
        <f>VLOOKUP($A99,FoodLog!$A$1:$Z$10009,15,0)</f>
        <v>0</v>
      </c>
      <c r="W99" s="70">
        <f>VLOOKUP($A99,FoodLog!$A$1:$Z$10009,16,0)</f>
        <v>822.02367846348761</v>
      </c>
      <c r="X99" s="70">
        <f>VLOOKUP($A99,FoodLog!$A$1:$Z$10009,17,0)</f>
        <v>116</v>
      </c>
      <c r="Y99" s="70">
        <f>VLOOKUP($A99,FoodLog!$A$1:$Z$10009,18,0)</f>
        <v>477.30407413615825</v>
      </c>
      <c r="Z99" s="70">
        <f>VLOOKUP($A99,FoodLog!$A$1:$Z$10009,19,0)</f>
        <v>1415.3277525996459</v>
      </c>
      <c r="AA99" s="62">
        <f t="shared" ref="AA99:AA111" si="51">MIN($H99,($H99+Z99))/3500</f>
        <v>0.21031469637704325</v>
      </c>
      <c r="AB99" s="63">
        <f>Scale!C99</f>
        <v>0</v>
      </c>
    </row>
    <row r="100" spans="1:28" x14ac:dyDescent="0.25">
      <c r="A100" s="65">
        <f t="shared" ref="A100:A111" si="52">A99+1</f>
        <v>43089</v>
      </c>
      <c r="B100" s="66">
        <f t="shared" ref="B100:B111" si="53">B99+1</f>
        <v>98</v>
      </c>
      <c r="C100" s="67">
        <f t="shared" ref="C100:C111" si="54">C99-AA99</f>
        <v>172.69241612664501</v>
      </c>
      <c r="D100" s="75">
        <f t="shared" ref="D100:D111" si="55">$D$3</f>
        <v>149.15752316754944</v>
      </c>
      <c r="E100" s="76">
        <f t="shared" si="44"/>
        <v>23.534892959095572</v>
      </c>
      <c r="F100" s="77"/>
      <c r="G100" s="78">
        <f>C100*TDEE!$B$5</f>
        <v>2148.8122435315749</v>
      </c>
      <c r="H100" s="67">
        <f t="shared" si="42"/>
        <v>729.5816817319627</v>
      </c>
      <c r="I100" s="67">
        <f t="shared" si="43"/>
        <v>1419.2305617996121</v>
      </c>
      <c r="J100" s="58">
        <f t="shared" si="45"/>
        <v>0.20845190906627506</v>
      </c>
      <c r="K100" s="75">
        <f t="shared" si="46"/>
        <v>91.769609740383757</v>
      </c>
      <c r="L100" s="75">
        <v>29</v>
      </c>
      <c r="M100" s="54">
        <f>Protein_Amt!$B$6</f>
        <v>119.32601853403956</v>
      </c>
      <c r="N100" s="67">
        <f t="shared" si="47"/>
        <v>825.92648766345383</v>
      </c>
      <c r="O100" s="75">
        <f t="shared" si="48"/>
        <v>116</v>
      </c>
      <c r="P100" s="75">
        <f t="shared" si="49"/>
        <v>477.30407413615825</v>
      </c>
      <c r="Q100" s="68">
        <f t="shared" si="50"/>
        <v>1419.2305617996121</v>
      </c>
      <c r="S100" s="70">
        <f>VLOOKUP($A100,FoodLog!$A$1:$Z$10009,12,0)</f>
        <v>0</v>
      </c>
      <c r="T100" s="70">
        <f>VLOOKUP($A100,FoodLog!$A$1:$Z$10009,13,0)</f>
        <v>0</v>
      </c>
      <c r="U100" s="70">
        <f>VLOOKUP($A100,FoodLog!$A$1:$Z$10009,14,0)</f>
        <v>0</v>
      </c>
      <c r="V100" s="70">
        <f>VLOOKUP($A100,FoodLog!$A$1:$Z$10009,15,0)</f>
        <v>0</v>
      </c>
      <c r="W100" s="70">
        <f>VLOOKUP($A100,FoodLog!$A$1:$Z$10009,16,0)</f>
        <v>825.92648766345383</v>
      </c>
      <c r="X100" s="70">
        <f>VLOOKUP($A100,FoodLog!$A$1:$Z$10009,17,0)</f>
        <v>116</v>
      </c>
      <c r="Y100" s="70">
        <f>VLOOKUP($A100,FoodLog!$A$1:$Z$10009,18,0)</f>
        <v>477.30407413615825</v>
      </c>
      <c r="Z100" s="70">
        <f>VLOOKUP($A100,FoodLog!$A$1:$Z$10009,19,0)</f>
        <v>1419.2305617996121</v>
      </c>
      <c r="AA100" s="62">
        <f t="shared" si="51"/>
        <v>0.20845190906627506</v>
      </c>
      <c r="AB100" s="63">
        <f>Scale!C100</f>
        <v>0</v>
      </c>
    </row>
    <row r="101" spans="1:28" x14ac:dyDescent="0.25">
      <c r="A101" s="65">
        <f t="shared" si="52"/>
        <v>43090</v>
      </c>
      <c r="B101" s="66">
        <f t="shared" si="53"/>
        <v>99</v>
      </c>
      <c r="C101" s="67">
        <f t="shared" si="54"/>
        <v>172.48396421757874</v>
      </c>
      <c r="D101" s="75">
        <f t="shared" si="55"/>
        <v>149.15752316754944</v>
      </c>
      <c r="E101" s="76">
        <f t="shared" si="44"/>
        <v>23.326441050029302</v>
      </c>
      <c r="F101" s="77"/>
      <c r="G101" s="78">
        <f>C101*TDEE!$B$5</f>
        <v>2146.2184758118583</v>
      </c>
      <c r="H101" s="67">
        <f t="shared" si="42"/>
        <v>723.11967255090838</v>
      </c>
      <c r="I101" s="67">
        <f t="shared" si="43"/>
        <v>1423.0988032609498</v>
      </c>
      <c r="J101" s="58">
        <f t="shared" si="45"/>
        <v>0.20660562072883096</v>
      </c>
      <c r="K101" s="75">
        <f t="shared" si="46"/>
        <v>92.199414347199053</v>
      </c>
      <c r="L101" s="75">
        <v>29</v>
      </c>
      <c r="M101" s="54">
        <f>Protein_Amt!$B$6</f>
        <v>119.32601853403956</v>
      </c>
      <c r="N101" s="67">
        <f t="shared" si="47"/>
        <v>829.7947291247915</v>
      </c>
      <c r="O101" s="75">
        <f t="shared" si="48"/>
        <v>116</v>
      </c>
      <c r="P101" s="75">
        <f t="shared" si="49"/>
        <v>477.30407413615825</v>
      </c>
      <c r="Q101" s="68">
        <f t="shared" si="50"/>
        <v>1423.0988032609498</v>
      </c>
      <c r="S101" s="70">
        <f>VLOOKUP($A101,FoodLog!$A$1:$Z$10009,12,0)</f>
        <v>0</v>
      </c>
      <c r="T101" s="70">
        <f>VLOOKUP($A101,FoodLog!$A$1:$Z$10009,13,0)</f>
        <v>0</v>
      </c>
      <c r="U101" s="70">
        <f>VLOOKUP($A101,FoodLog!$A$1:$Z$10009,14,0)</f>
        <v>0</v>
      </c>
      <c r="V101" s="70">
        <f>VLOOKUP($A101,FoodLog!$A$1:$Z$10009,15,0)</f>
        <v>0</v>
      </c>
      <c r="W101" s="70">
        <f>VLOOKUP($A101,FoodLog!$A$1:$Z$10009,16,0)</f>
        <v>829.7947291247915</v>
      </c>
      <c r="X101" s="70">
        <f>VLOOKUP($A101,FoodLog!$A$1:$Z$10009,17,0)</f>
        <v>116</v>
      </c>
      <c r="Y101" s="70">
        <f>VLOOKUP($A101,FoodLog!$A$1:$Z$10009,18,0)</f>
        <v>477.30407413615825</v>
      </c>
      <c r="Z101" s="70">
        <f>VLOOKUP($A101,FoodLog!$A$1:$Z$10009,19,0)</f>
        <v>1423.0988032609498</v>
      </c>
      <c r="AA101" s="62">
        <f t="shared" si="51"/>
        <v>0.20660562072883096</v>
      </c>
      <c r="AB101" s="63">
        <f>Scale!C101</f>
        <v>0</v>
      </c>
    </row>
    <row r="102" spans="1:28" x14ac:dyDescent="0.25">
      <c r="A102" s="65">
        <f t="shared" si="52"/>
        <v>43091</v>
      </c>
      <c r="B102" s="66">
        <f t="shared" si="53"/>
        <v>100</v>
      </c>
      <c r="C102" s="67">
        <f t="shared" si="54"/>
        <v>172.27735859684992</v>
      </c>
      <c r="D102" s="75">
        <f t="shared" si="55"/>
        <v>149.15752316754944</v>
      </c>
      <c r="E102" s="76">
        <f t="shared" si="44"/>
        <v>23.11983542930048</v>
      </c>
      <c r="F102" s="77"/>
      <c r="G102" s="78">
        <f>C102*TDEE!$B$5</f>
        <v>2143.6476814633738</v>
      </c>
      <c r="H102" s="67">
        <f t="shared" si="42"/>
        <v>716.7148983083149</v>
      </c>
      <c r="I102" s="67">
        <f t="shared" si="43"/>
        <v>1426.932783155059</v>
      </c>
      <c r="J102" s="58">
        <f t="shared" si="45"/>
        <v>0.20477568523094711</v>
      </c>
      <c r="K102" s="75">
        <f t="shared" si="46"/>
        <v>92.625412113211198</v>
      </c>
      <c r="L102" s="75">
        <v>29</v>
      </c>
      <c r="M102" s="54">
        <f>Protein_Amt!$B$6</f>
        <v>119.32601853403956</v>
      </c>
      <c r="N102" s="67">
        <f t="shared" si="47"/>
        <v>833.62870901890074</v>
      </c>
      <c r="O102" s="75">
        <f t="shared" si="48"/>
        <v>116</v>
      </c>
      <c r="P102" s="75">
        <f t="shared" si="49"/>
        <v>477.30407413615825</v>
      </c>
      <c r="Q102" s="68">
        <f t="shared" si="50"/>
        <v>1426.932783155059</v>
      </c>
      <c r="S102" s="70">
        <f>VLOOKUP($A102,FoodLog!$A$1:$Z$10009,12,0)</f>
        <v>0</v>
      </c>
      <c r="T102" s="70">
        <f>VLOOKUP($A102,FoodLog!$A$1:$Z$10009,13,0)</f>
        <v>0</v>
      </c>
      <c r="U102" s="70">
        <f>VLOOKUP($A102,FoodLog!$A$1:$Z$10009,14,0)</f>
        <v>0</v>
      </c>
      <c r="V102" s="70">
        <f>VLOOKUP($A102,FoodLog!$A$1:$Z$10009,15,0)</f>
        <v>0</v>
      </c>
      <c r="W102" s="70">
        <f>VLOOKUP($A102,FoodLog!$A$1:$Z$10009,16,0)</f>
        <v>833.62870901890074</v>
      </c>
      <c r="X102" s="70">
        <f>VLOOKUP($A102,FoodLog!$A$1:$Z$10009,17,0)</f>
        <v>116</v>
      </c>
      <c r="Y102" s="70">
        <f>VLOOKUP($A102,FoodLog!$A$1:$Z$10009,18,0)</f>
        <v>477.30407413615825</v>
      </c>
      <c r="Z102" s="70">
        <f>VLOOKUP($A102,FoodLog!$A$1:$Z$10009,19,0)</f>
        <v>1426.932783155059</v>
      </c>
      <c r="AA102" s="62">
        <f t="shared" si="51"/>
        <v>0.20477568523094711</v>
      </c>
      <c r="AB102" s="63">
        <f>Scale!C102</f>
        <v>0</v>
      </c>
    </row>
    <row r="103" spans="1:28" x14ac:dyDescent="0.25">
      <c r="A103" s="65">
        <f t="shared" si="52"/>
        <v>43092</v>
      </c>
      <c r="B103" s="66">
        <f t="shared" si="53"/>
        <v>101</v>
      </c>
      <c r="C103" s="67">
        <f t="shared" si="54"/>
        <v>172.07258291161898</v>
      </c>
      <c r="D103" s="75">
        <f t="shared" si="55"/>
        <v>149.15752316754944</v>
      </c>
      <c r="E103" s="76">
        <f t="shared" si="44"/>
        <v>22.915059744069538</v>
      </c>
      <c r="F103" s="77"/>
      <c r="G103" s="78">
        <f>C103*TDEE!$B$5</f>
        <v>2141.09965700769</v>
      </c>
      <c r="H103" s="67">
        <f t="shared" si="42"/>
        <v>710.36685206615562</v>
      </c>
      <c r="I103" s="67">
        <f t="shared" si="43"/>
        <v>1430.7328049415344</v>
      </c>
      <c r="J103" s="58">
        <f t="shared" si="45"/>
        <v>0.20296195773318731</v>
      </c>
      <c r="K103" s="75">
        <f t="shared" si="46"/>
        <v>93.047636756152897</v>
      </c>
      <c r="L103" s="75">
        <v>29</v>
      </c>
      <c r="M103" s="54">
        <f>Protein_Amt!$B$6</f>
        <v>119.32601853403956</v>
      </c>
      <c r="N103" s="67">
        <f t="shared" si="47"/>
        <v>837.42873080537606</v>
      </c>
      <c r="O103" s="75">
        <f t="shared" si="48"/>
        <v>116</v>
      </c>
      <c r="P103" s="75">
        <f t="shared" si="49"/>
        <v>477.30407413615825</v>
      </c>
      <c r="Q103" s="68">
        <f t="shared" si="50"/>
        <v>1430.7328049415344</v>
      </c>
      <c r="S103" s="70">
        <f>VLOOKUP($A103,FoodLog!$A$1:$Z$10009,12,0)</f>
        <v>0</v>
      </c>
      <c r="T103" s="70">
        <f>VLOOKUP($A103,FoodLog!$A$1:$Z$10009,13,0)</f>
        <v>0</v>
      </c>
      <c r="U103" s="70">
        <f>VLOOKUP($A103,FoodLog!$A$1:$Z$10009,14,0)</f>
        <v>0</v>
      </c>
      <c r="V103" s="70">
        <f>VLOOKUP($A103,FoodLog!$A$1:$Z$10009,15,0)</f>
        <v>0</v>
      </c>
      <c r="W103" s="70">
        <f>VLOOKUP($A103,FoodLog!$A$1:$Z$10009,16,0)</f>
        <v>837.42873080537606</v>
      </c>
      <c r="X103" s="70">
        <f>VLOOKUP($A103,FoodLog!$A$1:$Z$10009,17,0)</f>
        <v>116</v>
      </c>
      <c r="Y103" s="70">
        <f>VLOOKUP($A103,FoodLog!$A$1:$Z$10009,18,0)</f>
        <v>477.30407413615825</v>
      </c>
      <c r="Z103" s="70">
        <f>VLOOKUP($A103,FoodLog!$A$1:$Z$10009,19,0)</f>
        <v>1430.7328049415344</v>
      </c>
      <c r="AA103" s="62">
        <f t="shared" si="51"/>
        <v>0.20296195773318731</v>
      </c>
      <c r="AB103" s="63">
        <f>Scale!C103</f>
        <v>0</v>
      </c>
    </row>
    <row r="104" spans="1:28" x14ac:dyDescent="0.25">
      <c r="A104" s="65">
        <f t="shared" si="52"/>
        <v>43093</v>
      </c>
      <c r="B104" s="66">
        <f t="shared" si="53"/>
        <v>102</v>
      </c>
      <c r="C104" s="67">
        <f t="shared" si="54"/>
        <v>171.8696209538858</v>
      </c>
      <c r="D104" s="75">
        <f t="shared" si="55"/>
        <v>149.15752316754944</v>
      </c>
      <c r="E104" s="76">
        <f t="shared" si="44"/>
        <v>22.712097786336358</v>
      </c>
      <c r="F104" s="77"/>
      <c r="G104" s="78">
        <f>C104*TDEE!$B$5</f>
        <v>2138.5742007686135</v>
      </c>
      <c r="H104" s="67">
        <f t="shared" si="42"/>
        <v>704.07503137642709</v>
      </c>
      <c r="I104" s="67">
        <f t="shared" si="43"/>
        <v>1434.4991693921866</v>
      </c>
      <c r="J104" s="58">
        <f t="shared" si="45"/>
        <v>0.20116429467897917</v>
      </c>
      <c r="K104" s="75">
        <f t="shared" si="46"/>
        <v>93.466121695114253</v>
      </c>
      <c r="L104" s="75">
        <v>29</v>
      </c>
      <c r="M104" s="54">
        <f>Protein_Amt!$B$6</f>
        <v>119.32601853403956</v>
      </c>
      <c r="N104" s="67">
        <f t="shared" si="47"/>
        <v>841.19509525602825</v>
      </c>
      <c r="O104" s="75">
        <f t="shared" si="48"/>
        <v>116</v>
      </c>
      <c r="P104" s="75">
        <f t="shared" si="49"/>
        <v>477.30407413615825</v>
      </c>
      <c r="Q104" s="68">
        <f t="shared" si="50"/>
        <v>1434.4991693921866</v>
      </c>
      <c r="S104" s="70">
        <f>VLOOKUP($A104,FoodLog!$A$1:$Z$10009,12,0)</f>
        <v>0</v>
      </c>
      <c r="T104" s="70">
        <f>VLOOKUP($A104,FoodLog!$A$1:$Z$10009,13,0)</f>
        <v>0</v>
      </c>
      <c r="U104" s="70">
        <f>VLOOKUP($A104,FoodLog!$A$1:$Z$10009,14,0)</f>
        <v>0</v>
      </c>
      <c r="V104" s="70">
        <f>VLOOKUP($A104,FoodLog!$A$1:$Z$10009,15,0)</f>
        <v>0</v>
      </c>
      <c r="W104" s="70">
        <f>VLOOKUP($A104,FoodLog!$A$1:$Z$10009,16,0)</f>
        <v>841.19509525602825</v>
      </c>
      <c r="X104" s="70">
        <f>VLOOKUP($A104,FoodLog!$A$1:$Z$10009,17,0)</f>
        <v>116</v>
      </c>
      <c r="Y104" s="70">
        <f>VLOOKUP($A104,FoodLog!$A$1:$Z$10009,18,0)</f>
        <v>477.30407413615825</v>
      </c>
      <c r="Z104" s="70">
        <f>VLOOKUP($A104,FoodLog!$A$1:$Z$10009,19,0)</f>
        <v>1434.4991693921866</v>
      </c>
      <c r="AA104" s="62">
        <f t="shared" si="51"/>
        <v>0.20116429467897917</v>
      </c>
      <c r="AB104" s="63">
        <f>Scale!C104</f>
        <v>0</v>
      </c>
    </row>
    <row r="105" spans="1:28" x14ac:dyDescent="0.25">
      <c r="A105" s="65">
        <f t="shared" si="52"/>
        <v>43094</v>
      </c>
      <c r="B105" s="79">
        <f t="shared" si="53"/>
        <v>103</v>
      </c>
      <c r="C105" s="80">
        <f t="shared" si="54"/>
        <v>171.66845665920681</v>
      </c>
      <c r="D105" s="81">
        <f t="shared" si="55"/>
        <v>149.15752316754944</v>
      </c>
      <c r="E105" s="82">
        <f t="shared" si="44"/>
        <v>22.510933491657369</v>
      </c>
      <c r="F105" s="77"/>
      <c r="G105" s="83">
        <f>C105*TDEE!$B$5</f>
        <v>2136.0711128562261</v>
      </c>
      <c r="H105" s="81">
        <f t="shared" ref="H105:H111" si="56">E105*31</f>
        <v>697.8389382413784</v>
      </c>
      <c r="I105" s="81">
        <f t="shared" ref="I105:I111" si="57">G105-H105</f>
        <v>1438.2321746148477</v>
      </c>
      <c r="J105" s="58">
        <f t="shared" si="45"/>
        <v>0.19938255378325098</v>
      </c>
      <c r="K105" s="81">
        <f t="shared" si="46"/>
        <v>93.880900053187716</v>
      </c>
      <c r="L105" s="81">
        <v>29</v>
      </c>
      <c r="M105" s="54">
        <f>Protein_Amt!$B$6</f>
        <v>119.32601853403956</v>
      </c>
      <c r="N105" s="80">
        <f t="shared" si="47"/>
        <v>844.92810047868943</v>
      </c>
      <c r="O105" s="81">
        <f t="shared" si="48"/>
        <v>116</v>
      </c>
      <c r="P105" s="81">
        <f t="shared" si="49"/>
        <v>477.30407413615825</v>
      </c>
      <c r="Q105" s="84">
        <f t="shared" si="50"/>
        <v>1438.2321746148477</v>
      </c>
      <c r="S105" s="70">
        <f>VLOOKUP($A105,FoodLog!$A$1:$Z$10009,12,0)</f>
        <v>0</v>
      </c>
      <c r="T105" s="70">
        <f>VLOOKUP($A105,FoodLog!$A$1:$Z$10009,13,0)</f>
        <v>0</v>
      </c>
      <c r="U105" s="70">
        <f>VLOOKUP($A105,FoodLog!$A$1:$Z$10009,14,0)</f>
        <v>0</v>
      </c>
      <c r="V105" s="70">
        <f>VLOOKUP($A105,FoodLog!$A$1:$Z$10009,15,0)</f>
        <v>0</v>
      </c>
      <c r="W105" s="70">
        <f>VLOOKUP($A105,FoodLog!$A$1:$Z$10009,16,0)</f>
        <v>844.92810047868943</v>
      </c>
      <c r="X105" s="70">
        <f>VLOOKUP($A105,FoodLog!$A$1:$Z$10009,17,0)</f>
        <v>116</v>
      </c>
      <c r="Y105" s="70">
        <f>VLOOKUP($A105,FoodLog!$A$1:$Z$10009,18,0)</f>
        <v>477.30407413615825</v>
      </c>
      <c r="Z105" s="70">
        <f>VLOOKUP($A105,FoodLog!$A$1:$Z$10009,19,0)</f>
        <v>1438.2321746148477</v>
      </c>
      <c r="AA105" s="62">
        <f t="shared" si="51"/>
        <v>0.19938255378325098</v>
      </c>
      <c r="AB105" s="63">
        <f>Scale!C105</f>
        <v>0</v>
      </c>
    </row>
    <row r="106" spans="1:28" x14ac:dyDescent="0.25">
      <c r="A106" s="65">
        <f t="shared" si="52"/>
        <v>43095</v>
      </c>
      <c r="B106" s="79">
        <f t="shared" si="53"/>
        <v>104</v>
      </c>
      <c r="C106" s="80">
        <f t="shared" si="54"/>
        <v>171.46907410542357</v>
      </c>
      <c r="D106" s="81">
        <f t="shared" si="55"/>
        <v>149.15752316754944</v>
      </c>
      <c r="E106" s="82">
        <f t="shared" si="44"/>
        <v>22.311550937874131</v>
      </c>
      <c r="F106" s="77"/>
      <c r="G106" s="83">
        <f>C106*TDEE!$B$5</f>
        <v>2133.5901951510627</v>
      </c>
      <c r="H106" s="81">
        <f t="shared" si="56"/>
        <v>691.65807907409805</v>
      </c>
      <c r="I106" s="81">
        <f t="shared" si="57"/>
        <v>1441.9321160769646</v>
      </c>
      <c r="J106" s="58">
        <f t="shared" si="45"/>
        <v>0.19761659402117088</v>
      </c>
      <c r="K106" s="81">
        <f t="shared" si="46"/>
        <v>94.292004660089589</v>
      </c>
      <c r="L106" s="81">
        <v>29</v>
      </c>
      <c r="M106" s="54">
        <f>Protein_Amt!$B$6</f>
        <v>119.32601853403956</v>
      </c>
      <c r="N106" s="80">
        <f t="shared" si="47"/>
        <v>848.62804194080627</v>
      </c>
      <c r="O106" s="81">
        <f t="shared" si="48"/>
        <v>116</v>
      </c>
      <c r="P106" s="81">
        <f t="shared" si="49"/>
        <v>477.30407413615825</v>
      </c>
      <c r="Q106" s="84">
        <f t="shared" si="50"/>
        <v>1441.9321160769646</v>
      </c>
      <c r="S106" s="70">
        <f>VLOOKUP($A106,FoodLog!$A$1:$Z$10009,12,0)</f>
        <v>0</v>
      </c>
      <c r="T106" s="70">
        <f>VLOOKUP($A106,FoodLog!$A$1:$Z$10009,13,0)</f>
        <v>0</v>
      </c>
      <c r="U106" s="70">
        <f>VLOOKUP($A106,FoodLog!$A$1:$Z$10009,14,0)</f>
        <v>0</v>
      </c>
      <c r="V106" s="70">
        <f>VLOOKUP($A106,FoodLog!$A$1:$Z$10009,15,0)</f>
        <v>0</v>
      </c>
      <c r="W106" s="70">
        <f>VLOOKUP($A106,FoodLog!$A$1:$Z$10009,16,0)</f>
        <v>848.62804194080627</v>
      </c>
      <c r="X106" s="70">
        <f>VLOOKUP($A106,FoodLog!$A$1:$Z$10009,17,0)</f>
        <v>116</v>
      </c>
      <c r="Y106" s="70">
        <f>VLOOKUP($A106,FoodLog!$A$1:$Z$10009,18,0)</f>
        <v>477.30407413615825</v>
      </c>
      <c r="Z106" s="70">
        <f>VLOOKUP($A106,FoodLog!$A$1:$Z$10009,19,0)</f>
        <v>1441.9321160769646</v>
      </c>
      <c r="AA106" s="62">
        <f t="shared" si="51"/>
        <v>0.19761659402117088</v>
      </c>
      <c r="AB106" s="63">
        <f>Scale!C106</f>
        <v>0</v>
      </c>
    </row>
    <row r="107" spans="1:28" x14ac:dyDescent="0.25">
      <c r="A107" s="65">
        <f t="shared" si="52"/>
        <v>43096</v>
      </c>
      <c r="B107" s="79">
        <f t="shared" si="53"/>
        <v>105</v>
      </c>
      <c r="C107" s="80">
        <f t="shared" si="54"/>
        <v>171.27145751140239</v>
      </c>
      <c r="D107" s="81">
        <f t="shared" si="55"/>
        <v>149.15752316754944</v>
      </c>
      <c r="E107" s="82">
        <f t="shared" si="44"/>
        <v>22.113934343852947</v>
      </c>
      <c r="F107" s="77"/>
      <c r="G107" s="83">
        <f>C107*TDEE!$B$5</f>
        <v>2131.1312512884306</v>
      </c>
      <c r="H107" s="81">
        <f t="shared" si="56"/>
        <v>685.53196465944131</v>
      </c>
      <c r="I107" s="81">
        <f t="shared" si="57"/>
        <v>1445.5992866289894</v>
      </c>
      <c r="J107" s="58">
        <f t="shared" si="45"/>
        <v>0.19586627561698322</v>
      </c>
      <c r="K107" s="81">
        <f t="shared" si="46"/>
        <v>94.699468054759009</v>
      </c>
      <c r="L107" s="81">
        <v>29</v>
      </c>
      <c r="M107" s="54">
        <f>Protein_Amt!$B$6</f>
        <v>119.32601853403956</v>
      </c>
      <c r="N107" s="80">
        <f t="shared" si="47"/>
        <v>852.29521249283107</v>
      </c>
      <c r="O107" s="81">
        <f t="shared" si="48"/>
        <v>116</v>
      </c>
      <c r="P107" s="81">
        <f t="shared" si="49"/>
        <v>477.30407413615825</v>
      </c>
      <c r="Q107" s="84">
        <f t="shared" si="50"/>
        <v>1445.5992866289894</v>
      </c>
      <c r="S107" s="70">
        <f>VLOOKUP($A107,FoodLog!$A$1:$Z$10009,12,0)</f>
        <v>0</v>
      </c>
      <c r="T107" s="70">
        <f>VLOOKUP($A107,FoodLog!$A$1:$Z$10009,13,0)</f>
        <v>0</v>
      </c>
      <c r="U107" s="70">
        <f>VLOOKUP($A107,FoodLog!$A$1:$Z$10009,14,0)</f>
        <v>0</v>
      </c>
      <c r="V107" s="70">
        <f>VLOOKUP($A107,FoodLog!$A$1:$Z$10009,15,0)</f>
        <v>0</v>
      </c>
      <c r="W107" s="70">
        <f>VLOOKUP($A107,FoodLog!$A$1:$Z$10009,16,0)</f>
        <v>852.29521249283107</v>
      </c>
      <c r="X107" s="70">
        <f>VLOOKUP($A107,FoodLog!$A$1:$Z$10009,17,0)</f>
        <v>116</v>
      </c>
      <c r="Y107" s="70">
        <f>VLOOKUP($A107,FoodLog!$A$1:$Z$10009,18,0)</f>
        <v>477.30407413615825</v>
      </c>
      <c r="Z107" s="70">
        <f>VLOOKUP($A107,FoodLog!$A$1:$Z$10009,19,0)</f>
        <v>1445.5992866289894</v>
      </c>
      <c r="AA107" s="62">
        <f t="shared" si="51"/>
        <v>0.19586627561698322</v>
      </c>
      <c r="AB107" s="63">
        <f>Scale!C107</f>
        <v>0</v>
      </c>
    </row>
    <row r="108" spans="1:28" x14ac:dyDescent="0.25">
      <c r="A108" s="65">
        <f t="shared" si="52"/>
        <v>43097</v>
      </c>
      <c r="B108" s="79">
        <f t="shared" si="53"/>
        <v>106</v>
      </c>
      <c r="C108" s="80">
        <f t="shared" si="54"/>
        <v>171.0755912357854</v>
      </c>
      <c r="D108" s="81">
        <f t="shared" si="55"/>
        <v>149.15752316754944</v>
      </c>
      <c r="E108" s="82">
        <f t="shared" si="44"/>
        <v>21.918068068235954</v>
      </c>
      <c r="F108" s="77"/>
      <c r="G108" s="83">
        <f>C108*TDEE!$B$5</f>
        <v>2128.6940866428677</v>
      </c>
      <c r="H108" s="81">
        <f t="shared" si="56"/>
        <v>679.46011011531459</v>
      </c>
      <c r="I108" s="81">
        <f t="shared" si="57"/>
        <v>1449.2339765275531</v>
      </c>
      <c r="J108" s="58">
        <f t="shared" si="45"/>
        <v>0.19413146003294704</v>
      </c>
      <c r="K108" s="81">
        <f t="shared" si="46"/>
        <v>95.103322487932758</v>
      </c>
      <c r="L108" s="81">
        <v>29</v>
      </c>
      <c r="M108" s="54">
        <f>Protein_Amt!$B$6</f>
        <v>119.32601853403956</v>
      </c>
      <c r="N108" s="80">
        <f t="shared" si="47"/>
        <v>855.92990239139476</v>
      </c>
      <c r="O108" s="81">
        <f t="shared" si="48"/>
        <v>116</v>
      </c>
      <c r="P108" s="81">
        <f t="shared" si="49"/>
        <v>477.30407413615825</v>
      </c>
      <c r="Q108" s="84">
        <f t="shared" si="50"/>
        <v>1449.2339765275531</v>
      </c>
      <c r="S108" s="70">
        <f>VLOOKUP($A108,FoodLog!$A$1:$Z$10009,12,0)</f>
        <v>0</v>
      </c>
      <c r="T108" s="70">
        <f>VLOOKUP($A108,FoodLog!$A$1:$Z$10009,13,0)</f>
        <v>0</v>
      </c>
      <c r="U108" s="70">
        <f>VLOOKUP($A108,FoodLog!$A$1:$Z$10009,14,0)</f>
        <v>0</v>
      </c>
      <c r="V108" s="70">
        <f>VLOOKUP($A108,FoodLog!$A$1:$Z$10009,15,0)</f>
        <v>0</v>
      </c>
      <c r="W108" s="70">
        <f>VLOOKUP($A108,FoodLog!$A$1:$Z$10009,16,0)</f>
        <v>855.92990239139476</v>
      </c>
      <c r="X108" s="70">
        <f>VLOOKUP($A108,FoodLog!$A$1:$Z$10009,17,0)</f>
        <v>116</v>
      </c>
      <c r="Y108" s="70">
        <f>VLOOKUP($A108,FoodLog!$A$1:$Z$10009,18,0)</f>
        <v>477.30407413615825</v>
      </c>
      <c r="Z108" s="70">
        <f>VLOOKUP($A108,FoodLog!$A$1:$Z$10009,19,0)</f>
        <v>1449.2339765275531</v>
      </c>
      <c r="AA108" s="62">
        <f t="shared" si="51"/>
        <v>0.19413146003294704</v>
      </c>
      <c r="AB108" s="63">
        <f>Scale!C108</f>
        <v>0</v>
      </c>
    </row>
    <row r="109" spans="1:28" x14ac:dyDescent="0.25">
      <c r="A109" s="65">
        <f t="shared" si="52"/>
        <v>43098</v>
      </c>
      <c r="B109" s="79">
        <f t="shared" si="53"/>
        <v>107</v>
      </c>
      <c r="C109" s="80">
        <f t="shared" si="54"/>
        <v>170.88145977575246</v>
      </c>
      <c r="D109" s="81">
        <f t="shared" si="55"/>
        <v>149.15752316754944</v>
      </c>
      <c r="E109" s="82">
        <f t="shared" si="44"/>
        <v>21.723936608203019</v>
      </c>
      <c r="F109" s="77"/>
      <c r="G109" s="83">
        <f>C109*TDEE!$B$5</f>
        <v>2126.2785083127369</v>
      </c>
      <c r="H109" s="81">
        <f t="shared" si="56"/>
        <v>673.44203485429352</v>
      </c>
      <c r="I109" s="81">
        <f t="shared" si="57"/>
        <v>1452.8364734584434</v>
      </c>
      <c r="J109" s="58">
        <f t="shared" si="45"/>
        <v>0.19241200995836957</v>
      </c>
      <c r="K109" s="81">
        <f t="shared" si="46"/>
        <v>95.503599924698335</v>
      </c>
      <c r="L109" s="81">
        <v>29</v>
      </c>
      <c r="M109" s="54">
        <f>Protein_Amt!$B$6</f>
        <v>119.32601853403956</v>
      </c>
      <c r="N109" s="80">
        <f t="shared" si="47"/>
        <v>859.53239932228507</v>
      </c>
      <c r="O109" s="81">
        <f t="shared" si="48"/>
        <v>116</v>
      </c>
      <c r="P109" s="81">
        <f t="shared" si="49"/>
        <v>477.30407413615825</v>
      </c>
      <c r="Q109" s="84">
        <f t="shared" si="50"/>
        <v>1452.8364734584434</v>
      </c>
      <c r="S109" s="70">
        <f>VLOOKUP($A109,FoodLog!$A$1:$Z$10009,12,0)</f>
        <v>0</v>
      </c>
      <c r="T109" s="70">
        <f>VLOOKUP($A109,FoodLog!$A$1:$Z$10009,13,0)</f>
        <v>0</v>
      </c>
      <c r="U109" s="70">
        <f>VLOOKUP($A109,FoodLog!$A$1:$Z$10009,14,0)</f>
        <v>0</v>
      </c>
      <c r="V109" s="70">
        <f>VLOOKUP($A109,FoodLog!$A$1:$Z$10009,15,0)</f>
        <v>0</v>
      </c>
      <c r="W109" s="70">
        <f>VLOOKUP($A109,FoodLog!$A$1:$Z$10009,16,0)</f>
        <v>859.53239932228507</v>
      </c>
      <c r="X109" s="70">
        <f>VLOOKUP($A109,FoodLog!$A$1:$Z$10009,17,0)</f>
        <v>116</v>
      </c>
      <c r="Y109" s="70">
        <f>VLOOKUP($A109,FoodLog!$A$1:$Z$10009,18,0)</f>
        <v>477.30407413615825</v>
      </c>
      <c r="Z109" s="70">
        <f>VLOOKUP($A109,FoodLog!$A$1:$Z$10009,19,0)</f>
        <v>1452.8364734584434</v>
      </c>
      <c r="AA109" s="62">
        <f t="shared" si="51"/>
        <v>0.19241200995836957</v>
      </c>
      <c r="AB109" s="63">
        <f>Scale!C109</f>
        <v>0</v>
      </c>
    </row>
    <row r="110" spans="1:28" x14ac:dyDescent="0.25">
      <c r="A110" s="65">
        <f t="shared" si="52"/>
        <v>43099</v>
      </c>
      <c r="B110" s="79">
        <f t="shared" si="53"/>
        <v>108</v>
      </c>
      <c r="C110" s="80">
        <f t="shared" si="54"/>
        <v>170.6890477657941</v>
      </c>
      <c r="D110" s="81">
        <f t="shared" si="55"/>
        <v>149.15752316754944</v>
      </c>
      <c r="E110" s="82">
        <f t="shared" si="44"/>
        <v>21.531524598244658</v>
      </c>
      <c r="F110" s="77"/>
      <c r="G110" s="83">
        <f>C110*TDEE!$B$5</f>
        <v>2123.8843251049589</v>
      </c>
      <c r="H110" s="81">
        <f t="shared" si="56"/>
        <v>667.47726254558438</v>
      </c>
      <c r="I110" s="81">
        <f t="shared" si="57"/>
        <v>1456.4070625593745</v>
      </c>
      <c r="J110" s="58">
        <f t="shared" si="45"/>
        <v>0.19070778929873838</v>
      </c>
      <c r="K110" s="81">
        <f t="shared" si="46"/>
        <v>95.900332047024023</v>
      </c>
      <c r="L110" s="81">
        <v>29</v>
      </c>
      <c r="M110" s="54">
        <f>Protein_Amt!$B$6</f>
        <v>119.32601853403956</v>
      </c>
      <c r="N110" s="80">
        <f t="shared" si="47"/>
        <v>863.10298842321617</v>
      </c>
      <c r="O110" s="81">
        <f t="shared" si="48"/>
        <v>116</v>
      </c>
      <c r="P110" s="81">
        <f t="shared" si="49"/>
        <v>477.30407413615825</v>
      </c>
      <c r="Q110" s="84">
        <f t="shared" si="50"/>
        <v>1456.4070625593745</v>
      </c>
      <c r="S110" s="70">
        <f>VLOOKUP($A110,FoodLog!$A$1:$Z$10009,12,0)</f>
        <v>0</v>
      </c>
      <c r="T110" s="70">
        <f>VLOOKUP($A110,FoodLog!$A$1:$Z$10009,13,0)</f>
        <v>0</v>
      </c>
      <c r="U110" s="70">
        <f>VLOOKUP($A110,FoodLog!$A$1:$Z$10009,14,0)</f>
        <v>0</v>
      </c>
      <c r="V110" s="70">
        <f>VLOOKUP($A110,FoodLog!$A$1:$Z$10009,15,0)</f>
        <v>0</v>
      </c>
      <c r="W110" s="70">
        <f>VLOOKUP($A110,FoodLog!$A$1:$Z$10009,16,0)</f>
        <v>863.10298842321617</v>
      </c>
      <c r="X110" s="70">
        <f>VLOOKUP($A110,FoodLog!$A$1:$Z$10009,17,0)</f>
        <v>116</v>
      </c>
      <c r="Y110" s="70">
        <f>VLOOKUP($A110,FoodLog!$A$1:$Z$10009,18,0)</f>
        <v>477.30407413615825</v>
      </c>
      <c r="Z110" s="70">
        <f>VLOOKUP($A110,FoodLog!$A$1:$Z$10009,19,0)</f>
        <v>1456.4070625593745</v>
      </c>
      <c r="AA110" s="62">
        <f t="shared" si="51"/>
        <v>0.19070778929873838</v>
      </c>
      <c r="AB110" s="63">
        <f>Scale!C110</f>
        <v>0</v>
      </c>
    </row>
    <row r="111" spans="1:28" x14ac:dyDescent="0.25">
      <c r="A111" s="65">
        <f t="shared" si="52"/>
        <v>43100</v>
      </c>
      <c r="B111" s="79">
        <f t="shared" si="53"/>
        <v>109</v>
      </c>
      <c r="C111" s="80">
        <f t="shared" si="54"/>
        <v>170.49833997649537</v>
      </c>
      <c r="D111" s="81">
        <f t="shared" si="55"/>
        <v>149.15752316754944</v>
      </c>
      <c r="E111" s="82">
        <f t="shared" si="44"/>
        <v>21.340816808945931</v>
      </c>
      <c r="F111" s="77"/>
      <c r="G111" s="83">
        <f>C111*TDEE!$B$5</f>
        <v>2121.5113475198782</v>
      </c>
      <c r="H111" s="81">
        <f t="shared" si="56"/>
        <v>661.56532107732392</v>
      </c>
      <c r="I111" s="81">
        <f t="shared" si="57"/>
        <v>1459.9460264425543</v>
      </c>
      <c r="J111" s="58">
        <f t="shared" si="45"/>
        <v>0.1890186631649497</v>
      </c>
      <c r="K111" s="81">
        <f t="shared" si="46"/>
        <v>96.293550256266215</v>
      </c>
      <c r="L111" s="81">
        <v>29</v>
      </c>
      <c r="M111" s="54">
        <f>Protein_Amt!$B$6</f>
        <v>119.32601853403956</v>
      </c>
      <c r="N111" s="80">
        <f t="shared" si="47"/>
        <v>866.64195230639598</v>
      </c>
      <c r="O111" s="81">
        <f t="shared" si="48"/>
        <v>116</v>
      </c>
      <c r="P111" s="81">
        <f t="shared" si="49"/>
        <v>477.30407413615825</v>
      </c>
      <c r="Q111" s="84">
        <f t="shared" si="50"/>
        <v>1459.9460264425543</v>
      </c>
      <c r="S111" s="70">
        <f>VLOOKUP($A111,FoodLog!$A$1:$Z$10009,12,0)</f>
        <v>0</v>
      </c>
      <c r="T111" s="70">
        <f>VLOOKUP($A111,FoodLog!$A$1:$Z$10009,13,0)</f>
        <v>0</v>
      </c>
      <c r="U111" s="70">
        <f>VLOOKUP($A111,FoodLog!$A$1:$Z$10009,14,0)</f>
        <v>0</v>
      </c>
      <c r="V111" s="70">
        <f>VLOOKUP($A111,FoodLog!$A$1:$Z$10009,15,0)</f>
        <v>0</v>
      </c>
      <c r="W111" s="70">
        <f>VLOOKUP($A111,FoodLog!$A$1:$Z$10009,16,0)</f>
        <v>866.64195230639598</v>
      </c>
      <c r="X111" s="70">
        <f>VLOOKUP($A111,FoodLog!$A$1:$Z$10009,17,0)</f>
        <v>116</v>
      </c>
      <c r="Y111" s="70">
        <f>VLOOKUP($A111,FoodLog!$A$1:$Z$10009,18,0)</f>
        <v>477.30407413615825</v>
      </c>
      <c r="Z111" s="70">
        <f>VLOOKUP($A111,FoodLog!$A$1:$Z$10009,19,0)</f>
        <v>1459.9460264425543</v>
      </c>
      <c r="AA111" s="62">
        <f t="shared" si="51"/>
        <v>0.1890186631649497</v>
      </c>
      <c r="AB111" s="63">
        <f>Scale!C111</f>
        <v>0</v>
      </c>
    </row>
  </sheetData>
  <mergeCells count="3">
    <mergeCell ref="G1:Q1"/>
    <mergeCell ref="S1:V1"/>
    <mergeCell ref="W1:Z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1"/>
  <sheetViews>
    <sheetView zoomScale="150" zoomScaleNormal="150" workbookViewId="0">
      <pane ySplit="2" topLeftCell="A12" activePane="bottomLeft" state="frozen"/>
      <selection pane="bottomLeft" activeCell="F31" sqref="F31"/>
    </sheetView>
  </sheetViews>
  <sheetFormatPr defaultRowHeight="15" x14ac:dyDescent="0.25"/>
  <cols>
    <col min="1" max="1" width="10.7109375" style="85" customWidth="1"/>
    <col min="2" max="2" width="4.5703125" style="85" customWidth="1"/>
    <col min="3" max="3" width="7.28515625" style="85" customWidth="1"/>
    <col min="4" max="4" width="4.85546875" style="85" customWidth="1"/>
    <col min="5" max="5" width="5.42578125" style="85" customWidth="1"/>
    <col min="6" max="6" width="6.42578125" style="85" customWidth="1"/>
    <col min="7" max="7" width="7.28515625" style="85" customWidth="1"/>
    <col min="8" max="8" width="6.85546875" style="85" customWidth="1"/>
    <col min="9" max="9" width="11.28515625" style="85" customWidth="1"/>
    <col min="10" max="10" width="6.7109375" style="85" customWidth="1"/>
    <col min="11" max="11" width="7.85546875" style="85" customWidth="1"/>
    <col min="12" max="12" width="7.28515625" style="85" customWidth="1"/>
    <col min="13" max="13" width="6.5703125" style="85" customWidth="1"/>
    <col min="14" max="14" width="5.85546875" style="85" customWidth="1"/>
    <col min="15" max="15" width="7.28515625" style="85" customWidth="1"/>
    <col min="16" max="1025" width="11.5703125" style="85" customWidth="1"/>
  </cols>
  <sheetData>
    <row r="1" spans="1:15" ht="13.9" customHeight="1" x14ac:dyDescent="0.25">
      <c r="A1" s="118" t="s">
        <v>80</v>
      </c>
      <c r="B1" s="118"/>
      <c r="C1" s="118"/>
      <c r="D1" s="118"/>
    </row>
    <row r="2" spans="1:15" ht="45" x14ac:dyDescent="0.25">
      <c r="A2" s="87" t="str">
        <f>LossChart!A2</f>
        <v>Date</v>
      </c>
      <c r="B2" s="87" t="str">
        <f>LossChart!B2</f>
        <v>Day</v>
      </c>
      <c r="C2" s="87" t="s">
        <v>5</v>
      </c>
      <c r="D2" s="87" t="s">
        <v>81</v>
      </c>
      <c r="E2" s="87" t="s">
        <v>82</v>
      </c>
      <c r="F2" s="87" t="s">
        <v>83</v>
      </c>
      <c r="G2" s="87" t="s">
        <v>84</v>
      </c>
      <c r="H2" s="87" t="s">
        <v>85</v>
      </c>
      <c r="I2" s="87" t="s">
        <v>86</v>
      </c>
      <c r="J2" s="87" t="s">
        <v>87</v>
      </c>
      <c r="K2" s="87" t="s">
        <v>88</v>
      </c>
      <c r="L2" s="87" t="s">
        <v>89</v>
      </c>
      <c r="M2" s="87" t="s">
        <v>90</v>
      </c>
      <c r="N2" s="87" t="s">
        <v>91</v>
      </c>
      <c r="O2" s="87" t="s">
        <v>92</v>
      </c>
    </row>
    <row r="3" spans="1:15" x14ac:dyDescent="0.25">
      <c r="A3" s="88">
        <f>LossChart!A3</f>
        <v>42992</v>
      </c>
      <c r="B3" s="85">
        <f>LossChart!B3</f>
        <v>1</v>
      </c>
      <c r="C3" s="89">
        <v>202.8</v>
      </c>
      <c r="D3" s="89">
        <v>27.8</v>
      </c>
      <c r="E3" s="89">
        <v>32</v>
      </c>
      <c r="F3" s="89">
        <v>36.9</v>
      </c>
      <c r="G3" s="89">
        <v>27.6</v>
      </c>
      <c r="H3" s="89">
        <v>2238</v>
      </c>
      <c r="I3" s="89">
        <v>0</v>
      </c>
      <c r="J3" s="90">
        <f>E3*$C3/100</f>
        <v>64.896000000000001</v>
      </c>
      <c r="K3" s="90">
        <f>F3*$C3/100</f>
        <v>74.833199999999991</v>
      </c>
      <c r="L3" s="90">
        <f>G3*$C3/100</f>
        <v>55.972800000000007</v>
      </c>
      <c r="M3" s="90">
        <v>0</v>
      </c>
      <c r="N3" s="90">
        <v>0</v>
      </c>
      <c r="O3" s="90">
        <v>0</v>
      </c>
    </row>
    <row r="4" spans="1:15" x14ac:dyDescent="0.25">
      <c r="A4" s="88">
        <f>LossChart!A4</f>
        <v>42993</v>
      </c>
      <c r="B4" s="85">
        <f>LossChart!B4</f>
        <v>2</v>
      </c>
      <c r="C4" s="89">
        <v>200.2</v>
      </c>
      <c r="D4" s="89"/>
      <c r="E4" s="89"/>
      <c r="F4" s="89"/>
      <c r="G4" s="89"/>
      <c r="H4" s="89"/>
      <c r="I4" s="89">
        <f t="shared" ref="I4:I35" si="0">C4-$C$3</f>
        <v>-2.6000000000000227</v>
      </c>
      <c r="J4" s="90"/>
      <c r="K4" s="90"/>
      <c r="L4" s="90"/>
      <c r="M4" s="90"/>
      <c r="N4" s="90"/>
      <c r="O4" s="90"/>
    </row>
    <row r="5" spans="1:15" x14ac:dyDescent="0.25">
      <c r="A5" s="88">
        <f>LossChart!A5</f>
        <v>42994</v>
      </c>
      <c r="B5" s="85">
        <f>LossChart!B5</f>
        <v>3</v>
      </c>
      <c r="C5" s="89">
        <v>198.4</v>
      </c>
      <c r="D5" s="89"/>
      <c r="E5" s="89"/>
      <c r="F5" s="89"/>
      <c r="G5" s="89"/>
      <c r="H5" s="89"/>
      <c r="I5" s="89">
        <f t="shared" si="0"/>
        <v>-4.4000000000000057</v>
      </c>
      <c r="J5" s="90"/>
      <c r="K5" s="90"/>
      <c r="L5" s="90"/>
      <c r="M5" s="90"/>
      <c r="N5" s="90"/>
      <c r="O5" s="90"/>
    </row>
    <row r="6" spans="1:15" x14ac:dyDescent="0.25">
      <c r="A6" s="88">
        <f>LossChart!A6</f>
        <v>42995</v>
      </c>
      <c r="B6" s="85">
        <f>LossChart!B6</f>
        <v>4</v>
      </c>
      <c r="C6" s="89">
        <v>199.4</v>
      </c>
      <c r="D6" s="89"/>
      <c r="E6" s="89"/>
      <c r="F6" s="89"/>
      <c r="G6" s="89"/>
      <c r="H6" s="89"/>
      <c r="I6" s="89">
        <f t="shared" si="0"/>
        <v>-3.4000000000000057</v>
      </c>
      <c r="J6" s="90"/>
      <c r="K6" s="90"/>
      <c r="L6" s="90"/>
      <c r="M6" s="90"/>
      <c r="N6" s="90"/>
      <c r="O6" s="90"/>
    </row>
    <row r="7" spans="1:15" x14ac:dyDescent="0.25">
      <c r="A7" s="88">
        <f>LossChart!A7</f>
        <v>42996</v>
      </c>
      <c r="B7" s="85">
        <f>LossChart!B7</f>
        <v>5</v>
      </c>
      <c r="C7" s="89">
        <v>200.3</v>
      </c>
      <c r="D7" s="89"/>
      <c r="E7" s="89"/>
      <c r="F7" s="89"/>
      <c r="G7" s="89"/>
      <c r="H7" s="89"/>
      <c r="I7" s="89">
        <f t="shared" si="0"/>
        <v>-2.5</v>
      </c>
      <c r="J7" s="90"/>
      <c r="K7" s="90"/>
      <c r="L7" s="90"/>
      <c r="M7" s="90"/>
      <c r="N7" s="90"/>
      <c r="O7" s="90"/>
    </row>
    <row r="8" spans="1:15" x14ac:dyDescent="0.25">
      <c r="A8" s="88">
        <f>LossChart!A8</f>
        <v>42997</v>
      </c>
      <c r="B8" s="85">
        <f>LossChart!B8</f>
        <v>6</v>
      </c>
      <c r="C8" s="89">
        <v>200.4</v>
      </c>
      <c r="D8" s="89"/>
      <c r="E8" s="89"/>
      <c r="F8" s="89"/>
      <c r="G8" s="89"/>
      <c r="H8" s="89"/>
      <c r="I8" s="89">
        <f t="shared" si="0"/>
        <v>-2.4000000000000057</v>
      </c>
      <c r="J8" s="90"/>
      <c r="K8" s="90"/>
      <c r="L8" s="90"/>
      <c r="M8" s="90"/>
      <c r="N8" s="90"/>
      <c r="O8" s="90"/>
    </row>
    <row r="9" spans="1:15" x14ac:dyDescent="0.25">
      <c r="A9" s="88">
        <f>LossChart!A9</f>
        <v>42998</v>
      </c>
      <c r="B9" s="85">
        <f>LossChart!B9</f>
        <v>7</v>
      </c>
      <c r="C9" s="89">
        <v>199.8</v>
      </c>
      <c r="D9" s="89">
        <v>27.4</v>
      </c>
      <c r="E9" s="89"/>
      <c r="F9" s="89"/>
      <c r="G9" s="89"/>
      <c r="H9" s="89"/>
      <c r="I9" s="89">
        <f t="shared" si="0"/>
        <v>-3</v>
      </c>
      <c r="J9" s="90"/>
      <c r="K9" s="90"/>
      <c r="L9" s="90"/>
      <c r="M9" s="90"/>
      <c r="N9" s="90"/>
      <c r="O9" s="90"/>
    </row>
    <row r="10" spans="1:15" x14ac:dyDescent="0.25">
      <c r="A10" s="88">
        <f>LossChart!A10</f>
        <v>42999</v>
      </c>
      <c r="B10" s="85">
        <f>LossChart!B10</f>
        <v>8</v>
      </c>
      <c r="C10" s="89">
        <v>199.8</v>
      </c>
      <c r="D10" s="89"/>
      <c r="E10" s="89"/>
      <c r="F10" s="89"/>
      <c r="G10" s="89"/>
      <c r="H10" s="89"/>
      <c r="I10" s="89">
        <f t="shared" si="0"/>
        <v>-3</v>
      </c>
      <c r="J10" s="90"/>
      <c r="K10" s="90"/>
      <c r="L10" s="90"/>
      <c r="M10" s="90"/>
      <c r="N10" s="90"/>
      <c r="O10" s="90"/>
    </row>
    <row r="11" spans="1:15" x14ac:dyDescent="0.25">
      <c r="A11" s="88">
        <f>LossChart!A11</f>
        <v>43000</v>
      </c>
      <c r="B11" s="85">
        <f>LossChart!B11</f>
        <v>9</v>
      </c>
      <c r="C11" s="89">
        <v>198.4</v>
      </c>
      <c r="D11" s="89"/>
      <c r="E11" s="89"/>
      <c r="F11" s="89"/>
      <c r="G11" s="89"/>
      <c r="H11" s="89"/>
      <c r="I11" s="89">
        <f t="shared" si="0"/>
        <v>-4.4000000000000057</v>
      </c>
      <c r="J11" s="90"/>
      <c r="K11" s="90"/>
      <c r="L11" s="90"/>
      <c r="M11" s="90"/>
      <c r="N11" s="90"/>
      <c r="O11" s="90"/>
    </row>
    <row r="12" spans="1:15" x14ac:dyDescent="0.25">
      <c r="A12" s="88">
        <f>LossChart!A12</f>
        <v>43001</v>
      </c>
      <c r="B12" s="85">
        <f>LossChart!B12</f>
        <v>10</v>
      </c>
      <c r="C12" s="91">
        <v>197.6</v>
      </c>
      <c r="D12" s="89"/>
      <c r="E12" s="89"/>
      <c r="F12" s="89"/>
      <c r="G12" s="89"/>
      <c r="H12" s="89"/>
      <c r="I12" s="89">
        <f t="shared" si="0"/>
        <v>-5.2000000000000171</v>
      </c>
      <c r="J12" s="90"/>
      <c r="K12" s="90"/>
      <c r="L12" s="90"/>
      <c r="M12" s="90"/>
      <c r="N12" s="90"/>
      <c r="O12" s="90"/>
    </row>
    <row r="13" spans="1:15" x14ac:dyDescent="0.25">
      <c r="A13" s="88">
        <f>LossChart!A13</f>
        <v>43002</v>
      </c>
      <c r="B13" s="85">
        <f>LossChart!B13</f>
        <v>11</v>
      </c>
      <c r="C13" s="91">
        <v>198</v>
      </c>
      <c r="D13" s="89"/>
      <c r="E13" s="89"/>
      <c r="F13" s="89"/>
      <c r="G13" s="89"/>
      <c r="H13" s="89"/>
      <c r="I13" s="89">
        <f t="shared" si="0"/>
        <v>-4.8000000000000114</v>
      </c>
      <c r="J13" s="90"/>
      <c r="K13" s="90"/>
      <c r="L13" s="90"/>
      <c r="M13" s="90"/>
      <c r="N13" s="90"/>
      <c r="O13" s="90"/>
    </row>
    <row r="14" spans="1:15" x14ac:dyDescent="0.25">
      <c r="A14" s="88">
        <f>LossChart!A14</f>
        <v>43003</v>
      </c>
      <c r="B14" s="85">
        <f>LossChart!B14</f>
        <v>12</v>
      </c>
      <c r="C14" s="91">
        <v>198</v>
      </c>
      <c r="D14" s="89"/>
      <c r="E14" s="89"/>
      <c r="F14" s="89"/>
      <c r="G14" s="89"/>
      <c r="H14" s="89"/>
      <c r="I14" s="89">
        <f t="shared" si="0"/>
        <v>-4.8000000000000114</v>
      </c>
      <c r="J14" s="90"/>
      <c r="K14" s="90"/>
      <c r="L14" s="90"/>
      <c r="M14" s="90"/>
      <c r="N14" s="90"/>
      <c r="O14" s="90"/>
    </row>
    <row r="15" spans="1:15" x14ac:dyDescent="0.25">
      <c r="A15" s="88">
        <f>LossChart!A15</f>
        <v>43004</v>
      </c>
      <c r="B15" s="85">
        <f>LossChart!B15</f>
        <v>13</v>
      </c>
      <c r="C15" s="91">
        <v>198.8</v>
      </c>
      <c r="D15" s="89">
        <v>27.2</v>
      </c>
      <c r="E15" s="89">
        <v>31.2</v>
      </c>
      <c r="F15" s="89">
        <v>37.700000000000003</v>
      </c>
      <c r="G15" s="89">
        <v>28.2</v>
      </c>
      <c r="H15" s="89">
        <v>2207</v>
      </c>
      <c r="I15" s="89">
        <f t="shared" si="0"/>
        <v>-4</v>
      </c>
      <c r="J15" s="90">
        <f>E15*$C15/100</f>
        <v>62.025600000000004</v>
      </c>
      <c r="K15" s="90">
        <f>F15*$C15/100</f>
        <v>74.947600000000008</v>
      </c>
      <c r="L15" s="90">
        <f>G15*$C15/100</f>
        <v>56.061599999999999</v>
      </c>
      <c r="M15" s="90">
        <f>J15-J$3</f>
        <v>-2.8703999999999965</v>
      </c>
      <c r="N15" s="90">
        <f>K15-K$3</f>
        <v>0.1144000000000176</v>
      </c>
      <c r="O15" s="90">
        <f>L15-L$3</f>
        <v>8.8799999999991996E-2</v>
      </c>
    </row>
    <row r="16" spans="1:15" x14ac:dyDescent="0.25">
      <c r="A16" s="88">
        <f>LossChart!A16</f>
        <v>43005</v>
      </c>
      <c r="B16" s="85">
        <f>LossChart!B16</f>
        <v>14</v>
      </c>
      <c r="C16" s="91">
        <v>198.6</v>
      </c>
      <c r="D16" s="89"/>
      <c r="E16" s="89"/>
      <c r="F16" s="89"/>
      <c r="G16" s="89"/>
      <c r="H16" s="89"/>
      <c r="I16" s="89">
        <f t="shared" si="0"/>
        <v>-4.2000000000000171</v>
      </c>
      <c r="J16" s="90"/>
      <c r="K16" s="90"/>
      <c r="L16" s="90"/>
      <c r="M16" s="90"/>
      <c r="N16" s="90"/>
      <c r="O16" s="90"/>
    </row>
    <row r="17" spans="1:15" x14ac:dyDescent="0.25">
      <c r="A17" s="88">
        <f>LossChart!A17</f>
        <v>43006</v>
      </c>
      <c r="B17" s="85">
        <f>LossChart!B17</f>
        <v>15</v>
      </c>
      <c r="C17" s="91">
        <v>198.2</v>
      </c>
      <c r="D17" s="89"/>
      <c r="E17" s="89"/>
      <c r="F17" s="89"/>
      <c r="G17" s="89"/>
      <c r="H17" s="89"/>
      <c r="I17" s="89">
        <f t="shared" si="0"/>
        <v>-4.6000000000000227</v>
      </c>
      <c r="J17" s="90"/>
      <c r="K17" s="90"/>
      <c r="L17" s="90"/>
      <c r="M17" s="90"/>
      <c r="N17" s="90"/>
      <c r="O17" s="90"/>
    </row>
    <row r="18" spans="1:15" x14ac:dyDescent="0.25">
      <c r="A18" s="88">
        <f>LossChart!A18</f>
        <v>43007</v>
      </c>
      <c r="B18" s="85">
        <f>LossChart!B18</f>
        <v>16</v>
      </c>
      <c r="C18" s="89">
        <v>197.2</v>
      </c>
      <c r="D18" s="89">
        <v>27</v>
      </c>
      <c r="E18" s="89">
        <v>30.9</v>
      </c>
      <c r="F18" s="89">
        <v>38</v>
      </c>
      <c r="G18" s="89">
        <v>28.4</v>
      </c>
      <c r="H18" s="89">
        <v>2195</v>
      </c>
      <c r="I18" s="89">
        <f t="shared" si="0"/>
        <v>-5.6000000000000227</v>
      </c>
      <c r="J18" s="90">
        <f>E18*$C18/100</f>
        <v>60.934799999999996</v>
      </c>
      <c r="K18" s="90">
        <f>F18*$C18/100</f>
        <v>74.935999999999993</v>
      </c>
      <c r="L18" s="90">
        <f>G18*$C18/100</f>
        <v>56.004799999999996</v>
      </c>
      <c r="M18" s="90">
        <f>J18-J$3</f>
        <v>-3.9612000000000052</v>
      </c>
      <c r="N18" s="90">
        <f>K18-K$3</f>
        <v>0.102800000000002</v>
      </c>
      <c r="O18" s="90">
        <f>L18-L$3</f>
        <v>3.199999999998937E-2</v>
      </c>
    </row>
    <row r="19" spans="1:15" x14ac:dyDescent="0.25">
      <c r="A19" s="88">
        <f>LossChart!A19</f>
        <v>43008</v>
      </c>
      <c r="B19" s="85">
        <f>LossChart!B19</f>
        <v>17</v>
      </c>
      <c r="C19" s="85">
        <v>197.8</v>
      </c>
      <c r="I19" s="89">
        <f t="shared" si="0"/>
        <v>-5</v>
      </c>
    </row>
    <row r="20" spans="1:15" x14ac:dyDescent="0.25">
      <c r="A20" s="88">
        <f>LossChart!A20</f>
        <v>43009</v>
      </c>
      <c r="B20" s="85">
        <f>LossChart!B20</f>
        <v>18</v>
      </c>
      <c r="C20" s="85">
        <v>197.8</v>
      </c>
      <c r="I20" s="89">
        <f t="shared" si="0"/>
        <v>-5</v>
      </c>
    </row>
    <row r="21" spans="1:15" x14ac:dyDescent="0.25">
      <c r="A21" s="88">
        <f>LossChart!A21</f>
        <v>43010</v>
      </c>
      <c r="B21" s="85">
        <f>LossChart!B21</f>
        <v>19</v>
      </c>
      <c r="C21" s="85">
        <v>197</v>
      </c>
      <c r="D21" s="85">
        <v>26.9</v>
      </c>
      <c r="E21" s="85">
        <v>31</v>
      </c>
      <c r="F21" s="85">
        <v>38</v>
      </c>
      <c r="G21" s="85">
        <v>28.5</v>
      </c>
      <c r="I21" s="89">
        <f t="shared" si="0"/>
        <v>-5.8000000000000114</v>
      </c>
      <c r="J21" s="90">
        <f>E21*$C21/100</f>
        <v>61.07</v>
      </c>
      <c r="K21" s="90">
        <f>F21*$C21/100</f>
        <v>74.86</v>
      </c>
      <c r="L21" s="90">
        <f>G21*$C21/100</f>
        <v>56.145000000000003</v>
      </c>
      <c r="M21" s="90">
        <f>J21-J$3</f>
        <v>-3.8260000000000005</v>
      </c>
      <c r="N21" s="90">
        <f>K21-K$3</f>
        <v>2.6800000000008595E-2</v>
      </c>
      <c r="O21" s="90">
        <f>L21-L$3</f>
        <v>0.17219999999999658</v>
      </c>
    </row>
    <row r="22" spans="1:15" x14ac:dyDescent="0.25">
      <c r="A22" s="88">
        <f>LossChart!A22</f>
        <v>43011</v>
      </c>
      <c r="B22" s="85">
        <f>LossChart!B22</f>
        <v>20</v>
      </c>
      <c r="C22" s="85">
        <v>197.2</v>
      </c>
      <c r="I22" s="89">
        <f t="shared" si="0"/>
        <v>-5.6000000000000227</v>
      </c>
    </row>
    <row r="23" spans="1:15" x14ac:dyDescent="0.25">
      <c r="A23" s="88">
        <f>LossChart!A23</f>
        <v>43012</v>
      </c>
      <c r="B23" s="85">
        <f>LossChart!B23</f>
        <v>21</v>
      </c>
      <c r="C23" s="85">
        <v>197.2</v>
      </c>
      <c r="I23" s="89">
        <f t="shared" si="0"/>
        <v>-5.6000000000000227</v>
      </c>
    </row>
    <row r="24" spans="1:15" x14ac:dyDescent="0.25">
      <c r="A24" s="88">
        <f>LossChart!A24</f>
        <v>43013</v>
      </c>
      <c r="B24" s="85">
        <f>LossChart!B24</f>
        <v>22</v>
      </c>
      <c r="C24" s="85">
        <v>194.8</v>
      </c>
      <c r="D24" s="85">
        <v>26.6</v>
      </c>
      <c r="E24" s="85">
        <v>30.8</v>
      </c>
      <c r="F24" s="85">
        <v>38</v>
      </c>
      <c r="G24" s="85">
        <v>28.8</v>
      </c>
      <c r="H24" s="85">
        <v>2190</v>
      </c>
      <c r="I24" s="89">
        <f t="shared" si="0"/>
        <v>-8</v>
      </c>
      <c r="J24" s="90">
        <f>E24*$C24/100</f>
        <v>59.998400000000004</v>
      </c>
      <c r="K24" s="90">
        <f>F24*$C24/100</f>
        <v>74.024000000000001</v>
      </c>
      <c r="L24" s="90">
        <f>G24*$C24/100</f>
        <v>56.10240000000001</v>
      </c>
      <c r="M24" s="90">
        <f>J24-J$3</f>
        <v>-4.8975999999999971</v>
      </c>
      <c r="N24" s="90">
        <f>K24-K$3</f>
        <v>-0.80919999999998993</v>
      </c>
      <c r="O24" s="90">
        <f>L24-L$3</f>
        <v>0.12960000000000349</v>
      </c>
    </row>
    <row r="25" spans="1:15" x14ac:dyDescent="0.25">
      <c r="A25" s="88">
        <f>LossChart!A25</f>
        <v>43014</v>
      </c>
      <c r="B25" s="85">
        <f>LossChart!B25</f>
        <v>23</v>
      </c>
      <c r="C25" s="85">
        <v>195</v>
      </c>
      <c r="I25" s="89">
        <f t="shared" si="0"/>
        <v>-7.8000000000000114</v>
      </c>
    </row>
    <row r="26" spans="1:15" x14ac:dyDescent="0.25">
      <c r="A26" s="88">
        <f>LossChart!A26</f>
        <v>43015</v>
      </c>
      <c r="B26" s="85">
        <f>LossChart!B26</f>
        <v>24</v>
      </c>
      <c r="C26" s="85">
        <v>196</v>
      </c>
      <c r="I26" s="89">
        <f t="shared" si="0"/>
        <v>-6.8000000000000114</v>
      </c>
    </row>
    <row r="27" spans="1:15" x14ac:dyDescent="0.25">
      <c r="A27" s="88">
        <f>LossChart!A27</f>
        <v>43016</v>
      </c>
      <c r="B27" s="85">
        <f>LossChart!B27</f>
        <v>25</v>
      </c>
      <c r="C27" s="85">
        <v>197</v>
      </c>
      <c r="I27" s="89">
        <f t="shared" si="0"/>
        <v>-5.8000000000000114</v>
      </c>
    </row>
    <row r="28" spans="1:15" x14ac:dyDescent="0.25">
      <c r="A28" s="88">
        <f>LossChart!A28</f>
        <v>43017</v>
      </c>
      <c r="B28" s="85">
        <f>LossChart!B28</f>
        <v>26</v>
      </c>
      <c r="C28" s="85">
        <v>198</v>
      </c>
      <c r="I28" s="89">
        <f t="shared" si="0"/>
        <v>-4.8000000000000114</v>
      </c>
    </row>
    <row r="29" spans="1:15" x14ac:dyDescent="0.25">
      <c r="A29" s="88">
        <f>LossChart!A29</f>
        <v>43018</v>
      </c>
      <c r="B29" s="85">
        <f>LossChart!B29</f>
        <v>27</v>
      </c>
      <c r="C29" s="85">
        <v>199.8</v>
      </c>
      <c r="I29" s="89">
        <f t="shared" si="0"/>
        <v>-3</v>
      </c>
    </row>
    <row r="30" spans="1:15" x14ac:dyDescent="0.25">
      <c r="A30" s="88">
        <f>LossChart!A30</f>
        <v>43019</v>
      </c>
      <c r="B30" s="85">
        <f>LossChart!B30</f>
        <v>28</v>
      </c>
      <c r="C30" s="85">
        <v>197.4</v>
      </c>
      <c r="I30" s="89">
        <f t="shared" si="0"/>
        <v>-5.4000000000000057</v>
      </c>
    </row>
    <row r="31" spans="1:15" x14ac:dyDescent="0.25">
      <c r="A31" s="88">
        <f>LossChart!A31</f>
        <v>43020</v>
      </c>
      <c r="B31" s="85">
        <f>LossChart!B31</f>
        <v>29</v>
      </c>
      <c r="C31" s="85">
        <v>194.4</v>
      </c>
      <c r="D31" s="85">
        <v>26.6</v>
      </c>
      <c r="E31" s="85">
        <v>30.8</v>
      </c>
      <c r="F31" s="85">
        <v>38</v>
      </c>
      <c r="G31" s="85">
        <v>28.8</v>
      </c>
      <c r="I31" s="89">
        <f t="shared" si="0"/>
        <v>-8.4000000000000057</v>
      </c>
      <c r="J31" s="90">
        <f>E31*$C31/100</f>
        <v>59.875200000000007</v>
      </c>
      <c r="K31" s="90">
        <f>F31*$C31/100</f>
        <v>73.872</v>
      </c>
      <c r="L31" s="90">
        <f>G31*$C31/100</f>
        <v>55.987200000000001</v>
      </c>
      <c r="M31" s="90">
        <f>J31-J$3</f>
        <v>-5.0207999999999942</v>
      </c>
      <c r="N31" s="90">
        <f>K31-K$3</f>
        <v>-0.96119999999999095</v>
      </c>
      <c r="O31" s="90">
        <f>L31-L$3</f>
        <v>1.4399999999994861E-2</v>
      </c>
    </row>
    <row r="32" spans="1:15" x14ac:dyDescent="0.25">
      <c r="A32" s="88">
        <f>LossChart!A32</f>
        <v>43021</v>
      </c>
      <c r="B32" s="85">
        <f>LossChart!B32</f>
        <v>30</v>
      </c>
      <c r="I32" s="89">
        <f t="shared" si="0"/>
        <v>-202.8</v>
      </c>
    </row>
    <row r="33" spans="1:9" x14ac:dyDescent="0.25">
      <c r="A33" s="88">
        <f>LossChart!A33</f>
        <v>43022</v>
      </c>
      <c r="B33" s="85">
        <f>LossChart!B33</f>
        <v>31</v>
      </c>
      <c r="I33" s="89">
        <f t="shared" si="0"/>
        <v>-202.8</v>
      </c>
    </row>
    <row r="34" spans="1:9" x14ac:dyDescent="0.25">
      <c r="A34" s="88">
        <f>LossChart!A34</f>
        <v>43023</v>
      </c>
      <c r="B34" s="85">
        <f>LossChart!B34</f>
        <v>32</v>
      </c>
      <c r="I34" s="89">
        <f t="shared" si="0"/>
        <v>-202.8</v>
      </c>
    </row>
    <row r="35" spans="1:9" x14ac:dyDescent="0.25">
      <c r="A35" s="88">
        <f>LossChart!A35</f>
        <v>43024</v>
      </c>
      <c r="B35" s="85">
        <f>LossChart!B35</f>
        <v>33</v>
      </c>
      <c r="I35" s="89">
        <f t="shared" si="0"/>
        <v>-202.8</v>
      </c>
    </row>
    <row r="36" spans="1:9" x14ac:dyDescent="0.25">
      <c r="A36" s="88">
        <f>LossChart!A36</f>
        <v>43025</v>
      </c>
      <c r="B36" s="85">
        <f>LossChart!B36</f>
        <v>34</v>
      </c>
      <c r="I36" s="89">
        <f t="shared" ref="I36:I67" si="1">C36-$C$3</f>
        <v>-202.8</v>
      </c>
    </row>
    <row r="37" spans="1:9" x14ac:dyDescent="0.25">
      <c r="A37" s="88">
        <f>LossChart!A37</f>
        <v>43026</v>
      </c>
      <c r="B37" s="85">
        <f>LossChart!B37</f>
        <v>35</v>
      </c>
      <c r="I37" s="89">
        <f t="shared" si="1"/>
        <v>-202.8</v>
      </c>
    </row>
    <row r="38" spans="1:9" x14ac:dyDescent="0.25">
      <c r="A38" s="88">
        <f>LossChart!A38</f>
        <v>43027</v>
      </c>
      <c r="B38" s="85">
        <f>LossChart!B38</f>
        <v>36</v>
      </c>
      <c r="I38" s="89">
        <f t="shared" si="1"/>
        <v>-202.8</v>
      </c>
    </row>
    <row r="39" spans="1:9" x14ac:dyDescent="0.25">
      <c r="A39" s="88">
        <f>LossChart!A39</f>
        <v>43028</v>
      </c>
      <c r="B39" s="85">
        <f>LossChart!B39</f>
        <v>37</v>
      </c>
      <c r="I39" s="89">
        <f t="shared" si="1"/>
        <v>-202.8</v>
      </c>
    </row>
    <row r="40" spans="1:9" x14ac:dyDescent="0.25">
      <c r="A40" s="88">
        <f>LossChart!A40</f>
        <v>43029</v>
      </c>
      <c r="B40" s="85">
        <f>LossChart!B40</f>
        <v>38</v>
      </c>
      <c r="I40" s="89">
        <f t="shared" si="1"/>
        <v>-202.8</v>
      </c>
    </row>
    <row r="41" spans="1:9" x14ac:dyDescent="0.25">
      <c r="A41" s="88">
        <f>LossChart!A41</f>
        <v>43030</v>
      </c>
      <c r="B41" s="85">
        <f>LossChart!B41</f>
        <v>39</v>
      </c>
      <c r="I41" s="89">
        <f t="shared" si="1"/>
        <v>-202.8</v>
      </c>
    </row>
    <row r="42" spans="1:9" x14ac:dyDescent="0.25">
      <c r="A42" s="88">
        <f>LossChart!A42</f>
        <v>43031</v>
      </c>
      <c r="B42" s="85">
        <f>LossChart!B42</f>
        <v>40</v>
      </c>
      <c r="I42" s="89">
        <f t="shared" si="1"/>
        <v>-202.8</v>
      </c>
    </row>
    <row r="43" spans="1:9" x14ac:dyDescent="0.25">
      <c r="A43" s="88">
        <f>LossChart!A43</f>
        <v>43032</v>
      </c>
      <c r="B43" s="85">
        <f>LossChart!B43</f>
        <v>41</v>
      </c>
      <c r="I43" s="89">
        <f t="shared" si="1"/>
        <v>-202.8</v>
      </c>
    </row>
    <row r="44" spans="1:9" x14ac:dyDescent="0.25">
      <c r="A44" s="88">
        <f>LossChart!A44</f>
        <v>43033</v>
      </c>
      <c r="B44" s="85">
        <f>LossChart!B44</f>
        <v>42</v>
      </c>
      <c r="I44" s="89">
        <f t="shared" si="1"/>
        <v>-202.8</v>
      </c>
    </row>
    <row r="45" spans="1:9" x14ac:dyDescent="0.25">
      <c r="A45" s="88">
        <f>LossChart!A45</f>
        <v>43034</v>
      </c>
      <c r="B45" s="85">
        <f>LossChart!B45</f>
        <v>43</v>
      </c>
      <c r="I45" s="89">
        <f t="shared" si="1"/>
        <v>-202.8</v>
      </c>
    </row>
    <row r="46" spans="1:9" x14ac:dyDescent="0.25">
      <c r="A46" s="88">
        <f>LossChart!A46</f>
        <v>43035</v>
      </c>
      <c r="B46" s="85">
        <f>LossChart!B46</f>
        <v>44</v>
      </c>
      <c r="I46" s="89">
        <f t="shared" si="1"/>
        <v>-202.8</v>
      </c>
    </row>
    <row r="47" spans="1:9" x14ac:dyDescent="0.25">
      <c r="A47" s="88">
        <f>LossChart!A47</f>
        <v>43036</v>
      </c>
      <c r="B47" s="85">
        <f>LossChart!B47</f>
        <v>45</v>
      </c>
      <c r="I47" s="89">
        <f t="shared" si="1"/>
        <v>-202.8</v>
      </c>
    </row>
    <row r="48" spans="1:9" x14ac:dyDescent="0.25">
      <c r="A48" s="88">
        <f>LossChart!A48</f>
        <v>43037</v>
      </c>
      <c r="B48" s="85">
        <f>LossChart!B48</f>
        <v>46</v>
      </c>
      <c r="I48" s="89">
        <f t="shared" si="1"/>
        <v>-202.8</v>
      </c>
    </row>
    <row r="49" spans="1:9" x14ac:dyDescent="0.25">
      <c r="A49" s="88">
        <f>LossChart!A49</f>
        <v>43038</v>
      </c>
      <c r="B49" s="85">
        <f>LossChart!B49</f>
        <v>47</v>
      </c>
      <c r="I49" s="89">
        <f t="shared" si="1"/>
        <v>-202.8</v>
      </c>
    </row>
    <row r="50" spans="1:9" x14ac:dyDescent="0.25">
      <c r="A50" s="88">
        <f>LossChart!A50</f>
        <v>43039</v>
      </c>
      <c r="B50" s="85">
        <f>LossChart!B50</f>
        <v>48</v>
      </c>
      <c r="I50" s="89">
        <f t="shared" si="1"/>
        <v>-202.8</v>
      </c>
    </row>
    <row r="51" spans="1:9" x14ac:dyDescent="0.25">
      <c r="A51" s="88">
        <f>LossChart!A51</f>
        <v>43040</v>
      </c>
      <c r="B51" s="85">
        <f>LossChart!B51</f>
        <v>49</v>
      </c>
      <c r="I51" s="89">
        <f t="shared" si="1"/>
        <v>-202.8</v>
      </c>
    </row>
    <row r="52" spans="1:9" x14ac:dyDescent="0.25">
      <c r="A52" s="88">
        <f>LossChart!A52</f>
        <v>43041</v>
      </c>
      <c r="B52" s="85">
        <f>LossChart!B52</f>
        <v>50</v>
      </c>
      <c r="I52" s="89">
        <f t="shared" si="1"/>
        <v>-202.8</v>
      </c>
    </row>
    <row r="53" spans="1:9" x14ac:dyDescent="0.25">
      <c r="A53" s="88">
        <f>LossChart!A53</f>
        <v>43042</v>
      </c>
      <c r="B53" s="85">
        <f>LossChart!B53</f>
        <v>51</v>
      </c>
      <c r="I53" s="89">
        <f t="shared" si="1"/>
        <v>-202.8</v>
      </c>
    </row>
    <row r="54" spans="1:9" x14ac:dyDescent="0.25">
      <c r="A54" s="88">
        <f>LossChart!A54</f>
        <v>43043</v>
      </c>
      <c r="B54" s="85">
        <f>LossChart!B54</f>
        <v>52</v>
      </c>
      <c r="I54" s="89">
        <f t="shared" si="1"/>
        <v>-202.8</v>
      </c>
    </row>
    <row r="55" spans="1:9" x14ac:dyDescent="0.25">
      <c r="A55" s="88">
        <f>LossChart!A55</f>
        <v>43044</v>
      </c>
      <c r="B55" s="85">
        <f>LossChart!B55</f>
        <v>53</v>
      </c>
      <c r="I55" s="89">
        <f t="shared" si="1"/>
        <v>-202.8</v>
      </c>
    </row>
    <row r="56" spans="1:9" x14ac:dyDescent="0.25">
      <c r="A56" s="88">
        <f>LossChart!A56</f>
        <v>43045</v>
      </c>
      <c r="B56" s="85">
        <f>LossChart!B56</f>
        <v>54</v>
      </c>
      <c r="I56" s="89">
        <f t="shared" si="1"/>
        <v>-202.8</v>
      </c>
    </row>
    <row r="57" spans="1:9" x14ac:dyDescent="0.25">
      <c r="A57" s="88">
        <f>LossChart!A57</f>
        <v>43046</v>
      </c>
      <c r="B57" s="85">
        <f>LossChart!B57</f>
        <v>55</v>
      </c>
      <c r="I57" s="89">
        <f t="shared" si="1"/>
        <v>-202.8</v>
      </c>
    </row>
    <row r="58" spans="1:9" x14ac:dyDescent="0.25">
      <c r="A58" s="88">
        <f>LossChart!A58</f>
        <v>43047</v>
      </c>
      <c r="B58" s="85">
        <f>LossChart!B58</f>
        <v>56</v>
      </c>
      <c r="I58" s="89">
        <f t="shared" si="1"/>
        <v>-202.8</v>
      </c>
    </row>
    <row r="59" spans="1:9" x14ac:dyDescent="0.25">
      <c r="A59" s="88">
        <f>LossChart!A59</f>
        <v>43048</v>
      </c>
      <c r="B59" s="85">
        <f>LossChart!B59</f>
        <v>57</v>
      </c>
      <c r="I59" s="89">
        <f t="shared" si="1"/>
        <v>-202.8</v>
      </c>
    </row>
    <row r="60" spans="1:9" x14ac:dyDescent="0.25">
      <c r="A60" s="88">
        <f>LossChart!A60</f>
        <v>43049</v>
      </c>
      <c r="B60" s="85">
        <f>LossChart!B60</f>
        <v>58</v>
      </c>
      <c r="I60" s="89">
        <f t="shared" si="1"/>
        <v>-202.8</v>
      </c>
    </row>
    <row r="61" spans="1:9" x14ac:dyDescent="0.25">
      <c r="A61" s="88">
        <f>LossChart!A61</f>
        <v>43050</v>
      </c>
      <c r="B61" s="85">
        <f>LossChart!B61</f>
        <v>59</v>
      </c>
      <c r="I61" s="89">
        <f t="shared" si="1"/>
        <v>-202.8</v>
      </c>
    </row>
    <row r="62" spans="1:9" x14ac:dyDescent="0.25">
      <c r="A62" s="88">
        <f>LossChart!A62</f>
        <v>43051</v>
      </c>
      <c r="B62" s="85">
        <f>LossChart!B62</f>
        <v>60</v>
      </c>
      <c r="I62" s="89">
        <f t="shared" si="1"/>
        <v>-202.8</v>
      </c>
    </row>
    <row r="63" spans="1:9" x14ac:dyDescent="0.25">
      <c r="A63" s="88">
        <f>LossChart!A63</f>
        <v>43052</v>
      </c>
      <c r="B63" s="85">
        <f>LossChart!B63</f>
        <v>61</v>
      </c>
      <c r="I63" s="89">
        <f t="shared" si="1"/>
        <v>-202.8</v>
      </c>
    </row>
    <row r="64" spans="1:9" x14ac:dyDescent="0.25">
      <c r="A64" s="88">
        <f>LossChart!A64</f>
        <v>43053</v>
      </c>
      <c r="B64" s="85">
        <f>LossChart!B64</f>
        <v>62</v>
      </c>
      <c r="I64" s="89">
        <f t="shared" si="1"/>
        <v>-202.8</v>
      </c>
    </row>
    <row r="65" spans="1:9" x14ac:dyDescent="0.25">
      <c r="A65" s="88">
        <f>LossChart!A65</f>
        <v>43054</v>
      </c>
      <c r="B65" s="85">
        <f>LossChart!B65</f>
        <v>63</v>
      </c>
      <c r="I65" s="89">
        <f t="shared" si="1"/>
        <v>-202.8</v>
      </c>
    </row>
    <row r="66" spans="1:9" x14ac:dyDescent="0.25">
      <c r="A66" s="88">
        <f>LossChart!A66</f>
        <v>43055</v>
      </c>
      <c r="B66" s="85">
        <f>LossChart!B66</f>
        <v>64</v>
      </c>
      <c r="I66" s="89">
        <f t="shared" si="1"/>
        <v>-202.8</v>
      </c>
    </row>
    <row r="67" spans="1:9" x14ac:dyDescent="0.25">
      <c r="A67" s="88">
        <f>LossChart!A67</f>
        <v>43056</v>
      </c>
      <c r="B67" s="85">
        <f>LossChart!B67</f>
        <v>65</v>
      </c>
      <c r="I67" s="89">
        <f t="shared" si="1"/>
        <v>-202.8</v>
      </c>
    </row>
    <row r="68" spans="1:9" x14ac:dyDescent="0.25">
      <c r="A68" s="88">
        <f>LossChart!A68</f>
        <v>43057</v>
      </c>
      <c r="B68" s="85">
        <f>LossChart!B68</f>
        <v>66</v>
      </c>
      <c r="I68" s="89">
        <f t="shared" ref="I68:I99" si="2">C68-$C$3</f>
        <v>-202.8</v>
      </c>
    </row>
    <row r="69" spans="1:9" x14ac:dyDescent="0.25">
      <c r="A69" s="88">
        <f>LossChart!A69</f>
        <v>43058</v>
      </c>
      <c r="B69" s="85">
        <f>LossChart!B69</f>
        <v>67</v>
      </c>
      <c r="I69" s="89">
        <f t="shared" si="2"/>
        <v>-202.8</v>
      </c>
    </row>
    <row r="70" spans="1:9" x14ac:dyDescent="0.25">
      <c r="A70" s="88">
        <f>LossChart!A70</f>
        <v>43059</v>
      </c>
      <c r="B70" s="85">
        <f>LossChart!B70</f>
        <v>68</v>
      </c>
      <c r="I70" s="89">
        <f t="shared" si="2"/>
        <v>-202.8</v>
      </c>
    </row>
    <row r="71" spans="1:9" x14ac:dyDescent="0.25">
      <c r="A71" s="88">
        <f>LossChart!A71</f>
        <v>43060</v>
      </c>
      <c r="B71" s="85">
        <f>LossChart!B71</f>
        <v>69</v>
      </c>
      <c r="I71" s="89">
        <f t="shared" si="2"/>
        <v>-202.8</v>
      </c>
    </row>
    <row r="72" spans="1:9" x14ac:dyDescent="0.25">
      <c r="A72" s="88">
        <f>LossChart!A72</f>
        <v>43061</v>
      </c>
      <c r="B72" s="85">
        <f>LossChart!B72</f>
        <v>70</v>
      </c>
      <c r="I72" s="89">
        <f t="shared" si="2"/>
        <v>-202.8</v>
      </c>
    </row>
    <row r="73" spans="1:9" x14ac:dyDescent="0.25">
      <c r="A73" s="88">
        <f>LossChart!A73</f>
        <v>43062</v>
      </c>
      <c r="B73" s="85">
        <f>LossChart!B73</f>
        <v>71</v>
      </c>
      <c r="I73" s="89">
        <f t="shared" si="2"/>
        <v>-202.8</v>
      </c>
    </row>
    <row r="74" spans="1:9" x14ac:dyDescent="0.25">
      <c r="A74" s="88">
        <f>LossChart!A74</f>
        <v>43063</v>
      </c>
      <c r="B74" s="85">
        <f>LossChart!B74</f>
        <v>72</v>
      </c>
      <c r="I74" s="89">
        <f t="shared" si="2"/>
        <v>-202.8</v>
      </c>
    </row>
    <row r="75" spans="1:9" x14ac:dyDescent="0.25">
      <c r="A75" s="88">
        <f>LossChart!A75</f>
        <v>43064</v>
      </c>
      <c r="B75" s="85">
        <f>LossChart!B75</f>
        <v>73</v>
      </c>
      <c r="I75" s="89">
        <f t="shared" si="2"/>
        <v>-202.8</v>
      </c>
    </row>
    <row r="76" spans="1:9" x14ac:dyDescent="0.25">
      <c r="A76" s="88">
        <f>LossChart!A76</f>
        <v>43065</v>
      </c>
      <c r="B76" s="85">
        <f>LossChart!B76</f>
        <v>74</v>
      </c>
      <c r="I76" s="89">
        <f t="shared" si="2"/>
        <v>-202.8</v>
      </c>
    </row>
    <row r="77" spans="1:9" x14ac:dyDescent="0.25">
      <c r="A77" s="88">
        <f>LossChart!A77</f>
        <v>43066</v>
      </c>
      <c r="B77" s="85">
        <f>LossChart!B77</f>
        <v>75</v>
      </c>
      <c r="I77" s="89">
        <f t="shared" si="2"/>
        <v>-202.8</v>
      </c>
    </row>
    <row r="78" spans="1:9" x14ac:dyDescent="0.25">
      <c r="A78" s="88">
        <f>LossChart!A78</f>
        <v>43067</v>
      </c>
      <c r="B78" s="85">
        <f>LossChart!B78</f>
        <v>76</v>
      </c>
      <c r="I78" s="89">
        <f t="shared" si="2"/>
        <v>-202.8</v>
      </c>
    </row>
    <row r="79" spans="1:9" x14ac:dyDescent="0.25">
      <c r="A79" s="88">
        <f>LossChart!A79</f>
        <v>43068</v>
      </c>
      <c r="B79" s="85">
        <f>LossChart!B79</f>
        <v>77</v>
      </c>
      <c r="I79" s="89">
        <f t="shared" si="2"/>
        <v>-202.8</v>
      </c>
    </row>
    <row r="80" spans="1:9" x14ac:dyDescent="0.25">
      <c r="A80" s="88">
        <f>LossChart!A80</f>
        <v>43069</v>
      </c>
      <c r="B80" s="85">
        <f>LossChart!B80</f>
        <v>78</v>
      </c>
      <c r="I80" s="89">
        <f t="shared" si="2"/>
        <v>-202.8</v>
      </c>
    </row>
    <row r="81" spans="1:9" x14ac:dyDescent="0.25">
      <c r="A81" s="88">
        <f>LossChart!A81</f>
        <v>43070</v>
      </c>
      <c r="B81" s="85">
        <f>LossChart!B81</f>
        <v>79</v>
      </c>
      <c r="I81" s="89">
        <f t="shared" si="2"/>
        <v>-202.8</v>
      </c>
    </row>
    <row r="82" spans="1:9" x14ac:dyDescent="0.25">
      <c r="A82" s="88">
        <f>LossChart!A82</f>
        <v>43071</v>
      </c>
      <c r="B82" s="85">
        <f>LossChart!B82</f>
        <v>80</v>
      </c>
      <c r="I82" s="89">
        <f t="shared" si="2"/>
        <v>-202.8</v>
      </c>
    </row>
    <row r="83" spans="1:9" x14ac:dyDescent="0.25">
      <c r="A83" s="88">
        <f>LossChart!A83</f>
        <v>43072</v>
      </c>
      <c r="B83" s="85">
        <f>LossChart!B83</f>
        <v>81</v>
      </c>
      <c r="I83" s="89">
        <f t="shared" si="2"/>
        <v>-202.8</v>
      </c>
    </row>
    <row r="84" spans="1:9" x14ac:dyDescent="0.25">
      <c r="A84" s="88">
        <f>LossChart!A84</f>
        <v>43073</v>
      </c>
      <c r="B84" s="85">
        <f>LossChart!B84</f>
        <v>82</v>
      </c>
      <c r="I84" s="89">
        <f t="shared" si="2"/>
        <v>-202.8</v>
      </c>
    </row>
    <row r="85" spans="1:9" x14ac:dyDescent="0.25">
      <c r="A85" s="88">
        <f>LossChart!A85</f>
        <v>43074</v>
      </c>
      <c r="B85" s="85">
        <f>LossChart!B85</f>
        <v>83</v>
      </c>
      <c r="I85" s="89">
        <f t="shared" si="2"/>
        <v>-202.8</v>
      </c>
    </row>
    <row r="86" spans="1:9" x14ac:dyDescent="0.25">
      <c r="A86" s="88">
        <f>LossChart!A86</f>
        <v>43075</v>
      </c>
      <c r="B86" s="85">
        <f>LossChart!B86</f>
        <v>84</v>
      </c>
      <c r="I86" s="89">
        <f t="shared" si="2"/>
        <v>-202.8</v>
      </c>
    </row>
    <row r="87" spans="1:9" x14ac:dyDescent="0.25">
      <c r="A87" s="88">
        <f>LossChart!A87</f>
        <v>43076</v>
      </c>
      <c r="B87" s="85">
        <f>LossChart!B87</f>
        <v>85</v>
      </c>
      <c r="I87" s="89">
        <f t="shared" si="2"/>
        <v>-202.8</v>
      </c>
    </row>
    <row r="88" spans="1:9" x14ac:dyDescent="0.25">
      <c r="A88" s="88">
        <f>LossChart!A88</f>
        <v>43077</v>
      </c>
      <c r="B88" s="85">
        <f>LossChart!B88</f>
        <v>86</v>
      </c>
      <c r="I88" s="89">
        <f t="shared" si="2"/>
        <v>-202.8</v>
      </c>
    </row>
    <row r="89" spans="1:9" x14ac:dyDescent="0.25">
      <c r="A89" s="88">
        <f>LossChart!A89</f>
        <v>43078</v>
      </c>
      <c r="B89" s="85">
        <f>LossChart!B89</f>
        <v>87</v>
      </c>
      <c r="I89" s="89">
        <f t="shared" si="2"/>
        <v>-202.8</v>
      </c>
    </row>
    <row r="90" spans="1:9" x14ac:dyDescent="0.25">
      <c r="A90" s="88">
        <f>LossChart!A90</f>
        <v>43079</v>
      </c>
      <c r="B90" s="85">
        <f>LossChart!B90</f>
        <v>88</v>
      </c>
      <c r="I90" s="89">
        <f t="shared" si="2"/>
        <v>-202.8</v>
      </c>
    </row>
    <row r="91" spans="1:9" x14ac:dyDescent="0.25">
      <c r="A91" s="88">
        <f>LossChart!A91</f>
        <v>43080</v>
      </c>
      <c r="B91" s="85">
        <f>LossChart!B91</f>
        <v>89</v>
      </c>
      <c r="I91" s="89">
        <f t="shared" si="2"/>
        <v>-202.8</v>
      </c>
    </row>
    <row r="92" spans="1:9" x14ac:dyDescent="0.25">
      <c r="A92" s="88">
        <f>LossChart!A92</f>
        <v>43081</v>
      </c>
      <c r="B92" s="85">
        <f>LossChart!B92</f>
        <v>90</v>
      </c>
      <c r="I92" s="89">
        <f t="shared" si="2"/>
        <v>-202.8</v>
      </c>
    </row>
    <row r="93" spans="1:9" x14ac:dyDescent="0.25">
      <c r="A93" s="88">
        <f>LossChart!A93</f>
        <v>43082</v>
      </c>
      <c r="B93" s="85">
        <f>LossChart!B93</f>
        <v>91</v>
      </c>
      <c r="I93" s="89">
        <f t="shared" si="2"/>
        <v>-202.8</v>
      </c>
    </row>
    <row r="94" spans="1:9" x14ac:dyDescent="0.25">
      <c r="A94" s="88">
        <f>LossChart!A94</f>
        <v>43083</v>
      </c>
      <c r="B94" s="85">
        <f>LossChart!B94</f>
        <v>92</v>
      </c>
      <c r="I94" s="89">
        <f t="shared" si="2"/>
        <v>-202.8</v>
      </c>
    </row>
    <row r="95" spans="1:9" x14ac:dyDescent="0.25">
      <c r="A95" s="88">
        <f>LossChart!A95</f>
        <v>43084</v>
      </c>
      <c r="B95" s="85">
        <f>LossChart!B95</f>
        <v>93</v>
      </c>
      <c r="I95" s="89">
        <f t="shared" si="2"/>
        <v>-202.8</v>
      </c>
    </row>
    <row r="96" spans="1:9" x14ac:dyDescent="0.25">
      <c r="A96" s="88">
        <f>LossChart!A96</f>
        <v>43085</v>
      </c>
      <c r="B96" s="85">
        <f>LossChart!B96</f>
        <v>94</v>
      </c>
      <c r="I96" s="89">
        <f t="shared" si="2"/>
        <v>-202.8</v>
      </c>
    </row>
    <row r="97" spans="1:9" x14ac:dyDescent="0.25">
      <c r="A97" s="88">
        <f>LossChart!A97</f>
        <v>43086</v>
      </c>
      <c r="B97" s="85">
        <f>LossChart!B97</f>
        <v>95</v>
      </c>
      <c r="I97" s="89">
        <f t="shared" si="2"/>
        <v>-202.8</v>
      </c>
    </row>
    <row r="98" spans="1:9" x14ac:dyDescent="0.25">
      <c r="A98" s="88">
        <f>LossChart!A98</f>
        <v>43087</v>
      </c>
      <c r="B98" s="85">
        <f>LossChart!B98</f>
        <v>96</v>
      </c>
      <c r="I98" s="89">
        <f t="shared" si="2"/>
        <v>-202.8</v>
      </c>
    </row>
    <row r="99" spans="1:9" x14ac:dyDescent="0.25">
      <c r="A99" s="88">
        <f>LossChart!A99</f>
        <v>43088</v>
      </c>
      <c r="B99" s="85">
        <f>LossChart!B99</f>
        <v>97</v>
      </c>
      <c r="I99" s="89">
        <f t="shared" si="2"/>
        <v>-202.8</v>
      </c>
    </row>
    <row r="100" spans="1:9" x14ac:dyDescent="0.25">
      <c r="A100" s="88">
        <f>LossChart!A100</f>
        <v>43089</v>
      </c>
      <c r="B100" s="85">
        <f>LossChart!B100</f>
        <v>98</v>
      </c>
      <c r="I100" s="89">
        <f t="shared" ref="I100:I111" si="3">C100-$C$3</f>
        <v>-202.8</v>
      </c>
    </row>
    <row r="101" spans="1:9" x14ac:dyDescent="0.25">
      <c r="A101" s="88">
        <f>LossChart!A101</f>
        <v>43090</v>
      </c>
      <c r="B101" s="85">
        <f>LossChart!B101</f>
        <v>99</v>
      </c>
      <c r="I101" s="89">
        <f t="shared" si="3"/>
        <v>-202.8</v>
      </c>
    </row>
    <row r="102" spans="1:9" x14ac:dyDescent="0.25">
      <c r="A102" s="88">
        <f>LossChart!A102</f>
        <v>43091</v>
      </c>
      <c r="B102" s="85">
        <f>LossChart!B102</f>
        <v>100</v>
      </c>
      <c r="I102" s="89">
        <f t="shared" si="3"/>
        <v>-202.8</v>
      </c>
    </row>
    <row r="103" spans="1:9" x14ac:dyDescent="0.25">
      <c r="A103" s="88">
        <f>LossChart!A103</f>
        <v>43092</v>
      </c>
      <c r="B103" s="85">
        <f>LossChart!B103</f>
        <v>101</v>
      </c>
      <c r="I103" s="89">
        <f t="shared" si="3"/>
        <v>-202.8</v>
      </c>
    </row>
    <row r="104" spans="1:9" x14ac:dyDescent="0.25">
      <c r="A104" s="88">
        <f>LossChart!A104</f>
        <v>43093</v>
      </c>
      <c r="B104" s="85">
        <f>LossChart!B104</f>
        <v>102</v>
      </c>
      <c r="I104" s="89">
        <f t="shared" si="3"/>
        <v>-202.8</v>
      </c>
    </row>
    <row r="105" spans="1:9" x14ac:dyDescent="0.25">
      <c r="A105" s="88">
        <f>LossChart!A105</f>
        <v>43094</v>
      </c>
      <c r="B105" s="85">
        <f>LossChart!B105</f>
        <v>103</v>
      </c>
      <c r="I105" s="89">
        <f t="shared" si="3"/>
        <v>-202.8</v>
      </c>
    </row>
    <row r="106" spans="1:9" x14ac:dyDescent="0.25">
      <c r="A106" s="88">
        <f>LossChart!A106</f>
        <v>43095</v>
      </c>
      <c r="B106" s="85">
        <f>LossChart!B106</f>
        <v>104</v>
      </c>
      <c r="I106" s="89">
        <f t="shared" si="3"/>
        <v>-202.8</v>
      </c>
    </row>
    <row r="107" spans="1:9" x14ac:dyDescent="0.25">
      <c r="A107" s="88">
        <f>LossChart!A107</f>
        <v>43096</v>
      </c>
      <c r="B107" s="85">
        <f>LossChart!B107</f>
        <v>105</v>
      </c>
      <c r="I107" s="89">
        <f t="shared" si="3"/>
        <v>-202.8</v>
      </c>
    </row>
    <row r="108" spans="1:9" x14ac:dyDescent="0.25">
      <c r="A108" s="88">
        <f>LossChart!A108</f>
        <v>43097</v>
      </c>
      <c r="B108" s="85">
        <f>LossChart!B108</f>
        <v>106</v>
      </c>
      <c r="I108" s="89">
        <f t="shared" si="3"/>
        <v>-202.8</v>
      </c>
    </row>
    <row r="109" spans="1:9" x14ac:dyDescent="0.25">
      <c r="A109" s="88">
        <f>LossChart!A109</f>
        <v>43098</v>
      </c>
      <c r="B109" s="85">
        <f>LossChart!B109</f>
        <v>107</v>
      </c>
      <c r="I109" s="89">
        <f t="shared" si="3"/>
        <v>-202.8</v>
      </c>
    </row>
    <row r="110" spans="1:9" x14ac:dyDescent="0.25">
      <c r="A110" s="88">
        <f>LossChart!A110</f>
        <v>43099</v>
      </c>
      <c r="B110" s="85">
        <f>LossChart!B110</f>
        <v>108</v>
      </c>
      <c r="I110" s="89">
        <f t="shared" si="3"/>
        <v>-202.8</v>
      </c>
    </row>
    <row r="111" spans="1:9" x14ac:dyDescent="0.25">
      <c r="A111" s="88">
        <f>LossChart!A111</f>
        <v>43100</v>
      </c>
      <c r="B111" s="85">
        <f>LossChart!B111</f>
        <v>109</v>
      </c>
      <c r="I111" s="89">
        <f t="shared" si="3"/>
        <v>-202.8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1"/>
  <sheetViews>
    <sheetView tabSelected="1" zoomScale="150" zoomScaleNormal="150" workbookViewId="0">
      <pane ySplit="1" topLeftCell="A321" activePane="bottomLeft" state="frozen"/>
      <selection pane="bottomLeft" activeCell="C323" sqref="C323"/>
    </sheetView>
  </sheetViews>
  <sheetFormatPr defaultRowHeight="15" x14ac:dyDescent="0.25"/>
  <cols>
    <col min="1" max="1" width="11.140625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8.28515625" customWidth="1"/>
    <col min="8" max="8" width="6.42578125" customWidth="1"/>
    <col min="9" max="9" width="7.5703125" customWidth="1"/>
    <col min="10" max="10" width="8" customWidth="1"/>
    <col min="11" max="11" width="1.28515625" customWidth="1"/>
    <col min="12" max="12" width="6.28515625" customWidth="1"/>
    <col min="13" max="13" width="6" customWidth="1"/>
    <col min="14" max="14" width="6.5703125" customWidth="1"/>
    <col min="15" max="15" width="6.42578125" customWidth="1"/>
    <col min="16" max="16" width="7" customWidth="1"/>
    <col min="17" max="17" width="7.140625" customWidth="1"/>
    <col min="18" max="19" width="7.5703125" customWidth="1"/>
    <col min="20" max="23" width="7.7109375" customWidth="1"/>
    <col min="24" max="1025" width="8.7109375" customWidth="1"/>
  </cols>
  <sheetData>
    <row r="1" spans="1:17" ht="45" x14ac:dyDescent="0.25">
      <c r="A1" s="21" t="s">
        <v>63</v>
      </c>
      <c r="B1" s="21" t="s">
        <v>93</v>
      </c>
      <c r="C1" s="21" t="s">
        <v>94</v>
      </c>
      <c r="D1" s="92" t="str">
        <f>FoodDB!$C$1</f>
        <v>Fat
(g)</v>
      </c>
      <c r="E1" s="92" t="str">
        <f>FoodDB!$D$1</f>
        <v xml:space="preserve"> Carbs
(g)</v>
      </c>
      <c r="F1" s="92" t="str">
        <f>FoodDB!$E$1</f>
        <v>Protein
(g)</v>
      </c>
      <c r="G1" s="92" t="str">
        <f>FoodDB!$F$1</f>
        <v>Fat
(Cal)</v>
      </c>
      <c r="H1" s="92" t="str">
        <f>FoodDB!$G$1</f>
        <v>Carb
(Cal)</v>
      </c>
      <c r="I1" s="92" t="str">
        <f>FoodDB!$H$1</f>
        <v>Protein
(Cal)</v>
      </c>
      <c r="J1" s="92" t="str">
        <f>FoodDB!$I$1</f>
        <v>Total
Calories</v>
      </c>
      <c r="K1" s="92"/>
      <c r="L1" s="21"/>
      <c r="M1" s="21"/>
      <c r="N1" s="21"/>
      <c r="O1" s="21"/>
      <c r="Q1" s="21"/>
    </row>
    <row r="2" spans="1:17" x14ac:dyDescent="0.25">
      <c r="A2" s="93">
        <v>42992</v>
      </c>
      <c r="B2" s="94" t="s">
        <v>95</v>
      </c>
      <c r="C2" s="95">
        <v>1</v>
      </c>
      <c r="D2">
        <f>$C2*VLOOKUP($B2,FoodDB!$A$2:$I$1016,3,0)</f>
        <v>0.5</v>
      </c>
      <c r="E2">
        <f>$C2*VLOOKUP($B2,FoodDB!$A$2:$I$1016,4,0)</f>
        <v>0</v>
      </c>
      <c r="F2">
        <f>$C2*VLOOKUP($B2,FoodDB!$A$2:$I$1016,5,0)</f>
        <v>50</v>
      </c>
      <c r="G2">
        <f>$C2*VLOOKUP($B2,FoodDB!$A$2:$I$1016,6,0)</f>
        <v>4.5</v>
      </c>
      <c r="H2">
        <f>$C2*VLOOKUP($B2,FoodDB!$A$2:$I$1016,7,0)</f>
        <v>0</v>
      </c>
      <c r="I2">
        <f>$C2*VLOOKUP($B2,FoodDB!$A$2:$I$1016,8,0)</f>
        <v>200</v>
      </c>
      <c r="J2">
        <f>$C2*VLOOKUP($B2,FoodDB!$A$2:$I$1016,9,0)</f>
        <v>204.5</v>
      </c>
      <c r="L2" s="96"/>
      <c r="M2" s="96"/>
      <c r="N2" s="96"/>
      <c r="O2" s="96"/>
    </row>
    <row r="3" spans="1:17" x14ac:dyDescent="0.25">
      <c r="B3" s="94" t="s">
        <v>96</v>
      </c>
      <c r="C3" s="95">
        <v>14</v>
      </c>
      <c r="D3">
        <f>$C3*VLOOKUP($B3,FoodDB!$A$2:$I$1016,3,0)</f>
        <v>0</v>
      </c>
      <c r="E3">
        <f>$C3*VLOOKUP($B3,FoodDB!$A$2:$I$1016,4,0)</f>
        <v>9</v>
      </c>
      <c r="F3">
        <f>$C3*VLOOKUP($B3,FoodDB!$A$2:$I$1016,5,0)</f>
        <v>4.5</v>
      </c>
      <c r="G3">
        <f>$C3*VLOOKUP($B3,FoodDB!$A$2:$I$1016,6,0)</f>
        <v>0</v>
      </c>
      <c r="H3">
        <f>$C3*VLOOKUP($B3,FoodDB!$A$2:$I$1016,7,0)</f>
        <v>36</v>
      </c>
      <c r="I3">
        <f>$C3*VLOOKUP($B3,FoodDB!$A$2:$I$1016,8,0)</f>
        <v>18</v>
      </c>
      <c r="J3">
        <f>$C3*VLOOKUP($B3,FoodDB!$A$2:$I$1016,9,0)</f>
        <v>54.000000000000007</v>
      </c>
      <c r="L3" s="96"/>
      <c r="M3" s="96"/>
      <c r="N3" s="96"/>
      <c r="O3" s="96"/>
    </row>
    <row r="4" spans="1:17" x14ac:dyDescent="0.25">
      <c r="B4" s="94" t="s">
        <v>95</v>
      </c>
      <c r="C4" s="95">
        <v>1</v>
      </c>
      <c r="D4">
        <f>$C4*VLOOKUP($B4,FoodDB!$A$2:$I$1016,3,0)</f>
        <v>0.5</v>
      </c>
      <c r="E4">
        <f>$C4*VLOOKUP($B4,FoodDB!$A$2:$I$1016,4,0)</f>
        <v>0</v>
      </c>
      <c r="F4">
        <f>$C4*VLOOKUP($B4,FoodDB!$A$2:$I$1016,5,0)</f>
        <v>50</v>
      </c>
      <c r="G4">
        <f>$C4*VLOOKUP($B4,FoodDB!$A$2:$I$1016,6,0)</f>
        <v>4.5</v>
      </c>
      <c r="H4">
        <f>$C4*VLOOKUP($B4,FoodDB!$A$2:$I$1016,7,0)</f>
        <v>0</v>
      </c>
      <c r="I4">
        <f>$C4*VLOOKUP($B4,FoodDB!$A$2:$I$1016,8,0)</f>
        <v>200</v>
      </c>
      <c r="J4">
        <f>$C4*VLOOKUP($B4,FoodDB!$A$2:$I$1016,9,0)</f>
        <v>204.5</v>
      </c>
      <c r="L4" s="96"/>
      <c r="M4" s="96"/>
      <c r="N4" s="96"/>
      <c r="O4" s="96"/>
    </row>
    <row r="5" spans="1:17" x14ac:dyDescent="0.25">
      <c r="B5" s="94" t="s">
        <v>97</v>
      </c>
      <c r="C5" s="95">
        <v>2</v>
      </c>
      <c r="D5">
        <f>$C5*VLOOKUP($B5,FoodDB!$A$2:$I$1016,3,0)</f>
        <v>18</v>
      </c>
      <c r="E5">
        <f>$C5*VLOOKUP($B5,FoodDB!$A$2:$I$1016,4,0)</f>
        <v>4</v>
      </c>
      <c r="F5">
        <f>$C5*VLOOKUP($B5,FoodDB!$A$2:$I$1016,5,0)</f>
        <v>9.4</v>
      </c>
      <c r="G5">
        <f>$C5*VLOOKUP($B5,FoodDB!$A$2:$I$1016,6,0)</f>
        <v>162</v>
      </c>
      <c r="H5">
        <f>$C5*VLOOKUP($B5,FoodDB!$A$2:$I$1016,7,0)</f>
        <v>16</v>
      </c>
      <c r="I5">
        <f>$C5*VLOOKUP($B5,FoodDB!$A$2:$I$1016,8,0)</f>
        <v>37.6</v>
      </c>
      <c r="J5">
        <f>$C5*VLOOKUP($B5,FoodDB!$A$2:$I$1016,9,0)</f>
        <v>215.6</v>
      </c>
      <c r="L5" s="96"/>
      <c r="M5" s="96"/>
      <c r="N5" s="96"/>
      <c r="O5" s="96"/>
    </row>
    <row r="6" spans="1:17" x14ac:dyDescent="0.25">
      <c r="A6" t="s">
        <v>98</v>
      </c>
      <c r="G6">
        <f>SUM(G2:G5)</f>
        <v>171</v>
      </c>
      <c r="H6">
        <f>SUM(H2:H5)</f>
        <v>52</v>
      </c>
      <c r="I6">
        <f>SUM(I2:I5)</f>
        <v>455.6</v>
      </c>
      <c r="J6">
        <f>SUM(J2:J5)</f>
        <v>678.6</v>
      </c>
      <c r="L6" s="97"/>
      <c r="M6" s="97"/>
      <c r="N6" s="97"/>
      <c r="O6" s="97"/>
    </row>
    <row r="8" spans="1:17" ht="45" x14ac:dyDescent="0.25">
      <c r="A8" s="21" t="s">
        <v>63</v>
      </c>
      <c r="B8" s="21" t="s">
        <v>93</v>
      </c>
      <c r="C8" s="21" t="s">
        <v>94</v>
      </c>
      <c r="D8" s="92" t="str">
        <f>FoodDB!$C$1</f>
        <v>Fat
(g)</v>
      </c>
      <c r="E8" s="92" t="str">
        <f>FoodDB!$D$1</f>
        <v xml:space="preserve"> Carbs
(g)</v>
      </c>
      <c r="F8" s="92" t="str">
        <f>FoodDB!$E$1</f>
        <v>Protein
(g)</v>
      </c>
      <c r="G8" s="92" t="str">
        <f>FoodDB!$F$1</f>
        <v>Fat
(Cal)</v>
      </c>
      <c r="H8" s="92" t="str">
        <f>FoodDB!$G$1</f>
        <v>Carb
(Cal)</v>
      </c>
      <c r="I8" s="92" t="str">
        <f>FoodDB!$H$1</f>
        <v>Protein
(Cal)</v>
      </c>
      <c r="J8" s="92" t="str">
        <f>FoodDB!$I$1</f>
        <v>Total
Calories</v>
      </c>
      <c r="K8" s="92"/>
      <c r="L8" s="21"/>
      <c r="M8" s="21"/>
      <c r="N8" s="21"/>
      <c r="O8" s="21"/>
      <c r="Q8" s="21"/>
    </row>
    <row r="9" spans="1:17" x14ac:dyDescent="0.25">
      <c r="A9" s="93">
        <v>42993</v>
      </c>
      <c r="B9" s="94" t="s">
        <v>95</v>
      </c>
      <c r="C9" s="95">
        <v>1.5</v>
      </c>
      <c r="D9">
        <f>$C9*VLOOKUP($B9,FoodDB!$A$2:$I$1016,3,0)</f>
        <v>0.75</v>
      </c>
      <c r="E9">
        <f>$C9*VLOOKUP($B9,FoodDB!$A$2:$I$1016,4,0)</f>
        <v>0</v>
      </c>
      <c r="F9">
        <f>$C9*VLOOKUP($B9,FoodDB!$A$2:$I$1016,5,0)</f>
        <v>75</v>
      </c>
      <c r="G9">
        <f>$C9*VLOOKUP($B9,FoodDB!$A$2:$I$1016,6,0)</f>
        <v>6.75</v>
      </c>
      <c r="H9">
        <f>$C9*VLOOKUP($B9,FoodDB!$A$2:$I$1016,7,0)</f>
        <v>0</v>
      </c>
      <c r="I9">
        <f>$C9*VLOOKUP($B9,FoodDB!$A$2:$I$1016,8,0)</f>
        <v>300</v>
      </c>
      <c r="J9">
        <f>$C9*VLOOKUP($B9,FoodDB!$A$2:$I$1016,9,0)</f>
        <v>306.75</v>
      </c>
    </row>
    <row r="10" spans="1:17" x14ac:dyDescent="0.25">
      <c r="B10" s="94" t="s">
        <v>99</v>
      </c>
      <c r="C10" s="95">
        <v>3</v>
      </c>
      <c r="D10">
        <f>$C10*VLOOKUP($B10,FoodDB!$A$2:$I$1016,3,0)</f>
        <v>18.54</v>
      </c>
      <c r="E10">
        <f>$C10*VLOOKUP($B10,FoodDB!$A$2:$I$1016,4,0)</f>
        <v>0</v>
      </c>
      <c r="F10">
        <f>$C10*VLOOKUP($B10,FoodDB!$A$2:$I$1016,5,0)</f>
        <v>25.56</v>
      </c>
      <c r="G10">
        <f>$C10*VLOOKUP($B10,FoodDB!$A$2:$I$1016,6,0)</f>
        <v>166.85999999999999</v>
      </c>
      <c r="H10">
        <f>$C10*VLOOKUP($B10,FoodDB!$A$2:$I$1016,7,0)</f>
        <v>0</v>
      </c>
      <c r="I10">
        <f>$C10*VLOOKUP($B10,FoodDB!$A$2:$I$1016,8,0)</f>
        <v>102.24</v>
      </c>
      <c r="J10">
        <f>$C10*VLOOKUP($B10,FoodDB!$A$2:$I$1016,9,0)</f>
        <v>269.09999999999997</v>
      </c>
    </row>
    <row r="11" spans="1:17" x14ac:dyDescent="0.25">
      <c r="A11" t="s">
        <v>98</v>
      </c>
      <c r="G11">
        <f>SUM(G9:G10)</f>
        <v>173.60999999999999</v>
      </c>
      <c r="H11">
        <f>SUM(H9:H10)</f>
        <v>0</v>
      </c>
      <c r="I11">
        <f>SUM(I9:I10)</f>
        <v>402.24</v>
      </c>
      <c r="J11">
        <f>SUM(J9:J10)</f>
        <v>575.84999999999991</v>
      </c>
      <c r="L11" s="97"/>
      <c r="M11" s="97"/>
      <c r="N11" s="97"/>
      <c r="O11" s="97"/>
    </row>
    <row r="13" spans="1:17" ht="45" x14ac:dyDescent="0.25">
      <c r="A13" s="21" t="s">
        <v>63</v>
      </c>
      <c r="B13" s="21" t="s">
        <v>93</v>
      </c>
      <c r="C13" s="21" t="s">
        <v>94</v>
      </c>
      <c r="D13" s="92" t="str">
        <f>FoodDB!$C$1</f>
        <v>Fat
(g)</v>
      </c>
      <c r="E13" s="92" t="str">
        <f>FoodDB!$D$1</f>
        <v xml:space="preserve"> Carbs
(g)</v>
      </c>
      <c r="F13" s="92" t="str">
        <f>FoodDB!$E$1</f>
        <v>Protein
(g)</v>
      </c>
      <c r="G13" s="92" t="str">
        <f>FoodDB!$F$1</f>
        <v>Fat
(Cal)</v>
      </c>
      <c r="H13" s="92" t="str">
        <f>FoodDB!$G$1</f>
        <v>Carb
(Cal)</v>
      </c>
      <c r="I13" s="92" t="str">
        <f>FoodDB!$H$1</f>
        <v>Protein
(Cal)</v>
      </c>
      <c r="J13" s="92" t="str">
        <f>FoodDB!$I$1</f>
        <v>Total
Calories</v>
      </c>
      <c r="K13" s="92"/>
      <c r="L13" s="21"/>
      <c r="M13" s="21"/>
      <c r="N13" s="21"/>
      <c r="O13" s="21"/>
    </row>
    <row r="14" spans="1:17" x14ac:dyDescent="0.25">
      <c r="A14" s="93">
        <v>42994</v>
      </c>
      <c r="B14" s="94" t="s">
        <v>95</v>
      </c>
      <c r="C14" s="95">
        <v>1</v>
      </c>
      <c r="D14">
        <f>$C14*VLOOKUP($B14,FoodDB!$A$2:$I$1016,3,0)</f>
        <v>0.5</v>
      </c>
      <c r="E14">
        <f>$C14*VLOOKUP($B14,FoodDB!$A$2:$I$1016,4,0)</f>
        <v>0</v>
      </c>
      <c r="F14">
        <f>$C14*VLOOKUP($B14,FoodDB!$A$2:$I$1016,5,0)</f>
        <v>50</v>
      </c>
      <c r="G14">
        <f>$C14*VLOOKUP($B14,FoodDB!$A$2:$I$1016,6,0)</f>
        <v>4.5</v>
      </c>
      <c r="H14">
        <f>$C14*VLOOKUP($B14,FoodDB!$A$2:$I$1016,7,0)</f>
        <v>0</v>
      </c>
      <c r="I14">
        <f>$C14*VLOOKUP($B14,FoodDB!$A$2:$I$1016,8,0)</f>
        <v>200</v>
      </c>
      <c r="J14">
        <f>$C14*VLOOKUP($B14,FoodDB!$A$2:$I$1016,9,0)</f>
        <v>204.5</v>
      </c>
    </row>
    <row r="15" spans="1:17" x14ac:dyDescent="0.25">
      <c r="B15" s="94" t="s">
        <v>100</v>
      </c>
      <c r="C15" s="95">
        <v>7</v>
      </c>
      <c r="D15">
        <f>$C15*VLOOKUP($B15,FoodDB!$A$2:$I$1016,3,0)</f>
        <v>0</v>
      </c>
      <c r="E15">
        <f>$C15*VLOOKUP($B15,FoodDB!$A$2:$I$1016,4,0)</f>
        <v>7</v>
      </c>
      <c r="F15">
        <f>$C15*VLOOKUP($B15,FoodDB!$A$2:$I$1016,5,0)</f>
        <v>4.2</v>
      </c>
      <c r="G15">
        <f>$C15*VLOOKUP($B15,FoodDB!$A$2:$I$1016,6,0)</f>
        <v>0</v>
      </c>
      <c r="H15">
        <f>$C15*VLOOKUP($B15,FoodDB!$A$2:$I$1016,7,0)</f>
        <v>28</v>
      </c>
      <c r="I15">
        <f>$C15*VLOOKUP($B15,FoodDB!$A$2:$I$1016,8,0)</f>
        <v>16.8</v>
      </c>
      <c r="J15">
        <f>$C15*VLOOKUP($B15,FoodDB!$A$2:$I$1016,9,0)</f>
        <v>44.800000000000004</v>
      </c>
    </row>
    <row r="16" spans="1:17" x14ac:dyDescent="0.25">
      <c r="B16" s="94" t="s">
        <v>99</v>
      </c>
      <c r="C16">
        <v>5</v>
      </c>
      <c r="D16">
        <f>$C16*VLOOKUP($B16,FoodDB!$A$2:$I$1016,3,0)</f>
        <v>30.9</v>
      </c>
      <c r="E16">
        <f>$C16*VLOOKUP($B16,FoodDB!$A$2:$I$1016,4,0)</f>
        <v>0</v>
      </c>
      <c r="F16">
        <f>$C16*VLOOKUP($B16,FoodDB!$A$2:$I$1016,5,0)</f>
        <v>42.599999999999994</v>
      </c>
      <c r="G16">
        <f>$C16*VLOOKUP($B16,FoodDB!$A$2:$I$1016,6,0)</f>
        <v>278.09999999999997</v>
      </c>
      <c r="H16">
        <f>$C16*VLOOKUP($B16,FoodDB!$A$2:$I$1016,7,0)</f>
        <v>0</v>
      </c>
      <c r="I16">
        <f>$C16*VLOOKUP($B16,FoodDB!$A$2:$I$1016,8,0)</f>
        <v>170.39999999999998</v>
      </c>
      <c r="J16">
        <f>$C16*VLOOKUP($B16,FoodDB!$A$2:$I$1016,9,0)</f>
        <v>448.49999999999994</v>
      </c>
    </row>
    <row r="17" spans="1:15" x14ac:dyDescent="0.25">
      <c r="A17" t="s">
        <v>98</v>
      </c>
      <c r="G17">
        <f>SUM(G14:G16)</f>
        <v>282.59999999999997</v>
      </c>
      <c r="H17">
        <f>SUM(H14:H16)</f>
        <v>28</v>
      </c>
      <c r="I17">
        <f>SUM(I14:I16)</f>
        <v>387.2</v>
      </c>
      <c r="J17">
        <f>SUM(J14:J16)</f>
        <v>697.8</v>
      </c>
      <c r="L17" s="97"/>
      <c r="M17" s="97"/>
      <c r="N17" s="97"/>
      <c r="O17" s="97"/>
    </row>
    <row r="19" spans="1:15" ht="45" x14ac:dyDescent="0.25">
      <c r="A19" s="21" t="s">
        <v>63</v>
      </c>
      <c r="B19" s="21" t="s">
        <v>93</v>
      </c>
      <c r="C19" s="21" t="s">
        <v>94</v>
      </c>
      <c r="D19" s="92" t="str">
        <f>FoodDB!$C$1</f>
        <v>Fat
(g)</v>
      </c>
      <c r="E19" s="92" t="str">
        <f>FoodDB!$D$1</f>
        <v xml:space="preserve"> Carbs
(g)</v>
      </c>
      <c r="F19" s="92" t="str">
        <f>FoodDB!$E$1</f>
        <v>Protein
(g)</v>
      </c>
      <c r="G19" s="92" t="str">
        <f>FoodDB!$F$1</f>
        <v>Fat
(Cal)</v>
      </c>
      <c r="H19" s="92" t="str">
        <f>FoodDB!$G$1</f>
        <v>Carb
(Cal)</v>
      </c>
      <c r="I19" s="92" t="str">
        <f>FoodDB!$H$1</f>
        <v>Protein
(Cal)</v>
      </c>
      <c r="J19" s="92" t="str">
        <f>FoodDB!$I$1</f>
        <v>Total
Calories</v>
      </c>
      <c r="K19" s="92"/>
    </row>
    <row r="20" spans="1:15" x14ac:dyDescent="0.25">
      <c r="A20" s="93">
        <f>A14+1</f>
        <v>42995</v>
      </c>
      <c r="B20" s="94" t="s">
        <v>95</v>
      </c>
      <c r="C20" s="95">
        <v>2</v>
      </c>
      <c r="D20">
        <f>$C20*VLOOKUP($B20,FoodDB!$A$2:$I$1016,3,0)</f>
        <v>1</v>
      </c>
      <c r="E20">
        <f>$C20*VLOOKUP($B20,FoodDB!$A$2:$I$1016,4,0)</f>
        <v>0</v>
      </c>
      <c r="F20">
        <f>$C20*VLOOKUP($B20,FoodDB!$A$2:$I$1016,5,0)</f>
        <v>100</v>
      </c>
      <c r="G20">
        <f>$C20*VLOOKUP($B20,FoodDB!$A$2:$I$1016,6,0)</f>
        <v>9</v>
      </c>
      <c r="H20">
        <f>$C20*VLOOKUP($B20,FoodDB!$A$2:$I$1016,7,0)</f>
        <v>0</v>
      </c>
      <c r="I20">
        <f>$C20*VLOOKUP($B20,FoodDB!$A$2:$I$1016,8,0)</f>
        <v>400</v>
      </c>
      <c r="J20">
        <f>$C20*VLOOKUP($B20,FoodDB!$A$2:$I$1016,9,0)</f>
        <v>409</v>
      </c>
    </row>
    <row r="21" spans="1:15" x14ac:dyDescent="0.25">
      <c r="B21" s="94" t="s">
        <v>100</v>
      </c>
      <c r="C21" s="95">
        <v>14</v>
      </c>
      <c r="D21">
        <f>$C21*VLOOKUP($B21,FoodDB!$A$2:$I$1016,3,0)</f>
        <v>0</v>
      </c>
      <c r="E21">
        <f>$C21*VLOOKUP($B21,FoodDB!$A$2:$I$1016,4,0)</f>
        <v>14</v>
      </c>
      <c r="F21">
        <f>$C21*VLOOKUP($B21,FoodDB!$A$2:$I$1016,5,0)</f>
        <v>8.4</v>
      </c>
      <c r="G21">
        <f>$C21*VLOOKUP($B21,FoodDB!$A$2:$I$1016,6,0)</f>
        <v>0</v>
      </c>
      <c r="H21">
        <f>$C21*VLOOKUP($B21,FoodDB!$A$2:$I$1016,7,0)</f>
        <v>56</v>
      </c>
      <c r="I21">
        <f>$C21*VLOOKUP($B21,FoodDB!$A$2:$I$1016,8,0)</f>
        <v>33.6</v>
      </c>
      <c r="J21">
        <f>$C21*VLOOKUP($B21,FoodDB!$A$2:$I$1016,9,0)</f>
        <v>89.600000000000009</v>
      </c>
    </row>
    <row r="22" spans="1:15" x14ac:dyDescent="0.25">
      <c r="B22" s="94" t="s">
        <v>101</v>
      </c>
      <c r="C22" s="95">
        <v>0</v>
      </c>
      <c r="D22">
        <f>$C22*VLOOKUP($B22,FoodDB!$A$2:$I$1016,3,0)</f>
        <v>0</v>
      </c>
      <c r="E22">
        <f>$C22*VLOOKUP($B22,FoodDB!$A$2:$I$1016,4,0)</f>
        <v>0</v>
      </c>
      <c r="F22">
        <f>$C22*VLOOKUP($B22,FoodDB!$A$2:$I$1016,5,0)</f>
        <v>0</v>
      </c>
      <c r="G22">
        <f>$C22*VLOOKUP($B22,FoodDB!$A$2:$I$1016,6,0)</f>
        <v>0</v>
      </c>
      <c r="H22">
        <f>$C22*VLOOKUP($B22,FoodDB!$A$2:$I$1016,7,0)</f>
        <v>0</v>
      </c>
      <c r="I22">
        <f>$C22*VLOOKUP($B22,FoodDB!$A$2:$I$1016,8,0)</f>
        <v>0</v>
      </c>
      <c r="J22">
        <f>$C22*VLOOKUP($B22,FoodDB!$A$2:$I$1016,9,0)</f>
        <v>0</v>
      </c>
    </row>
    <row r="23" spans="1:15" x14ac:dyDescent="0.25">
      <c r="B23" s="94" t="s">
        <v>99</v>
      </c>
      <c r="C23">
        <v>3</v>
      </c>
      <c r="D23">
        <f>$C23*VLOOKUP($B23,FoodDB!$A$2:$I$1016,3,0)</f>
        <v>18.54</v>
      </c>
      <c r="E23">
        <f>$C23*VLOOKUP($B23,FoodDB!$A$2:$I$1016,4,0)</f>
        <v>0</v>
      </c>
      <c r="F23">
        <f>$C23*VLOOKUP($B23,FoodDB!$A$2:$I$1016,5,0)</f>
        <v>25.56</v>
      </c>
      <c r="G23">
        <f>$C23*VLOOKUP($B23,FoodDB!$A$2:$I$1016,6,0)</f>
        <v>166.85999999999999</v>
      </c>
      <c r="H23">
        <f>$C23*VLOOKUP($B23,FoodDB!$A$2:$I$1016,7,0)</f>
        <v>0</v>
      </c>
      <c r="I23">
        <f>$C23*VLOOKUP($B23,FoodDB!$A$2:$I$1016,8,0)</f>
        <v>102.24</v>
      </c>
      <c r="J23">
        <f>$C23*VLOOKUP($B23,FoodDB!$A$2:$I$1016,9,0)</f>
        <v>269.09999999999997</v>
      </c>
    </row>
    <row r="24" spans="1:15" x14ac:dyDescent="0.25">
      <c r="A24" t="s">
        <v>98</v>
      </c>
      <c r="G24">
        <f>SUM(G20:G23)</f>
        <v>175.85999999999999</v>
      </c>
      <c r="H24">
        <f>SUM(H20:H23)</f>
        <v>56</v>
      </c>
      <c r="I24">
        <f>SUM(I20:I23)</f>
        <v>535.84</v>
      </c>
      <c r="J24">
        <f>SUM(G24:I24)</f>
        <v>767.7</v>
      </c>
    </row>
    <row r="25" spans="1:15" x14ac:dyDescent="0.25">
      <c r="A25" t="s">
        <v>102</v>
      </c>
      <c r="B25" t="s">
        <v>103</v>
      </c>
      <c r="E25" s="98"/>
      <c r="F25" s="98"/>
      <c r="G25" s="98">
        <f>LossChart!N5</f>
        <v>309.25101658121139</v>
      </c>
      <c r="H25" s="98">
        <f>LossChart!O5</f>
        <v>80</v>
      </c>
      <c r="I25" s="98">
        <f>LossChart!P5</f>
        <v>477.30407413615825</v>
      </c>
      <c r="J25" s="98">
        <f>LossChart!Q5</f>
        <v>866.55509071736969</v>
      </c>
      <c r="K25" s="98"/>
    </row>
    <row r="26" spans="1:15" x14ac:dyDescent="0.25">
      <c r="A26" t="s">
        <v>104</v>
      </c>
      <c r="G26">
        <f>G25-G24</f>
        <v>133.3910165812114</v>
      </c>
      <c r="H26">
        <f>H25-H24</f>
        <v>24</v>
      </c>
      <c r="I26">
        <f>I25-I24</f>
        <v>-58.535925863841783</v>
      </c>
      <c r="J26">
        <f>J25-J24</f>
        <v>98.855090717369649</v>
      </c>
    </row>
    <row r="28" spans="1:15" ht="45" x14ac:dyDescent="0.25">
      <c r="A28" s="21" t="s">
        <v>63</v>
      </c>
      <c r="B28" s="21" t="s">
        <v>93</v>
      </c>
      <c r="C28" s="21" t="s">
        <v>94</v>
      </c>
      <c r="D28" s="92" t="str">
        <f>FoodDB!$C$1</f>
        <v>Fat
(g)</v>
      </c>
      <c r="E28" s="92" t="str">
        <f>FoodDB!$D$1</f>
        <v xml:space="preserve"> Carbs
(g)</v>
      </c>
      <c r="F28" s="92" t="str">
        <f>FoodDB!$E$1</f>
        <v>Protein
(g)</v>
      </c>
      <c r="G28" s="92" t="str">
        <f>FoodDB!$F$1</f>
        <v>Fat
(Cal)</v>
      </c>
      <c r="H28" s="92" t="str">
        <f>FoodDB!$G$1</f>
        <v>Carb
(Cal)</v>
      </c>
      <c r="I28" s="92" t="str">
        <f>FoodDB!$H$1</f>
        <v>Protein
(Cal)</v>
      </c>
      <c r="J28" s="92" t="str">
        <f>FoodDB!$I$1</f>
        <v>Total
Calories</v>
      </c>
      <c r="K28" s="92"/>
    </row>
    <row r="29" spans="1:15" x14ac:dyDescent="0.25">
      <c r="A29" s="93">
        <f>A20+1</f>
        <v>42996</v>
      </c>
      <c r="B29" s="94" t="s">
        <v>105</v>
      </c>
      <c r="C29" s="95">
        <v>1.2</v>
      </c>
      <c r="D29">
        <f>$C29*VLOOKUP($B29,FoodDB!$A$2:$I$1016,3,0)</f>
        <v>0.96</v>
      </c>
      <c r="E29">
        <f>$C29*VLOOKUP($B29,FoodDB!$A$2:$I$1016,4,0)</f>
        <v>0</v>
      </c>
      <c r="F29">
        <f>$C29*VLOOKUP($B29,FoodDB!$A$2:$I$1016,5,0)</f>
        <v>40.799999999999997</v>
      </c>
      <c r="G29">
        <f>$C29*VLOOKUP($B29,FoodDB!$A$2:$I$1016,6,0)</f>
        <v>8.64</v>
      </c>
      <c r="H29">
        <f>$C29*VLOOKUP($B29,FoodDB!$A$2:$I$1016,7,0)</f>
        <v>0</v>
      </c>
      <c r="I29">
        <f>$C29*VLOOKUP($B29,FoodDB!$A$2:$I$1016,8,0)</f>
        <v>163.19999999999999</v>
      </c>
      <c r="J29">
        <f>$C29*VLOOKUP($B29,FoodDB!$A$2:$I$1016,9,0)</f>
        <v>171.83999999999997</v>
      </c>
    </row>
    <row r="30" spans="1:15" x14ac:dyDescent="0.25">
      <c r="B30" s="94" t="s">
        <v>95</v>
      </c>
      <c r="C30" s="95">
        <v>1</v>
      </c>
      <c r="D30">
        <f>$C30*VLOOKUP($B30,FoodDB!$A$2:$I$1016,3,0)</f>
        <v>0.5</v>
      </c>
      <c r="E30">
        <f>$C30*VLOOKUP($B30,FoodDB!$A$2:$I$1016,4,0)</f>
        <v>0</v>
      </c>
      <c r="F30">
        <f>$C30*VLOOKUP($B30,FoodDB!$A$2:$I$1016,5,0)</f>
        <v>50</v>
      </c>
      <c r="G30">
        <f>$C30*VLOOKUP($B30,FoodDB!$A$2:$I$1016,6,0)</f>
        <v>4.5</v>
      </c>
      <c r="H30">
        <f>$C30*VLOOKUP($B30,FoodDB!$A$2:$I$1016,7,0)</f>
        <v>0</v>
      </c>
      <c r="I30">
        <f>$C30*VLOOKUP($B30,FoodDB!$A$2:$I$1016,8,0)</f>
        <v>200</v>
      </c>
      <c r="J30">
        <f>$C30*VLOOKUP($B30,FoodDB!$A$2:$I$1016,9,0)</f>
        <v>204.5</v>
      </c>
    </row>
    <row r="31" spans="1:15" x14ac:dyDescent="0.25">
      <c r="B31" s="94" t="s">
        <v>96</v>
      </c>
      <c r="C31" s="95">
        <v>12</v>
      </c>
      <c r="D31">
        <f>$C31*VLOOKUP($B31,FoodDB!$A$2:$I$1016,3,0)</f>
        <v>0</v>
      </c>
      <c r="E31">
        <f>$C31*VLOOKUP($B31,FoodDB!$A$2:$I$1016,4,0)</f>
        <v>7.7142857142857153</v>
      </c>
      <c r="F31">
        <f>$C31*VLOOKUP($B31,FoodDB!$A$2:$I$1016,5,0)</f>
        <v>3.8571428571428577</v>
      </c>
      <c r="G31">
        <f>$C31*VLOOKUP($B31,FoodDB!$A$2:$I$1016,6,0)</f>
        <v>0</v>
      </c>
      <c r="H31">
        <f>$C31*VLOOKUP($B31,FoodDB!$A$2:$I$1016,7,0)</f>
        <v>30.857142857142861</v>
      </c>
      <c r="I31">
        <f>$C31*VLOOKUP($B31,FoodDB!$A$2:$I$1016,8,0)</f>
        <v>15.428571428571431</v>
      </c>
      <c r="J31">
        <f>$C31*VLOOKUP($B31,FoodDB!$A$2:$I$1016,9,0)</f>
        <v>46.285714285714292</v>
      </c>
    </row>
    <row r="32" spans="1:15" x14ac:dyDescent="0.25">
      <c r="B32" s="94" t="s">
        <v>99</v>
      </c>
      <c r="C32" s="95">
        <v>4</v>
      </c>
      <c r="D32">
        <f>$C32*VLOOKUP($B32,FoodDB!$A$2:$I$1016,3,0)</f>
        <v>24.72</v>
      </c>
      <c r="E32">
        <f>$C32*VLOOKUP($B32,FoodDB!$A$2:$I$1016,4,0)</f>
        <v>0</v>
      </c>
      <c r="F32">
        <f>$C32*VLOOKUP($B32,FoodDB!$A$2:$I$1016,5,0)</f>
        <v>34.08</v>
      </c>
      <c r="G32">
        <f>$C32*VLOOKUP($B32,FoodDB!$A$2:$I$1016,6,0)</f>
        <v>222.48</v>
      </c>
      <c r="H32">
        <f>$C32*VLOOKUP($B32,FoodDB!$A$2:$I$1016,7,0)</f>
        <v>0</v>
      </c>
      <c r="I32">
        <f>$C32*VLOOKUP($B32,FoodDB!$A$2:$I$1016,8,0)</f>
        <v>136.32</v>
      </c>
      <c r="J32">
        <f>$C32*VLOOKUP($B32,FoodDB!$A$2:$I$1016,9,0)</f>
        <v>358.79999999999995</v>
      </c>
    </row>
    <row r="33" spans="1:11" x14ac:dyDescent="0.25">
      <c r="B33" s="94" t="s">
        <v>100</v>
      </c>
      <c r="C33">
        <v>7</v>
      </c>
      <c r="D33">
        <f>$C33*VLOOKUP($B33,FoodDB!$A$2:$I$1016,3,0)</f>
        <v>0</v>
      </c>
      <c r="E33">
        <f>$C33*VLOOKUP($B33,FoodDB!$A$2:$I$1016,4,0)</f>
        <v>7</v>
      </c>
      <c r="F33">
        <f>$C33*VLOOKUP($B33,FoodDB!$A$2:$I$1016,5,0)</f>
        <v>4.2</v>
      </c>
      <c r="G33">
        <f>$C33*VLOOKUP($B33,FoodDB!$A$2:$I$1016,6,0)</f>
        <v>0</v>
      </c>
      <c r="H33">
        <f>$C33*VLOOKUP($B33,FoodDB!$A$2:$I$1016,7,0)</f>
        <v>28</v>
      </c>
      <c r="I33">
        <f>$C33*VLOOKUP($B33,FoodDB!$A$2:$I$1016,8,0)</f>
        <v>16.8</v>
      </c>
      <c r="J33">
        <f>$C33*VLOOKUP($B33,FoodDB!$A$2:$I$1016,9,0)</f>
        <v>44.800000000000004</v>
      </c>
    </row>
    <row r="34" spans="1:11" x14ac:dyDescent="0.25">
      <c r="A34" t="s">
        <v>98</v>
      </c>
      <c r="G34">
        <f>SUM(G29:G33)</f>
        <v>235.62</v>
      </c>
      <c r="H34">
        <f>SUM(H29:H33)</f>
        <v>58.857142857142861</v>
      </c>
      <c r="I34">
        <f>SUM(I29:I33)</f>
        <v>531.74857142857138</v>
      </c>
      <c r="J34">
        <f>SUM(G34:I34)</f>
        <v>826.22571428571428</v>
      </c>
    </row>
    <row r="35" spans="1:11" x14ac:dyDescent="0.25">
      <c r="A35" t="s">
        <v>102</v>
      </c>
      <c r="B35" t="s">
        <v>103</v>
      </c>
      <c r="E35" s="98"/>
      <c r="F35" s="98"/>
      <c r="G35" s="98">
        <f>LossChart!N7</f>
        <v>325.2474687323529</v>
      </c>
      <c r="H35" s="98">
        <f>LossChart!O7</f>
        <v>80</v>
      </c>
      <c r="I35" s="98">
        <f>LossChart!P7</f>
        <v>477.30407413615825</v>
      </c>
      <c r="J35" s="98">
        <f>LossChart!Q7</f>
        <v>882.55154286851121</v>
      </c>
      <c r="K35" s="98"/>
    </row>
    <row r="36" spans="1:11" x14ac:dyDescent="0.25">
      <c r="A36" t="s">
        <v>104</v>
      </c>
      <c r="G36">
        <f>G35-G34</f>
        <v>89.627468732352895</v>
      </c>
      <c r="H36">
        <f>H35-H34</f>
        <v>21.142857142857139</v>
      </c>
      <c r="I36">
        <f>I35-I34</f>
        <v>-54.444497292413132</v>
      </c>
      <c r="J36">
        <f>J35-J34</f>
        <v>56.32582858279693</v>
      </c>
    </row>
    <row r="38" spans="1:11" ht="45" x14ac:dyDescent="0.25">
      <c r="A38" s="21" t="s">
        <v>63</v>
      </c>
      <c r="B38" s="21" t="s">
        <v>93</v>
      </c>
      <c r="C38" s="21" t="s">
        <v>94</v>
      </c>
      <c r="D38" s="92" t="str">
        <f>FoodDB!$C$1</f>
        <v>Fat
(g)</v>
      </c>
      <c r="E38" s="92" t="str">
        <f>FoodDB!$D$1</f>
        <v xml:space="preserve"> Carbs
(g)</v>
      </c>
      <c r="F38" s="92" t="str">
        <f>FoodDB!$E$1</f>
        <v>Protein
(g)</v>
      </c>
      <c r="G38" s="92" t="str">
        <f>FoodDB!$F$1</f>
        <v>Fat
(Cal)</v>
      </c>
      <c r="H38" s="92" t="str">
        <f>FoodDB!$G$1</f>
        <v>Carb
(Cal)</v>
      </c>
      <c r="I38" s="92" t="str">
        <f>FoodDB!$H$1</f>
        <v>Protein
(Cal)</v>
      </c>
      <c r="J38" s="92" t="str">
        <f>FoodDB!$I$1</f>
        <v>Total
Calories</v>
      </c>
      <c r="K38" s="92"/>
    </row>
    <row r="39" spans="1:11" x14ac:dyDescent="0.25">
      <c r="A39" s="93">
        <f>A29+1</f>
        <v>42997</v>
      </c>
      <c r="B39" s="94" t="s">
        <v>105</v>
      </c>
      <c r="C39" s="95">
        <v>1.1000000000000001</v>
      </c>
      <c r="D39">
        <f>$C39*VLOOKUP($B39,FoodDB!$A$2:$I$1016,3,0)</f>
        <v>0.88000000000000012</v>
      </c>
      <c r="E39">
        <f>$C39*VLOOKUP($B39,FoodDB!$A$2:$I$1016,4,0)</f>
        <v>0</v>
      </c>
      <c r="F39">
        <f>$C39*VLOOKUP($B39,FoodDB!$A$2:$I$1016,5,0)</f>
        <v>37.400000000000006</v>
      </c>
      <c r="G39">
        <f>$C39*VLOOKUP($B39,FoodDB!$A$2:$I$1016,6,0)</f>
        <v>7.9200000000000008</v>
      </c>
      <c r="H39">
        <f>$C39*VLOOKUP($B39,FoodDB!$A$2:$I$1016,7,0)</f>
        <v>0</v>
      </c>
      <c r="I39">
        <f>$C39*VLOOKUP($B39,FoodDB!$A$2:$I$1016,8,0)</f>
        <v>149.60000000000002</v>
      </c>
      <c r="J39">
        <f>$C39*VLOOKUP($B39,FoodDB!$A$2:$I$1016,9,0)</f>
        <v>157.52000000000001</v>
      </c>
    </row>
    <row r="40" spans="1:11" x14ac:dyDescent="0.25">
      <c r="B40" s="94" t="s">
        <v>95</v>
      </c>
      <c r="C40" s="95">
        <v>1</v>
      </c>
      <c r="D40">
        <f>$C40*VLOOKUP($B40,FoodDB!$A$2:$I$1016,3,0)</f>
        <v>0.5</v>
      </c>
      <c r="E40">
        <f>$C40*VLOOKUP($B40,FoodDB!$A$2:$I$1016,4,0)</f>
        <v>0</v>
      </c>
      <c r="F40">
        <f>$C40*VLOOKUP($B40,FoodDB!$A$2:$I$1016,5,0)</f>
        <v>50</v>
      </c>
      <c r="G40">
        <f>$C40*VLOOKUP($B40,FoodDB!$A$2:$I$1016,6,0)</f>
        <v>4.5</v>
      </c>
      <c r="H40">
        <f>$C40*VLOOKUP($B40,FoodDB!$A$2:$I$1016,7,0)</f>
        <v>0</v>
      </c>
      <c r="I40">
        <f>$C40*VLOOKUP($B40,FoodDB!$A$2:$I$1016,8,0)</f>
        <v>200</v>
      </c>
      <c r="J40">
        <f>$C40*VLOOKUP($B40,FoodDB!$A$2:$I$1016,9,0)</f>
        <v>204.5</v>
      </c>
    </row>
    <row r="41" spans="1:11" x14ac:dyDescent="0.25">
      <c r="B41" s="94" t="s">
        <v>106</v>
      </c>
      <c r="C41" s="95">
        <v>4</v>
      </c>
      <c r="D41">
        <f>$C41*VLOOKUP($B41,FoodDB!$A$2:$I$1016,3,0)</f>
        <v>0.4</v>
      </c>
      <c r="E41">
        <f>$C41*VLOOKUP($B41,FoodDB!$A$2:$I$1016,4,0)</f>
        <v>7.2</v>
      </c>
      <c r="F41">
        <f>$C41*VLOOKUP($B41,FoodDB!$A$2:$I$1016,5,0)</f>
        <v>8.8000000000000007</v>
      </c>
      <c r="G41">
        <f>$C41*VLOOKUP($B41,FoodDB!$A$2:$I$1016,6,0)</f>
        <v>3.6</v>
      </c>
      <c r="H41">
        <f>$C41*VLOOKUP($B41,FoodDB!$A$2:$I$1016,7,0)</f>
        <v>28.8</v>
      </c>
      <c r="I41">
        <f>$C41*VLOOKUP($B41,FoodDB!$A$2:$I$1016,8,0)</f>
        <v>35.200000000000003</v>
      </c>
      <c r="J41">
        <f>$C41*VLOOKUP($B41,FoodDB!$A$2:$I$1016,9,0)</f>
        <v>67.599999999999994</v>
      </c>
    </row>
    <row r="42" spans="1:11" x14ac:dyDescent="0.25">
      <c r="B42" s="94" t="s">
        <v>99</v>
      </c>
      <c r="C42" s="95">
        <v>4</v>
      </c>
      <c r="D42">
        <f>$C42*VLOOKUP($B42,FoodDB!$A$2:$I$1016,3,0)</f>
        <v>24.72</v>
      </c>
      <c r="E42">
        <f>$C42*VLOOKUP($B42,FoodDB!$A$2:$I$1016,4,0)</f>
        <v>0</v>
      </c>
      <c r="F42">
        <f>$C42*VLOOKUP($B42,FoodDB!$A$2:$I$1016,5,0)</f>
        <v>34.08</v>
      </c>
      <c r="G42">
        <f>$C42*VLOOKUP($B42,FoodDB!$A$2:$I$1016,6,0)</f>
        <v>222.48</v>
      </c>
      <c r="H42">
        <f>$C42*VLOOKUP($B42,FoodDB!$A$2:$I$1016,7,0)</f>
        <v>0</v>
      </c>
      <c r="I42">
        <f>$C42*VLOOKUP($B42,FoodDB!$A$2:$I$1016,8,0)</f>
        <v>136.32</v>
      </c>
      <c r="J42">
        <f>$C42*VLOOKUP($B42,FoodDB!$A$2:$I$1016,9,0)</f>
        <v>358.79999999999995</v>
      </c>
    </row>
    <row r="43" spans="1:11" x14ac:dyDescent="0.25">
      <c r="B43" s="94" t="s">
        <v>100</v>
      </c>
      <c r="C43">
        <v>7</v>
      </c>
      <c r="D43">
        <f>$C43*VLOOKUP($B43,FoodDB!$A$2:$I$1016,3,0)</f>
        <v>0</v>
      </c>
      <c r="E43">
        <f>$C43*VLOOKUP($B43,FoodDB!$A$2:$I$1016,4,0)</f>
        <v>7</v>
      </c>
      <c r="F43">
        <f>$C43*VLOOKUP($B43,FoodDB!$A$2:$I$1016,5,0)</f>
        <v>4.2</v>
      </c>
      <c r="G43">
        <f>$C43*VLOOKUP($B43,FoodDB!$A$2:$I$1016,6,0)</f>
        <v>0</v>
      </c>
      <c r="H43">
        <f>$C43*VLOOKUP($B43,FoodDB!$A$2:$I$1016,7,0)</f>
        <v>28</v>
      </c>
      <c r="I43">
        <f>$C43*VLOOKUP($B43,FoodDB!$A$2:$I$1016,8,0)</f>
        <v>16.8</v>
      </c>
      <c r="J43">
        <f>$C43*VLOOKUP($B43,FoodDB!$A$2:$I$1016,9,0)</f>
        <v>44.800000000000004</v>
      </c>
    </row>
    <row r="44" spans="1:11" x14ac:dyDescent="0.25">
      <c r="A44" t="s">
        <v>98</v>
      </c>
      <c r="G44">
        <f>SUM(G39:G43)</f>
        <v>238.5</v>
      </c>
      <c r="H44">
        <f>SUM(H39:H43)</f>
        <v>56.8</v>
      </c>
      <c r="I44">
        <f>SUM(I39:I43)</f>
        <v>537.91999999999996</v>
      </c>
      <c r="J44">
        <f>SUM(G44:I44)</f>
        <v>833.22</v>
      </c>
    </row>
    <row r="45" spans="1:11" x14ac:dyDescent="0.25">
      <c r="A45" t="s">
        <v>102</v>
      </c>
      <c r="B45" t="s">
        <v>103</v>
      </c>
      <c r="E45" s="98"/>
      <c r="F45" s="98"/>
      <c r="G45" s="98">
        <f>LossChart!N8</f>
        <v>333.86915293279503</v>
      </c>
      <c r="H45" s="98">
        <f>LossChart!O8</f>
        <v>80</v>
      </c>
      <c r="I45" s="98">
        <f>LossChart!P8</f>
        <v>477.30407413615825</v>
      </c>
      <c r="J45" s="98">
        <f>LossChart!Q8</f>
        <v>891.17322706895334</v>
      </c>
      <c r="K45" s="98"/>
    </row>
    <row r="46" spans="1:11" x14ac:dyDescent="0.25">
      <c r="A46" t="s">
        <v>104</v>
      </c>
      <c r="G46">
        <f>G45-G44</f>
        <v>95.369152932795032</v>
      </c>
      <c r="H46">
        <f>H45-H44</f>
        <v>23.200000000000003</v>
      </c>
      <c r="I46">
        <f>I45-I44</f>
        <v>-60.61592586384171</v>
      </c>
      <c r="J46">
        <f>J45-J44</f>
        <v>57.953227068953311</v>
      </c>
    </row>
    <row r="48" spans="1:11" ht="45" x14ac:dyDescent="0.25">
      <c r="A48" s="21" t="s">
        <v>63</v>
      </c>
      <c r="B48" s="21" t="s">
        <v>93</v>
      </c>
      <c r="C48" s="21" t="s">
        <v>94</v>
      </c>
      <c r="D48" s="92" t="str">
        <f>FoodDB!$C$1</f>
        <v>Fat
(g)</v>
      </c>
      <c r="E48" s="92" t="str">
        <f>FoodDB!$D$1</f>
        <v xml:space="preserve"> Carbs
(g)</v>
      </c>
      <c r="F48" s="92" t="str">
        <f>FoodDB!$E$1</f>
        <v>Protein
(g)</v>
      </c>
      <c r="G48" s="92" t="str">
        <f>FoodDB!$F$1</f>
        <v>Fat
(Cal)</v>
      </c>
      <c r="H48" s="92" t="str">
        <f>FoodDB!$G$1</f>
        <v>Carb
(Cal)</v>
      </c>
      <c r="I48" s="92" t="str">
        <f>FoodDB!$H$1</f>
        <v>Protein
(Cal)</v>
      </c>
      <c r="J48" s="92" t="str">
        <f>FoodDB!$I$1</f>
        <v>Total
Calories</v>
      </c>
      <c r="K48" s="92"/>
    </row>
    <row r="49" spans="1:11" x14ac:dyDescent="0.25">
      <c r="A49" s="93">
        <f>A39+1</f>
        <v>42998</v>
      </c>
      <c r="B49" s="94" t="s">
        <v>105</v>
      </c>
      <c r="C49" s="95">
        <v>1.1000000000000001</v>
      </c>
      <c r="D49">
        <f>$C49*VLOOKUP($B49,FoodDB!$A$2:$I$1016,3,0)</f>
        <v>0.88000000000000012</v>
      </c>
      <c r="E49">
        <f>$C49*VLOOKUP($B49,FoodDB!$A$2:$I$1016,4,0)</f>
        <v>0</v>
      </c>
      <c r="F49">
        <f>$C49*VLOOKUP($B49,FoodDB!$A$2:$I$1016,5,0)</f>
        <v>37.400000000000006</v>
      </c>
      <c r="G49">
        <f>$C49*VLOOKUP($B49,FoodDB!$A$2:$I$1016,6,0)</f>
        <v>7.9200000000000008</v>
      </c>
      <c r="H49">
        <f>$C49*VLOOKUP($B49,FoodDB!$A$2:$I$1016,7,0)</f>
        <v>0</v>
      </c>
      <c r="I49">
        <f>$C49*VLOOKUP($B49,FoodDB!$A$2:$I$1016,8,0)</f>
        <v>149.60000000000002</v>
      </c>
      <c r="J49">
        <f>$C49*VLOOKUP($B49,FoodDB!$A$2:$I$1016,9,0)</f>
        <v>157.52000000000001</v>
      </c>
    </row>
    <row r="50" spans="1:11" x14ac:dyDescent="0.25">
      <c r="B50" s="94" t="s">
        <v>95</v>
      </c>
      <c r="C50" s="95">
        <v>1</v>
      </c>
      <c r="D50">
        <f>$C50*VLOOKUP($B50,FoodDB!$A$2:$I$1016,3,0)</f>
        <v>0.5</v>
      </c>
      <c r="E50">
        <f>$C50*VLOOKUP($B50,FoodDB!$A$2:$I$1016,4,0)</f>
        <v>0</v>
      </c>
      <c r="F50">
        <f>$C50*VLOOKUP($B50,FoodDB!$A$2:$I$1016,5,0)</f>
        <v>50</v>
      </c>
      <c r="G50">
        <f>$C50*VLOOKUP($B50,FoodDB!$A$2:$I$1016,6,0)</f>
        <v>4.5</v>
      </c>
      <c r="H50">
        <f>$C50*VLOOKUP($B50,FoodDB!$A$2:$I$1016,7,0)</f>
        <v>0</v>
      </c>
      <c r="I50">
        <f>$C50*VLOOKUP($B50,FoodDB!$A$2:$I$1016,8,0)</f>
        <v>200</v>
      </c>
      <c r="J50">
        <f>$C50*VLOOKUP($B50,FoodDB!$A$2:$I$1016,9,0)</f>
        <v>204.5</v>
      </c>
    </row>
    <row r="51" spans="1:11" x14ac:dyDescent="0.25">
      <c r="B51" s="94" t="s">
        <v>96</v>
      </c>
      <c r="C51" s="95">
        <v>8</v>
      </c>
      <c r="D51">
        <f>$C51*VLOOKUP($B51,FoodDB!$A$2:$I$1016,3,0)</f>
        <v>0</v>
      </c>
      <c r="E51">
        <f>$C51*VLOOKUP($B51,FoodDB!$A$2:$I$1016,4,0)</f>
        <v>5.1428571428571432</v>
      </c>
      <c r="F51">
        <f>$C51*VLOOKUP($B51,FoodDB!$A$2:$I$1016,5,0)</f>
        <v>2.5714285714285716</v>
      </c>
      <c r="G51">
        <f>$C51*VLOOKUP($B51,FoodDB!$A$2:$I$1016,6,0)</f>
        <v>0</v>
      </c>
      <c r="H51">
        <f>$C51*VLOOKUP($B51,FoodDB!$A$2:$I$1016,7,0)</f>
        <v>20.571428571428573</v>
      </c>
      <c r="I51">
        <f>$C51*VLOOKUP($B51,FoodDB!$A$2:$I$1016,8,0)</f>
        <v>10.285714285714286</v>
      </c>
      <c r="J51">
        <f>$C51*VLOOKUP($B51,FoodDB!$A$2:$I$1016,9,0)</f>
        <v>30.857142857142861</v>
      </c>
    </row>
    <row r="52" spans="1:11" x14ac:dyDescent="0.25">
      <c r="B52" s="94" t="s">
        <v>99</v>
      </c>
      <c r="C52" s="95">
        <v>4</v>
      </c>
      <c r="D52">
        <f>$C52*VLOOKUP($B52,FoodDB!$A$2:$I$1016,3,0)</f>
        <v>24.72</v>
      </c>
      <c r="E52">
        <f>$C52*VLOOKUP($B52,FoodDB!$A$2:$I$1016,4,0)</f>
        <v>0</v>
      </c>
      <c r="F52">
        <f>$C52*VLOOKUP($B52,FoodDB!$A$2:$I$1016,5,0)</f>
        <v>34.08</v>
      </c>
      <c r="G52">
        <f>$C52*VLOOKUP($B52,FoodDB!$A$2:$I$1016,6,0)</f>
        <v>222.48</v>
      </c>
      <c r="H52">
        <f>$C52*VLOOKUP($B52,FoodDB!$A$2:$I$1016,7,0)</f>
        <v>0</v>
      </c>
      <c r="I52">
        <f>$C52*VLOOKUP($B52,FoodDB!$A$2:$I$1016,8,0)</f>
        <v>136.32</v>
      </c>
      <c r="J52">
        <f>$C52*VLOOKUP($B52,FoodDB!$A$2:$I$1016,9,0)</f>
        <v>358.79999999999995</v>
      </c>
    </row>
    <row r="53" spans="1:11" x14ac:dyDescent="0.25">
      <c r="B53" s="94" t="s">
        <v>97</v>
      </c>
      <c r="C53" s="95">
        <v>2</v>
      </c>
      <c r="D53">
        <f>$C53*VLOOKUP($B53,FoodDB!$A$2:$I$1016,3,0)</f>
        <v>18</v>
      </c>
      <c r="E53">
        <f>$C53*VLOOKUP($B53,FoodDB!$A$2:$I$1016,4,0)</f>
        <v>4</v>
      </c>
      <c r="F53">
        <f>$C53*VLOOKUP($B53,FoodDB!$A$2:$I$1016,5,0)</f>
        <v>9.4</v>
      </c>
      <c r="G53">
        <f>$C53*VLOOKUP($B53,FoodDB!$A$2:$I$1016,6,0)</f>
        <v>162</v>
      </c>
      <c r="H53">
        <f>$C53*VLOOKUP($B53,FoodDB!$A$2:$I$1016,7,0)</f>
        <v>16</v>
      </c>
      <c r="I53">
        <f>$C53*VLOOKUP($B53,FoodDB!$A$2:$I$1016,8,0)</f>
        <v>37.6</v>
      </c>
      <c r="J53">
        <f>$C53*VLOOKUP($B53,FoodDB!$A$2:$I$1016,9,0)</f>
        <v>215.6</v>
      </c>
    </row>
    <row r="54" spans="1:11" x14ac:dyDescent="0.25">
      <c r="B54" s="94" t="s">
        <v>107</v>
      </c>
      <c r="C54" s="95">
        <v>1</v>
      </c>
      <c r="D54">
        <f>$C54*VLOOKUP($B54,FoodDB!$A$2:$I$1016,3,0)</f>
        <v>0.5</v>
      </c>
      <c r="E54">
        <f>$C54*VLOOKUP($B54,FoodDB!$A$2:$I$1016,4,0)</f>
        <v>0</v>
      </c>
      <c r="F54">
        <f>$C54*VLOOKUP($B54,FoodDB!$A$2:$I$1016,5,0)</f>
        <v>0</v>
      </c>
      <c r="G54">
        <f>$C54*VLOOKUP($B54,FoodDB!$A$2:$I$1016,6,0)</f>
        <v>4.5</v>
      </c>
      <c r="H54">
        <f>$C54*VLOOKUP($B54,FoodDB!$A$2:$I$1016,7,0)</f>
        <v>0</v>
      </c>
      <c r="I54">
        <f>$C54*VLOOKUP($B54,FoodDB!$A$2:$I$1016,8,0)</f>
        <v>0</v>
      </c>
      <c r="J54">
        <f>$C54*VLOOKUP($B54,FoodDB!$A$2:$I$1016,9,0)</f>
        <v>4.5</v>
      </c>
    </row>
    <row r="55" spans="1:11" x14ac:dyDescent="0.25">
      <c r="B55" s="94" t="s">
        <v>100</v>
      </c>
      <c r="C55">
        <v>7</v>
      </c>
      <c r="D55">
        <f>$C55*VLOOKUP($B55,FoodDB!$A$2:$I$1016,3,0)</f>
        <v>0</v>
      </c>
      <c r="E55">
        <f>$C55*VLOOKUP($B55,FoodDB!$A$2:$I$1016,4,0)</f>
        <v>7</v>
      </c>
      <c r="F55">
        <f>$C55*VLOOKUP($B55,FoodDB!$A$2:$I$1016,5,0)</f>
        <v>4.2</v>
      </c>
      <c r="G55">
        <f>$C55*VLOOKUP($B55,FoodDB!$A$2:$I$1016,6,0)</f>
        <v>0</v>
      </c>
      <c r="H55">
        <f>$C55*VLOOKUP($B55,FoodDB!$A$2:$I$1016,7,0)</f>
        <v>28</v>
      </c>
      <c r="I55">
        <f>$C55*VLOOKUP($B55,FoodDB!$A$2:$I$1016,8,0)</f>
        <v>16.8</v>
      </c>
      <c r="J55">
        <f>$C55*VLOOKUP($B55,FoodDB!$A$2:$I$1016,9,0)</f>
        <v>44.800000000000004</v>
      </c>
    </row>
    <row r="56" spans="1:11" x14ac:dyDescent="0.25">
      <c r="A56" t="s">
        <v>98</v>
      </c>
      <c r="G56">
        <f>SUM(G49:G55)</f>
        <v>401.4</v>
      </c>
      <c r="H56">
        <f>SUM(H49:H55)</f>
        <v>64.571428571428569</v>
      </c>
      <c r="I56">
        <f>SUM(I49:I55)</f>
        <v>550.60571428571427</v>
      </c>
      <c r="J56">
        <f>SUM(G56:I56)</f>
        <v>1016.5771428571428</v>
      </c>
    </row>
    <row r="57" spans="1:11" x14ac:dyDescent="0.25">
      <c r="A57" t="s">
        <v>102</v>
      </c>
      <c r="B57" t="s">
        <v>103</v>
      </c>
      <c r="E57" s="98"/>
      <c r="F57" s="98"/>
      <c r="G57" s="98">
        <f>VLOOKUP($A49,LossChart!$A$3:$AB$105,14,0)</f>
        <v>342.41447364460441</v>
      </c>
      <c r="H57" s="98">
        <f>VLOOKUP($A49,LossChart!$A$3:$AB$105,15,0)</f>
        <v>80</v>
      </c>
      <c r="I57" s="98">
        <f>VLOOKUP($A49,LossChart!$A$3:$AB$105,16,0)</f>
        <v>477.30407413615825</v>
      </c>
      <c r="J57" s="98">
        <f>VLOOKUP($A49,LossChart!$A$3:$AB$105,17,0)</f>
        <v>899.71854778076272</v>
      </c>
      <c r="K57" s="98"/>
    </row>
    <row r="58" spans="1:11" x14ac:dyDescent="0.25">
      <c r="A58" t="s">
        <v>104</v>
      </c>
      <c r="G58">
        <f>G57-G56</f>
        <v>-58.985526355395564</v>
      </c>
      <c r="H58">
        <f>H57-H56</f>
        <v>15.428571428571431</v>
      </c>
      <c r="I58">
        <f>I57-I56</f>
        <v>-73.301640149556022</v>
      </c>
      <c r="J58">
        <f>J57-J56</f>
        <v>-116.85859507638008</v>
      </c>
    </row>
    <row r="60" spans="1:11" ht="45" x14ac:dyDescent="0.25">
      <c r="A60" s="21" t="s">
        <v>63</v>
      </c>
      <c r="B60" s="21" t="s">
        <v>93</v>
      </c>
      <c r="C60" s="21" t="s">
        <v>94</v>
      </c>
      <c r="D60" s="92" t="str">
        <f>FoodDB!$C$1</f>
        <v>Fat
(g)</v>
      </c>
      <c r="E60" s="92" t="str">
        <f>FoodDB!$D$1</f>
        <v xml:space="preserve"> Carbs
(g)</v>
      </c>
      <c r="F60" s="92" t="str">
        <f>FoodDB!$E$1</f>
        <v>Protein
(g)</v>
      </c>
      <c r="G60" s="92" t="str">
        <f>FoodDB!$F$1</f>
        <v>Fat
(Cal)</v>
      </c>
      <c r="H60" s="92" t="str">
        <f>FoodDB!$G$1</f>
        <v>Carb
(Cal)</v>
      </c>
      <c r="I60" s="92" t="str">
        <f>FoodDB!$H$1</f>
        <v>Protein
(Cal)</v>
      </c>
      <c r="J60" s="92" t="str">
        <f>FoodDB!$I$1</f>
        <v>Total
Calories</v>
      </c>
      <c r="K60" s="92"/>
    </row>
    <row r="61" spans="1:11" x14ac:dyDescent="0.25">
      <c r="A61" s="93">
        <f>A49+1</f>
        <v>42999</v>
      </c>
      <c r="B61" s="94" t="s">
        <v>95</v>
      </c>
      <c r="C61" s="95">
        <v>1</v>
      </c>
      <c r="D61">
        <f>$C61*VLOOKUP($B61,FoodDB!$A$2:$I$1016,3,0)</f>
        <v>0.5</v>
      </c>
      <c r="E61">
        <f>$C61*VLOOKUP($B61,FoodDB!$A$2:$I$1016,4,0)</f>
        <v>0</v>
      </c>
      <c r="F61">
        <f>$C61*VLOOKUP($B61,FoodDB!$A$2:$I$1016,5,0)</f>
        <v>50</v>
      </c>
      <c r="G61">
        <f>$C61*VLOOKUP($B61,FoodDB!$A$2:$I$1016,6,0)</f>
        <v>4.5</v>
      </c>
      <c r="H61">
        <f>$C61*VLOOKUP($B61,FoodDB!$A$2:$I$1016,7,0)</f>
        <v>0</v>
      </c>
      <c r="I61">
        <f>$C61*VLOOKUP($B61,FoodDB!$A$2:$I$1016,8,0)</f>
        <v>200</v>
      </c>
      <c r="J61">
        <f>$C61*VLOOKUP($B61,FoodDB!$A$2:$I$1016,9,0)</f>
        <v>204.5</v>
      </c>
    </row>
    <row r="62" spans="1:11" x14ac:dyDescent="0.25">
      <c r="B62" s="94" t="s">
        <v>99</v>
      </c>
      <c r="C62" s="95">
        <v>3</v>
      </c>
      <c r="D62">
        <f>$C62*VLOOKUP($B62,FoodDB!$A$2:$I$1016,3,0)</f>
        <v>18.54</v>
      </c>
      <c r="E62">
        <f>$C62*VLOOKUP($B62,FoodDB!$A$2:$I$1016,4,0)</f>
        <v>0</v>
      </c>
      <c r="F62">
        <f>$C62*VLOOKUP($B62,FoodDB!$A$2:$I$1016,5,0)</f>
        <v>25.56</v>
      </c>
      <c r="G62">
        <f>$C62*VLOOKUP($B62,FoodDB!$A$2:$I$1016,6,0)</f>
        <v>166.85999999999999</v>
      </c>
      <c r="H62">
        <f>$C62*VLOOKUP($B62,FoodDB!$A$2:$I$1016,7,0)</f>
        <v>0</v>
      </c>
      <c r="I62">
        <f>$C62*VLOOKUP($B62,FoodDB!$A$2:$I$1016,8,0)</f>
        <v>102.24</v>
      </c>
      <c r="J62">
        <f>$C62*VLOOKUP($B62,FoodDB!$A$2:$I$1016,9,0)</f>
        <v>269.09999999999997</v>
      </c>
    </row>
    <row r="63" spans="1:11" x14ac:dyDescent="0.25">
      <c r="B63" s="94" t="s">
        <v>105</v>
      </c>
      <c r="C63" s="95">
        <v>1</v>
      </c>
      <c r="D63">
        <f>$C63*VLOOKUP($B63,FoodDB!$A$2:$I$1016,3,0)</f>
        <v>0.8</v>
      </c>
      <c r="E63">
        <f>$C63*VLOOKUP($B63,FoodDB!$A$2:$I$1016,4,0)</f>
        <v>0</v>
      </c>
      <c r="F63">
        <f>$C63*VLOOKUP($B63,FoodDB!$A$2:$I$1016,5,0)</f>
        <v>34</v>
      </c>
      <c r="G63">
        <f>$C63*VLOOKUP($B63,FoodDB!$A$2:$I$1016,6,0)</f>
        <v>7.2</v>
      </c>
      <c r="H63">
        <f>$C63*VLOOKUP($B63,FoodDB!$A$2:$I$1016,7,0)</f>
        <v>0</v>
      </c>
      <c r="I63">
        <f>$C63*VLOOKUP($B63,FoodDB!$A$2:$I$1016,8,0)</f>
        <v>136</v>
      </c>
      <c r="J63">
        <f>$C63*VLOOKUP($B63,FoodDB!$A$2:$I$1016,9,0)</f>
        <v>143.19999999999999</v>
      </c>
    </row>
    <row r="64" spans="1:11" x14ac:dyDescent="0.25">
      <c r="B64" s="94" t="s">
        <v>100</v>
      </c>
      <c r="C64" s="95">
        <v>7</v>
      </c>
      <c r="D64">
        <f>$C64*VLOOKUP($B64,FoodDB!$A$2:$I$1016,3,0)</f>
        <v>0</v>
      </c>
      <c r="E64">
        <f>$C64*VLOOKUP($B64,FoodDB!$A$2:$I$1016,4,0)</f>
        <v>7</v>
      </c>
      <c r="F64">
        <f>$C64*VLOOKUP($B64,FoodDB!$A$2:$I$1016,5,0)</f>
        <v>4.2</v>
      </c>
      <c r="G64">
        <f>$C64*VLOOKUP($B64,FoodDB!$A$2:$I$1016,6,0)</f>
        <v>0</v>
      </c>
      <c r="H64">
        <f>$C64*VLOOKUP($B64,FoodDB!$A$2:$I$1016,7,0)</f>
        <v>28</v>
      </c>
      <c r="I64">
        <f>$C64*VLOOKUP($B64,FoodDB!$A$2:$I$1016,8,0)</f>
        <v>16.8</v>
      </c>
      <c r="J64">
        <f>$C64*VLOOKUP($B64,FoodDB!$A$2:$I$1016,9,0)</f>
        <v>44.800000000000004</v>
      </c>
    </row>
    <row r="65" spans="1:11" x14ac:dyDescent="0.25">
      <c r="B65" s="94" t="s">
        <v>97</v>
      </c>
      <c r="C65" s="95">
        <v>2</v>
      </c>
      <c r="D65">
        <f>$C65*VLOOKUP($B65,FoodDB!$A$2:$I$1016,3,0)</f>
        <v>18</v>
      </c>
      <c r="E65">
        <f>$C65*VLOOKUP($B65,FoodDB!$A$2:$I$1016,4,0)</f>
        <v>4</v>
      </c>
      <c r="F65">
        <f>$C65*VLOOKUP($B65,FoodDB!$A$2:$I$1016,5,0)</f>
        <v>9.4</v>
      </c>
      <c r="G65">
        <f>$C65*VLOOKUP($B65,FoodDB!$A$2:$I$1016,6,0)</f>
        <v>162</v>
      </c>
      <c r="H65">
        <f>$C65*VLOOKUP($B65,FoodDB!$A$2:$I$1016,7,0)</f>
        <v>16</v>
      </c>
      <c r="I65">
        <f>$C65*VLOOKUP($B65,FoodDB!$A$2:$I$1016,8,0)</f>
        <v>37.6</v>
      </c>
      <c r="J65">
        <f>$C65*VLOOKUP($B65,FoodDB!$A$2:$I$1016,9,0)</f>
        <v>215.6</v>
      </c>
    </row>
    <row r="66" spans="1:11" x14ac:dyDescent="0.25">
      <c r="B66" s="94" t="s">
        <v>108</v>
      </c>
      <c r="C66" s="95">
        <v>0</v>
      </c>
      <c r="D66">
        <f>$C66*VLOOKUP($B66,FoodDB!$A$2:$I$1016,3,0)</f>
        <v>0</v>
      </c>
      <c r="E66">
        <f>$C66*VLOOKUP($B66,FoodDB!$A$2:$I$1016,4,0)</f>
        <v>0</v>
      </c>
      <c r="F66">
        <f>$C66*VLOOKUP($B66,FoodDB!$A$2:$I$1016,5,0)</f>
        <v>0</v>
      </c>
      <c r="G66">
        <f>$C66*VLOOKUP($B66,FoodDB!$A$2:$I$1016,6,0)</f>
        <v>0</v>
      </c>
      <c r="H66">
        <f>$C66*VLOOKUP($B66,FoodDB!$A$2:$I$1016,7,0)</f>
        <v>0</v>
      </c>
      <c r="I66">
        <f>$C66*VLOOKUP($B66,FoodDB!$A$2:$I$1016,8,0)</f>
        <v>0</v>
      </c>
      <c r="J66">
        <f>$C66*VLOOKUP($B66,FoodDB!$A$2:$I$1016,9,0)</f>
        <v>0</v>
      </c>
    </row>
    <row r="67" spans="1:11" x14ac:dyDescent="0.25">
      <c r="B67" s="94" t="s">
        <v>108</v>
      </c>
      <c r="C67" s="95">
        <v>0</v>
      </c>
      <c r="D67">
        <f>$C67*VLOOKUP($B67,FoodDB!$A$2:$I$1016,3,0)</f>
        <v>0</v>
      </c>
      <c r="E67">
        <f>$C67*VLOOKUP($B67,FoodDB!$A$2:$I$1016,4,0)</f>
        <v>0</v>
      </c>
      <c r="F67">
        <f>$C67*VLOOKUP($B67,FoodDB!$A$2:$I$1016,5,0)</f>
        <v>0</v>
      </c>
      <c r="G67">
        <f>$C67*VLOOKUP($B67,FoodDB!$A$2:$I$1016,6,0)</f>
        <v>0</v>
      </c>
      <c r="H67">
        <f>$C67*VLOOKUP($B67,FoodDB!$A$2:$I$1016,7,0)</f>
        <v>0</v>
      </c>
      <c r="I67">
        <f>$C67*VLOOKUP($B67,FoodDB!$A$2:$I$1016,8,0)</f>
        <v>0</v>
      </c>
      <c r="J67">
        <f>$C67*VLOOKUP($B67,FoodDB!$A$2:$I$1016,9,0)</f>
        <v>0</v>
      </c>
    </row>
    <row r="68" spans="1:11" x14ac:dyDescent="0.25">
      <c r="A68" t="s">
        <v>98</v>
      </c>
      <c r="G68">
        <f>SUM(G61:G67)</f>
        <v>340.55999999999995</v>
      </c>
      <c r="H68">
        <f>SUM(H61:H67)</f>
        <v>44</v>
      </c>
      <c r="I68">
        <f>SUM(I61:I67)</f>
        <v>492.64000000000004</v>
      </c>
      <c r="J68">
        <f>SUM(G68:I68)</f>
        <v>877.2</v>
      </c>
    </row>
    <row r="69" spans="1:11" x14ac:dyDescent="0.25">
      <c r="A69" t="s">
        <v>102</v>
      </c>
      <c r="B69" t="s">
        <v>103</v>
      </c>
      <c r="E69" s="98"/>
      <c r="F69" s="98"/>
      <c r="G69" s="98">
        <f>VLOOKUP($A61,LossChart!$A$3:$AB$105,14,0)</f>
        <v>350.26452305755288</v>
      </c>
      <c r="H69" s="98">
        <f>VLOOKUP($A61,LossChart!$A$3:$AB$105,15,0)</f>
        <v>80</v>
      </c>
      <c r="I69" s="98">
        <f>VLOOKUP($A61,LossChart!$A$3:$AB$105,16,0)</f>
        <v>477.30407413615825</v>
      </c>
      <c r="J69" s="98">
        <f>VLOOKUP($A61,LossChart!$A$3:$AB$105,17,0)</f>
        <v>907.56859719371118</v>
      </c>
      <c r="K69" s="98"/>
    </row>
    <row r="70" spans="1:11" x14ac:dyDescent="0.25">
      <c r="A70" t="s">
        <v>104</v>
      </c>
      <c r="G70">
        <f>G69-G68</f>
        <v>9.7045230575529331</v>
      </c>
      <c r="H70">
        <f>H69-H68</f>
        <v>36</v>
      </c>
      <c r="I70">
        <f>I69-I68</f>
        <v>-15.335925863841794</v>
      </c>
      <c r="J70">
        <f>J69-J68</f>
        <v>30.368597193711139</v>
      </c>
    </row>
    <row r="72" spans="1:11" ht="45" x14ac:dyDescent="0.25">
      <c r="A72" s="21" t="s">
        <v>63</v>
      </c>
      <c r="B72" s="21" t="s">
        <v>93</v>
      </c>
      <c r="C72" s="21" t="s">
        <v>94</v>
      </c>
      <c r="D72" s="92" t="str">
        <f>FoodDB!$C$1</f>
        <v>Fat
(g)</v>
      </c>
      <c r="E72" s="92" t="str">
        <f>FoodDB!$D$1</f>
        <v xml:space="preserve"> Carbs
(g)</v>
      </c>
      <c r="F72" s="92" t="str">
        <f>FoodDB!$E$1</f>
        <v>Protein
(g)</v>
      </c>
      <c r="G72" s="92" t="str">
        <f>FoodDB!$F$1</f>
        <v>Fat
(Cal)</v>
      </c>
      <c r="H72" s="92" t="str">
        <f>FoodDB!$G$1</f>
        <v>Carb
(Cal)</v>
      </c>
      <c r="I72" s="92" t="str">
        <f>FoodDB!$H$1</f>
        <v>Protein
(Cal)</v>
      </c>
      <c r="J72" s="92" t="str">
        <f>FoodDB!$I$1</f>
        <v>Total
Calories</v>
      </c>
      <c r="K72" s="92"/>
    </row>
    <row r="73" spans="1:11" x14ac:dyDescent="0.25">
      <c r="A73" s="93">
        <f>A61+1</f>
        <v>43000</v>
      </c>
      <c r="B73" s="94" t="s">
        <v>105</v>
      </c>
      <c r="C73" s="95">
        <v>3.3</v>
      </c>
      <c r="D73">
        <f>$C73*VLOOKUP($B73,FoodDB!$A$2:$I$1016,3,0)</f>
        <v>2.64</v>
      </c>
      <c r="E73">
        <f>$C73*VLOOKUP($B73,FoodDB!$A$2:$I$1016,4,0)</f>
        <v>0</v>
      </c>
      <c r="F73">
        <f>$C73*VLOOKUP($B73,FoodDB!$A$2:$I$1016,5,0)</f>
        <v>112.19999999999999</v>
      </c>
      <c r="G73">
        <f>$C73*VLOOKUP($B73,FoodDB!$A$2:$I$1016,6,0)</f>
        <v>23.759999999999998</v>
      </c>
      <c r="H73">
        <f>$C73*VLOOKUP($B73,FoodDB!$A$2:$I$1016,7,0)</f>
        <v>0</v>
      </c>
      <c r="I73">
        <f>$C73*VLOOKUP($B73,FoodDB!$A$2:$I$1016,8,0)</f>
        <v>448.79999999999995</v>
      </c>
      <c r="J73">
        <f>$C73*VLOOKUP($B73,FoodDB!$A$2:$I$1016,9,0)</f>
        <v>472.55999999999995</v>
      </c>
    </row>
    <row r="74" spans="1:11" x14ac:dyDescent="0.25">
      <c r="B74" s="94" t="s">
        <v>96</v>
      </c>
      <c r="C74" s="95">
        <v>20</v>
      </c>
      <c r="D74">
        <f>$C74*VLOOKUP($B74,FoodDB!$A$2:$I$1016,3,0)</f>
        <v>0</v>
      </c>
      <c r="E74">
        <f>$C74*VLOOKUP($B74,FoodDB!$A$2:$I$1016,4,0)</f>
        <v>12.857142857142858</v>
      </c>
      <c r="F74">
        <f>$C74*VLOOKUP($B74,FoodDB!$A$2:$I$1016,5,0)</f>
        <v>6.4285714285714288</v>
      </c>
      <c r="G74">
        <f>$C74*VLOOKUP($B74,FoodDB!$A$2:$I$1016,6,0)</f>
        <v>0</v>
      </c>
      <c r="H74">
        <f>$C74*VLOOKUP($B74,FoodDB!$A$2:$I$1016,7,0)</f>
        <v>51.428571428571431</v>
      </c>
      <c r="I74">
        <f>$C74*VLOOKUP($B74,FoodDB!$A$2:$I$1016,8,0)</f>
        <v>25.714285714285715</v>
      </c>
      <c r="J74">
        <f>$C74*VLOOKUP($B74,FoodDB!$A$2:$I$1016,9,0)</f>
        <v>77.142857142857153</v>
      </c>
    </row>
    <row r="75" spans="1:11" x14ac:dyDescent="0.25">
      <c r="B75" s="94" t="s">
        <v>107</v>
      </c>
      <c r="C75" s="95">
        <v>3</v>
      </c>
      <c r="D75">
        <f>$C75*VLOOKUP($B75,FoodDB!$A$2:$I$1016,3,0)</f>
        <v>1.5</v>
      </c>
      <c r="E75">
        <f>$C75*VLOOKUP($B75,FoodDB!$A$2:$I$1016,4,0)</f>
        <v>0</v>
      </c>
      <c r="F75">
        <f>$C75*VLOOKUP($B75,FoodDB!$A$2:$I$1016,5,0)</f>
        <v>0</v>
      </c>
      <c r="G75">
        <f>$C75*VLOOKUP($B75,FoodDB!$A$2:$I$1016,6,0)</f>
        <v>13.5</v>
      </c>
      <c r="H75">
        <f>$C75*VLOOKUP($B75,FoodDB!$A$2:$I$1016,7,0)</f>
        <v>0</v>
      </c>
      <c r="I75">
        <f>$C75*VLOOKUP($B75,FoodDB!$A$2:$I$1016,8,0)</f>
        <v>0</v>
      </c>
      <c r="J75">
        <f>$C75*VLOOKUP($B75,FoodDB!$A$2:$I$1016,9,0)</f>
        <v>13.5</v>
      </c>
    </row>
    <row r="76" spans="1:11" x14ac:dyDescent="0.25">
      <c r="B76" s="94" t="s">
        <v>100</v>
      </c>
      <c r="C76" s="95">
        <v>7</v>
      </c>
      <c r="D76">
        <f>$C76*VLOOKUP($B76,FoodDB!$A$2:$I$1016,3,0)</f>
        <v>0</v>
      </c>
      <c r="E76">
        <f>$C76*VLOOKUP($B76,FoodDB!$A$2:$I$1016,4,0)</f>
        <v>7</v>
      </c>
      <c r="F76">
        <f>$C76*VLOOKUP($B76,FoodDB!$A$2:$I$1016,5,0)</f>
        <v>4.2</v>
      </c>
      <c r="G76">
        <f>$C76*VLOOKUP($B76,FoodDB!$A$2:$I$1016,6,0)</f>
        <v>0</v>
      </c>
      <c r="H76">
        <f>$C76*VLOOKUP($B76,FoodDB!$A$2:$I$1016,7,0)</f>
        <v>28</v>
      </c>
      <c r="I76">
        <f>$C76*VLOOKUP($B76,FoodDB!$A$2:$I$1016,8,0)</f>
        <v>16.8</v>
      </c>
      <c r="J76">
        <f>$C76*VLOOKUP($B76,FoodDB!$A$2:$I$1016,9,0)</f>
        <v>44.800000000000004</v>
      </c>
    </row>
    <row r="77" spans="1:11" x14ac:dyDescent="0.25">
      <c r="B77" s="94" t="s">
        <v>109</v>
      </c>
      <c r="C77" s="95">
        <v>4</v>
      </c>
      <c r="D77">
        <f>$C77*VLOOKUP($B77,FoodDB!$A$2:$I$1016,3,0)</f>
        <v>48</v>
      </c>
      <c r="E77">
        <f>$C77*VLOOKUP($B77,FoodDB!$A$2:$I$1016,4,0)</f>
        <v>0</v>
      </c>
      <c r="F77">
        <f>$C77*VLOOKUP($B77,FoodDB!$A$2:$I$1016,5,0)</f>
        <v>0</v>
      </c>
      <c r="G77">
        <f>$C77*VLOOKUP($B77,FoodDB!$A$2:$I$1016,6,0)</f>
        <v>432</v>
      </c>
      <c r="H77">
        <f>$C77*VLOOKUP($B77,FoodDB!$A$2:$I$1016,7,0)</f>
        <v>0</v>
      </c>
      <c r="I77">
        <f>$C77*VLOOKUP($B77,FoodDB!$A$2:$I$1016,8,0)</f>
        <v>0</v>
      </c>
      <c r="J77">
        <f>$C77*VLOOKUP($B77,FoodDB!$A$2:$I$1016,9,0)</f>
        <v>432</v>
      </c>
    </row>
    <row r="78" spans="1:11" x14ac:dyDescent="0.25">
      <c r="B78" s="94" t="s">
        <v>108</v>
      </c>
      <c r="C78" s="95">
        <v>0</v>
      </c>
      <c r="D78">
        <f>$C78*VLOOKUP($B78,FoodDB!$A$2:$I$1016,3,0)</f>
        <v>0</v>
      </c>
      <c r="E78">
        <f>$C78*VLOOKUP($B78,FoodDB!$A$2:$I$1016,4,0)</f>
        <v>0</v>
      </c>
      <c r="F78">
        <f>$C78*VLOOKUP($B78,FoodDB!$A$2:$I$1016,5,0)</f>
        <v>0</v>
      </c>
      <c r="G78">
        <f>$C78*VLOOKUP($B78,FoodDB!$A$2:$I$1016,6,0)</f>
        <v>0</v>
      </c>
      <c r="H78">
        <f>$C78*VLOOKUP($B78,FoodDB!$A$2:$I$1016,7,0)</f>
        <v>0</v>
      </c>
      <c r="I78">
        <f>$C78*VLOOKUP($B78,FoodDB!$A$2:$I$1016,8,0)</f>
        <v>0</v>
      </c>
      <c r="J78">
        <f>$C78*VLOOKUP($B78,FoodDB!$A$2:$I$1016,9,0)</f>
        <v>0</v>
      </c>
    </row>
    <row r="79" spans="1:11" x14ac:dyDescent="0.25">
      <c r="B79" s="94" t="s">
        <v>108</v>
      </c>
      <c r="C79" s="95">
        <v>0</v>
      </c>
      <c r="D79">
        <f>$C79*VLOOKUP($B79,FoodDB!$A$2:$I$1016,3,0)</f>
        <v>0</v>
      </c>
      <c r="E79">
        <f>$C79*VLOOKUP($B79,FoodDB!$A$2:$I$1016,4,0)</f>
        <v>0</v>
      </c>
      <c r="F79">
        <f>$C79*VLOOKUP($B79,FoodDB!$A$2:$I$1016,5,0)</f>
        <v>0</v>
      </c>
      <c r="G79">
        <f>$C79*VLOOKUP($B79,FoodDB!$A$2:$I$1016,6,0)</f>
        <v>0</v>
      </c>
      <c r="H79">
        <f>$C79*VLOOKUP($B79,FoodDB!$A$2:$I$1016,7,0)</f>
        <v>0</v>
      </c>
      <c r="I79">
        <f>$C79*VLOOKUP($B79,FoodDB!$A$2:$I$1016,8,0)</f>
        <v>0</v>
      </c>
      <c r="J79">
        <f>$C79*VLOOKUP($B79,FoodDB!$A$2:$I$1016,9,0)</f>
        <v>0</v>
      </c>
    </row>
    <row r="80" spans="1:11" x14ac:dyDescent="0.25">
      <c r="A80" t="s">
        <v>98</v>
      </c>
      <c r="D80">
        <f>G80/9</f>
        <v>52.14</v>
      </c>
      <c r="E80">
        <f>H80/4</f>
        <v>19.857142857142858</v>
      </c>
      <c r="F80">
        <f>I80/4</f>
        <v>122.82857142857142</v>
      </c>
      <c r="G80">
        <f>SUM(G73:G79)</f>
        <v>469.26</v>
      </c>
      <c r="H80">
        <f>SUM(H73:H79)</f>
        <v>79.428571428571431</v>
      </c>
      <c r="I80">
        <f>SUM(I73:I79)</f>
        <v>491.31428571428569</v>
      </c>
      <c r="J80">
        <f>SUM(G80:I80)</f>
        <v>1040.002857142857</v>
      </c>
    </row>
    <row r="81" spans="1:23" x14ac:dyDescent="0.25">
      <c r="A81" t="s">
        <v>102</v>
      </c>
      <c r="B81" t="s">
        <v>103</v>
      </c>
      <c r="E81" s="98"/>
      <c r="F81" s="98"/>
      <c r="G81" s="98">
        <f>VLOOKUP($A73,LossChart!$A$3:$AB$105,14,0)</f>
        <v>358.66462763397203</v>
      </c>
      <c r="H81" s="98">
        <f>VLOOKUP($A73,LossChart!$A$3:$AB$105,15,0)</f>
        <v>80</v>
      </c>
      <c r="I81" s="98">
        <f>VLOOKUP($A73,LossChart!$A$3:$AB$105,16,0)</f>
        <v>477.30407413615825</v>
      </c>
      <c r="J81" s="98">
        <f>VLOOKUP($A73,LossChart!$A$3:$AB$105,17,0)</f>
        <v>915.96870177013034</v>
      </c>
      <c r="K81" s="98"/>
    </row>
    <row r="82" spans="1:23" x14ac:dyDescent="0.25">
      <c r="A82" t="s">
        <v>104</v>
      </c>
      <c r="G82">
        <f>G81-G80</f>
        <v>-110.59537236602796</v>
      </c>
      <c r="H82">
        <f>H81-H80</f>
        <v>0.5714285714285694</v>
      </c>
      <c r="I82">
        <f>I81-I80</f>
        <v>-14.010211578127439</v>
      </c>
      <c r="J82">
        <f>J81-J80</f>
        <v>-124.03415537272667</v>
      </c>
    </row>
    <row r="84" spans="1:23" ht="45" x14ac:dyDescent="0.25">
      <c r="A84" s="21" t="s">
        <v>63</v>
      </c>
      <c r="B84" s="21" t="s">
        <v>93</v>
      </c>
      <c r="C84" s="21" t="s">
        <v>94</v>
      </c>
      <c r="D84" s="92" t="str">
        <f>FoodDB!$C$1</f>
        <v>Fat
(g)</v>
      </c>
      <c r="E84" s="92" t="str">
        <f>FoodDB!$D$1</f>
        <v xml:space="preserve"> Carbs
(g)</v>
      </c>
      <c r="F84" s="92" t="str">
        <f>FoodDB!$E$1</f>
        <v>Protein
(g)</v>
      </c>
      <c r="G84" s="92" t="str">
        <f>FoodDB!$F$1</f>
        <v>Fat
(Cal)</v>
      </c>
      <c r="H84" s="92" t="str">
        <f>FoodDB!$G$1</f>
        <v>Carb
(Cal)</v>
      </c>
      <c r="I84" s="92" t="str">
        <f>FoodDB!$H$1</f>
        <v>Protein
(Cal)</v>
      </c>
      <c r="J84" s="92" t="str">
        <f>FoodDB!$I$1</f>
        <v>Total
Calories</v>
      </c>
      <c r="K84" s="92"/>
      <c r="L84" s="92" t="s">
        <v>110</v>
      </c>
      <c r="M84" s="92" t="s">
        <v>111</v>
      </c>
      <c r="N84" s="92" t="s">
        <v>112</v>
      </c>
      <c r="O84" s="92" t="s">
        <v>113</v>
      </c>
      <c r="P84" s="92" t="s">
        <v>114</v>
      </c>
      <c r="Q84" s="92" t="s">
        <v>115</v>
      </c>
      <c r="R84" s="92" t="s">
        <v>116</v>
      </c>
      <c r="S84" s="92" t="s">
        <v>117</v>
      </c>
      <c r="T84" s="92" t="s">
        <v>118</v>
      </c>
      <c r="U84" s="92" t="s">
        <v>119</v>
      </c>
      <c r="V84" s="92" t="s">
        <v>120</v>
      </c>
      <c r="W84" s="92" t="s">
        <v>121</v>
      </c>
    </row>
    <row r="85" spans="1:23" x14ac:dyDescent="0.25">
      <c r="A85" s="93">
        <f>A73+1</f>
        <v>43001</v>
      </c>
      <c r="B85" s="94" t="s">
        <v>122</v>
      </c>
      <c r="C85" s="95">
        <v>2</v>
      </c>
      <c r="D85">
        <f>$C85*VLOOKUP($B85,FoodDB!$A$2:$I$1016,3,0)</f>
        <v>36</v>
      </c>
      <c r="E85">
        <f>$C85*VLOOKUP($B85,FoodDB!$A$2:$I$1016,4,0)</f>
        <v>0</v>
      </c>
      <c r="F85">
        <f>$C85*VLOOKUP($B85,FoodDB!$A$2:$I$1016,5,0)</f>
        <v>52</v>
      </c>
      <c r="G85">
        <f>$C85*VLOOKUP($B85,FoodDB!$A$2:$I$1016,6,0)</f>
        <v>324</v>
      </c>
      <c r="H85">
        <f>$C85*VLOOKUP($B85,FoodDB!$A$2:$I$1016,7,0)</f>
        <v>0</v>
      </c>
      <c r="I85">
        <f>$C85*VLOOKUP($B85,FoodDB!$A$2:$I$1016,8,0)</f>
        <v>208</v>
      </c>
      <c r="J85">
        <f>$C85*VLOOKUP($B85,FoodDB!$A$2:$I$1016,9,0)</f>
        <v>532</v>
      </c>
      <c r="L85">
        <f>SUM(G85:G91)</f>
        <v>493.92</v>
      </c>
      <c r="M85">
        <f>SUM(H85:H91)</f>
        <v>28</v>
      </c>
      <c r="N85">
        <f>SUM(I85:I91)</f>
        <v>458.40000000000003</v>
      </c>
      <c r="O85">
        <f>SUM(L85:N85)</f>
        <v>980.32000000000016</v>
      </c>
      <c r="P85" s="98">
        <f>VLOOKUP($A85,LossChart!$A$3:$AB$105,14,0)</f>
        <v>366.33270229694517</v>
      </c>
      <c r="Q85" s="98">
        <f>VLOOKUP($A85,LossChart!$A$3:$AB$105,15,0)</f>
        <v>80</v>
      </c>
      <c r="R85" s="98">
        <f>VLOOKUP($A85,LossChart!$A$3:$AB$105,16,0)</f>
        <v>477.30407413615825</v>
      </c>
      <c r="S85" s="98">
        <f>VLOOKUP($A85,LossChart!$A$3:$AB$105,17,0)</f>
        <v>923.63677643310348</v>
      </c>
      <c r="T85" s="98">
        <f>P85-L85</f>
        <v>-127.58729770305484</v>
      </c>
      <c r="U85" s="98">
        <f>Q85-M85</f>
        <v>52</v>
      </c>
      <c r="V85" s="98">
        <f>R85-N85</f>
        <v>18.904074136158215</v>
      </c>
      <c r="W85" s="98">
        <f>S85-O85</f>
        <v>-56.683223566896686</v>
      </c>
    </row>
    <row r="86" spans="1:23" x14ac:dyDescent="0.25">
      <c r="B86" s="94" t="s">
        <v>123</v>
      </c>
      <c r="C86" s="95">
        <v>3</v>
      </c>
      <c r="D86">
        <f>$C86*VLOOKUP($B86,FoodDB!$A$2:$I$1016,3,0)</f>
        <v>18</v>
      </c>
      <c r="E86">
        <f>$C86*VLOOKUP($B86,FoodDB!$A$2:$I$1016,4,0)</f>
        <v>0</v>
      </c>
      <c r="F86">
        <f>$C86*VLOOKUP($B86,FoodDB!$A$2:$I$1016,5,0)</f>
        <v>21</v>
      </c>
      <c r="G86">
        <f>$C86*VLOOKUP($B86,FoodDB!$A$2:$I$1016,6,0)</f>
        <v>162</v>
      </c>
      <c r="H86">
        <f>$C86*VLOOKUP($B86,FoodDB!$A$2:$I$1016,7,0)</f>
        <v>0</v>
      </c>
      <c r="I86">
        <f>$C86*VLOOKUP($B86,FoodDB!$A$2:$I$1016,8,0)</f>
        <v>84</v>
      </c>
      <c r="J86">
        <f>$C86*VLOOKUP($B86,FoodDB!$A$2:$I$1016,9,0)</f>
        <v>246</v>
      </c>
    </row>
    <row r="87" spans="1:23" x14ac:dyDescent="0.25">
      <c r="B87" s="94" t="s">
        <v>105</v>
      </c>
      <c r="C87" s="95">
        <v>1.1000000000000001</v>
      </c>
      <c r="D87">
        <f>$C87*VLOOKUP($B87,FoodDB!$A$2:$I$1016,3,0)</f>
        <v>0.88000000000000012</v>
      </c>
      <c r="E87">
        <f>$C87*VLOOKUP($B87,FoodDB!$A$2:$I$1016,4,0)</f>
        <v>0</v>
      </c>
      <c r="F87">
        <f>$C87*VLOOKUP($B87,FoodDB!$A$2:$I$1016,5,0)</f>
        <v>37.400000000000006</v>
      </c>
      <c r="G87">
        <f>$C87*VLOOKUP($B87,FoodDB!$A$2:$I$1016,6,0)</f>
        <v>7.9200000000000008</v>
      </c>
      <c r="H87">
        <f>$C87*VLOOKUP($B87,FoodDB!$A$2:$I$1016,7,0)</f>
        <v>0</v>
      </c>
      <c r="I87">
        <f>$C87*VLOOKUP($B87,FoodDB!$A$2:$I$1016,8,0)</f>
        <v>149.60000000000002</v>
      </c>
      <c r="J87">
        <f>$C87*VLOOKUP($B87,FoodDB!$A$2:$I$1016,9,0)</f>
        <v>157.52000000000001</v>
      </c>
    </row>
    <row r="88" spans="1:23" x14ac:dyDescent="0.25">
      <c r="B88" s="94" t="s">
        <v>100</v>
      </c>
      <c r="C88" s="95">
        <v>7</v>
      </c>
      <c r="D88">
        <f>$C88*VLOOKUP($B88,FoodDB!$A$2:$I$1016,3,0)</f>
        <v>0</v>
      </c>
      <c r="E88">
        <f>$C88*VLOOKUP($B88,FoodDB!$A$2:$I$1016,4,0)</f>
        <v>7</v>
      </c>
      <c r="F88">
        <f>$C88*VLOOKUP($B88,FoodDB!$A$2:$I$1016,5,0)</f>
        <v>4.2</v>
      </c>
      <c r="G88">
        <f>$C88*VLOOKUP($B88,FoodDB!$A$2:$I$1016,6,0)</f>
        <v>0</v>
      </c>
      <c r="H88">
        <f>$C88*VLOOKUP($B88,FoodDB!$A$2:$I$1016,7,0)</f>
        <v>28</v>
      </c>
      <c r="I88">
        <f>$C88*VLOOKUP($B88,FoodDB!$A$2:$I$1016,8,0)</f>
        <v>16.8</v>
      </c>
      <c r="J88">
        <f>$C88*VLOOKUP($B88,FoodDB!$A$2:$I$1016,9,0)</f>
        <v>44.800000000000004</v>
      </c>
    </row>
    <row r="89" spans="1:23" x14ac:dyDescent="0.25">
      <c r="B89" s="94" t="s">
        <v>108</v>
      </c>
      <c r="C89" s="95">
        <v>0</v>
      </c>
      <c r="D89">
        <f>$C89*VLOOKUP($B89,FoodDB!$A$2:$I$1016,3,0)</f>
        <v>0</v>
      </c>
      <c r="E89">
        <f>$C89*VLOOKUP($B89,FoodDB!$A$2:$I$1016,4,0)</f>
        <v>0</v>
      </c>
      <c r="F89">
        <f>$C89*VLOOKUP($B89,FoodDB!$A$2:$I$1016,5,0)</f>
        <v>0</v>
      </c>
      <c r="G89">
        <f>$C89*VLOOKUP($B89,FoodDB!$A$2:$I$1016,6,0)</f>
        <v>0</v>
      </c>
      <c r="H89">
        <f>$C89*VLOOKUP($B89,FoodDB!$A$2:$I$1016,7,0)</f>
        <v>0</v>
      </c>
      <c r="I89">
        <f>$C89*VLOOKUP($B89,FoodDB!$A$2:$I$1016,8,0)</f>
        <v>0</v>
      </c>
      <c r="J89">
        <f>$C89*VLOOKUP($B89,FoodDB!$A$2:$I$1016,9,0)</f>
        <v>0</v>
      </c>
    </row>
    <row r="90" spans="1:23" x14ac:dyDescent="0.25">
      <c r="B90" s="94" t="s">
        <v>108</v>
      </c>
      <c r="C90" s="95">
        <v>0</v>
      </c>
      <c r="D90">
        <f>$C90*VLOOKUP($B90,FoodDB!$A$2:$I$1016,3,0)</f>
        <v>0</v>
      </c>
      <c r="E90">
        <f>$C90*VLOOKUP($B90,FoodDB!$A$2:$I$1016,4,0)</f>
        <v>0</v>
      </c>
      <c r="F90">
        <f>$C90*VLOOKUP($B90,FoodDB!$A$2:$I$1016,5,0)</f>
        <v>0</v>
      </c>
      <c r="G90">
        <f>$C90*VLOOKUP($B90,FoodDB!$A$2:$I$1016,6,0)</f>
        <v>0</v>
      </c>
      <c r="H90">
        <f>$C90*VLOOKUP($B90,FoodDB!$A$2:$I$1016,7,0)</f>
        <v>0</v>
      </c>
      <c r="I90">
        <f>$C90*VLOOKUP($B90,FoodDB!$A$2:$I$1016,8,0)</f>
        <v>0</v>
      </c>
      <c r="J90">
        <f>$C90*VLOOKUP($B90,FoodDB!$A$2:$I$1016,9,0)</f>
        <v>0</v>
      </c>
    </row>
    <row r="91" spans="1:23" x14ac:dyDescent="0.25">
      <c r="B91" s="94" t="s">
        <v>108</v>
      </c>
      <c r="C91" s="95">
        <v>0</v>
      </c>
      <c r="D91">
        <f>$C91*VLOOKUP($B91,FoodDB!$A$2:$I$1016,3,0)</f>
        <v>0</v>
      </c>
      <c r="E91">
        <f>$C91*VLOOKUP($B91,FoodDB!$A$2:$I$1016,4,0)</f>
        <v>0</v>
      </c>
      <c r="F91">
        <f>$C91*VLOOKUP($B91,FoodDB!$A$2:$I$1016,5,0)</f>
        <v>0</v>
      </c>
      <c r="G91">
        <f>$C91*VLOOKUP($B91,FoodDB!$A$2:$I$1016,6,0)</f>
        <v>0</v>
      </c>
      <c r="H91">
        <f>$C91*VLOOKUP($B91,FoodDB!$A$2:$I$1016,7,0)</f>
        <v>0</v>
      </c>
      <c r="I91">
        <f>$C91*VLOOKUP($B91,FoodDB!$A$2:$I$1016,8,0)</f>
        <v>0</v>
      </c>
      <c r="J91">
        <f>$C91*VLOOKUP($B91,FoodDB!$A$2:$I$1016,9,0)</f>
        <v>0</v>
      </c>
    </row>
    <row r="92" spans="1:23" x14ac:dyDescent="0.25">
      <c r="A92" t="s">
        <v>98</v>
      </c>
      <c r="G92">
        <f>SUM(G85:G91)</f>
        <v>493.92</v>
      </c>
      <c r="H92">
        <f>SUM(H85:H91)</f>
        <v>28</v>
      </c>
      <c r="I92">
        <f>SUM(I85:I91)</f>
        <v>458.40000000000003</v>
      </c>
      <c r="J92">
        <f>SUM(G92:I92)</f>
        <v>980.32000000000016</v>
      </c>
    </row>
    <row r="93" spans="1:23" x14ac:dyDescent="0.25">
      <c r="A93" t="s">
        <v>102</v>
      </c>
      <c r="B93" t="s">
        <v>103</v>
      </c>
      <c r="E93" s="98"/>
      <c r="F93" s="98"/>
      <c r="G93" s="98">
        <f>VLOOKUP($A85,LossChart!$A$3:$AB$105,14,0)</f>
        <v>366.33270229694517</v>
      </c>
      <c r="H93" s="98">
        <f>VLOOKUP($A85,LossChart!$A$3:$AB$105,15,0)</f>
        <v>80</v>
      </c>
      <c r="I93" s="98">
        <f>VLOOKUP($A85,LossChart!$A$3:$AB$105,16,0)</f>
        <v>477.30407413615825</v>
      </c>
      <c r="J93" s="98">
        <f>VLOOKUP($A85,LossChart!$A$3:$AB$105,17,0)</f>
        <v>923.63677643310348</v>
      </c>
      <c r="K93" s="98"/>
    </row>
    <row r="94" spans="1:23" x14ac:dyDescent="0.25">
      <c r="A94" t="s">
        <v>104</v>
      </c>
      <c r="G94">
        <f>G93-G92</f>
        <v>-127.58729770305484</v>
      </c>
      <c r="H94">
        <f>H93-H92</f>
        <v>52</v>
      </c>
      <c r="I94">
        <f>I93-I92</f>
        <v>18.904074136158215</v>
      </c>
      <c r="J94">
        <f>J93-J92</f>
        <v>-56.683223566896686</v>
      </c>
    </row>
    <row r="96" spans="1:23" ht="60" x14ac:dyDescent="0.25">
      <c r="A96" s="21" t="s">
        <v>63</v>
      </c>
      <c r="B96" s="21" t="s">
        <v>93</v>
      </c>
      <c r="C96" s="21" t="s">
        <v>94</v>
      </c>
      <c r="D96" s="92" t="str">
        <f>FoodDB!$C$1</f>
        <v>Fat
(g)</v>
      </c>
      <c r="E96" s="92" t="str">
        <f>FoodDB!$D$1</f>
        <v xml:space="preserve"> Carbs
(g)</v>
      </c>
      <c r="F96" s="92" t="str">
        <f>FoodDB!$E$1</f>
        <v>Protein
(g)</v>
      </c>
      <c r="G96" s="92" t="str">
        <f>FoodDB!$F$1</f>
        <v>Fat
(Cal)</v>
      </c>
      <c r="H96" s="92" t="str">
        <f>FoodDB!$G$1</f>
        <v>Carb
(Cal)</v>
      </c>
      <c r="I96" s="92" t="str">
        <f>FoodDB!$H$1</f>
        <v>Protein
(Cal)</v>
      </c>
      <c r="J96" s="92" t="str">
        <f>FoodDB!$I$1</f>
        <v>Total
Calories</v>
      </c>
      <c r="K96" s="92"/>
      <c r="L96" s="92" t="s">
        <v>110</v>
      </c>
      <c r="M96" s="92" t="s">
        <v>111</v>
      </c>
      <c r="N96" s="92" t="s">
        <v>112</v>
      </c>
      <c r="O96" s="92" t="s">
        <v>113</v>
      </c>
      <c r="P96" s="92" t="s">
        <v>118</v>
      </c>
      <c r="Q96" s="92" t="s">
        <v>119</v>
      </c>
      <c r="R96" s="92" t="s">
        <v>120</v>
      </c>
      <c r="S96" s="92" t="s">
        <v>121</v>
      </c>
      <c r="T96" s="92"/>
      <c r="U96" s="92"/>
      <c r="V96" s="92"/>
      <c r="W96" s="92"/>
    </row>
    <row r="97" spans="1:23" x14ac:dyDescent="0.25">
      <c r="A97" s="93">
        <f>A85+1</f>
        <v>43002</v>
      </c>
      <c r="B97" s="94" t="s">
        <v>105</v>
      </c>
      <c r="C97" s="95">
        <v>1.2</v>
      </c>
      <c r="D97">
        <f>$C97*VLOOKUP($B97,FoodDB!$A$2:$I$1016,3,0)</f>
        <v>0.96</v>
      </c>
      <c r="E97">
        <f>$C97*VLOOKUP($B97,FoodDB!$A$2:$I$1016,4,0)</f>
        <v>0</v>
      </c>
      <c r="F97">
        <f>$C97*VLOOKUP($B97,FoodDB!$A$2:$I$1016,5,0)</f>
        <v>40.799999999999997</v>
      </c>
      <c r="G97">
        <f>$C97*VLOOKUP($B97,FoodDB!$A$2:$I$1016,6,0)</f>
        <v>8.64</v>
      </c>
      <c r="H97">
        <f>$C97*VLOOKUP($B97,FoodDB!$A$2:$I$1016,7,0)</f>
        <v>0</v>
      </c>
      <c r="I97">
        <f>$C97*VLOOKUP($B97,FoodDB!$A$2:$I$1016,8,0)</f>
        <v>163.19999999999999</v>
      </c>
      <c r="J97">
        <f>$C97*VLOOKUP($B97,FoodDB!$A$2:$I$1016,9,0)</f>
        <v>171.83999999999997</v>
      </c>
      <c r="L97">
        <f>SUM(G97:G103)</f>
        <v>402.12</v>
      </c>
      <c r="M97">
        <f>SUM(H97:H103)</f>
        <v>80.571428571428569</v>
      </c>
      <c r="N97">
        <f>SUM(I97:I103)</f>
        <v>444.20571428571429</v>
      </c>
      <c r="O97">
        <f>SUM(L97:N97)</f>
        <v>926.89714285714285</v>
      </c>
      <c r="P97" s="98">
        <f>VLOOKUP($A97,LossChart!$A$3:$AB$105,14,0)-L97</f>
        <v>-27.83004568916806</v>
      </c>
      <c r="Q97" s="98">
        <f>VLOOKUP($A97,LossChart!$A$3:$AB$105,15,0)-M97</f>
        <v>-0.5714285714285694</v>
      </c>
      <c r="R97" s="98">
        <f>VLOOKUP($A97,LossChart!$A$3:$AB$105,16,0)-N97</f>
        <v>33.098359850443956</v>
      </c>
      <c r="S97" s="98">
        <f>VLOOKUP($A97,LossChart!$A$3:$AB$105,17,0)-O97</f>
        <v>4.6968855898473976</v>
      </c>
      <c r="T97" s="98"/>
      <c r="U97" s="98"/>
      <c r="V97" s="98"/>
      <c r="W97" s="98"/>
    </row>
    <row r="98" spans="1:23" x14ac:dyDescent="0.25">
      <c r="B98" s="94" t="s">
        <v>99</v>
      </c>
      <c r="C98" s="95">
        <v>4</v>
      </c>
      <c r="D98">
        <f>$C98*VLOOKUP($B98,FoodDB!$A$2:$I$1016,3,0)</f>
        <v>24.72</v>
      </c>
      <c r="E98">
        <f>$C98*VLOOKUP($B98,FoodDB!$A$2:$I$1016,4,0)</f>
        <v>0</v>
      </c>
      <c r="F98">
        <f>$C98*VLOOKUP($B98,FoodDB!$A$2:$I$1016,5,0)</f>
        <v>34.08</v>
      </c>
      <c r="G98">
        <f>$C98*VLOOKUP($B98,FoodDB!$A$2:$I$1016,6,0)</f>
        <v>222.48</v>
      </c>
      <c r="H98">
        <f>$C98*VLOOKUP($B98,FoodDB!$A$2:$I$1016,7,0)</f>
        <v>0</v>
      </c>
      <c r="I98">
        <f>$C98*VLOOKUP($B98,FoodDB!$A$2:$I$1016,8,0)</f>
        <v>136.32</v>
      </c>
      <c r="J98">
        <f>$C98*VLOOKUP($B98,FoodDB!$A$2:$I$1016,9,0)</f>
        <v>358.79999999999995</v>
      </c>
    </row>
    <row r="99" spans="1:23" x14ac:dyDescent="0.25">
      <c r="B99" s="94" t="s">
        <v>100</v>
      </c>
      <c r="C99" s="95">
        <v>7</v>
      </c>
      <c r="D99">
        <f>$C99*VLOOKUP($B99,FoodDB!$A$2:$I$1016,3,0)</f>
        <v>0</v>
      </c>
      <c r="E99">
        <f>$C99*VLOOKUP($B99,FoodDB!$A$2:$I$1016,4,0)</f>
        <v>7</v>
      </c>
      <c r="F99">
        <f>$C99*VLOOKUP($B99,FoodDB!$A$2:$I$1016,5,0)</f>
        <v>4.2</v>
      </c>
      <c r="G99">
        <f>$C99*VLOOKUP($B99,FoodDB!$A$2:$I$1016,6,0)</f>
        <v>0</v>
      </c>
      <c r="H99">
        <f>$C99*VLOOKUP($B99,FoodDB!$A$2:$I$1016,7,0)</f>
        <v>28</v>
      </c>
      <c r="I99">
        <f>$C99*VLOOKUP($B99,FoodDB!$A$2:$I$1016,8,0)</f>
        <v>16.8</v>
      </c>
      <c r="J99">
        <f>$C99*VLOOKUP($B99,FoodDB!$A$2:$I$1016,9,0)</f>
        <v>44.800000000000004</v>
      </c>
    </row>
    <row r="100" spans="1:23" x14ac:dyDescent="0.25">
      <c r="B100" s="94" t="s">
        <v>97</v>
      </c>
      <c r="C100" s="95">
        <v>2</v>
      </c>
      <c r="D100">
        <f>$C100*VLOOKUP($B100,FoodDB!$A$2:$I$1016,3,0)</f>
        <v>18</v>
      </c>
      <c r="E100">
        <f>$C100*VLOOKUP($B100,FoodDB!$A$2:$I$1016,4,0)</f>
        <v>4</v>
      </c>
      <c r="F100">
        <f>$C100*VLOOKUP($B100,FoodDB!$A$2:$I$1016,5,0)</f>
        <v>9.4</v>
      </c>
      <c r="G100">
        <f>$C100*VLOOKUP($B100,FoodDB!$A$2:$I$1016,6,0)</f>
        <v>162</v>
      </c>
      <c r="H100">
        <f>$C100*VLOOKUP($B100,FoodDB!$A$2:$I$1016,7,0)</f>
        <v>16</v>
      </c>
      <c r="I100">
        <f>$C100*VLOOKUP($B100,FoodDB!$A$2:$I$1016,8,0)</f>
        <v>37.6</v>
      </c>
      <c r="J100">
        <f>$C100*VLOOKUP($B100,FoodDB!$A$2:$I$1016,9,0)</f>
        <v>215.6</v>
      </c>
    </row>
    <row r="101" spans="1:23" x14ac:dyDescent="0.25">
      <c r="B101" s="94" t="s">
        <v>96</v>
      </c>
      <c r="C101" s="95">
        <v>8</v>
      </c>
      <c r="D101">
        <f>$C101*VLOOKUP($B101,FoodDB!$A$2:$I$1016,3,0)</f>
        <v>0</v>
      </c>
      <c r="E101">
        <f>$C101*VLOOKUP($B101,FoodDB!$A$2:$I$1016,4,0)</f>
        <v>5.1428571428571432</v>
      </c>
      <c r="F101">
        <f>$C101*VLOOKUP($B101,FoodDB!$A$2:$I$1016,5,0)</f>
        <v>2.5714285714285716</v>
      </c>
      <c r="G101">
        <f>$C101*VLOOKUP($B101,FoodDB!$A$2:$I$1016,6,0)</f>
        <v>0</v>
      </c>
      <c r="H101">
        <f>$C101*VLOOKUP($B101,FoodDB!$A$2:$I$1016,7,0)</f>
        <v>20.571428571428573</v>
      </c>
      <c r="I101">
        <f>$C101*VLOOKUP($B101,FoodDB!$A$2:$I$1016,8,0)</f>
        <v>10.285714285714286</v>
      </c>
      <c r="J101">
        <f>$C101*VLOOKUP($B101,FoodDB!$A$2:$I$1016,9,0)</f>
        <v>30.857142857142861</v>
      </c>
    </row>
    <row r="102" spans="1:23" x14ac:dyDescent="0.25">
      <c r="B102" s="94" t="s">
        <v>124</v>
      </c>
      <c r="C102" s="95">
        <v>2</v>
      </c>
      <c r="D102">
        <f>$C102*VLOOKUP($B102,FoodDB!$A$2:$I$1016,3,0)</f>
        <v>1</v>
      </c>
      <c r="E102">
        <f>$C102*VLOOKUP($B102,FoodDB!$A$2:$I$1016,4,0)</f>
        <v>4</v>
      </c>
      <c r="F102">
        <f>$C102*VLOOKUP($B102,FoodDB!$A$2:$I$1016,5,0)</f>
        <v>20</v>
      </c>
      <c r="G102">
        <f>$C102*VLOOKUP($B102,FoodDB!$A$2:$I$1016,6,0)</f>
        <v>9</v>
      </c>
      <c r="H102">
        <f>$C102*VLOOKUP($B102,FoodDB!$A$2:$I$1016,7,0)</f>
        <v>16</v>
      </c>
      <c r="I102">
        <f>$C102*VLOOKUP($B102,FoodDB!$A$2:$I$1016,8,0)</f>
        <v>80</v>
      </c>
      <c r="J102">
        <f>$C102*VLOOKUP($B102,FoodDB!$A$2:$I$1016,9,0)</f>
        <v>105</v>
      </c>
    </row>
    <row r="103" spans="1:23" x14ac:dyDescent="0.25">
      <c r="B103" s="94" t="s">
        <v>108</v>
      </c>
      <c r="C103" s="95">
        <v>0</v>
      </c>
      <c r="D103">
        <f>$C103*VLOOKUP($B103,FoodDB!$A$2:$I$1016,3,0)</f>
        <v>0</v>
      </c>
      <c r="E103">
        <f>$C103*VLOOKUP($B103,FoodDB!$A$2:$I$1016,4,0)</f>
        <v>0</v>
      </c>
      <c r="F103">
        <f>$C103*VLOOKUP($B103,FoodDB!$A$2:$I$1016,5,0)</f>
        <v>0</v>
      </c>
      <c r="G103">
        <f>$C103*VLOOKUP($B103,FoodDB!$A$2:$I$1016,6,0)</f>
        <v>0</v>
      </c>
      <c r="H103">
        <f>$C103*VLOOKUP($B103,FoodDB!$A$2:$I$1016,7,0)</f>
        <v>0</v>
      </c>
      <c r="I103">
        <f>$C103*VLOOKUP($B103,FoodDB!$A$2:$I$1016,8,0)</f>
        <v>0</v>
      </c>
      <c r="J103">
        <f>$C103*VLOOKUP($B103,FoodDB!$A$2:$I$1016,9,0)</f>
        <v>0</v>
      </c>
    </row>
    <row r="104" spans="1:23" x14ac:dyDescent="0.25">
      <c r="A104" t="s">
        <v>98</v>
      </c>
      <c r="G104">
        <f>SUM(G97:G103)</f>
        <v>402.12</v>
      </c>
      <c r="H104">
        <f>SUM(H97:H103)</f>
        <v>80.571428571428569</v>
      </c>
      <c r="I104">
        <f>SUM(I97:I103)</f>
        <v>444.20571428571429</v>
      </c>
      <c r="J104">
        <f>SUM(G104:I104)</f>
        <v>926.89714285714285</v>
      </c>
    </row>
    <row r="105" spans="1:23" x14ac:dyDescent="0.25">
      <c r="A105" t="s">
        <v>102</v>
      </c>
      <c r="B105" t="s">
        <v>103</v>
      </c>
      <c r="E105" s="98"/>
      <c r="F105" s="98"/>
      <c r="G105" s="98">
        <f>VLOOKUP($A97,LossChart!$A$3:$AB$105,14,0)</f>
        <v>374.28995431083194</v>
      </c>
      <c r="H105" s="98">
        <f>VLOOKUP($A97,LossChart!$A$3:$AB$105,15,0)</f>
        <v>80</v>
      </c>
      <c r="I105" s="98">
        <f>VLOOKUP($A97,LossChart!$A$3:$AB$105,16,0)</f>
        <v>477.30407413615825</v>
      </c>
      <c r="J105" s="98">
        <f>VLOOKUP($A97,LossChart!$A$3:$AB$105,17,0)</f>
        <v>931.59402844699025</v>
      </c>
      <c r="K105" s="98"/>
    </row>
    <row r="106" spans="1:23" x14ac:dyDescent="0.25">
      <c r="A106" t="s">
        <v>104</v>
      </c>
      <c r="G106">
        <f>G105-G104</f>
        <v>-27.83004568916806</v>
      </c>
      <c r="H106">
        <f>H105-H104</f>
        <v>-0.5714285714285694</v>
      </c>
      <c r="I106">
        <f>I105-I104</f>
        <v>33.098359850443956</v>
      </c>
      <c r="J106">
        <f>J105-J104</f>
        <v>4.6968855898473976</v>
      </c>
    </row>
    <row r="108" spans="1:23" ht="60" x14ac:dyDescent="0.25">
      <c r="A108" s="21" t="s">
        <v>63</v>
      </c>
      <c r="B108" s="21" t="s">
        <v>93</v>
      </c>
      <c r="C108" s="21" t="s">
        <v>94</v>
      </c>
      <c r="D108" s="92" t="str">
        <f>FoodDB!$C$1</f>
        <v>Fat
(g)</v>
      </c>
      <c r="E108" s="92" t="str">
        <f>FoodDB!$D$1</f>
        <v xml:space="preserve"> Carbs
(g)</v>
      </c>
      <c r="F108" s="92" t="str">
        <f>FoodDB!$E$1</f>
        <v>Protein
(g)</v>
      </c>
      <c r="G108" s="92" t="str">
        <f>FoodDB!$F$1</f>
        <v>Fat
(Cal)</v>
      </c>
      <c r="H108" s="92" t="str">
        <f>FoodDB!$G$1</f>
        <v>Carb
(Cal)</v>
      </c>
      <c r="I108" s="92" t="str">
        <f>FoodDB!$H$1</f>
        <v>Protein
(Cal)</v>
      </c>
      <c r="J108" s="92" t="str">
        <f>FoodDB!$I$1</f>
        <v>Total
Calories</v>
      </c>
      <c r="K108" s="92"/>
      <c r="L108" s="92" t="s">
        <v>110</v>
      </c>
      <c r="M108" s="92" t="s">
        <v>111</v>
      </c>
      <c r="N108" s="92" t="s">
        <v>112</v>
      </c>
      <c r="O108" s="92" t="s">
        <v>113</v>
      </c>
      <c r="P108" s="92" t="s">
        <v>118</v>
      </c>
      <c r="Q108" s="92" t="s">
        <v>119</v>
      </c>
      <c r="R108" s="92" t="s">
        <v>120</v>
      </c>
      <c r="S108" s="92" t="s">
        <v>121</v>
      </c>
      <c r="T108" s="92"/>
      <c r="U108" s="92"/>
      <c r="V108" s="92"/>
      <c r="W108" s="92"/>
    </row>
    <row r="109" spans="1:23" x14ac:dyDescent="0.25">
      <c r="A109" s="93">
        <f>A97+1</f>
        <v>43003</v>
      </c>
      <c r="B109" s="94" t="s">
        <v>95</v>
      </c>
      <c r="C109" s="95">
        <v>1</v>
      </c>
      <c r="D109">
        <f>$C109*VLOOKUP($B109,FoodDB!$A$2:$I$1016,3,0)</f>
        <v>0.5</v>
      </c>
      <c r="E109">
        <f>$C109*VLOOKUP($B109,FoodDB!$A$2:$I$1016,4,0)</f>
        <v>0</v>
      </c>
      <c r="F109">
        <f>$C109*VLOOKUP($B109,FoodDB!$A$2:$I$1016,5,0)</f>
        <v>50</v>
      </c>
      <c r="G109">
        <f>$C109*VLOOKUP($B109,FoodDB!$A$2:$I$1016,6,0)</f>
        <v>4.5</v>
      </c>
      <c r="H109">
        <f>$C109*VLOOKUP($B109,FoodDB!$A$2:$I$1016,7,0)</f>
        <v>0</v>
      </c>
      <c r="I109">
        <f>$C109*VLOOKUP($B109,FoodDB!$A$2:$I$1016,8,0)</f>
        <v>200</v>
      </c>
      <c r="J109">
        <f>$C109*VLOOKUP($B109,FoodDB!$A$2:$I$1016,9,0)</f>
        <v>204.5</v>
      </c>
      <c r="L109">
        <f>SUM(G109:G115)</f>
        <v>462.59999999999997</v>
      </c>
      <c r="M109">
        <f>SUM(H109:H115)</f>
        <v>52.571428571428569</v>
      </c>
      <c r="N109">
        <f>SUM(I109:I115)</f>
        <v>498.28571428571428</v>
      </c>
      <c r="O109">
        <f>SUM(L109:N109)</f>
        <v>1013.4571428571428</v>
      </c>
      <c r="P109" s="98">
        <f>VLOOKUP($A109,LossChart!$A$3:$AB$105,14,0)-L109</f>
        <v>-80.122737789563473</v>
      </c>
      <c r="Q109" s="98">
        <f>VLOOKUP($A109,LossChart!$A$3:$AB$105,15,0)-M109</f>
        <v>27.428571428571431</v>
      </c>
      <c r="R109" s="98">
        <f>VLOOKUP($A109,LossChart!$A$3:$AB$105,16,0)-N109</f>
        <v>-20.981640149556029</v>
      </c>
      <c r="S109" s="98">
        <f>VLOOKUP($A109,LossChart!$A$3:$AB$105,17,0)-O109</f>
        <v>-73.675806510548</v>
      </c>
      <c r="T109" s="98"/>
      <c r="U109" s="98"/>
      <c r="V109" s="98"/>
      <c r="W109" s="98"/>
    </row>
    <row r="110" spans="1:23" x14ac:dyDescent="0.25">
      <c r="B110" s="94" t="s">
        <v>99</v>
      </c>
      <c r="C110" s="95">
        <v>5</v>
      </c>
      <c r="D110">
        <f>$C110*VLOOKUP($B110,FoodDB!$A$2:$I$1016,3,0)</f>
        <v>30.9</v>
      </c>
      <c r="E110">
        <f>$C110*VLOOKUP($B110,FoodDB!$A$2:$I$1016,4,0)</f>
        <v>0</v>
      </c>
      <c r="F110">
        <f>$C110*VLOOKUP($B110,FoodDB!$A$2:$I$1016,5,0)</f>
        <v>42.599999999999994</v>
      </c>
      <c r="G110">
        <f>$C110*VLOOKUP($B110,FoodDB!$A$2:$I$1016,6,0)</f>
        <v>278.09999999999997</v>
      </c>
      <c r="H110">
        <f>$C110*VLOOKUP($B110,FoodDB!$A$2:$I$1016,7,0)</f>
        <v>0</v>
      </c>
      <c r="I110">
        <f>$C110*VLOOKUP($B110,FoodDB!$A$2:$I$1016,8,0)</f>
        <v>170.39999999999998</v>
      </c>
      <c r="J110">
        <f>$C110*VLOOKUP($B110,FoodDB!$A$2:$I$1016,9,0)</f>
        <v>448.49999999999994</v>
      </c>
    </row>
    <row r="111" spans="1:23" x14ac:dyDescent="0.25">
      <c r="B111" s="94" t="s">
        <v>107</v>
      </c>
      <c r="C111" s="95">
        <v>2</v>
      </c>
      <c r="D111">
        <f>$C111*VLOOKUP($B111,FoodDB!$A$2:$I$1016,3,0)</f>
        <v>1</v>
      </c>
      <c r="E111">
        <f>$C111*VLOOKUP($B111,FoodDB!$A$2:$I$1016,4,0)</f>
        <v>0</v>
      </c>
      <c r="F111">
        <f>$C111*VLOOKUP($B111,FoodDB!$A$2:$I$1016,5,0)</f>
        <v>0</v>
      </c>
      <c r="G111">
        <f>$C111*VLOOKUP($B111,FoodDB!$A$2:$I$1016,6,0)</f>
        <v>9</v>
      </c>
      <c r="H111">
        <f>$C111*VLOOKUP($B111,FoodDB!$A$2:$I$1016,7,0)</f>
        <v>0</v>
      </c>
      <c r="I111">
        <f>$C111*VLOOKUP($B111,FoodDB!$A$2:$I$1016,8,0)</f>
        <v>0</v>
      </c>
      <c r="J111">
        <f>$C111*VLOOKUP($B111,FoodDB!$A$2:$I$1016,9,0)</f>
        <v>9</v>
      </c>
    </row>
    <row r="112" spans="1:23" x14ac:dyDescent="0.25">
      <c r="B112" s="94" t="s">
        <v>124</v>
      </c>
      <c r="C112" s="95">
        <v>2</v>
      </c>
      <c r="D112">
        <f>$C112*VLOOKUP($B112,FoodDB!$A$2:$I$1016,3,0)</f>
        <v>1</v>
      </c>
      <c r="E112">
        <f>$C112*VLOOKUP($B112,FoodDB!$A$2:$I$1016,4,0)</f>
        <v>4</v>
      </c>
      <c r="F112">
        <f>$C112*VLOOKUP($B112,FoodDB!$A$2:$I$1016,5,0)</f>
        <v>20</v>
      </c>
      <c r="G112">
        <f>$C112*VLOOKUP($B112,FoodDB!$A$2:$I$1016,6,0)</f>
        <v>9</v>
      </c>
      <c r="H112">
        <f>$C112*VLOOKUP($B112,FoodDB!$A$2:$I$1016,7,0)</f>
        <v>16</v>
      </c>
      <c r="I112">
        <f>$C112*VLOOKUP($B112,FoodDB!$A$2:$I$1016,8,0)</f>
        <v>80</v>
      </c>
      <c r="J112">
        <f>$C112*VLOOKUP($B112,FoodDB!$A$2:$I$1016,9,0)</f>
        <v>105</v>
      </c>
    </row>
    <row r="113" spans="1:19" x14ac:dyDescent="0.25">
      <c r="B113" s="94" t="s">
        <v>96</v>
      </c>
      <c r="C113" s="95">
        <v>8</v>
      </c>
      <c r="D113">
        <f>$C113*VLOOKUP($B113,FoodDB!$A$2:$I$1016,3,0)</f>
        <v>0</v>
      </c>
      <c r="E113">
        <f>$C113*VLOOKUP($B113,FoodDB!$A$2:$I$1016,4,0)</f>
        <v>5.1428571428571432</v>
      </c>
      <c r="F113">
        <f>$C113*VLOOKUP($B113,FoodDB!$A$2:$I$1016,5,0)</f>
        <v>2.5714285714285716</v>
      </c>
      <c r="G113">
        <f>$C113*VLOOKUP($B113,FoodDB!$A$2:$I$1016,6,0)</f>
        <v>0</v>
      </c>
      <c r="H113">
        <f>$C113*VLOOKUP($B113,FoodDB!$A$2:$I$1016,7,0)</f>
        <v>20.571428571428573</v>
      </c>
      <c r="I113">
        <f>$C113*VLOOKUP($B113,FoodDB!$A$2:$I$1016,8,0)</f>
        <v>10.285714285714286</v>
      </c>
      <c r="J113">
        <f>$C113*VLOOKUP($B113,FoodDB!$A$2:$I$1016,9,0)</f>
        <v>30.857142857142861</v>
      </c>
    </row>
    <row r="114" spans="1:19" x14ac:dyDescent="0.25">
      <c r="B114" s="94" t="s">
        <v>97</v>
      </c>
      <c r="C114" s="95">
        <v>2</v>
      </c>
      <c r="D114">
        <f>$C114*VLOOKUP($B114,FoodDB!$A$2:$I$1016,3,0)</f>
        <v>18</v>
      </c>
      <c r="E114">
        <f>$C114*VLOOKUP($B114,FoodDB!$A$2:$I$1016,4,0)</f>
        <v>4</v>
      </c>
      <c r="F114">
        <f>$C114*VLOOKUP($B114,FoodDB!$A$2:$I$1016,5,0)</f>
        <v>9.4</v>
      </c>
      <c r="G114">
        <f>$C114*VLOOKUP($B114,FoodDB!$A$2:$I$1016,6,0)</f>
        <v>162</v>
      </c>
      <c r="H114">
        <f>$C114*VLOOKUP($B114,FoodDB!$A$2:$I$1016,7,0)</f>
        <v>16</v>
      </c>
      <c r="I114">
        <f>$C114*VLOOKUP($B114,FoodDB!$A$2:$I$1016,8,0)</f>
        <v>37.6</v>
      </c>
      <c r="J114">
        <f>$C114*VLOOKUP($B114,FoodDB!$A$2:$I$1016,9,0)</f>
        <v>215.6</v>
      </c>
    </row>
    <row r="115" spans="1:19" x14ac:dyDescent="0.25">
      <c r="B115" s="94" t="s">
        <v>108</v>
      </c>
      <c r="C115" s="95">
        <v>0</v>
      </c>
      <c r="D115">
        <f>$C115*VLOOKUP($B115,FoodDB!$A$2:$I$1016,3,0)</f>
        <v>0</v>
      </c>
      <c r="E115">
        <f>$C115*VLOOKUP($B115,FoodDB!$A$2:$I$1016,4,0)</f>
        <v>0</v>
      </c>
      <c r="F115">
        <f>$C115*VLOOKUP($B115,FoodDB!$A$2:$I$1016,5,0)</f>
        <v>0</v>
      </c>
      <c r="G115">
        <f>$C115*VLOOKUP($B115,FoodDB!$A$2:$I$1016,6,0)</f>
        <v>0</v>
      </c>
      <c r="H115">
        <f>$C115*VLOOKUP($B115,FoodDB!$A$2:$I$1016,7,0)</f>
        <v>0</v>
      </c>
      <c r="I115">
        <f>$C115*VLOOKUP($B115,FoodDB!$A$2:$I$1016,8,0)</f>
        <v>0</v>
      </c>
      <c r="J115">
        <f>$C115*VLOOKUP($B115,FoodDB!$A$2:$I$1016,9,0)</f>
        <v>0</v>
      </c>
    </row>
    <row r="116" spans="1:19" x14ac:dyDescent="0.25">
      <c r="A116" t="s">
        <v>98</v>
      </c>
      <c r="G116">
        <f>SUM(G109:G115)</f>
        <v>462.59999999999997</v>
      </c>
      <c r="H116">
        <f>SUM(H109:H115)</f>
        <v>52.571428571428569</v>
      </c>
      <c r="I116">
        <f>SUM(I109:I115)</f>
        <v>498.28571428571428</v>
      </c>
      <c r="J116">
        <f>SUM(G116:I116)</f>
        <v>1013.4571428571428</v>
      </c>
    </row>
    <row r="117" spans="1:19" x14ac:dyDescent="0.25">
      <c r="A117" t="s">
        <v>102</v>
      </c>
      <c r="B117" t="s">
        <v>103</v>
      </c>
      <c r="E117" s="98"/>
      <c r="F117" s="98"/>
      <c r="G117" s="98">
        <f>VLOOKUP($A109,LossChart!$A$3:$AB$105,14,0)</f>
        <v>382.47726221043649</v>
      </c>
      <c r="H117" s="98">
        <f>VLOOKUP($A109,LossChart!$A$3:$AB$105,15,0)</f>
        <v>80</v>
      </c>
      <c r="I117" s="98">
        <f>VLOOKUP($A109,LossChart!$A$3:$AB$105,16,0)</f>
        <v>477.30407413615825</v>
      </c>
      <c r="J117" s="98">
        <f>VLOOKUP($A109,LossChart!$A$3:$AB$105,17,0)</f>
        <v>939.7813363465948</v>
      </c>
      <c r="K117" s="98"/>
    </row>
    <row r="118" spans="1:19" x14ac:dyDescent="0.25">
      <c r="A118" t="s">
        <v>104</v>
      </c>
      <c r="G118">
        <f>G117-G116</f>
        <v>-80.122737789563473</v>
      </c>
      <c r="H118">
        <f>H117-H116</f>
        <v>27.428571428571431</v>
      </c>
      <c r="I118">
        <f>I117-I116</f>
        <v>-20.981640149556029</v>
      </c>
      <c r="J118">
        <f>J117-J116</f>
        <v>-73.675806510548</v>
      </c>
    </row>
    <row r="120" spans="1:19" ht="60" x14ac:dyDescent="0.25">
      <c r="A120" s="21" t="s">
        <v>63</v>
      </c>
      <c r="B120" s="21" t="s">
        <v>93</v>
      </c>
      <c r="C120" s="21" t="s">
        <v>94</v>
      </c>
      <c r="D120" s="92" t="str">
        <f>FoodDB!$C$1</f>
        <v>Fat
(g)</v>
      </c>
      <c r="E120" s="92" t="str">
        <f>FoodDB!$D$1</f>
        <v xml:space="preserve"> Carbs
(g)</v>
      </c>
      <c r="F120" s="92" t="str">
        <f>FoodDB!$E$1</f>
        <v>Protein
(g)</v>
      </c>
      <c r="G120" s="92" t="str">
        <f>FoodDB!$F$1</f>
        <v>Fat
(Cal)</v>
      </c>
      <c r="H120" s="92" t="str">
        <f>FoodDB!$G$1</f>
        <v>Carb
(Cal)</v>
      </c>
      <c r="I120" s="92" t="str">
        <f>FoodDB!$H$1</f>
        <v>Protein
(Cal)</v>
      </c>
      <c r="J120" s="92" t="str">
        <f>FoodDB!$I$1</f>
        <v>Total
Calories</v>
      </c>
      <c r="K120" s="92"/>
      <c r="L120" s="92" t="s">
        <v>110</v>
      </c>
      <c r="M120" s="92" t="s">
        <v>111</v>
      </c>
      <c r="N120" s="92" t="s">
        <v>112</v>
      </c>
      <c r="O120" s="92" t="s">
        <v>113</v>
      </c>
      <c r="P120" s="92" t="s">
        <v>118</v>
      </c>
      <c r="Q120" s="92" t="s">
        <v>119</v>
      </c>
      <c r="R120" s="92" t="s">
        <v>120</v>
      </c>
      <c r="S120" s="92" t="s">
        <v>121</v>
      </c>
    </row>
    <row r="121" spans="1:19" x14ac:dyDescent="0.25">
      <c r="A121" s="93">
        <f>A109+1</f>
        <v>43004</v>
      </c>
      <c r="B121" s="94" t="s">
        <v>125</v>
      </c>
      <c r="C121" s="95">
        <v>2</v>
      </c>
      <c r="D121">
        <f>$C121*VLOOKUP($B121,FoodDB!$A$2:$I$1016,3,0)</f>
        <v>3</v>
      </c>
      <c r="E121">
        <f>$C121*VLOOKUP($B121,FoodDB!$A$2:$I$1016,4,0)</f>
        <v>6</v>
      </c>
      <c r="F121">
        <f>$C121*VLOOKUP($B121,FoodDB!$A$2:$I$1016,5,0)</f>
        <v>50</v>
      </c>
      <c r="G121">
        <f>$C121*VLOOKUP($B121,FoodDB!$A$2:$I$1016,6,0)</f>
        <v>27</v>
      </c>
      <c r="H121">
        <f>$C121*VLOOKUP($B121,FoodDB!$A$2:$I$1016,7,0)</f>
        <v>24</v>
      </c>
      <c r="I121">
        <f>$C121*VLOOKUP($B121,FoodDB!$A$2:$I$1016,8,0)</f>
        <v>200</v>
      </c>
      <c r="J121">
        <f>$C121*VLOOKUP($B121,FoodDB!$A$2:$I$1016,9,0)</f>
        <v>251</v>
      </c>
      <c r="L121">
        <f>SUM(G121:G127)</f>
        <v>469.34999999999997</v>
      </c>
      <c r="M121">
        <f>SUM(H121:H127)</f>
        <v>60.571428571428569</v>
      </c>
      <c r="N121">
        <f>SUM(I121:I127)</f>
        <v>518.28571428571422</v>
      </c>
      <c r="O121">
        <f>SUM(L121:N121)</f>
        <v>1048.2071428571428</v>
      </c>
      <c r="P121" s="98">
        <f>VLOOKUP($A121,LossChart!$A$3:$AB$105,14,0)-L121</f>
        <v>-79.148575109634805</v>
      </c>
      <c r="Q121" s="98">
        <f>VLOOKUP($A121,LossChart!$A$3:$AB$105,15,0)-M121</f>
        <v>19.428571428571431</v>
      </c>
      <c r="R121" s="98">
        <f>VLOOKUP($A121,LossChart!$A$3:$AB$105,16,0)-N121</f>
        <v>-40.981640149555972</v>
      </c>
      <c r="S121" s="98">
        <f>VLOOKUP($A121,LossChart!$A$3:$AB$105,17,0)-O121</f>
        <v>-100.70164383061933</v>
      </c>
    </row>
    <row r="122" spans="1:19" x14ac:dyDescent="0.25">
      <c r="B122" s="94" t="s">
        <v>95</v>
      </c>
      <c r="C122" s="95">
        <v>0.5</v>
      </c>
      <c r="D122">
        <f>$C122*VLOOKUP($B122,FoodDB!$A$2:$I$1016,3,0)</f>
        <v>0.25</v>
      </c>
      <c r="E122">
        <f>$C122*VLOOKUP($B122,FoodDB!$A$2:$I$1016,4,0)</f>
        <v>0</v>
      </c>
      <c r="F122">
        <f>$C122*VLOOKUP($B122,FoodDB!$A$2:$I$1016,5,0)</f>
        <v>25</v>
      </c>
      <c r="G122">
        <f>$C122*VLOOKUP($B122,FoodDB!$A$2:$I$1016,6,0)</f>
        <v>2.25</v>
      </c>
      <c r="H122">
        <f>$C122*VLOOKUP($B122,FoodDB!$A$2:$I$1016,7,0)</f>
        <v>0</v>
      </c>
      <c r="I122">
        <f>$C122*VLOOKUP($B122,FoodDB!$A$2:$I$1016,8,0)</f>
        <v>100</v>
      </c>
      <c r="J122">
        <f>$C122*VLOOKUP($B122,FoodDB!$A$2:$I$1016,9,0)</f>
        <v>102.25</v>
      </c>
    </row>
    <row r="123" spans="1:19" x14ac:dyDescent="0.25">
      <c r="B123" s="94" t="s">
        <v>99</v>
      </c>
      <c r="C123" s="95">
        <v>5</v>
      </c>
      <c r="D123">
        <f>$C123*VLOOKUP($B123,FoodDB!$A$2:$I$1016,3,0)</f>
        <v>30.9</v>
      </c>
      <c r="E123">
        <f>$C123*VLOOKUP($B123,FoodDB!$A$2:$I$1016,4,0)</f>
        <v>0</v>
      </c>
      <c r="F123">
        <f>$C123*VLOOKUP($B123,FoodDB!$A$2:$I$1016,5,0)</f>
        <v>42.599999999999994</v>
      </c>
      <c r="G123">
        <f>$C123*VLOOKUP($B123,FoodDB!$A$2:$I$1016,6,0)</f>
        <v>278.09999999999997</v>
      </c>
      <c r="H123">
        <f>$C123*VLOOKUP($B123,FoodDB!$A$2:$I$1016,7,0)</f>
        <v>0</v>
      </c>
      <c r="I123">
        <f>$C123*VLOOKUP($B123,FoodDB!$A$2:$I$1016,8,0)</f>
        <v>170.39999999999998</v>
      </c>
      <c r="J123">
        <f>$C123*VLOOKUP($B123,FoodDB!$A$2:$I$1016,9,0)</f>
        <v>448.49999999999994</v>
      </c>
    </row>
    <row r="124" spans="1:19" x14ac:dyDescent="0.25">
      <c r="B124" s="94" t="s">
        <v>96</v>
      </c>
      <c r="C124" s="95">
        <v>8</v>
      </c>
      <c r="D124">
        <f>$C124*VLOOKUP($B124,FoodDB!$A$2:$I$1016,3,0)</f>
        <v>0</v>
      </c>
      <c r="E124">
        <f>$C124*VLOOKUP($B124,FoodDB!$A$2:$I$1016,4,0)</f>
        <v>5.1428571428571432</v>
      </c>
      <c r="F124">
        <f>$C124*VLOOKUP($B124,FoodDB!$A$2:$I$1016,5,0)</f>
        <v>2.5714285714285716</v>
      </c>
      <c r="G124">
        <f>$C124*VLOOKUP($B124,FoodDB!$A$2:$I$1016,6,0)</f>
        <v>0</v>
      </c>
      <c r="H124">
        <f>$C124*VLOOKUP($B124,FoodDB!$A$2:$I$1016,7,0)</f>
        <v>20.571428571428573</v>
      </c>
      <c r="I124">
        <f>$C124*VLOOKUP($B124,FoodDB!$A$2:$I$1016,8,0)</f>
        <v>10.285714285714286</v>
      </c>
      <c r="J124">
        <f>$C124*VLOOKUP($B124,FoodDB!$A$2:$I$1016,9,0)</f>
        <v>30.857142857142861</v>
      </c>
    </row>
    <row r="125" spans="1:19" x14ac:dyDescent="0.25">
      <c r="B125" s="94" t="s">
        <v>97</v>
      </c>
      <c r="C125" s="95">
        <v>2</v>
      </c>
      <c r="D125">
        <f>$C125*VLOOKUP($B125,FoodDB!$A$2:$I$1016,3,0)</f>
        <v>18</v>
      </c>
      <c r="E125">
        <f>$C125*VLOOKUP($B125,FoodDB!$A$2:$I$1016,4,0)</f>
        <v>4</v>
      </c>
      <c r="F125">
        <f>$C125*VLOOKUP($B125,FoodDB!$A$2:$I$1016,5,0)</f>
        <v>9.4</v>
      </c>
      <c r="G125">
        <f>$C125*VLOOKUP($B125,FoodDB!$A$2:$I$1016,6,0)</f>
        <v>162</v>
      </c>
      <c r="H125">
        <f>$C125*VLOOKUP($B125,FoodDB!$A$2:$I$1016,7,0)</f>
        <v>16</v>
      </c>
      <c r="I125">
        <f>$C125*VLOOKUP($B125,FoodDB!$A$2:$I$1016,8,0)</f>
        <v>37.6</v>
      </c>
      <c r="J125">
        <f>$C125*VLOOKUP($B125,FoodDB!$A$2:$I$1016,9,0)</f>
        <v>215.6</v>
      </c>
    </row>
    <row r="126" spans="1:19" x14ac:dyDescent="0.25">
      <c r="B126" s="94" t="s">
        <v>108</v>
      </c>
      <c r="C126" s="95">
        <v>0</v>
      </c>
      <c r="D126">
        <f>$C126*VLOOKUP($B126,FoodDB!$A$2:$I$1016,3,0)</f>
        <v>0</v>
      </c>
      <c r="E126">
        <f>$C126*VLOOKUP($B126,FoodDB!$A$2:$I$1016,4,0)</f>
        <v>0</v>
      </c>
      <c r="F126">
        <f>$C126*VLOOKUP($B126,FoodDB!$A$2:$I$1016,5,0)</f>
        <v>0</v>
      </c>
      <c r="G126">
        <f>$C126*VLOOKUP($B126,FoodDB!$A$2:$I$1016,6,0)</f>
        <v>0</v>
      </c>
      <c r="H126">
        <f>$C126*VLOOKUP($B126,FoodDB!$A$2:$I$1016,7,0)</f>
        <v>0</v>
      </c>
      <c r="I126">
        <f>$C126*VLOOKUP($B126,FoodDB!$A$2:$I$1016,8,0)</f>
        <v>0</v>
      </c>
      <c r="J126">
        <f>$C126*VLOOKUP($B126,FoodDB!$A$2:$I$1016,9,0)</f>
        <v>0</v>
      </c>
    </row>
    <row r="127" spans="1:19" x14ac:dyDescent="0.25">
      <c r="B127" s="94" t="s">
        <v>108</v>
      </c>
      <c r="C127" s="95">
        <v>0</v>
      </c>
      <c r="D127">
        <f>$C127*VLOOKUP($B127,FoodDB!$A$2:$I$1016,3,0)</f>
        <v>0</v>
      </c>
      <c r="E127">
        <f>$C127*VLOOKUP($B127,FoodDB!$A$2:$I$1016,4,0)</f>
        <v>0</v>
      </c>
      <c r="F127">
        <f>$C127*VLOOKUP($B127,FoodDB!$A$2:$I$1016,5,0)</f>
        <v>0</v>
      </c>
      <c r="G127">
        <f>$C127*VLOOKUP($B127,FoodDB!$A$2:$I$1016,6,0)</f>
        <v>0</v>
      </c>
      <c r="H127">
        <f>$C127*VLOOKUP($B127,FoodDB!$A$2:$I$1016,7,0)</f>
        <v>0</v>
      </c>
      <c r="I127">
        <f>$C127*VLOOKUP($B127,FoodDB!$A$2:$I$1016,8,0)</f>
        <v>0</v>
      </c>
      <c r="J127">
        <f>$C127*VLOOKUP($B127,FoodDB!$A$2:$I$1016,9,0)</f>
        <v>0</v>
      </c>
    </row>
    <row r="129" spans="1:23" ht="60" x14ac:dyDescent="0.25">
      <c r="A129" s="21" t="s">
        <v>63</v>
      </c>
      <c r="B129" s="21" t="s">
        <v>93</v>
      </c>
      <c r="C129" s="21" t="s">
        <v>94</v>
      </c>
      <c r="D129" s="92" t="str">
        <f>FoodDB!$C$1</f>
        <v>Fat
(g)</v>
      </c>
      <c r="E129" s="92" t="str">
        <f>FoodDB!$D$1</f>
        <v xml:space="preserve"> Carbs
(g)</v>
      </c>
      <c r="F129" s="92" t="str">
        <f>FoodDB!$E$1</f>
        <v>Protein
(g)</v>
      </c>
      <c r="G129" s="92" t="str">
        <f>FoodDB!$F$1</f>
        <v>Fat
(Cal)</v>
      </c>
      <c r="H129" s="92" t="str">
        <f>FoodDB!$G$1</f>
        <v>Carb
(Cal)</v>
      </c>
      <c r="I129" s="92" t="str">
        <f>FoodDB!$H$1</f>
        <v>Protein
(Cal)</v>
      </c>
      <c r="J129" s="92" t="str">
        <f>FoodDB!$I$1</f>
        <v>Total
Calories</v>
      </c>
      <c r="K129" s="92"/>
      <c r="L129" s="92" t="s">
        <v>110</v>
      </c>
      <c r="M129" s="92" t="s">
        <v>111</v>
      </c>
      <c r="N129" s="92" t="s">
        <v>112</v>
      </c>
      <c r="O129" s="92" t="s">
        <v>113</v>
      </c>
      <c r="P129" s="92" t="s">
        <v>118</v>
      </c>
      <c r="Q129" s="92" t="s">
        <v>119</v>
      </c>
      <c r="R129" s="92" t="s">
        <v>120</v>
      </c>
      <c r="S129" s="92" t="s">
        <v>121</v>
      </c>
      <c r="T129" s="92"/>
      <c r="U129" s="92"/>
      <c r="V129" s="92"/>
      <c r="W129" s="92"/>
    </row>
    <row r="130" spans="1:23" x14ac:dyDescent="0.25">
      <c r="A130" s="93">
        <f>A121+1</f>
        <v>43005</v>
      </c>
      <c r="B130" s="94" t="s">
        <v>125</v>
      </c>
      <c r="C130" s="95">
        <v>1</v>
      </c>
      <c r="D130">
        <f>$C130*VLOOKUP($B130,FoodDB!$A$2:$I$1016,3,0)</f>
        <v>1.5</v>
      </c>
      <c r="E130">
        <f>$C130*VLOOKUP($B130,FoodDB!$A$2:$I$1016,4,0)</f>
        <v>3</v>
      </c>
      <c r="F130">
        <f>$C130*VLOOKUP($B130,FoodDB!$A$2:$I$1016,5,0)</f>
        <v>25</v>
      </c>
      <c r="G130">
        <f>$C130*VLOOKUP($B130,FoodDB!$A$2:$I$1016,6,0)</f>
        <v>13.5</v>
      </c>
      <c r="H130">
        <f>$C130*VLOOKUP($B130,FoodDB!$A$2:$I$1016,7,0)</f>
        <v>12</v>
      </c>
      <c r="I130">
        <f>$C130*VLOOKUP($B130,FoodDB!$A$2:$I$1016,8,0)</f>
        <v>100</v>
      </c>
      <c r="J130">
        <f>$C130*VLOOKUP($B130,FoodDB!$A$2:$I$1016,9,0)</f>
        <v>125.5</v>
      </c>
      <c r="L130">
        <f>SUM(G130:G136)</f>
        <v>452.07</v>
      </c>
      <c r="M130">
        <f>SUM(H130:H136)</f>
        <v>20</v>
      </c>
      <c r="N130">
        <f>SUM(I130:I136)</f>
        <v>525.6</v>
      </c>
      <c r="O130">
        <f>SUM(L130:N130)</f>
        <v>997.67000000000007</v>
      </c>
      <c r="P130" s="98">
        <f>VLOOKUP($A130,LossChart!$A$3:$AB$105,14,0)-L130</f>
        <v>-54.356117408696548</v>
      </c>
      <c r="Q130" s="98">
        <f>VLOOKUP($A130,LossChart!$A$3:$AB$105,15,0)-M130</f>
        <v>60</v>
      </c>
      <c r="R130" s="98">
        <f>VLOOKUP($A130,LossChart!$A$3:$AB$105,16,0)-N130</f>
        <v>-48.295925863841774</v>
      </c>
      <c r="S130" s="98">
        <f>VLOOKUP($A130,LossChart!$A$3:$AB$105,17,0)-O130</f>
        <v>-42.652043272538322</v>
      </c>
      <c r="T130" s="98"/>
      <c r="U130" s="98"/>
      <c r="V130" s="98"/>
      <c r="W130" s="98"/>
    </row>
    <row r="131" spans="1:23" x14ac:dyDescent="0.25">
      <c r="B131" s="94" t="s">
        <v>95</v>
      </c>
      <c r="C131" s="95">
        <v>0.5</v>
      </c>
      <c r="D131">
        <f>$C131*VLOOKUP($B131,FoodDB!$A$2:$I$1016,3,0)</f>
        <v>0.25</v>
      </c>
      <c r="E131">
        <f>$C131*VLOOKUP($B131,FoodDB!$A$2:$I$1016,4,0)</f>
        <v>0</v>
      </c>
      <c r="F131">
        <f>$C131*VLOOKUP($B131,FoodDB!$A$2:$I$1016,5,0)</f>
        <v>25</v>
      </c>
      <c r="G131">
        <f>$C131*VLOOKUP($B131,FoodDB!$A$2:$I$1016,6,0)</f>
        <v>2.25</v>
      </c>
      <c r="H131">
        <f>$C131*VLOOKUP($B131,FoodDB!$A$2:$I$1016,7,0)</f>
        <v>0</v>
      </c>
      <c r="I131">
        <f>$C131*VLOOKUP($B131,FoodDB!$A$2:$I$1016,8,0)</f>
        <v>100</v>
      </c>
      <c r="J131">
        <f>$C131*VLOOKUP($B131,FoodDB!$A$2:$I$1016,9,0)</f>
        <v>102.25</v>
      </c>
    </row>
    <row r="132" spans="1:23" x14ac:dyDescent="0.25">
      <c r="B132" s="94" t="s">
        <v>105</v>
      </c>
      <c r="C132" s="95">
        <v>1.1000000000000001</v>
      </c>
      <c r="D132">
        <f>$C132*VLOOKUP($B132,FoodDB!$A$2:$I$1016,3,0)</f>
        <v>0.88000000000000012</v>
      </c>
      <c r="E132">
        <f>$C132*VLOOKUP($B132,FoodDB!$A$2:$I$1016,4,0)</f>
        <v>0</v>
      </c>
      <c r="F132">
        <f>$C132*VLOOKUP($B132,FoodDB!$A$2:$I$1016,5,0)</f>
        <v>37.400000000000006</v>
      </c>
      <c r="G132">
        <f>$C132*VLOOKUP($B132,FoodDB!$A$2:$I$1016,6,0)</f>
        <v>7.9200000000000008</v>
      </c>
      <c r="H132">
        <f>$C132*VLOOKUP($B132,FoodDB!$A$2:$I$1016,7,0)</f>
        <v>0</v>
      </c>
      <c r="I132">
        <f>$C132*VLOOKUP($B132,FoodDB!$A$2:$I$1016,8,0)</f>
        <v>149.60000000000002</v>
      </c>
      <c r="J132">
        <f>$C132*VLOOKUP($B132,FoodDB!$A$2:$I$1016,9,0)</f>
        <v>157.52000000000001</v>
      </c>
    </row>
    <row r="133" spans="1:23" x14ac:dyDescent="0.25">
      <c r="B133" s="94" t="s">
        <v>126</v>
      </c>
      <c r="C133" s="95">
        <v>1</v>
      </c>
      <c r="D133">
        <f>$C133*VLOOKUP($B133,FoodDB!$A$2:$I$1016,3,0)</f>
        <v>3.6</v>
      </c>
      <c r="E133">
        <f>$C133*VLOOKUP($B133,FoodDB!$A$2:$I$1016,4,0)</f>
        <v>0</v>
      </c>
      <c r="F133">
        <f>$C133*VLOOKUP($B133,FoodDB!$A$2:$I$1016,5,0)</f>
        <v>31</v>
      </c>
      <c r="G133">
        <f>$C133*VLOOKUP($B133,FoodDB!$A$2:$I$1016,6,0)</f>
        <v>32.4</v>
      </c>
      <c r="H133">
        <f>$C133*VLOOKUP($B133,FoodDB!$A$2:$I$1016,7,0)</f>
        <v>0</v>
      </c>
      <c r="I133">
        <f>$C133*VLOOKUP($B133,FoodDB!$A$2:$I$1016,8,0)</f>
        <v>124</v>
      </c>
      <c r="J133">
        <f>$C133*VLOOKUP($B133,FoodDB!$A$2:$I$1016,9,0)</f>
        <v>156.4</v>
      </c>
    </row>
    <row r="134" spans="1:23" x14ac:dyDescent="0.25">
      <c r="B134" s="94" t="s">
        <v>127</v>
      </c>
      <c r="C134" s="95">
        <v>1</v>
      </c>
      <c r="D134">
        <f>$C134*VLOOKUP($B134,FoodDB!$A$2:$I$1016,3,0)</f>
        <v>15</v>
      </c>
      <c r="E134">
        <f>$C134*VLOOKUP($B134,FoodDB!$A$2:$I$1016,4,0)</f>
        <v>2</v>
      </c>
      <c r="F134">
        <f>$C134*VLOOKUP($B134,FoodDB!$A$2:$I$1016,5,0)</f>
        <v>7</v>
      </c>
      <c r="G134">
        <f>$C134*VLOOKUP($B134,FoodDB!$A$2:$I$1016,6,0)</f>
        <v>135</v>
      </c>
      <c r="H134">
        <f>$C134*VLOOKUP($B134,FoodDB!$A$2:$I$1016,7,0)</f>
        <v>8</v>
      </c>
      <c r="I134">
        <f>$C134*VLOOKUP($B134,FoodDB!$A$2:$I$1016,8,0)</f>
        <v>28</v>
      </c>
      <c r="J134">
        <f>$C134*VLOOKUP($B134,FoodDB!$A$2:$I$1016,9,0)</f>
        <v>171</v>
      </c>
    </row>
    <row r="135" spans="1:23" x14ac:dyDescent="0.25">
      <c r="B135" s="94" t="s">
        <v>109</v>
      </c>
      <c r="C135" s="95">
        <v>2</v>
      </c>
      <c r="D135">
        <f>$C135*VLOOKUP($B135,FoodDB!$A$2:$I$1016,3,0)</f>
        <v>24</v>
      </c>
      <c r="E135">
        <f>$C135*VLOOKUP($B135,FoodDB!$A$2:$I$1016,4,0)</f>
        <v>0</v>
      </c>
      <c r="F135">
        <f>$C135*VLOOKUP($B135,FoodDB!$A$2:$I$1016,5,0)</f>
        <v>0</v>
      </c>
      <c r="G135">
        <f>$C135*VLOOKUP($B135,FoodDB!$A$2:$I$1016,6,0)</f>
        <v>216</v>
      </c>
      <c r="H135">
        <f>$C135*VLOOKUP($B135,FoodDB!$A$2:$I$1016,7,0)</f>
        <v>0</v>
      </c>
      <c r="I135">
        <f>$C135*VLOOKUP($B135,FoodDB!$A$2:$I$1016,8,0)</f>
        <v>0</v>
      </c>
      <c r="J135">
        <f>$C135*VLOOKUP($B135,FoodDB!$A$2:$I$1016,9,0)</f>
        <v>216</v>
      </c>
    </row>
    <row r="136" spans="1:23" x14ac:dyDescent="0.25">
      <c r="B136" s="94" t="s">
        <v>101</v>
      </c>
      <c r="C136" s="95">
        <v>1</v>
      </c>
      <c r="D136">
        <f>$C136*VLOOKUP($B136,FoodDB!$A$2:$I$1016,3,0)</f>
        <v>5</v>
      </c>
      <c r="E136">
        <f>$C136*VLOOKUP($B136,FoodDB!$A$2:$I$1016,4,0)</f>
        <v>0</v>
      </c>
      <c r="F136">
        <f>$C136*VLOOKUP($B136,FoodDB!$A$2:$I$1016,5,0)</f>
        <v>6</v>
      </c>
      <c r="G136">
        <f>$C136*VLOOKUP($B136,FoodDB!$A$2:$I$1016,6,0)</f>
        <v>45</v>
      </c>
      <c r="H136">
        <f>$C136*VLOOKUP($B136,FoodDB!$A$2:$I$1016,7,0)</f>
        <v>0</v>
      </c>
      <c r="I136">
        <f>$C136*VLOOKUP($B136,FoodDB!$A$2:$I$1016,8,0)</f>
        <v>24</v>
      </c>
      <c r="J136">
        <f>$C136*VLOOKUP($B136,FoodDB!$A$2:$I$1016,9,0)</f>
        <v>69</v>
      </c>
    </row>
    <row r="137" spans="1:23" x14ac:dyDescent="0.25">
      <c r="A137" t="s">
        <v>98</v>
      </c>
      <c r="G137">
        <f>SUM(G130:G136)</f>
        <v>452.07</v>
      </c>
      <c r="H137">
        <f>SUM(H130:H136)</f>
        <v>20</v>
      </c>
      <c r="I137">
        <f>SUM(I130:I136)</f>
        <v>525.6</v>
      </c>
      <c r="J137">
        <f>SUM(G137:I137)</f>
        <v>997.67000000000007</v>
      </c>
    </row>
    <row r="138" spans="1:23" x14ac:dyDescent="0.25">
      <c r="A138" t="s">
        <v>102</v>
      </c>
      <c r="B138" t="s">
        <v>103</v>
      </c>
      <c r="E138" s="98"/>
      <c r="F138" s="98"/>
      <c r="G138" s="98">
        <f>VLOOKUP($A130,LossChart!$A$3:$AB$105,14,0)</f>
        <v>397.71388259130345</v>
      </c>
      <c r="H138" s="98">
        <f>VLOOKUP($A130,LossChart!$A$3:$AB$105,15,0)</f>
        <v>80</v>
      </c>
      <c r="I138" s="98">
        <f>VLOOKUP($A130,LossChart!$A$3:$AB$105,16,0)</f>
        <v>477.30407413615825</v>
      </c>
      <c r="J138" s="98">
        <f>VLOOKUP($A130,LossChart!$A$3:$AB$105,17,0)</f>
        <v>955.01795672746175</v>
      </c>
      <c r="K138" s="98"/>
    </row>
    <row r="139" spans="1:23" x14ac:dyDescent="0.25">
      <c r="A139" t="s">
        <v>104</v>
      </c>
      <c r="G139">
        <f>G138-G137</f>
        <v>-54.356117408696548</v>
      </c>
      <c r="H139">
        <f>H138-H137</f>
        <v>60</v>
      </c>
      <c r="I139">
        <f>I138-I137</f>
        <v>-48.295925863841774</v>
      </c>
      <c r="J139">
        <f>J138-J137</f>
        <v>-42.652043272538322</v>
      </c>
    </row>
    <row r="141" spans="1:23" ht="60" x14ac:dyDescent="0.25">
      <c r="A141" s="21" t="s">
        <v>63</v>
      </c>
      <c r="B141" s="21" t="s">
        <v>93</v>
      </c>
      <c r="C141" s="21" t="s">
        <v>94</v>
      </c>
      <c r="D141" s="92" t="str">
        <f>FoodDB!$C$1</f>
        <v>Fat
(g)</v>
      </c>
      <c r="E141" s="92" t="str">
        <f>FoodDB!$D$1</f>
        <v xml:space="preserve"> Carbs
(g)</v>
      </c>
      <c r="F141" s="92" t="str">
        <f>FoodDB!$E$1</f>
        <v>Protein
(g)</v>
      </c>
      <c r="G141" s="92" t="str">
        <f>FoodDB!$F$1</f>
        <v>Fat
(Cal)</v>
      </c>
      <c r="H141" s="92" t="str">
        <f>FoodDB!$G$1</f>
        <v>Carb
(Cal)</v>
      </c>
      <c r="I141" s="92" t="str">
        <f>FoodDB!$H$1</f>
        <v>Protein
(Cal)</v>
      </c>
      <c r="J141" s="92" t="str">
        <f>FoodDB!$I$1</f>
        <v>Total
Calories</v>
      </c>
      <c r="K141" s="92"/>
      <c r="L141" s="92" t="s">
        <v>110</v>
      </c>
      <c r="M141" s="92" t="s">
        <v>111</v>
      </c>
      <c r="N141" s="92" t="s">
        <v>112</v>
      </c>
      <c r="O141" s="92" t="s">
        <v>113</v>
      </c>
      <c r="P141" s="92" t="s">
        <v>118</v>
      </c>
      <c r="Q141" s="92" t="s">
        <v>119</v>
      </c>
      <c r="R141" s="92" t="s">
        <v>120</v>
      </c>
      <c r="S141" s="92" t="s">
        <v>121</v>
      </c>
      <c r="T141" s="92"/>
      <c r="U141" s="92"/>
      <c r="V141" s="92"/>
      <c r="W141" s="92"/>
    </row>
    <row r="142" spans="1:23" x14ac:dyDescent="0.25">
      <c r="A142" s="93">
        <f>A130+1</f>
        <v>43006</v>
      </c>
      <c r="B142" s="94" t="s">
        <v>125</v>
      </c>
      <c r="C142" s="95">
        <v>1</v>
      </c>
      <c r="D142">
        <f>$C142*VLOOKUP($B142,FoodDB!$A$2:$I$1016,3,0)</f>
        <v>1.5</v>
      </c>
      <c r="E142">
        <f>$C142*VLOOKUP($B142,FoodDB!$A$2:$I$1016,4,0)</f>
        <v>3</v>
      </c>
      <c r="F142">
        <f>$C142*VLOOKUP($B142,FoodDB!$A$2:$I$1016,5,0)</f>
        <v>25</v>
      </c>
      <c r="G142">
        <f>$C142*VLOOKUP($B142,FoodDB!$A$2:$I$1016,6,0)</f>
        <v>13.5</v>
      </c>
      <c r="H142">
        <f>$C142*VLOOKUP($B142,FoodDB!$A$2:$I$1016,7,0)</f>
        <v>12</v>
      </c>
      <c r="I142">
        <f>$C142*VLOOKUP($B142,FoodDB!$A$2:$I$1016,8,0)</f>
        <v>100</v>
      </c>
      <c r="J142">
        <f>$C142*VLOOKUP($B142,FoodDB!$A$2:$I$1016,9,0)</f>
        <v>125.5</v>
      </c>
      <c r="L142">
        <f>SUM(G142:G148)</f>
        <v>519.75</v>
      </c>
      <c r="M142">
        <f>SUM(H142:H148)</f>
        <v>55.542857142857144</v>
      </c>
      <c r="N142">
        <f>SUM(I142:I148)</f>
        <v>463.37142857142857</v>
      </c>
      <c r="O142">
        <f>SUM(L142:N142)</f>
        <v>1038.6642857142858</v>
      </c>
      <c r="P142" s="98">
        <f>VLOOKUP($A142,LossChart!$A$3:$AB$105,14,0)-L142</f>
        <v>-114.28241968561338</v>
      </c>
      <c r="Q142" s="98">
        <f>VLOOKUP($A142,LossChart!$A$3:$AB$105,15,0)-M142</f>
        <v>24.457142857142856</v>
      </c>
      <c r="R142" s="98">
        <f>VLOOKUP($A142,LossChart!$A$3:$AB$105,16,0)-N142</f>
        <v>13.932645564729683</v>
      </c>
      <c r="S142" s="98">
        <f>VLOOKUP($A142,LossChart!$A$3:$AB$105,17,0)-O142</f>
        <v>-75.892631263740896</v>
      </c>
      <c r="T142" s="98"/>
      <c r="U142" s="98"/>
      <c r="V142" s="98"/>
      <c r="W142" s="98"/>
    </row>
    <row r="143" spans="1:23" x14ac:dyDescent="0.25">
      <c r="B143" s="94" t="s">
        <v>95</v>
      </c>
      <c r="C143" s="95">
        <v>0.5</v>
      </c>
      <c r="D143">
        <f>$C143*VLOOKUP($B143,FoodDB!$A$2:$I$1016,3,0)</f>
        <v>0.25</v>
      </c>
      <c r="E143">
        <f>$C143*VLOOKUP($B143,FoodDB!$A$2:$I$1016,4,0)</f>
        <v>0</v>
      </c>
      <c r="F143">
        <f>$C143*VLOOKUP($B143,FoodDB!$A$2:$I$1016,5,0)</f>
        <v>25</v>
      </c>
      <c r="G143">
        <f>$C143*VLOOKUP($B143,FoodDB!$A$2:$I$1016,6,0)</f>
        <v>2.25</v>
      </c>
      <c r="H143">
        <f>$C143*VLOOKUP($B143,FoodDB!$A$2:$I$1016,7,0)</f>
        <v>0</v>
      </c>
      <c r="I143">
        <f>$C143*VLOOKUP($B143,FoodDB!$A$2:$I$1016,8,0)</f>
        <v>100</v>
      </c>
      <c r="J143">
        <f>$C143*VLOOKUP($B143,FoodDB!$A$2:$I$1016,9,0)</f>
        <v>102.25</v>
      </c>
    </row>
    <row r="144" spans="1:23" x14ac:dyDescent="0.25">
      <c r="B144" s="94" t="s">
        <v>126</v>
      </c>
      <c r="C144" s="95">
        <v>2</v>
      </c>
      <c r="D144">
        <f>$C144*VLOOKUP($B144,FoodDB!$A$2:$I$1016,3,0)</f>
        <v>7.2</v>
      </c>
      <c r="E144">
        <f>$C144*VLOOKUP($B144,FoodDB!$A$2:$I$1016,4,0)</f>
        <v>0</v>
      </c>
      <c r="F144">
        <f>$C144*VLOOKUP($B144,FoodDB!$A$2:$I$1016,5,0)</f>
        <v>62</v>
      </c>
      <c r="G144">
        <f>$C144*VLOOKUP($B144,FoodDB!$A$2:$I$1016,6,0)</f>
        <v>64.8</v>
      </c>
      <c r="H144">
        <f>$C144*VLOOKUP($B144,FoodDB!$A$2:$I$1016,7,0)</f>
        <v>0</v>
      </c>
      <c r="I144">
        <f>$C144*VLOOKUP($B144,FoodDB!$A$2:$I$1016,8,0)</f>
        <v>248</v>
      </c>
      <c r="J144">
        <f>$C144*VLOOKUP($B144,FoodDB!$A$2:$I$1016,9,0)</f>
        <v>312.8</v>
      </c>
    </row>
    <row r="145" spans="1:23" x14ac:dyDescent="0.25">
      <c r="B145" s="94" t="s">
        <v>128</v>
      </c>
      <c r="C145" s="95">
        <v>4</v>
      </c>
      <c r="D145">
        <f>$C145*VLOOKUP($B145,FoodDB!$A$2:$I$1016,3,0)</f>
        <v>0.8</v>
      </c>
      <c r="E145">
        <f>$C145*VLOOKUP($B145,FoodDB!$A$2:$I$1016,4,0)</f>
        <v>9.6</v>
      </c>
      <c r="F145">
        <f>$C145*VLOOKUP($B145,FoodDB!$A$2:$I$1016,5,0)</f>
        <v>3.2</v>
      </c>
      <c r="G145">
        <f>$C145*VLOOKUP($B145,FoodDB!$A$2:$I$1016,6,0)</f>
        <v>7.2</v>
      </c>
      <c r="H145">
        <f>$C145*VLOOKUP($B145,FoodDB!$A$2:$I$1016,7,0)</f>
        <v>38.4</v>
      </c>
      <c r="I145">
        <f>$C145*VLOOKUP($B145,FoodDB!$A$2:$I$1016,8,0)</f>
        <v>12.8</v>
      </c>
      <c r="J145">
        <f>$C145*VLOOKUP($B145,FoodDB!$A$2:$I$1016,9,0)</f>
        <v>58.400000000000006</v>
      </c>
    </row>
    <row r="146" spans="1:23" x14ac:dyDescent="0.25">
      <c r="B146" s="94" t="s">
        <v>96</v>
      </c>
      <c r="C146" s="95">
        <v>2</v>
      </c>
      <c r="D146">
        <v>0.4</v>
      </c>
      <c r="E146">
        <v>3.4</v>
      </c>
      <c r="F146">
        <v>2.8</v>
      </c>
      <c r="G146">
        <f>$C146*VLOOKUP($B146,FoodDB!$A$2:$I$1016,6,0)</f>
        <v>0</v>
      </c>
      <c r="H146">
        <f>$C146*VLOOKUP($B146,FoodDB!$A$2:$I$1016,7,0)</f>
        <v>5.1428571428571432</v>
      </c>
      <c r="I146">
        <f>$C146*VLOOKUP($B146,FoodDB!$A$2:$I$1016,8,0)</f>
        <v>2.5714285714285716</v>
      </c>
      <c r="J146">
        <f>$C146*VLOOKUP($B146,FoodDB!$A$2:$I$1016,9,0)</f>
        <v>7.7142857142857153</v>
      </c>
    </row>
    <row r="147" spans="1:23" x14ac:dyDescent="0.25">
      <c r="B147" s="94" t="s">
        <v>109</v>
      </c>
      <c r="C147" s="95">
        <v>4</v>
      </c>
      <c r="D147">
        <f>$C147*VLOOKUP($B147,FoodDB!$A$2:$I$1016,3,0)</f>
        <v>48</v>
      </c>
      <c r="E147">
        <f>$C147*VLOOKUP($B147,FoodDB!$A$2:$I$1016,4,0)</f>
        <v>0</v>
      </c>
      <c r="F147">
        <f>$C147*VLOOKUP($B147,FoodDB!$A$2:$I$1016,5,0)</f>
        <v>0</v>
      </c>
      <c r="G147">
        <f>$C147*VLOOKUP($B147,FoodDB!$A$2:$I$1016,6,0)</f>
        <v>432</v>
      </c>
      <c r="H147">
        <f>$C147*VLOOKUP($B147,FoodDB!$A$2:$I$1016,7,0)</f>
        <v>0</v>
      </c>
      <c r="I147">
        <f>$C147*VLOOKUP($B147,FoodDB!$A$2:$I$1016,8,0)</f>
        <v>0</v>
      </c>
      <c r="J147">
        <f>$C147*VLOOKUP($B147,FoodDB!$A$2:$I$1016,9,0)</f>
        <v>432</v>
      </c>
    </row>
    <row r="148" spans="1:23" x14ac:dyDescent="0.25">
      <c r="B148" s="94" t="s">
        <v>108</v>
      </c>
      <c r="C148" s="95">
        <v>0</v>
      </c>
      <c r="D148">
        <f>$C148*VLOOKUP($B148,FoodDB!$A$2:$I$1016,3,0)</f>
        <v>0</v>
      </c>
      <c r="E148">
        <f>$C148*VLOOKUP($B148,FoodDB!$A$2:$I$1016,4,0)</f>
        <v>0</v>
      </c>
      <c r="F148">
        <f>$C148*VLOOKUP($B148,FoodDB!$A$2:$I$1016,5,0)</f>
        <v>0</v>
      </c>
      <c r="G148">
        <f>$C148*VLOOKUP($B148,FoodDB!$A$2:$I$1016,6,0)</f>
        <v>0</v>
      </c>
      <c r="H148">
        <f>$C148*VLOOKUP($B148,FoodDB!$A$2:$I$1016,7,0)</f>
        <v>0</v>
      </c>
      <c r="I148">
        <f>$C148*VLOOKUP($B148,FoodDB!$A$2:$I$1016,8,0)</f>
        <v>0</v>
      </c>
      <c r="J148">
        <f>$C148*VLOOKUP($B148,FoodDB!$A$2:$I$1016,9,0)</f>
        <v>0</v>
      </c>
    </row>
    <row r="149" spans="1:23" x14ac:dyDescent="0.25">
      <c r="A149" t="s">
        <v>98</v>
      </c>
      <c r="G149">
        <f>SUM(G142:G148)</f>
        <v>519.75</v>
      </c>
      <c r="H149">
        <f>SUM(H142:H148)</f>
        <v>55.542857142857144</v>
      </c>
      <c r="I149">
        <f>SUM(I142:I148)</f>
        <v>463.37142857142857</v>
      </c>
      <c r="J149">
        <f>SUM(G149:I149)</f>
        <v>1038.6642857142858</v>
      </c>
    </row>
    <row r="150" spans="1:23" x14ac:dyDescent="0.25">
      <c r="A150" t="s">
        <v>102</v>
      </c>
      <c r="B150" t="s">
        <v>103</v>
      </c>
      <c r="E150" s="98"/>
      <c r="F150" s="98"/>
      <c r="G150" s="98">
        <f>VLOOKUP($A142,LossChart!$A$3:$AB$105,14,0)</f>
        <v>405.46758031438662</v>
      </c>
      <c r="H150" s="98">
        <f>VLOOKUP($A142,LossChart!$A$3:$AB$105,15,0)</f>
        <v>80</v>
      </c>
      <c r="I150" s="98">
        <f>VLOOKUP($A142,LossChart!$A$3:$AB$105,16,0)</f>
        <v>477.30407413615825</v>
      </c>
      <c r="J150" s="98">
        <f>VLOOKUP($A142,LossChart!$A$3:$AB$105,17,0)</f>
        <v>962.77165445054493</v>
      </c>
      <c r="K150" s="98"/>
    </row>
    <row r="151" spans="1:23" x14ac:dyDescent="0.25">
      <c r="A151" t="s">
        <v>104</v>
      </c>
      <c r="G151">
        <f>G150-G149</f>
        <v>-114.28241968561338</v>
      </c>
      <c r="H151">
        <f>H150-H149</f>
        <v>24.457142857142856</v>
      </c>
      <c r="I151">
        <f>I150-I149</f>
        <v>13.932645564729683</v>
      </c>
      <c r="J151">
        <f>J150-J149</f>
        <v>-75.892631263740896</v>
      </c>
    </row>
    <row r="153" spans="1:23" ht="60" x14ac:dyDescent="0.25">
      <c r="A153" s="21" t="s">
        <v>63</v>
      </c>
      <c r="B153" s="21" t="s">
        <v>93</v>
      </c>
      <c r="C153" s="21" t="s">
        <v>94</v>
      </c>
      <c r="D153" s="92" t="str">
        <f>FoodDB!$C$1</f>
        <v>Fat
(g)</v>
      </c>
      <c r="E153" s="92" t="str">
        <f>FoodDB!$D$1</f>
        <v xml:space="preserve"> Carbs
(g)</v>
      </c>
      <c r="F153" s="92" t="str">
        <f>FoodDB!$E$1</f>
        <v>Protein
(g)</v>
      </c>
      <c r="G153" s="92" t="str">
        <f>FoodDB!$F$1</f>
        <v>Fat
(Cal)</v>
      </c>
      <c r="H153" s="92" t="str">
        <f>FoodDB!$G$1</f>
        <v>Carb
(Cal)</v>
      </c>
      <c r="I153" s="92" t="str">
        <f>FoodDB!$H$1</f>
        <v>Protein
(Cal)</v>
      </c>
      <c r="J153" s="92" t="str">
        <f>FoodDB!$I$1</f>
        <v>Total
Calories</v>
      </c>
      <c r="K153" s="92"/>
      <c r="L153" s="92" t="s">
        <v>110</v>
      </c>
      <c r="M153" s="92" t="s">
        <v>111</v>
      </c>
      <c r="N153" s="92" t="s">
        <v>112</v>
      </c>
      <c r="O153" s="92" t="s">
        <v>113</v>
      </c>
      <c r="P153" s="92" t="s">
        <v>118</v>
      </c>
      <c r="Q153" s="92" t="s">
        <v>119</v>
      </c>
      <c r="R153" s="92" t="s">
        <v>120</v>
      </c>
      <c r="S153" s="92" t="s">
        <v>121</v>
      </c>
      <c r="T153" s="92"/>
      <c r="U153" s="92"/>
      <c r="V153" s="92"/>
      <c r="W153" s="92"/>
    </row>
    <row r="154" spans="1:23" x14ac:dyDescent="0.25">
      <c r="A154" s="93">
        <f>A142+1</f>
        <v>43007</v>
      </c>
      <c r="B154" s="94" t="s">
        <v>126</v>
      </c>
      <c r="C154" s="95">
        <v>2</v>
      </c>
      <c r="D154">
        <f>$C154*VLOOKUP($B154,FoodDB!$A$2:$I$1016,3,0)</f>
        <v>7.2</v>
      </c>
      <c r="E154">
        <f>$C154*VLOOKUP($B154,FoodDB!$A$2:$I$1016,4,0)</f>
        <v>0</v>
      </c>
      <c r="F154">
        <f>$C154*VLOOKUP($B154,FoodDB!$A$2:$I$1016,5,0)</f>
        <v>62</v>
      </c>
      <c r="G154">
        <f>$C154*VLOOKUP($B154,FoodDB!$A$2:$I$1016,6,0)</f>
        <v>64.8</v>
      </c>
      <c r="H154">
        <f>$C154*VLOOKUP($B154,FoodDB!$A$2:$I$1016,7,0)</f>
        <v>0</v>
      </c>
      <c r="I154">
        <f>$C154*VLOOKUP($B154,FoodDB!$A$2:$I$1016,8,0)</f>
        <v>248</v>
      </c>
      <c r="J154">
        <f>$C154*VLOOKUP($B154,FoodDB!$A$2:$I$1016,9,0)</f>
        <v>312.8</v>
      </c>
      <c r="L154">
        <f>SUM(G154:G161)</f>
        <v>526.5</v>
      </c>
      <c r="M154">
        <f>SUM(H154:H161)</f>
        <v>65.485714285714295</v>
      </c>
      <c r="N154">
        <f>SUM(I154:I161)</f>
        <v>498.74285714285713</v>
      </c>
      <c r="O154">
        <f>SUM(L154:N154)</f>
        <v>1090.7285714285713</v>
      </c>
      <c r="P154" s="98">
        <f>VLOOKUP($A154,LossChart!$A$3:$AB$105,14,0)-L154</f>
        <v>-113.52363914043508</v>
      </c>
      <c r="Q154" s="98">
        <f>VLOOKUP($A154,LossChart!$A$3:$AB$105,15,0)-M154</f>
        <v>14.514285714285705</v>
      </c>
      <c r="R154" s="98">
        <f>VLOOKUP($A154,LossChart!$A$3:$AB$105,16,0)-N154</f>
        <v>-21.438783006698884</v>
      </c>
      <c r="S154" s="98">
        <f>VLOOKUP($A154,LossChart!$A$3:$AB$105,17,0)-O154</f>
        <v>-120.44813643284806</v>
      </c>
      <c r="T154" s="98"/>
      <c r="U154" s="98"/>
      <c r="V154" s="98"/>
      <c r="W154" s="98"/>
    </row>
    <row r="155" spans="1:23" x14ac:dyDescent="0.25">
      <c r="B155" s="94" t="s">
        <v>128</v>
      </c>
      <c r="C155" s="95">
        <v>2</v>
      </c>
      <c r="D155">
        <f>$C155*VLOOKUP($B155,FoodDB!$A$2:$I$1016,3,0)</f>
        <v>0.4</v>
      </c>
      <c r="E155">
        <f>$C155*VLOOKUP($B155,FoodDB!$A$2:$I$1016,4,0)</f>
        <v>4.8</v>
      </c>
      <c r="F155">
        <f>$C155*VLOOKUP($B155,FoodDB!$A$2:$I$1016,5,0)</f>
        <v>1.6</v>
      </c>
      <c r="G155">
        <f>$C155*VLOOKUP($B155,FoodDB!$A$2:$I$1016,6,0)</f>
        <v>3.6</v>
      </c>
      <c r="H155">
        <f>$C155*VLOOKUP($B155,FoodDB!$A$2:$I$1016,7,0)</f>
        <v>19.2</v>
      </c>
      <c r="I155">
        <f>$C155*VLOOKUP($B155,FoodDB!$A$2:$I$1016,8,0)</f>
        <v>6.4</v>
      </c>
      <c r="J155">
        <f>$C155*VLOOKUP($B155,FoodDB!$A$2:$I$1016,9,0)</f>
        <v>29.200000000000003</v>
      </c>
    </row>
    <row r="156" spans="1:23" x14ac:dyDescent="0.25">
      <c r="B156" s="94" t="s">
        <v>96</v>
      </c>
      <c r="C156" s="95">
        <v>4</v>
      </c>
      <c r="D156">
        <f>$C156*VLOOKUP($B156,FoodDB!$A$2:$I$1016,3,0)</f>
        <v>0</v>
      </c>
      <c r="E156">
        <f>$C156*VLOOKUP($B156,FoodDB!$A$2:$I$1016,4,0)</f>
        <v>2.5714285714285716</v>
      </c>
      <c r="F156">
        <f>$C156*VLOOKUP($B156,FoodDB!$A$2:$I$1016,5,0)</f>
        <v>1.2857142857142858</v>
      </c>
      <c r="G156">
        <f>$C156*VLOOKUP($B156,FoodDB!$A$2:$I$1016,6,0)</f>
        <v>0</v>
      </c>
      <c r="H156">
        <f>$C156*VLOOKUP($B156,FoodDB!$A$2:$I$1016,7,0)</f>
        <v>10.285714285714286</v>
      </c>
      <c r="I156">
        <f>$C156*VLOOKUP($B156,FoodDB!$A$2:$I$1016,8,0)</f>
        <v>5.1428571428571432</v>
      </c>
      <c r="J156">
        <f>$C156*VLOOKUP($B156,FoodDB!$A$2:$I$1016,9,0)</f>
        <v>15.428571428571431</v>
      </c>
    </row>
    <row r="157" spans="1:23" x14ac:dyDescent="0.25">
      <c r="B157" s="94" t="s">
        <v>100</v>
      </c>
      <c r="C157" s="95">
        <v>7</v>
      </c>
      <c r="D157">
        <f>$C157*VLOOKUP($B157,FoodDB!$A$2:$I$1016,3,0)</f>
        <v>0</v>
      </c>
      <c r="E157">
        <f>$C157*VLOOKUP($B157,FoodDB!$A$2:$I$1016,4,0)</f>
        <v>7</v>
      </c>
      <c r="F157">
        <f>$C157*VLOOKUP($B157,FoodDB!$A$2:$I$1016,5,0)</f>
        <v>4.2</v>
      </c>
      <c r="G157">
        <f>$C157*VLOOKUP($B157,FoodDB!$A$2:$I$1016,6,0)</f>
        <v>0</v>
      </c>
      <c r="H157">
        <f>$C157*VLOOKUP($B157,FoodDB!$A$2:$I$1016,7,0)</f>
        <v>28</v>
      </c>
      <c r="I157">
        <f>$C157*VLOOKUP($B157,FoodDB!$A$2:$I$1016,8,0)</f>
        <v>16.8</v>
      </c>
      <c r="J157">
        <f>$C157*VLOOKUP($B157,FoodDB!$A$2:$I$1016,9,0)</f>
        <v>44.800000000000004</v>
      </c>
    </row>
    <row r="158" spans="1:23" x14ac:dyDescent="0.25">
      <c r="B158" s="94" t="s">
        <v>99</v>
      </c>
      <c r="C158" s="95">
        <v>5</v>
      </c>
      <c r="D158">
        <f>$C158*VLOOKUP($B158,FoodDB!$A$2:$I$1016,3,0)</f>
        <v>30.9</v>
      </c>
      <c r="E158">
        <f>$C158*VLOOKUP($B158,FoodDB!$A$2:$I$1016,4,0)</f>
        <v>0</v>
      </c>
      <c r="F158">
        <f>$C158*VLOOKUP($B158,FoodDB!$A$2:$I$1016,5,0)</f>
        <v>42.599999999999994</v>
      </c>
      <c r="G158">
        <f>$C158*VLOOKUP($B158,FoodDB!$A$2:$I$1016,6,0)</f>
        <v>278.09999999999997</v>
      </c>
      <c r="H158">
        <f>$C158*VLOOKUP($B158,FoodDB!$A$2:$I$1016,7,0)</f>
        <v>0</v>
      </c>
      <c r="I158">
        <f>$C158*VLOOKUP($B158,FoodDB!$A$2:$I$1016,8,0)</f>
        <v>170.39999999999998</v>
      </c>
      <c r="J158">
        <f>$C158*VLOOKUP($B158,FoodDB!$A$2:$I$1016,9,0)</f>
        <v>448.49999999999994</v>
      </c>
    </row>
    <row r="159" spans="1:23" x14ac:dyDescent="0.25">
      <c r="B159" s="94" t="s">
        <v>108</v>
      </c>
      <c r="C159" s="95">
        <v>2</v>
      </c>
      <c r="D159">
        <f>$C159*VLOOKUP($B159,FoodDB!$A$2:$I$1016,3,0)</f>
        <v>0</v>
      </c>
      <c r="E159">
        <f>$C159*VLOOKUP($B159,FoodDB!$A$2:$I$1016,4,0)</f>
        <v>0</v>
      </c>
      <c r="F159">
        <f>$C159*VLOOKUP($B159,FoodDB!$A$2:$I$1016,5,0)</f>
        <v>0</v>
      </c>
      <c r="G159">
        <f>$C159*VLOOKUP($B159,FoodDB!$A$2:$I$1016,6,0)</f>
        <v>0</v>
      </c>
      <c r="H159">
        <f>$C159*VLOOKUP($B159,FoodDB!$A$2:$I$1016,7,0)</f>
        <v>0</v>
      </c>
      <c r="I159">
        <f>$C159*VLOOKUP($B159,FoodDB!$A$2:$I$1016,8,0)</f>
        <v>0</v>
      </c>
      <c r="J159">
        <f>$C159*VLOOKUP($B159,FoodDB!$A$2:$I$1016,9,0)</f>
        <v>0</v>
      </c>
    </row>
    <row r="160" spans="1:23" x14ac:dyDescent="0.25">
      <c r="B160" s="94" t="s">
        <v>127</v>
      </c>
      <c r="C160" s="95">
        <v>1</v>
      </c>
      <c r="D160">
        <f>$C160*VLOOKUP($B160,FoodDB!$A$2:$I$1016,3,0)</f>
        <v>15</v>
      </c>
      <c r="E160">
        <f>$C160*VLOOKUP($B160,FoodDB!$A$2:$I$1016,4,0)</f>
        <v>2</v>
      </c>
      <c r="F160">
        <f>$C160*VLOOKUP($B160,FoodDB!$A$2:$I$1016,5,0)</f>
        <v>7</v>
      </c>
      <c r="G160">
        <f>$C160*VLOOKUP($B160,FoodDB!$A$2:$I$1016,6,0)</f>
        <v>135</v>
      </c>
      <c r="H160">
        <f>$C160*VLOOKUP($B160,FoodDB!$A$2:$I$1016,7,0)</f>
        <v>8</v>
      </c>
      <c r="I160">
        <f>$C160*VLOOKUP($B160,FoodDB!$A$2:$I$1016,8,0)</f>
        <v>28</v>
      </c>
      <c r="J160">
        <f>$C160*VLOOKUP($B160,FoodDB!$A$2:$I$1016,9,0)</f>
        <v>171</v>
      </c>
    </row>
    <row r="161" spans="1:23" x14ac:dyDescent="0.25">
      <c r="B161" s="94" t="s">
        <v>101</v>
      </c>
      <c r="C161" s="95">
        <v>1</v>
      </c>
      <c r="D161">
        <f>$C161*VLOOKUP($B161,FoodDB!$A$2:$I$1016,3,0)</f>
        <v>5</v>
      </c>
      <c r="E161">
        <f>$C161*VLOOKUP($B161,FoodDB!$A$2:$I$1016,4,0)</f>
        <v>0</v>
      </c>
      <c r="F161">
        <f>$C161*VLOOKUP($B161,FoodDB!$A$2:$I$1016,5,0)</f>
        <v>6</v>
      </c>
      <c r="G161">
        <f>$C161*VLOOKUP($B161,FoodDB!$A$2:$I$1016,6,0)</f>
        <v>45</v>
      </c>
      <c r="H161">
        <f>$C161*VLOOKUP($B161,FoodDB!$A$2:$I$1016,7,0)</f>
        <v>0</v>
      </c>
      <c r="I161">
        <f>$C161*VLOOKUP($B161,FoodDB!$A$2:$I$1016,8,0)</f>
        <v>24</v>
      </c>
      <c r="J161">
        <f>$C161*VLOOKUP($B161,FoodDB!$A$2:$I$1016,9,0)</f>
        <v>69</v>
      </c>
    </row>
    <row r="162" spans="1:23" x14ac:dyDescent="0.25">
      <c r="A162" t="s">
        <v>98</v>
      </c>
      <c r="G162">
        <f>SUM(G154:G161)</f>
        <v>526.5</v>
      </c>
      <c r="H162">
        <f>SUM(H154:H161)</f>
        <v>65.485714285714295</v>
      </c>
      <c r="I162">
        <f>SUM(I154:I161)</f>
        <v>498.74285714285713</v>
      </c>
      <c r="J162">
        <f>SUM(G162:I162)</f>
        <v>1090.7285714285713</v>
      </c>
    </row>
    <row r="163" spans="1:23" x14ac:dyDescent="0.25">
      <c r="A163" t="s">
        <v>102</v>
      </c>
      <c r="B163" t="s">
        <v>103</v>
      </c>
      <c r="E163" s="98"/>
      <c r="F163" s="98"/>
      <c r="G163" s="98">
        <f>VLOOKUP($A154,LossChart!$A$3:$AB$105,14,0)</f>
        <v>412.97636085956492</v>
      </c>
      <c r="H163" s="98">
        <f>VLOOKUP($A154,LossChart!$A$3:$AB$105,15,0)</f>
        <v>80</v>
      </c>
      <c r="I163" s="98">
        <f>VLOOKUP($A154,LossChart!$A$3:$AB$105,16,0)</f>
        <v>477.30407413615825</v>
      </c>
      <c r="J163" s="98">
        <f>VLOOKUP($A154,LossChart!$A$3:$AB$105,17,0)</f>
        <v>970.28043499572323</v>
      </c>
      <c r="K163" s="98"/>
    </row>
    <row r="164" spans="1:23" x14ac:dyDescent="0.25">
      <c r="A164" t="s">
        <v>104</v>
      </c>
      <c r="G164">
        <f>G163-G162</f>
        <v>-113.52363914043508</v>
      </c>
      <c r="H164">
        <f>H163-H162</f>
        <v>14.514285714285705</v>
      </c>
      <c r="I164">
        <f>I163-I162</f>
        <v>-21.438783006698884</v>
      </c>
      <c r="J164">
        <f>J163-J162</f>
        <v>-120.44813643284806</v>
      </c>
    </row>
    <row r="166" spans="1:23" ht="60" x14ac:dyDescent="0.25">
      <c r="A166" s="21" t="s">
        <v>63</v>
      </c>
      <c r="B166" s="21" t="s">
        <v>93</v>
      </c>
      <c r="C166" s="21" t="s">
        <v>94</v>
      </c>
      <c r="D166" s="92" t="str">
        <f>FoodDB!$C$1</f>
        <v>Fat
(g)</v>
      </c>
      <c r="E166" s="92" t="str">
        <f>FoodDB!$D$1</f>
        <v xml:space="preserve"> Carbs
(g)</v>
      </c>
      <c r="F166" s="92" t="str">
        <f>FoodDB!$E$1</f>
        <v>Protein
(g)</v>
      </c>
      <c r="G166" s="92" t="str">
        <f>FoodDB!$F$1</f>
        <v>Fat
(Cal)</v>
      </c>
      <c r="H166" s="92" t="str">
        <f>FoodDB!$G$1</f>
        <v>Carb
(Cal)</v>
      </c>
      <c r="I166" s="92" t="str">
        <f>FoodDB!$H$1</f>
        <v>Protein
(Cal)</v>
      </c>
      <c r="J166" s="92" t="str">
        <f>FoodDB!$I$1</f>
        <v>Total
Calories</v>
      </c>
      <c r="K166" s="92"/>
      <c r="L166" s="92" t="s">
        <v>110</v>
      </c>
      <c r="M166" s="92" t="s">
        <v>111</v>
      </c>
      <c r="N166" s="92" t="s">
        <v>112</v>
      </c>
      <c r="O166" s="92" t="s">
        <v>113</v>
      </c>
      <c r="P166" s="92" t="s">
        <v>118</v>
      </c>
      <c r="Q166" s="92" t="s">
        <v>119</v>
      </c>
      <c r="R166" s="92" t="s">
        <v>120</v>
      </c>
      <c r="S166" s="92" t="s">
        <v>121</v>
      </c>
      <c r="T166" s="92"/>
      <c r="U166" s="92"/>
      <c r="V166" s="92"/>
      <c r="W166" s="92"/>
    </row>
    <row r="167" spans="1:23" x14ac:dyDescent="0.25">
      <c r="A167" s="93">
        <f>A154+1</f>
        <v>43008</v>
      </c>
      <c r="B167" s="94" t="s">
        <v>126</v>
      </c>
      <c r="C167" s="95">
        <v>2.5</v>
      </c>
      <c r="D167" s="98">
        <f>$C167*VLOOKUP($B167,FoodDB!$A$2:$I$1016,3,0)</f>
        <v>9</v>
      </c>
      <c r="E167" s="98">
        <f>$C167*VLOOKUP($B167,FoodDB!$A$2:$I$1016,4,0)</f>
        <v>0</v>
      </c>
      <c r="F167" s="98">
        <f>$C167*VLOOKUP($B167,FoodDB!$A$2:$I$1016,5,0)</f>
        <v>77.5</v>
      </c>
      <c r="G167" s="98">
        <f>$C167*VLOOKUP($B167,FoodDB!$A$2:$I$1016,6,0)</f>
        <v>81</v>
      </c>
      <c r="H167" s="98">
        <f>$C167*VLOOKUP($B167,FoodDB!$A$2:$I$1016,7,0)</f>
        <v>0</v>
      </c>
      <c r="I167" s="98">
        <f>$C167*VLOOKUP($B167,FoodDB!$A$2:$I$1016,8,0)</f>
        <v>310</v>
      </c>
      <c r="J167" s="98">
        <f>$C167*VLOOKUP($B167,FoodDB!$A$2:$I$1016,9,0)</f>
        <v>391</v>
      </c>
      <c r="L167" s="98">
        <f>SUM(G167:G174)</f>
        <v>483.48</v>
      </c>
      <c r="M167" s="98">
        <f>SUM(H167:H174)</f>
        <v>43.714285714285715</v>
      </c>
      <c r="N167" s="98">
        <f>SUM(I167:I174)</f>
        <v>518.97714285714278</v>
      </c>
      <c r="O167" s="98">
        <f>SUM(L167:N167)</f>
        <v>1046.1714285714284</v>
      </c>
      <c r="P167" s="98">
        <f>VLOOKUP($A167,LossChart!$A$3:$AB$105,14,0)-L167</f>
        <v>-63.297598188063603</v>
      </c>
      <c r="Q167" s="98">
        <f>VLOOKUP($A167,LossChart!$A$3:$AB$105,15,0)-M167</f>
        <v>36.285714285714285</v>
      </c>
      <c r="R167" s="98">
        <f>VLOOKUP($A167,LossChart!$A$3:$AB$105,16,0)-N167</f>
        <v>-41.673068720984531</v>
      </c>
      <c r="S167" s="98">
        <f>VLOOKUP($A167,LossChart!$A$3:$AB$105,17,0)-O167</f>
        <v>-68.684952623333629</v>
      </c>
      <c r="T167" s="98"/>
      <c r="U167" s="98"/>
      <c r="V167" s="98"/>
      <c r="W167" s="98"/>
    </row>
    <row r="168" spans="1:23" x14ac:dyDescent="0.25">
      <c r="B168" s="94" t="s">
        <v>99</v>
      </c>
      <c r="C168" s="95">
        <v>4</v>
      </c>
      <c r="D168" s="98">
        <f>$C168*VLOOKUP($B168,FoodDB!$A$2:$I$1016,3,0)</f>
        <v>24.72</v>
      </c>
      <c r="E168" s="98">
        <f>$C168*VLOOKUP($B168,FoodDB!$A$2:$I$1016,4,0)</f>
        <v>0</v>
      </c>
      <c r="F168" s="98">
        <f>$C168*VLOOKUP($B168,FoodDB!$A$2:$I$1016,5,0)</f>
        <v>34.08</v>
      </c>
      <c r="G168" s="98">
        <f>$C168*VLOOKUP($B168,FoodDB!$A$2:$I$1016,6,0)</f>
        <v>222.48</v>
      </c>
      <c r="H168" s="98">
        <f>$C168*VLOOKUP($B168,FoodDB!$A$2:$I$1016,7,0)</f>
        <v>0</v>
      </c>
      <c r="I168" s="98">
        <f>$C168*VLOOKUP($B168,FoodDB!$A$2:$I$1016,8,0)</f>
        <v>136.32</v>
      </c>
      <c r="J168" s="98">
        <f>$C168*VLOOKUP($B168,FoodDB!$A$2:$I$1016,9,0)</f>
        <v>358.79999999999995</v>
      </c>
    </row>
    <row r="169" spans="1:23" x14ac:dyDescent="0.25">
      <c r="B169" s="94" t="s">
        <v>100</v>
      </c>
      <c r="C169" s="95">
        <v>7</v>
      </c>
      <c r="D169" s="98">
        <f>$C169*VLOOKUP($B169,FoodDB!$A$2:$I$1016,3,0)</f>
        <v>0</v>
      </c>
      <c r="E169" s="98">
        <f>$C169*VLOOKUP($B169,FoodDB!$A$2:$I$1016,4,0)</f>
        <v>7</v>
      </c>
      <c r="F169" s="98">
        <f>$C169*VLOOKUP($B169,FoodDB!$A$2:$I$1016,5,0)</f>
        <v>4.2</v>
      </c>
      <c r="G169" s="98">
        <f>$C169*VLOOKUP($B169,FoodDB!$A$2:$I$1016,6,0)</f>
        <v>0</v>
      </c>
      <c r="H169" s="98">
        <f>$C169*VLOOKUP($B169,FoodDB!$A$2:$I$1016,7,0)</f>
        <v>28</v>
      </c>
      <c r="I169" s="98">
        <f>$C169*VLOOKUP($B169,FoodDB!$A$2:$I$1016,8,0)</f>
        <v>16.8</v>
      </c>
      <c r="J169" s="98">
        <f>$C169*VLOOKUP($B169,FoodDB!$A$2:$I$1016,9,0)</f>
        <v>44.800000000000004</v>
      </c>
    </row>
    <row r="170" spans="1:23" x14ac:dyDescent="0.25">
      <c r="B170" s="94" t="s">
        <v>96</v>
      </c>
      <c r="C170" s="95">
        <v>3</v>
      </c>
      <c r="D170" s="98">
        <f>$C170*VLOOKUP($B170,FoodDB!$A$2:$I$1016,3,0)</f>
        <v>0</v>
      </c>
      <c r="E170" s="98">
        <f>$C170*VLOOKUP($B170,FoodDB!$A$2:$I$1016,4,0)</f>
        <v>1.9285714285714288</v>
      </c>
      <c r="F170" s="98">
        <f>$C170*VLOOKUP($B170,FoodDB!$A$2:$I$1016,5,0)</f>
        <v>0.96428571428571441</v>
      </c>
      <c r="G170" s="98">
        <f>$C170*VLOOKUP($B170,FoodDB!$A$2:$I$1016,6,0)</f>
        <v>0</v>
      </c>
      <c r="H170" s="98">
        <f>$C170*VLOOKUP($B170,FoodDB!$A$2:$I$1016,7,0)</f>
        <v>7.7142857142857153</v>
      </c>
      <c r="I170" s="98">
        <f>$C170*VLOOKUP($B170,FoodDB!$A$2:$I$1016,8,0)</f>
        <v>3.8571428571428577</v>
      </c>
      <c r="J170" s="98">
        <f>$C170*VLOOKUP($B170,FoodDB!$A$2:$I$1016,9,0)</f>
        <v>11.571428571428573</v>
      </c>
    </row>
    <row r="171" spans="1:23" x14ac:dyDescent="0.25">
      <c r="B171" s="94" t="s">
        <v>109</v>
      </c>
      <c r="C171" s="95">
        <v>0</v>
      </c>
      <c r="D171" s="98">
        <f>$C171*VLOOKUP($B171,FoodDB!$A$2:$I$1016,3,0)</f>
        <v>0</v>
      </c>
      <c r="E171" s="98">
        <f>$C171*VLOOKUP($B171,FoodDB!$A$2:$I$1016,4,0)</f>
        <v>0</v>
      </c>
      <c r="F171" s="98">
        <f>$C171*VLOOKUP($B171,FoodDB!$A$2:$I$1016,5,0)</f>
        <v>0</v>
      </c>
      <c r="G171" s="98">
        <f>$C171*VLOOKUP($B171,FoodDB!$A$2:$I$1016,6,0)</f>
        <v>0</v>
      </c>
      <c r="H171" s="98">
        <f>$C171*VLOOKUP($B171,FoodDB!$A$2:$I$1016,7,0)</f>
        <v>0</v>
      </c>
      <c r="I171" s="98">
        <f>$C171*VLOOKUP($B171,FoodDB!$A$2:$I$1016,8,0)</f>
        <v>0</v>
      </c>
      <c r="J171" s="98">
        <f>$C171*VLOOKUP($B171,FoodDB!$A$2:$I$1016,9,0)</f>
        <v>0</v>
      </c>
    </row>
    <row r="172" spans="1:23" x14ac:dyDescent="0.25">
      <c r="B172" s="94" t="s">
        <v>127</v>
      </c>
      <c r="C172" s="95">
        <v>1</v>
      </c>
      <c r="D172" s="98">
        <f>$C172*VLOOKUP($B172,FoodDB!$A$2:$I$1016,3,0)</f>
        <v>15</v>
      </c>
      <c r="E172" s="98">
        <f>$C172*VLOOKUP($B172,FoodDB!$A$2:$I$1016,4,0)</f>
        <v>2</v>
      </c>
      <c r="F172" s="98">
        <f>$C172*VLOOKUP($B172,FoodDB!$A$2:$I$1016,5,0)</f>
        <v>7</v>
      </c>
      <c r="G172" s="98">
        <f>$C172*VLOOKUP($B172,FoodDB!$A$2:$I$1016,6,0)</f>
        <v>135</v>
      </c>
      <c r="H172" s="98">
        <f>$C172*VLOOKUP($B172,FoodDB!$A$2:$I$1016,7,0)</f>
        <v>8</v>
      </c>
      <c r="I172" s="98">
        <f>$C172*VLOOKUP($B172,FoodDB!$A$2:$I$1016,8,0)</f>
        <v>28</v>
      </c>
      <c r="J172" s="98">
        <f>$C172*VLOOKUP($B172,FoodDB!$A$2:$I$1016,9,0)</f>
        <v>171</v>
      </c>
    </row>
    <row r="173" spans="1:23" x14ac:dyDescent="0.25">
      <c r="B173" s="94" t="s">
        <v>101</v>
      </c>
      <c r="C173" s="95">
        <v>1</v>
      </c>
      <c r="D173" s="98">
        <f>$C173*VLOOKUP($B173,FoodDB!$A$2:$I$1016,3,0)</f>
        <v>5</v>
      </c>
      <c r="E173" s="98">
        <f>$C173*VLOOKUP($B173,FoodDB!$A$2:$I$1016,4,0)</f>
        <v>0</v>
      </c>
      <c r="F173" s="98">
        <f>$C173*VLOOKUP($B173,FoodDB!$A$2:$I$1016,5,0)</f>
        <v>6</v>
      </c>
      <c r="G173" s="98">
        <f>$C173*VLOOKUP($B173,FoodDB!$A$2:$I$1016,6,0)</f>
        <v>45</v>
      </c>
      <c r="H173" s="98">
        <f>$C173*VLOOKUP($B173,FoodDB!$A$2:$I$1016,7,0)</f>
        <v>0</v>
      </c>
      <c r="I173" s="98">
        <f>$C173*VLOOKUP($B173,FoodDB!$A$2:$I$1016,8,0)</f>
        <v>24</v>
      </c>
      <c r="J173" s="98">
        <f>$C173*VLOOKUP($B173,FoodDB!$A$2:$I$1016,9,0)</f>
        <v>69</v>
      </c>
    </row>
    <row r="174" spans="1:23" x14ac:dyDescent="0.25">
      <c r="B174" s="94" t="s">
        <v>108</v>
      </c>
      <c r="C174" s="95">
        <v>0</v>
      </c>
      <c r="D174" s="98">
        <f>$C174*VLOOKUP($B174,FoodDB!$A$2:$I$1016,3,0)</f>
        <v>0</v>
      </c>
      <c r="E174" s="98">
        <f>$C174*VLOOKUP($B174,FoodDB!$A$2:$I$1016,4,0)</f>
        <v>0</v>
      </c>
      <c r="F174" s="98">
        <f>$C174*VLOOKUP($B174,FoodDB!$A$2:$I$1016,5,0)</f>
        <v>0</v>
      </c>
      <c r="G174" s="98">
        <f>$C174*VLOOKUP($B174,FoodDB!$A$2:$I$1016,6,0)</f>
        <v>0</v>
      </c>
      <c r="H174" s="98">
        <f>$C174*VLOOKUP($B174,FoodDB!$A$2:$I$1016,7,0)</f>
        <v>0</v>
      </c>
      <c r="I174" s="98">
        <f>$C174*VLOOKUP($B174,FoodDB!$A$2:$I$1016,8,0)</f>
        <v>0</v>
      </c>
      <c r="J174" s="98">
        <f>$C174*VLOOKUP($B174,FoodDB!$A$2:$I$1016,9,0)</f>
        <v>0</v>
      </c>
    </row>
    <row r="175" spans="1:23" x14ac:dyDescent="0.25">
      <c r="A175" t="s">
        <v>98</v>
      </c>
      <c r="D175" s="98"/>
      <c r="E175" s="98"/>
      <c r="F175" s="98"/>
      <c r="G175" s="98">
        <f>SUM(G167:G174)</f>
        <v>483.48</v>
      </c>
      <c r="H175" s="98">
        <f>SUM(H167:H174)</f>
        <v>43.714285714285715</v>
      </c>
      <c r="I175" s="98">
        <f>SUM(I167:I174)</f>
        <v>518.97714285714278</v>
      </c>
      <c r="J175" s="98">
        <f>SUM(G175:I175)</f>
        <v>1046.1714285714284</v>
      </c>
    </row>
    <row r="176" spans="1:23" x14ac:dyDescent="0.25">
      <c r="A176" t="s">
        <v>102</v>
      </c>
      <c r="B176" t="s">
        <v>103</v>
      </c>
      <c r="D176" s="98"/>
      <c r="E176" s="98"/>
      <c r="F176" s="98"/>
      <c r="G176" s="98">
        <f>VLOOKUP($A167,LossChart!$A$3:$AB$105,14,0)</f>
        <v>420.18240181193642</v>
      </c>
      <c r="H176" s="98">
        <f>VLOOKUP($A167,LossChart!$A$3:$AB$105,15,0)</f>
        <v>80</v>
      </c>
      <c r="I176" s="98">
        <f>VLOOKUP($A167,LossChart!$A$3:$AB$105,16,0)</f>
        <v>477.30407413615825</v>
      </c>
      <c r="J176" s="98">
        <f>VLOOKUP($A167,LossChart!$A$3:$AB$105,17,0)</f>
        <v>977.48647594809472</v>
      </c>
      <c r="K176" s="98"/>
    </row>
    <row r="177" spans="1:23" x14ac:dyDescent="0.25">
      <c r="A177" t="s">
        <v>104</v>
      </c>
      <c r="D177" s="98"/>
      <c r="E177" s="98"/>
      <c r="F177" s="98"/>
      <c r="G177" s="98">
        <f>G176-G175</f>
        <v>-63.297598188063603</v>
      </c>
      <c r="H177" s="98">
        <f>H176-H175</f>
        <v>36.285714285714285</v>
      </c>
      <c r="I177" s="98">
        <f>I176-I175</f>
        <v>-41.673068720984531</v>
      </c>
      <c r="J177" s="98">
        <f>J176-J175</f>
        <v>-68.684952623333629</v>
      </c>
    </row>
    <row r="179" spans="1:23" ht="60" x14ac:dyDescent="0.25">
      <c r="A179" s="21" t="s">
        <v>63</v>
      </c>
      <c r="B179" s="21" t="s">
        <v>93</v>
      </c>
      <c r="C179" s="21" t="s">
        <v>94</v>
      </c>
      <c r="D179" s="92" t="str">
        <f>FoodDB!$C$1</f>
        <v>Fat
(g)</v>
      </c>
      <c r="E179" s="92" t="str">
        <f>FoodDB!$D$1</f>
        <v xml:space="preserve"> Carbs
(g)</v>
      </c>
      <c r="F179" s="92" t="str">
        <f>FoodDB!$E$1</f>
        <v>Protein
(g)</v>
      </c>
      <c r="G179" s="92" t="str">
        <f>FoodDB!$F$1</f>
        <v>Fat
(Cal)</v>
      </c>
      <c r="H179" s="92" t="str">
        <f>FoodDB!$G$1</f>
        <v>Carb
(Cal)</v>
      </c>
      <c r="I179" s="92" t="str">
        <f>FoodDB!$H$1</f>
        <v>Protein
(Cal)</v>
      </c>
      <c r="J179" s="92" t="str">
        <f>FoodDB!$I$1</f>
        <v>Total
Calories</v>
      </c>
      <c r="K179" s="92"/>
      <c r="L179" s="92" t="s">
        <v>110</v>
      </c>
      <c r="M179" s="92" t="s">
        <v>111</v>
      </c>
      <c r="N179" s="92" t="s">
        <v>112</v>
      </c>
      <c r="O179" s="92" t="s">
        <v>113</v>
      </c>
      <c r="P179" s="92" t="s">
        <v>118</v>
      </c>
      <c r="Q179" s="92" t="s">
        <v>119</v>
      </c>
      <c r="R179" s="92" t="s">
        <v>120</v>
      </c>
      <c r="S179" s="92" t="s">
        <v>121</v>
      </c>
      <c r="T179" s="92"/>
      <c r="U179" s="92"/>
      <c r="V179" s="92"/>
      <c r="W179" s="92"/>
    </row>
    <row r="180" spans="1:23" x14ac:dyDescent="0.25">
      <c r="A180" s="93">
        <f>A167+1</f>
        <v>43009</v>
      </c>
      <c r="B180" s="94" t="s">
        <v>100</v>
      </c>
      <c r="C180" s="95">
        <v>7</v>
      </c>
      <c r="D180">
        <f>$C180*VLOOKUP($B180,FoodDB!$A$2:$I$1016,3,0)</f>
        <v>0</v>
      </c>
      <c r="E180">
        <f>$C180*VLOOKUP($B180,FoodDB!$A$2:$I$1016,4,0)</f>
        <v>7</v>
      </c>
      <c r="F180">
        <f>$C180*VLOOKUP($B180,FoodDB!$A$2:$I$1016,5,0)</f>
        <v>4.2</v>
      </c>
      <c r="G180">
        <f>$C180*VLOOKUP($B180,FoodDB!$A$2:$I$1016,6,0)</f>
        <v>0</v>
      </c>
      <c r="H180">
        <f>$C180*VLOOKUP($B180,FoodDB!$A$2:$I$1016,7,0)</f>
        <v>28</v>
      </c>
      <c r="I180">
        <f>$C180*VLOOKUP($B180,FoodDB!$A$2:$I$1016,8,0)</f>
        <v>16.8</v>
      </c>
      <c r="J180">
        <f>$C180*VLOOKUP($B180,FoodDB!$A$2:$I$1016,9,0)</f>
        <v>44.800000000000004</v>
      </c>
      <c r="L180">
        <f>SUM(G180:G186)</f>
        <v>504.9</v>
      </c>
      <c r="M180">
        <f>SUM(H180:H186)</f>
        <v>51.714285714285715</v>
      </c>
      <c r="N180">
        <f>SUM(I180:I186)</f>
        <v>476.65714285714284</v>
      </c>
      <c r="O180">
        <f>SUM(L180:N180)</f>
        <v>1033.2714285714285</v>
      </c>
      <c r="P180" s="98">
        <f>VLOOKUP($A180,LossChart!$A$3:$AB$105,14,0)-L180</f>
        <v>-77.300933812932612</v>
      </c>
      <c r="Q180" s="98">
        <f>VLOOKUP($A180,LossChart!$A$3:$AB$105,15,0)-M180</f>
        <v>28.285714285714285</v>
      </c>
      <c r="R180" s="98">
        <f>VLOOKUP($A180,LossChart!$A$3:$AB$105,16,0)-N180</f>
        <v>0.64693127901540493</v>
      </c>
      <c r="S180" s="98">
        <f>VLOOKUP($A180,LossChart!$A$3:$AB$105,17,0)-O180</f>
        <v>-48.368288248202816</v>
      </c>
      <c r="T180" s="98"/>
      <c r="U180" s="98"/>
      <c r="V180" s="98"/>
      <c r="W180" s="98"/>
    </row>
    <row r="181" spans="1:23" x14ac:dyDescent="0.25">
      <c r="B181" s="94" t="s">
        <v>99</v>
      </c>
      <c r="C181" s="95">
        <v>5</v>
      </c>
      <c r="D181">
        <f>$C181*VLOOKUP($B181,FoodDB!$A$2:$I$1016,3,0)</f>
        <v>30.9</v>
      </c>
      <c r="E181">
        <f>$C181*VLOOKUP($B181,FoodDB!$A$2:$I$1016,4,0)</f>
        <v>0</v>
      </c>
      <c r="F181">
        <f>$C181*VLOOKUP($B181,FoodDB!$A$2:$I$1016,5,0)</f>
        <v>42.599999999999994</v>
      </c>
      <c r="G181">
        <f>$C181*VLOOKUP($B181,FoodDB!$A$2:$I$1016,6,0)</f>
        <v>278.09999999999997</v>
      </c>
      <c r="H181">
        <f>$C181*VLOOKUP($B181,FoodDB!$A$2:$I$1016,7,0)</f>
        <v>0</v>
      </c>
      <c r="I181">
        <f>$C181*VLOOKUP($B181,FoodDB!$A$2:$I$1016,8,0)</f>
        <v>170.39999999999998</v>
      </c>
      <c r="J181">
        <f>$C181*VLOOKUP($B181,FoodDB!$A$2:$I$1016,9,0)</f>
        <v>448.49999999999994</v>
      </c>
    </row>
    <row r="182" spans="1:23" x14ac:dyDescent="0.25">
      <c r="B182" s="94" t="s">
        <v>126</v>
      </c>
      <c r="C182" s="95">
        <v>2</v>
      </c>
      <c r="D182">
        <f>$C182*VLOOKUP($B182,FoodDB!$A$2:$I$1016,3,0)</f>
        <v>7.2</v>
      </c>
      <c r="E182">
        <f>$C182*VLOOKUP($B182,FoodDB!$A$2:$I$1016,4,0)</f>
        <v>0</v>
      </c>
      <c r="F182">
        <f>$C182*VLOOKUP($B182,FoodDB!$A$2:$I$1016,5,0)</f>
        <v>62</v>
      </c>
      <c r="G182">
        <f>$C182*VLOOKUP($B182,FoodDB!$A$2:$I$1016,6,0)</f>
        <v>64.8</v>
      </c>
      <c r="H182">
        <f>$C182*VLOOKUP($B182,FoodDB!$A$2:$I$1016,7,0)</f>
        <v>0</v>
      </c>
      <c r="I182">
        <f>$C182*VLOOKUP($B182,FoodDB!$A$2:$I$1016,8,0)</f>
        <v>248</v>
      </c>
      <c r="J182">
        <f>$C182*VLOOKUP($B182,FoodDB!$A$2:$I$1016,9,0)</f>
        <v>312.8</v>
      </c>
    </row>
    <row r="183" spans="1:23" x14ac:dyDescent="0.25">
      <c r="B183" s="94" t="s">
        <v>96</v>
      </c>
      <c r="C183" s="95">
        <v>3</v>
      </c>
      <c r="D183">
        <f>$C183*VLOOKUP($B183,FoodDB!$A$2:$I$1016,3,0)</f>
        <v>0</v>
      </c>
      <c r="E183">
        <f>$C183*VLOOKUP($B183,FoodDB!$A$2:$I$1016,4,0)</f>
        <v>1.9285714285714288</v>
      </c>
      <c r="F183">
        <f>$C183*VLOOKUP($B183,FoodDB!$A$2:$I$1016,5,0)</f>
        <v>0.96428571428571441</v>
      </c>
      <c r="G183">
        <f>$C183*VLOOKUP($B183,FoodDB!$A$2:$I$1016,6,0)</f>
        <v>0</v>
      </c>
      <c r="H183">
        <f>$C183*VLOOKUP($B183,FoodDB!$A$2:$I$1016,7,0)</f>
        <v>7.7142857142857153</v>
      </c>
      <c r="I183">
        <f>$C183*VLOOKUP($B183,FoodDB!$A$2:$I$1016,8,0)</f>
        <v>3.8571428571428577</v>
      </c>
      <c r="J183">
        <f>$C183*VLOOKUP($B183,FoodDB!$A$2:$I$1016,9,0)</f>
        <v>11.571428571428573</v>
      </c>
    </row>
    <row r="184" spans="1:23" x14ac:dyDescent="0.25">
      <c r="B184" s="94" t="s">
        <v>97</v>
      </c>
      <c r="C184" s="95">
        <v>2</v>
      </c>
      <c r="D184">
        <f>$C184*VLOOKUP($B184,FoodDB!$A$2:$I$1016,3,0)</f>
        <v>18</v>
      </c>
      <c r="E184">
        <f>$C184*VLOOKUP($B184,FoodDB!$A$2:$I$1016,4,0)</f>
        <v>4</v>
      </c>
      <c r="F184">
        <f>$C184*VLOOKUP($B184,FoodDB!$A$2:$I$1016,5,0)</f>
        <v>9.4</v>
      </c>
      <c r="G184">
        <f>$C184*VLOOKUP($B184,FoodDB!$A$2:$I$1016,6,0)</f>
        <v>162</v>
      </c>
      <c r="H184">
        <f>$C184*VLOOKUP($B184,FoodDB!$A$2:$I$1016,7,0)</f>
        <v>16</v>
      </c>
      <c r="I184">
        <f>$C184*VLOOKUP($B184,FoodDB!$A$2:$I$1016,8,0)</f>
        <v>37.6</v>
      </c>
      <c r="J184">
        <f>$C184*VLOOKUP($B184,FoodDB!$A$2:$I$1016,9,0)</f>
        <v>215.6</v>
      </c>
    </row>
    <row r="185" spans="1:23" x14ac:dyDescent="0.25">
      <c r="B185" s="94" t="s">
        <v>108</v>
      </c>
      <c r="C185" s="95">
        <v>0</v>
      </c>
      <c r="D185">
        <f>$C185*VLOOKUP($B185,FoodDB!$A$2:$I$1016,3,0)</f>
        <v>0</v>
      </c>
      <c r="E185">
        <f>$C185*VLOOKUP($B185,FoodDB!$A$2:$I$1016,4,0)</f>
        <v>0</v>
      </c>
      <c r="F185">
        <f>$C185*VLOOKUP($B185,FoodDB!$A$2:$I$1016,5,0)</f>
        <v>0</v>
      </c>
      <c r="G185">
        <f>$C185*VLOOKUP($B185,FoodDB!$A$2:$I$1016,6,0)</f>
        <v>0</v>
      </c>
      <c r="H185">
        <f>$C185*VLOOKUP($B185,FoodDB!$A$2:$I$1016,7,0)</f>
        <v>0</v>
      </c>
      <c r="I185">
        <f>$C185*VLOOKUP($B185,FoodDB!$A$2:$I$1016,8,0)</f>
        <v>0</v>
      </c>
      <c r="J185">
        <f>$C185*VLOOKUP($B185,FoodDB!$A$2:$I$1016,9,0)</f>
        <v>0</v>
      </c>
    </row>
    <row r="186" spans="1:23" x14ac:dyDescent="0.25">
      <c r="B186" s="94" t="s">
        <v>108</v>
      </c>
      <c r="C186" s="95">
        <v>0</v>
      </c>
      <c r="D186">
        <f>$C186*VLOOKUP($B186,FoodDB!$A$2:$I$1016,3,0)</f>
        <v>0</v>
      </c>
      <c r="E186">
        <f>$C186*VLOOKUP($B186,FoodDB!$A$2:$I$1016,4,0)</f>
        <v>0</v>
      </c>
      <c r="F186">
        <f>$C186*VLOOKUP($B186,FoodDB!$A$2:$I$1016,5,0)</f>
        <v>0</v>
      </c>
      <c r="G186">
        <f>$C186*VLOOKUP($B186,FoodDB!$A$2:$I$1016,6,0)</f>
        <v>0</v>
      </c>
      <c r="H186">
        <f>$C186*VLOOKUP($B186,FoodDB!$A$2:$I$1016,7,0)</f>
        <v>0</v>
      </c>
      <c r="I186">
        <f>$C186*VLOOKUP($B186,FoodDB!$A$2:$I$1016,8,0)</f>
        <v>0</v>
      </c>
      <c r="J186">
        <f>$C186*VLOOKUP($B186,FoodDB!$A$2:$I$1016,9,0)</f>
        <v>0</v>
      </c>
    </row>
    <row r="187" spans="1:23" x14ac:dyDescent="0.25">
      <c r="A187" t="s">
        <v>98</v>
      </c>
      <c r="G187">
        <f>SUM(G180:G186)</f>
        <v>504.9</v>
      </c>
      <c r="H187">
        <f>SUM(H180:H186)</f>
        <v>51.714285714285715</v>
      </c>
      <c r="I187">
        <f>SUM(I180:I186)</f>
        <v>476.65714285714284</v>
      </c>
      <c r="J187">
        <f>SUM(G187:I187)</f>
        <v>1033.2714285714285</v>
      </c>
    </row>
    <row r="188" spans="1:23" x14ac:dyDescent="0.25">
      <c r="A188" t="s">
        <v>102</v>
      </c>
      <c r="B188" t="s">
        <v>103</v>
      </c>
      <c r="E188" s="98"/>
      <c r="F188" s="98"/>
      <c r="G188" s="98">
        <f>VLOOKUP($A180,LossChart!$A$3:$AB$105,14,0)</f>
        <v>427.59906618706736</v>
      </c>
      <c r="H188" s="98">
        <f>VLOOKUP($A180,LossChart!$A$3:$AB$105,15,0)</f>
        <v>80</v>
      </c>
      <c r="I188" s="98">
        <f>VLOOKUP($A180,LossChart!$A$3:$AB$105,16,0)</f>
        <v>477.30407413615825</v>
      </c>
      <c r="J188" s="98">
        <f>VLOOKUP($A180,LossChart!$A$3:$AB$105,17,0)</f>
        <v>984.90314032322567</v>
      </c>
      <c r="K188" s="98"/>
    </row>
    <row r="189" spans="1:23" x14ac:dyDescent="0.25">
      <c r="A189" t="s">
        <v>104</v>
      </c>
      <c r="G189">
        <f>G188-G187</f>
        <v>-77.300933812932612</v>
      </c>
      <c r="H189">
        <f>H188-H187</f>
        <v>28.285714285714285</v>
      </c>
      <c r="I189">
        <f>I188-I187</f>
        <v>0.64693127901540493</v>
      </c>
      <c r="J189">
        <f>J188-J187</f>
        <v>-48.368288248202816</v>
      </c>
    </row>
    <row r="191" spans="1:23" ht="60" x14ac:dyDescent="0.25">
      <c r="A191" s="21" t="s">
        <v>63</v>
      </c>
      <c r="B191" s="21" t="s">
        <v>93</v>
      </c>
      <c r="C191" s="21" t="s">
        <v>94</v>
      </c>
      <c r="D191" s="92" t="str">
        <f>FoodDB!$C$1</f>
        <v>Fat
(g)</v>
      </c>
      <c r="E191" s="92" t="str">
        <f>FoodDB!$D$1</f>
        <v xml:space="preserve"> Carbs
(g)</v>
      </c>
      <c r="F191" s="92" t="str">
        <f>FoodDB!$E$1</f>
        <v>Protein
(g)</v>
      </c>
      <c r="G191" s="92" t="str">
        <f>FoodDB!$F$1</f>
        <v>Fat
(Cal)</v>
      </c>
      <c r="H191" s="92" t="str">
        <f>FoodDB!$G$1</f>
        <v>Carb
(Cal)</v>
      </c>
      <c r="I191" s="92" t="str">
        <f>FoodDB!$H$1</f>
        <v>Protein
(Cal)</v>
      </c>
      <c r="J191" s="92" t="str">
        <f>FoodDB!$I$1</f>
        <v>Total
Calories</v>
      </c>
      <c r="K191" s="92"/>
      <c r="L191" s="92" t="s">
        <v>110</v>
      </c>
      <c r="M191" s="92" t="s">
        <v>111</v>
      </c>
      <c r="N191" s="92" t="s">
        <v>112</v>
      </c>
      <c r="O191" s="92" t="s">
        <v>113</v>
      </c>
      <c r="P191" s="92" t="s">
        <v>118</v>
      </c>
      <c r="Q191" s="92" t="s">
        <v>119</v>
      </c>
      <c r="R191" s="92" t="s">
        <v>120</v>
      </c>
      <c r="S191" s="92" t="s">
        <v>121</v>
      </c>
      <c r="T191" s="92"/>
      <c r="U191" s="92"/>
      <c r="V191" s="92"/>
      <c r="W191" s="92"/>
    </row>
    <row r="192" spans="1:23" x14ac:dyDescent="0.25">
      <c r="A192" s="93">
        <f>A180+1</f>
        <v>43010</v>
      </c>
      <c r="B192" s="94" t="s">
        <v>100</v>
      </c>
      <c r="C192" s="95">
        <v>7</v>
      </c>
      <c r="D192">
        <f>$C192*VLOOKUP($B192,FoodDB!$A$2:$I$1016,3,0)</f>
        <v>0</v>
      </c>
      <c r="E192">
        <f>$C192*VLOOKUP($B192,FoodDB!$A$2:$I$1016,4,0)</f>
        <v>7</v>
      </c>
      <c r="F192">
        <f>$C192*VLOOKUP($B192,FoodDB!$A$2:$I$1016,5,0)</f>
        <v>4.2</v>
      </c>
      <c r="G192">
        <f>$C192*VLOOKUP($B192,FoodDB!$A$2:$I$1016,6,0)</f>
        <v>0</v>
      </c>
      <c r="H192">
        <f>$C192*VLOOKUP($B192,FoodDB!$A$2:$I$1016,7,0)</f>
        <v>28</v>
      </c>
      <c r="I192">
        <f>$C192*VLOOKUP($B192,FoodDB!$A$2:$I$1016,8,0)</f>
        <v>16.8</v>
      </c>
      <c r="J192">
        <f>$C192*VLOOKUP($B192,FoodDB!$A$2:$I$1016,9,0)</f>
        <v>44.800000000000004</v>
      </c>
      <c r="L192">
        <f>SUM(G192:G198)</f>
        <v>504.9</v>
      </c>
      <c r="M192">
        <f>SUM(H192:H198)</f>
        <v>51.714285714285715</v>
      </c>
      <c r="N192">
        <f>SUM(I192:I198)</f>
        <v>476.65714285714284</v>
      </c>
      <c r="O192">
        <f>SUM(L192:N192)</f>
        <v>1033.2714285714285</v>
      </c>
      <c r="P192" s="98">
        <f>VLOOKUP($A192,LossChart!$A$3:$AB$105,14,0)-L192</f>
        <v>-69.842240956309865</v>
      </c>
      <c r="Q192" s="98">
        <f>VLOOKUP($A192,LossChart!$A$3:$AB$105,15,0)-M192</f>
        <v>28.285714285714285</v>
      </c>
      <c r="R192" s="98">
        <f>VLOOKUP($A192,LossChart!$A$3:$AB$105,16,0)-N192</f>
        <v>0.64693127901540493</v>
      </c>
      <c r="S192" s="98">
        <f>VLOOKUP($A192,LossChart!$A$3:$AB$105,17,0)-O192</f>
        <v>-40.909595391580069</v>
      </c>
      <c r="T192" s="98"/>
      <c r="U192" s="98"/>
      <c r="V192" s="98"/>
      <c r="W192" s="98"/>
    </row>
    <row r="193" spans="1:23" x14ac:dyDescent="0.25">
      <c r="B193" s="94" t="s">
        <v>99</v>
      </c>
      <c r="C193" s="95">
        <v>5</v>
      </c>
      <c r="D193">
        <f>$C193*VLOOKUP($B193,FoodDB!$A$2:$I$1016,3,0)</f>
        <v>30.9</v>
      </c>
      <c r="E193">
        <f>$C193*VLOOKUP($B193,FoodDB!$A$2:$I$1016,4,0)</f>
        <v>0</v>
      </c>
      <c r="F193">
        <f>$C193*VLOOKUP($B193,FoodDB!$A$2:$I$1016,5,0)</f>
        <v>42.599999999999994</v>
      </c>
      <c r="G193">
        <f>$C193*VLOOKUP($B193,FoodDB!$A$2:$I$1016,6,0)</f>
        <v>278.09999999999997</v>
      </c>
      <c r="H193">
        <f>$C193*VLOOKUP($B193,FoodDB!$A$2:$I$1016,7,0)</f>
        <v>0</v>
      </c>
      <c r="I193">
        <f>$C193*VLOOKUP($B193,FoodDB!$A$2:$I$1016,8,0)</f>
        <v>170.39999999999998</v>
      </c>
      <c r="J193">
        <f>$C193*VLOOKUP($B193,FoodDB!$A$2:$I$1016,9,0)</f>
        <v>448.49999999999994</v>
      </c>
    </row>
    <row r="194" spans="1:23" x14ac:dyDescent="0.25">
      <c r="B194" s="94" t="s">
        <v>126</v>
      </c>
      <c r="C194" s="95">
        <v>2</v>
      </c>
      <c r="D194">
        <f>$C194*VLOOKUP($B194,FoodDB!$A$2:$I$1016,3,0)</f>
        <v>7.2</v>
      </c>
      <c r="E194">
        <f>$C194*VLOOKUP($B194,FoodDB!$A$2:$I$1016,4,0)</f>
        <v>0</v>
      </c>
      <c r="F194">
        <f>$C194*VLOOKUP($B194,FoodDB!$A$2:$I$1016,5,0)</f>
        <v>62</v>
      </c>
      <c r="G194">
        <f>$C194*VLOOKUP($B194,FoodDB!$A$2:$I$1016,6,0)</f>
        <v>64.8</v>
      </c>
      <c r="H194">
        <f>$C194*VLOOKUP($B194,FoodDB!$A$2:$I$1016,7,0)</f>
        <v>0</v>
      </c>
      <c r="I194">
        <f>$C194*VLOOKUP($B194,FoodDB!$A$2:$I$1016,8,0)</f>
        <v>248</v>
      </c>
      <c r="J194">
        <f>$C194*VLOOKUP($B194,FoodDB!$A$2:$I$1016,9,0)</f>
        <v>312.8</v>
      </c>
    </row>
    <row r="195" spans="1:23" x14ac:dyDescent="0.25">
      <c r="B195" s="94" t="s">
        <v>96</v>
      </c>
      <c r="C195" s="95">
        <v>3</v>
      </c>
      <c r="D195">
        <f>$C195*VLOOKUP($B195,FoodDB!$A$2:$I$1016,3,0)</f>
        <v>0</v>
      </c>
      <c r="E195">
        <f>$C195*VLOOKUP($B195,FoodDB!$A$2:$I$1016,4,0)</f>
        <v>1.9285714285714288</v>
      </c>
      <c r="F195">
        <f>$C195*VLOOKUP($B195,FoodDB!$A$2:$I$1016,5,0)</f>
        <v>0.96428571428571441</v>
      </c>
      <c r="G195">
        <f>$C195*VLOOKUP($B195,FoodDB!$A$2:$I$1016,6,0)</f>
        <v>0</v>
      </c>
      <c r="H195">
        <f>$C195*VLOOKUP($B195,FoodDB!$A$2:$I$1016,7,0)</f>
        <v>7.7142857142857153</v>
      </c>
      <c r="I195">
        <f>$C195*VLOOKUP($B195,FoodDB!$A$2:$I$1016,8,0)</f>
        <v>3.8571428571428577</v>
      </c>
      <c r="J195">
        <f>$C195*VLOOKUP($B195,FoodDB!$A$2:$I$1016,9,0)</f>
        <v>11.571428571428573</v>
      </c>
    </row>
    <row r="196" spans="1:23" x14ac:dyDescent="0.25">
      <c r="B196" s="94" t="s">
        <v>97</v>
      </c>
      <c r="C196" s="95">
        <v>2</v>
      </c>
      <c r="D196">
        <f>$C196*VLOOKUP($B196,FoodDB!$A$2:$I$1016,3,0)</f>
        <v>18</v>
      </c>
      <c r="E196">
        <f>$C196*VLOOKUP($B196,FoodDB!$A$2:$I$1016,4,0)</f>
        <v>4</v>
      </c>
      <c r="F196">
        <f>$C196*VLOOKUP($B196,FoodDB!$A$2:$I$1016,5,0)</f>
        <v>9.4</v>
      </c>
      <c r="G196">
        <f>$C196*VLOOKUP($B196,FoodDB!$A$2:$I$1016,6,0)</f>
        <v>162</v>
      </c>
      <c r="H196">
        <f>$C196*VLOOKUP($B196,FoodDB!$A$2:$I$1016,7,0)</f>
        <v>16</v>
      </c>
      <c r="I196">
        <f>$C196*VLOOKUP($B196,FoodDB!$A$2:$I$1016,8,0)</f>
        <v>37.6</v>
      </c>
      <c r="J196">
        <f>$C196*VLOOKUP($B196,FoodDB!$A$2:$I$1016,9,0)</f>
        <v>215.6</v>
      </c>
    </row>
    <row r="197" spans="1:23" x14ac:dyDescent="0.25">
      <c r="B197" s="94" t="s">
        <v>108</v>
      </c>
      <c r="C197" s="95">
        <v>0</v>
      </c>
      <c r="D197">
        <f>$C197*VLOOKUP($B197,FoodDB!$A$2:$I$1016,3,0)</f>
        <v>0</v>
      </c>
      <c r="E197">
        <f>$C197*VLOOKUP($B197,FoodDB!$A$2:$I$1016,4,0)</f>
        <v>0</v>
      </c>
      <c r="F197">
        <f>$C197*VLOOKUP($B197,FoodDB!$A$2:$I$1016,5,0)</f>
        <v>0</v>
      </c>
      <c r="G197">
        <f>$C197*VLOOKUP($B197,FoodDB!$A$2:$I$1016,6,0)</f>
        <v>0</v>
      </c>
      <c r="H197">
        <f>$C197*VLOOKUP($B197,FoodDB!$A$2:$I$1016,7,0)</f>
        <v>0</v>
      </c>
      <c r="I197">
        <f>$C197*VLOOKUP($B197,FoodDB!$A$2:$I$1016,8,0)</f>
        <v>0</v>
      </c>
      <c r="J197">
        <f>$C197*VLOOKUP($B197,FoodDB!$A$2:$I$1016,9,0)</f>
        <v>0</v>
      </c>
    </row>
    <row r="198" spans="1:23" x14ac:dyDescent="0.25">
      <c r="B198" s="94" t="s">
        <v>108</v>
      </c>
      <c r="C198" s="95">
        <v>0</v>
      </c>
      <c r="D198">
        <f>$C198*VLOOKUP($B198,FoodDB!$A$2:$I$1016,3,0)</f>
        <v>0</v>
      </c>
      <c r="E198">
        <f>$C198*VLOOKUP($B198,FoodDB!$A$2:$I$1016,4,0)</f>
        <v>0</v>
      </c>
      <c r="F198">
        <f>$C198*VLOOKUP($B198,FoodDB!$A$2:$I$1016,5,0)</f>
        <v>0</v>
      </c>
      <c r="G198">
        <f>$C198*VLOOKUP($B198,FoodDB!$A$2:$I$1016,6,0)</f>
        <v>0</v>
      </c>
      <c r="H198">
        <f>$C198*VLOOKUP($B198,FoodDB!$A$2:$I$1016,7,0)</f>
        <v>0</v>
      </c>
      <c r="I198">
        <f>$C198*VLOOKUP($B198,FoodDB!$A$2:$I$1016,8,0)</f>
        <v>0</v>
      </c>
      <c r="J198">
        <f>$C198*VLOOKUP($B198,FoodDB!$A$2:$I$1016,9,0)</f>
        <v>0</v>
      </c>
    </row>
    <row r="199" spans="1:23" x14ac:dyDescent="0.25">
      <c r="A199" t="s">
        <v>98</v>
      </c>
      <c r="G199">
        <f>SUM(G192:G198)</f>
        <v>504.9</v>
      </c>
      <c r="H199">
        <f>SUM(H192:H198)</f>
        <v>51.714285714285715</v>
      </c>
      <c r="I199">
        <f>SUM(I192:I198)</f>
        <v>476.65714285714284</v>
      </c>
      <c r="J199">
        <f>SUM(G199:I199)</f>
        <v>1033.2714285714285</v>
      </c>
    </row>
    <row r="200" spans="1:23" x14ac:dyDescent="0.25">
      <c r="A200" t="s">
        <v>102</v>
      </c>
      <c r="B200" t="s">
        <v>103</v>
      </c>
      <c r="E200" s="98"/>
      <c r="F200" s="98"/>
      <c r="G200" s="98">
        <f>VLOOKUP($A192,LossChart!$A$3:$AB$105,14,0)</f>
        <v>435.05775904369011</v>
      </c>
      <c r="H200" s="98">
        <f>VLOOKUP($A192,LossChart!$A$3:$AB$105,15,0)</f>
        <v>80</v>
      </c>
      <c r="I200" s="98">
        <f>VLOOKUP($A192,LossChart!$A$3:$AB$105,16,0)</f>
        <v>477.30407413615825</v>
      </c>
      <c r="J200" s="98">
        <f>VLOOKUP($A192,LossChart!$A$3:$AB$105,17,0)</f>
        <v>992.36183317984842</v>
      </c>
      <c r="K200" s="98"/>
    </row>
    <row r="201" spans="1:23" x14ac:dyDescent="0.25">
      <c r="A201" t="s">
        <v>104</v>
      </c>
      <c r="G201">
        <f>G200-G199</f>
        <v>-69.842240956309865</v>
      </c>
      <c r="H201">
        <f>H200-H199</f>
        <v>28.285714285714285</v>
      </c>
      <c r="I201">
        <f>I200-I199</f>
        <v>0.64693127901540493</v>
      </c>
      <c r="J201">
        <f>J200-J199</f>
        <v>-40.909595391580069</v>
      </c>
    </row>
    <row r="203" spans="1:23" ht="60" x14ac:dyDescent="0.25">
      <c r="A203" s="21" t="s">
        <v>63</v>
      </c>
      <c r="B203" s="21" t="s">
        <v>93</v>
      </c>
      <c r="C203" s="21" t="s">
        <v>94</v>
      </c>
      <c r="D203" s="92" t="str">
        <f>FoodDB!$C$1</f>
        <v>Fat
(g)</v>
      </c>
      <c r="E203" s="92" t="str">
        <f>FoodDB!$D$1</f>
        <v xml:space="preserve"> Carbs
(g)</v>
      </c>
      <c r="F203" s="92" t="str">
        <f>FoodDB!$E$1</f>
        <v>Protein
(g)</v>
      </c>
      <c r="G203" s="92" t="str">
        <f>FoodDB!$F$1</f>
        <v>Fat
(Cal)</v>
      </c>
      <c r="H203" s="92" t="str">
        <f>FoodDB!$G$1</f>
        <v>Carb
(Cal)</v>
      </c>
      <c r="I203" s="92" t="str">
        <f>FoodDB!$H$1</f>
        <v>Protein
(Cal)</v>
      </c>
      <c r="J203" s="92" t="str">
        <f>FoodDB!$I$1</f>
        <v>Total
Calories</v>
      </c>
      <c r="K203" s="92"/>
      <c r="L203" s="92" t="s">
        <v>110</v>
      </c>
      <c r="M203" s="92" t="s">
        <v>111</v>
      </c>
      <c r="N203" s="92" t="s">
        <v>112</v>
      </c>
      <c r="O203" s="92" t="s">
        <v>113</v>
      </c>
      <c r="P203" s="92" t="s">
        <v>118</v>
      </c>
      <c r="Q203" s="92" t="s">
        <v>119</v>
      </c>
      <c r="R203" s="92" t="s">
        <v>120</v>
      </c>
      <c r="S203" s="92" t="s">
        <v>121</v>
      </c>
      <c r="T203" s="92"/>
      <c r="U203" s="92"/>
      <c r="V203" s="92"/>
      <c r="W203" s="92"/>
    </row>
    <row r="204" spans="1:23" x14ac:dyDescent="0.25">
      <c r="A204" s="93">
        <f>A192+1</f>
        <v>43011</v>
      </c>
      <c r="B204" s="94" t="s">
        <v>126</v>
      </c>
      <c r="C204" s="95">
        <v>3</v>
      </c>
      <c r="D204">
        <f>$C204*VLOOKUP($B204,FoodDB!$A$2:$I$1016,3,0)</f>
        <v>10.8</v>
      </c>
      <c r="E204">
        <f>$C204*VLOOKUP($B204,FoodDB!$A$2:$I$1016,4,0)</f>
        <v>0</v>
      </c>
      <c r="F204">
        <f>$C204*VLOOKUP($B204,FoodDB!$A$2:$I$1016,5,0)</f>
        <v>93</v>
      </c>
      <c r="G204">
        <f>$C204*VLOOKUP($B204,FoodDB!$A$2:$I$1016,6,0)</f>
        <v>97.199999999999989</v>
      </c>
      <c r="H204">
        <f>$C204*VLOOKUP($B204,FoodDB!$A$2:$I$1016,7,0)</f>
        <v>0</v>
      </c>
      <c r="I204">
        <f>$C204*VLOOKUP($B204,FoodDB!$A$2:$I$1016,8,0)</f>
        <v>372</v>
      </c>
      <c r="J204">
        <f>$C204*VLOOKUP($B204,FoodDB!$A$2:$I$1016,9,0)</f>
        <v>469.20000000000005</v>
      </c>
      <c r="L204">
        <f>SUM(G204:G213)</f>
        <v>426.6</v>
      </c>
      <c r="M204">
        <f>SUM(H204:H213)</f>
        <v>70.95</v>
      </c>
      <c r="N204">
        <f>SUM(I204:I213)</f>
        <v>500.40000000000003</v>
      </c>
      <c r="O204">
        <f>SUM(L204:N204)</f>
        <v>997.95</v>
      </c>
      <c r="P204" s="98">
        <f>VLOOKUP($A204,LossChart!$A$3:$AB$105,14,0)-L204</f>
        <v>15.889935175390406</v>
      </c>
      <c r="Q204" s="98">
        <f>VLOOKUP($A204,LossChart!$A$3:$AB$105,15,0)-M204</f>
        <v>9.0499999999999972</v>
      </c>
      <c r="R204" s="98">
        <f>VLOOKUP($A204,LossChart!$A$3:$AB$105,16,0)-N204</f>
        <v>-23.095925863841785</v>
      </c>
      <c r="S204" s="98">
        <f>VLOOKUP($A204,LossChart!$A$3:$AB$105,17,0)-O204</f>
        <v>1.8440093115486889</v>
      </c>
      <c r="T204" s="98"/>
      <c r="U204" s="98"/>
      <c r="V204" s="98"/>
      <c r="W204" s="98"/>
    </row>
    <row r="205" spans="1:23" x14ac:dyDescent="0.25">
      <c r="B205" s="94" t="s">
        <v>100</v>
      </c>
      <c r="C205" s="95">
        <v>7</v>
      </c>
      <c r="D205">
        <f>$C205*VLOOKUP($B205,FoodDB!$A$2:$I$1016,3,0)</f>
        <v>0</v>
      </c>
      <c r="E205">
        <f>$C205*VLOOKUP($B205,FoodDB!$A$2:$I$1016,4,0)</f>
        <v>7</v>
      </c>
      <c r="F205">
        <f>$C205*VLOOKUP($B205,FoodDB!$A$2:$I$1016,5,0)</f>
        <v>4.2</v>
      </c>
      <c r="G205">
        <f>$C205*VLOOKUP($B205,FoodDB!$A$2:$I$1016,6,0)</f>
        <v>0</v>
      </c>
      <c r="H205">
        <f>$C205*VLOOKUP($B205,FoodDB!$A$2:$I$1016,7,0)</f>
        <v>28</v>
      </c>
      <c r="I205">
        <f>$C205*VLOOKUP($B205,FoodDB!$A$2:$I$1016,8,0)</f>
        <v>16.8</v>
      </c>
      <c r="J205">
        <f>$C205*VLOOKUP($B205,FoodDB!$A$2:$I$1016,9,0)</f>
        <v>44.800000000000004</v>
      </c>
    </row>
    <row r="206" spans="1:23" x14ac:dyDescent="0.25">
      <c r="B206" s="94" t="s">
        <v>126</v>
      </c>
      <c r="C206" s="95">
        <v>0</v>
      </c>
      <c r="D206">
        <f>$C206*VLOOKUP($B206,FoodDB!$A$2:$I$1016,3,0)</f>
        <v>0</v>
      </c>
      <c r="E206">
        <f>$C206*VLOOKUP($B206,FoodDB!$A$2:$I$1016,4,0)</f>
        <v>0</v>
      </c>
      <c r="F206">
        <f>$C206*VLOOKUP($B206,FoodDB!$A$2:$I$1016,5,0)</f>
        <v>0</v>
      </c>
      <c r="G206">
        <f>$C206*VLOOKUP($B206,FoodDB!$A$2:$I$1016,6,0)</f>
        <v>0</v>
      </c>
      <c r="H206">
        <f>$C206*VLOOKUP($B206,FoodDB!$A$2:$I$1016,7,0)</f>
        <v>0</v>
      </c>
      <c r="I206">
        <f>$C206*VLOOKUP($B206,FoodDB!$A$2:$I$1016,8,0)</f>
        <v>0</v>
      </c>
      <c r="J206">
        <f>$C206*VLOOKUP($B206,FoodDB!$A$2:$I$1016,9,0)</f>
        <v>0</v>
      </c>
    </row>
    <row r="207" spans="1:23" x14ac:dyDescent="0.25">
      <c r="B207" s="94" t="s">
        <v>129</v>
      </c>
      <c r="C207" s="95">
        <v>1</v>
      </c>
      <c r="D207">
        <f>$C207*VLOOKUP($B207,FoodDB!$A$2:$I$1016,3,0)</f>
        <v>0.6</v>
      </c>
      <c r="E207">
        <f>$C207*VLOOKUP($B207,FoodDB!$A$2:$I$1016,4,0)</f>
        <v>4.9000000000000004</v>
      </c>
      <c r="F207">
        <f>$C207*VLOOKUP($B207,FoodDB!$A$2:$I$1016,5,0)</f>
        <v>2.4</v>
      </c>
      <c r="G207">
        <f>$C207*VLOOKUP($B207,FoodDB!$A$2:$I$1016,6,0)</f>
        <v>5.3999999999999995</v>
      </c>
      <c r="H207">
        <f>$C207*VLOOKUP($B207,FoodDB!$A$2:$I$1016,7,0)</f>
        <v>19.600000000000001</v>
      </c>
      <c r="I207">
        <f>$C207*VLOOKUP($B207,FoodDB!$A$2:$I$1016,8,0)</f>
        <v>9.6</v>
      </c>
      <c r="J207">
        <f>$C207*VLOOKUP($B207,FoodDB!$A$2:$I$1016,9,0)</f>
        <v>34.6</v>
      </c>
    </row>
    <row r="208" spans="1:23" x14ac:dyDescent="0.25">
      <c r="B208" s="94" t="s">
        <v>130</v>
      </c>
      <c r="C208" s="95">
        <v>0.25</v>
      </c>
      <c r="D208">
        <f>$C208*VLOOKUP($B208,FoodDB!$A$2:$I$1016,3,0)</f>
        <v>0</v>
      </c>
      <c r="E208">
        <f>$C208*VLOOKUP($B208,FoodDB!$A$2:$I$1016,4,0)</f>
        <v>1.3374999999999999</v>
      </c>
      <c r="F208">
        <f>$C208*VLOOKUP($B208,FoodDB!$A$2:$I$1016,5,0)</f>
        <v>0</v>
      </c>
      <c r="G208">
        <f>$C208*VLOOKUP($B208,FoodDB!$A$2:$I$1016,6,0)</f>
        <v>0</v>
      </c>
      <c r="H208">
        <f>$C208*VLOOKUP($B208,FoodDB!$A$2:$I$1016,7,0)</f>
        <v>5.35</v>
      </c>
      <c r="I208">
        <f>$C208*VLOOKUP($B208,FoodDB!$A$2:$I$1016,8,0)</f>
        <v>0</v>
      </c>
      <c r="J208">
        <f>$C208*VLOOKUP($B208,FoodDB!$A$2:$I$1016,9,0)</f>
        <v>5.35</v>
      </c>
    </row>
    <row r="209" spans="1:23" x14ac:dyDescent="0.25">
      <c r="B209" s="94" t="s">
        <v>131</v>
      </c>
      <c r="C209" s="95">
        <v>0.5</v>
      </c>
      <c r="D209">
        <f>$C209*VLOOKUP($B209,FoodDB!$A$2:$I$1016,3,0)</f>
        <v>3.5</v>
      </c>
      <c r="E209">
        <f>$C209*VLOOKUP($B209,FoodDB!$A$2:$I$1016,4,0)</f>
        <v>1.5</v>
      </c>
      <c r="F209">
        <f>$C209*VLOOKUP($B209,FoodDB!$A$2:$I$1016,5,0)</f>
        <v>0.5</v>
      </c>
      <c r="G209">
        <f>$C209*VLOOKUP($B209,FoodDB!$A$2:$I$1016,6,0)</f>
        <v>31.5</v>
      </c>
      <c r="H209">
        <f>$C209*VLOOKUP($B209,FoodDB!$A$2:$I$1016,7,0)</f>
        <v>6</v>
      </c>
      <c r="I209">
        <f>$C209*VLOOKUP($B209,FoodDB!$A$2:$I$1016,8,0)</f>
        <v>2</v>
      </c>
      <c r="J209">
        <f>$C209*VLOOKUP($B209,FoodDB!$A$2:$I$1016,9,0)</f>
        <v>39.5</v>
      </c>
    </row>
    <row r="210" spans="1:23" x14ac:dyDescent="0.25">
      <c r="B210" s="94" t="s">
        <v>132</v>
      </c>
      <c r="C210" s="95">
        <v>1</v>
      </c>
      <c r="D210">
        <f>$C210*VLOOKUP($B210,FoodDB!$A$2:$I$1016,3,0)</f>
        <v>0.5</v>
      </c>
      <c r="E210">
        <f>$C210*VLOOKUP($B210,FoodDB!$A$2:$I$1016,4,0)</f>
        <v>1</v>
      </c>
      <c r="F210">
        <f>$C210*VLOOKUP($B210,FoodDB!$A$2:$I$1016,5,0)</f>
        <v>12</v>
      </c>
      <c r="G210">
        <f>$C210*VLOOKUP($B210,FoodDB!$A$2:$I$1016,6,0)</f>
        <v>4.5</v>
      </c>
      <c r="H210">
        <f>$C210*VLOOKUP($B210,FoodDB!$A$2:$I$1016,7,0)</f>
        <v>4</v>
      </c>
      <c r="I210">
        <f>$C210*VLOOKUP($B210,FoodDB!$A$2:$I$1016,8,0)</f>
        <v>48</v>
      </c>
      <c r="J210">
        <f>$C210*VLOOKUP($B210,FoodDB!$A$2:$I$1016,9,0)</f>
        <v>56.5</v>
      </c>
    </row>
    <row r="211" spans="1:23" x14ac:dyDescent="0.25">
      <c r="B211" s="94" t="s">
        <v>127</v>
      </c>
      <c r="C211" s="95">
        <v>1</v>
      </c>
      <c r="D211">
        <f>$C211*VLOOKUP($B211,FoodDB!$A$2:$I$1016,3,0)</f>
        <v>15</v>
      </c>
      <c r="E211">
        <f>$C211*VLOOKUP($B211,FoodDB!$A$2:$I$1016,4,0)</f>
        <v>2</v>
      </c>
      <c r="F211">
        <f>$C211*VLOOKUP($B211,FoodDB!$A$2:$I$1016,5,0)</f>
        <v>7</v>
      </c>
      <c r="G211">
        <f>$C211*VLOOKUP($B211,FoodDB!$A$2:$I$1016,6,0)</f>
        <v>135</v>
      </c>
      <c r="H211">
        <f>$C211*VLOOKUP($B211,FoodDB!$A$2:$I$1016,7,0)</f>
        <v>8</v>
      </c>
      <c r="I211">
        <f>$C211*VLOOKUP($B211,FoodDB!$A$2:$I$1016,8,0)</f>
        <v>28</v>
      </c>
      <c r="J211">
        <f>$C211*VLOOKUP($B211,FoodDB!$A$2:$I$1016,9,0)</f>
        <v>171</v>
      </c>
    </row>
    <row r="212" spans="1:23" x14ac:dyDescent="0.25">
      <c r="B212" s="94" t="s">
        <v>101</v>
      </c>
      <c r="C212" s="95">
        <v>1</v>
      </c>
      <c r="D212">
        <f>$C212*VLOOKUP($B212,FoodDB!$A$2:$I$1016,3,0)</f>
        <v>5</v>
      </c>
      <c r="E212">
        <f>$C212*VLOOKUP($B212,FoodDB!$A$2:$I$1016,4,0)</f>
        <v>0</v>
      </c>
      <c r="F212">
        <f>$C212*VLOOKUP($B212,FoodDB!$A$2:$I$1016,5,0)</f>
        <v>6</v>
      </c>
      <c r="G212">
        <f>$C212*VLOOKUP($B212,FoodDB!$A$2:$I$1016,6,0)</f>
        <v>45</v>
      </c>
      <c r="H212">
        <f>$C212*VLOOKUP($B212,FoodDB!$A$2:$I$1016,7,0)</f>
        <v>0</v>
      </c>
      <c r="I212">
        <f>$C212*VLOOKUP($B212,FoodDB!$A$2:$I$1016,8,0)</f>
        <v>24</v>
      </c>
      <c r="J212">
        <f>$C212*VLOOKUP($B212,FoodDB!$A$2:$I$1016,9,0)</f>
        <v>69</v>
      </c>
    </row>
    <row r="213" spans="1:23" x14ac:dyDescent="0.25">
      <c r="B213" s="94" t="s">
        <v>109</v>
      </c>
      <c r="C213" s="95">
        <v>1</v>
      </c>
      <c r="D213">
        <f>$C213*VLOOKUP($B213,FoodDB!$A$2:$I$1016,3,0)</f>
        <v>12</v>
      </c>
      <c r="E213">
        <f>$C213*VLOOKUP($B213,FoodDB!$A$2:$I$1016,4,0)</f>
        <v>0</v>
      </c>
      <c r="F213">
        <f>$C213*VLOOKUP($B213,FoodDB!$A$2:$I$1016,5,0)</f>
        <v>0</v>
      </c>
      <c r="G213">
        <f>$C213*VLOOKUP($B213,FoodDB!$A$2:$I$1016,6,0)</f>
        <v>108</v>
      </c>
      <c r="H213">
        <f>$C213*VLOOKUP($B213,FoodDB!$A$2:$I$1016,7,0)</f>
        <v>0</v>
      </c>
      <c r="I213">
        <f>$C213*VLOOKUP($B213,FoodDB!$A$2:$I$1016,8,0)</f>
        <v>0</v>
      </c>
      <c r="J213">
        <f>$C213*VLOOKUP($B213,FoodDB!$A$2:$I$1016,9,0)</f>
        <v>108</v>
      </c>
    </row>
    <row r="214" spans="1:23" x14ac:dyDescent="0.25">
      <c r="A214" t="s">
        <v>98</v>
      </c>
      <c r="G214">
        <f>SUM(G204:G213)</f>
        <v>426.6</v>
      </c>
      <c r="H214">
        <f>SUM(H204:H213)</f>
        <v>70.95</v>
      </c>
      <c r="I214">
        <f>SUM(I204:I213)</f>
        <v>500.40000000000003</v>
      </c>
      <c r="J214">
        <f>SUM(G214:I214)</f>
        <v>997.95</v>
      </c>
    </row>
    <row r="215" spans="1:23" x14ac:dyDescent="0.25">
      <c r="A215" t="s">
        <v>102</v>
      </c>
      <c r="B215" t="s">
        <v>103</v>
      </c>
      <c r="E215" s="98"/>
      <c r="F215" s="98"/>
      <c r="G215" s="98">
        <f>VLOOKUP($A204,LossChart!$A$3:$AB$105,14,0)</f>
        <v>442.48993517539043</v>
      </c>
      <c r="H215" s="98">
        <f>VLOOKUP($A204,LossChart!$A$3:$AB$105,15,0)</f>
        <v>80</v>
      </c>
      <c r="I215" s="98">
        <f>VLOOKUP($A204,LossChart!$A$3:$AB$105,16,0)</f>
        <v>477.30407413615825</v>
      </c>
      <c r="J215" s="98">
        <f>VLOOKUP($A204,LossChart!$A$3:$AB$105,17,0)</f>
        <v>999.79400931154873</v>
      </c>
      <c r="K215" s="98"/>
    </row>
    <row r="216" spans="1:23" x14ac:dyDescent="0.25">
      <c r="A216" t="s">
        <v>104</v>
      </c>
      <c r="G216">
        <f>G215-G214</f>
        <v>15.889935175390406</v>
      </c>
      <c r="H216">
        <f>H215-H214</f>
        <v>9.0499999999999972</v>
      </c>
      <c r="I216">
        <f>I215-I214</f>
        <v>-23.095925863841785</v>
      </c>
      <c r="J216">
        <f>J215-J214</f>
        <v>1.8440093115486889</v>
      </c>
    </row>
    <row r="218" spans="1:23" ht="60" x14ac:dyDescent="0.25">
      <c r="A218" s="21" t="s">
        <v>63</v>
      </c>
      <c r="B218" s="21" t="s">
        <v>93</v>
      </c>
      <c r="C218" s="21" t="s">
        <v>94</v>
      </c>
      <c r="D218" s="92" t="str">
        <f>FoodDB!$C$1</f>
        <v>Fat
(g)</v>
      </c>
      <c r="E218" s="92" t="str">
        <f>FoodDB!$D$1</f>
        <v xml:space="preserve"> Carbs
(g)</v>
      </c>
      <c r="F218" s="92" t="str">
        <f>FoodDB!$E$1</f>
        <v>Protein
(g)</v>
      </c>
      <c r="G218" s="92" t="str">
        <f>FoodDB!$F$1</f>
        <v>Fat
(Cal)</v>
      </c>
      <c r="H218" s="92" t="str">
        <f>FoodDB!$G$1</f>
        <v>Carb
(Cal)</v>
      </c>
      <c r="I218" s="92" t="str">
        <f>FoodDB!$H$1</f>
        <v>Protein
(Cal)</v>
      </c>
      <c r="J218" s="92" t="str">
        <f>FoodDB!$I$1</f>
        <v>Total
Calories</v>
      </c>
      <c r="K218" s="92"/>
      <c r="L218" s="92" t="s">
        <v>110</v>
      </c>
      <c r="M218" s="92" t="s">
        <v>111</v>
      </c>
      <c r="N218" s="92" t="s">
        <v>112</v>
      </c>
      <c r="O218" s="92" t="s">
        <v>113</v>
      </c>
      <c r="P218" s="92" t="s">
        <v>118</v>
      </c>
      <c r="Q218" s="92" t="s">
        <v>119</v>
      </c>
      <c r="R218" s="92" t="s">
        <v>120</v>
      </c>
      <c r="S218" s="92" t="s">
        <v>121</v>
      </c>
      <c r="T218" s="92"/>
      <c r="U218" s="92"/>
      <c r="V218" s="92"/>
      <c r="W218" s="92"/>
    </row>
    <row r="219" spans="1:23" x14ac:dyDescent="0.25">
      <c r="A219" s="93">
        <f>A204+1</f>
        <v>43012</v>
      </c>
      <c r="B219" s="94" t="s">
        <v>126</v>
      </c>
      <c r="C219" s="95">
        <v>3</v>
      </c>
      <c r="D219">
        <f>$C219*VLOOKUP($B219,FoodDB!$A$2:$I$1016,3,0)</f>
        <v>10.8</v>
      </c>
      <c r="E219">
        <f>$C219*VLOOKUP($B219,FoodDB!$A$2:$I$1016,4,0)</f>
        <v>0</v>
      </c>
      <c r="F219">
        <f>$C219*VLOOKUP($B219,FoodDB!$A$2:$I$1016,5,0)</f>
        <v>93</v>
      </c>
      <c r="G219">
        <f>$C219*VLOOKUP($B219,FoodDB!$A$2:$I$1016,6,0)</f>
        <v>97.199999999999989</v>
      </c>
      <c r="H219">
        <f>$C219*VLOOKUP($B219,FoodDB!$A$2:$I$1016,7,0)</f>
        <v>0</v>
      </c>
      <c r="I219">
        <f>$C219*VLOOKUP($B219,FoodDB!$A$2:$I$1016,8,0)</f>
        <v>372</v>
      </c>
      <c r="J219">
        <f>$C219*VLOOKUP($B219,FoodDB!$A$2:$I$1016,9,0)</f>
        <v>469.20000000000005</v>
      </c>
      <c r="L219">
        <f>SUM(G219:G228)</f>
        <v>605.70000000000005</v>
      </c>
      <c r="M219">
        <f>SUM(H219:H228)</f>
        <v>64.851428571428571</v>
      </c>
      <c r="N219">
        <f>SUM(I219:I228)</f>
        <v>482.28571428571428</v>
      </c>
      <c r="O219">
        <f>SUM(L219:N219)</f>
        <v>1152.8371428571429</v>
      </c>
      <c r="P219" s="98">
        <f>VLOOKUP($A219,LossChart!$A$3:$AB$105,14,0)-L219</f>
        <v>-155.62681389837735</v>
      </c>
      <c r="Q219" s="98">
        <f>VLOOKUP($A219,LossChart!$A$3:$AB$105,15,0)-M219</f>
        <v>15.148571428571429</v>
      </c>
      <c r="R219" s="98">
        <f>VLOOKUP($A219,LossChart!$A$3:$AB$105,16,0)-N219</f>
        <v>-4.9816401495560285</v>
      </c>
      <c r="S219" s="98">
        <f>VLOOKUP($A219,LossChart!$A$3:$AB$105,17,0)-O219</f>
        <v>-145.45988261936191</v>
      </c>
      <c r="T219" s="98"/>
      <c r="U219" s="98"/>
      <c r="V219" s="98"/>
      <c r="W219" s="98"/>
    </row>
    <row r="220" spans="1:23" x14ac:dyDescent="0.25">
      <c r="B220" s="94" t="s">
        <v>133</v>
      </c>
      <c r="C220" s="95">
        <v>1</v>
      </c>
      <c r="D220">
        <f>$C220*VLOOKUP($B220,FoodDB!$A$2:$I$1016,3,0)</f>
        <v>0</v>
      </c>
      <c r="E220">
        <f>$C220*VLOOKUP($B220,FoodDB!$A$2:$I$1016,4,0)</f>
        <v>0</v>
      </c>
      <c r="F220">
        <f>$C220*VLOOKUP($B220,FoodDB!$A$2:$I$1016,5,0)</f>
        <v>0</v>
      </c>
      <c r="G220">
        <f>$C220*VLOOKUP($B220,FoodDB!$A$2:$I$1016,6,0)</f>
        <v>0</v>
      </c>
      <c r="H220">
        <f>$C220*VLOOKUP($B220,FoodDB!$A$2:$I$1016,7,0)</f>
        <v>0</v>
      </c>
      <c r="I220">
        <f>$C220*VLOOKUP($B220,FoodDB!$A$2:$I$1016,8,0)</f>
        <v>0</v>
      </c>
      <c r="J220">
        <f>$C220*VLOOKUP($B220,FoodDB!$A$2:$I$1016,9,0)</f>
        <v>0</v>
      </c>
    </row>
    <row r="221" spans="1:23" x14ac:dyDescent="0.25">
      <c r="B221" s="94" t="s">
        <v>132</v>
      </c>
      <c r="C221" s="95">
        <v>1</v>
      </c>
      <c r="D221">
        <f>$C221*VLOOKUP($B221,FoodDB!$A$2:$I$1016,3,0)</f>
        <v>0.5</v>
      </c>
      <c r="E221">
        <v>8</v>
      </c>
      <c r="F221">
        <f>$C221*VLOOKUP($B221,FoodDB!$A$2:$I$1016,5,0)</f>
        <v>12</v>
      </c>
      <c r="G221">
        <f>$C221*VLOOKUP($B221,FoodDB!$A$2:$I$1016,6,0)</f>
        <v>4.5</v>
      </c>
      <c r="H221">
        <v>32</v>
      </c>
      <c r="I221">
        <f>$C221*VLOOKUP($B221,FoodDB!$A$2:$I$1016,8,0)</f>
        <v>48</v>
      </c>
      <c r="J221">
        <f>$C221*VLOOKUP($B221,FoodDB!$A$2:$I$1016,9,0)</f>
        <v>56.5</v>
      </c>
    </row>
    <row r="222" spans="1:23" x14ac:dyDescent="0.25">
      <c r="B222" s="94" t="s">
        <v>96</v>
      </c>
      <c r="C222" s="95">
        <v>8</v>
      </c>
      <c r="D222">
        <f>$C222*VLOOKUP($B222,FoodDB!$A$2:$I$1016,3,0)</f>
        <v>0</v>
      </c>
      <c r="E222">
        <f>$C222*VLOOKUP($B222,FoodDB!$A$2:$I$1016,4,0)</f>
        <v>5.1428571428571432</v>
      </c>
      <c r="F222">
        <f>$C222*VLOOKUP($B222,FoodDB!$A$2:$I$1016,5,0)</f>
        <v>2.5714285714285716</v>
      </c>
      <c r="G222">
        <f>$C222*VLOOKUP($B222,FoodDB!$A$2:$I$1016,6,0)</f>
        <v>0</v>
      </c>
      <c r="H222">
        <f>$C222*VLOOKUP($B222,FoodDB!$A$2:$I$1016,7,0)</f>
        <v>20.571428571428573</v>
      </c>
      <c r="I222">
        <f>$C222*VLOOKUP($B222,FoodDB!$A$2:$I$1016,8,0)</f>
        <v>10.285714285714286</v>
      </c>
      <c r="J222">
        <f>$C222*VLOOKUP($B222,FoodDB!$A$2:$I$1016,9,0)</f>
        <v>30.857142857142861</v>
      </c>
    </row>
    <row r="223" spans="1:23" x14ac:dyDescent="0.25">
      <c r="B223" s="94" t="s">
        <v>109</v>
      </c>
      <c r="C223" s="95">
        <v>3</v>
      </c>
      <c r="D223">
        <f>$C223*VLOOKUP($B223,FoodDB!$A$2:$I$1016,3,0)</f>
        <v>36</v>
      </c>
      <c r="E223">
        <f>$C223*VLOOKUP($B223,FoodDB!$A$2:$I$1016,4,0)</f>
        <v>0</v>
      </c>
      <c r="F223">
        <f>$C223*VLOOKUP($B223,FoodDB!$A$2:$I$1016,5,0)</f>
        <v>0</v>
      </c>
      <c r="G223">
        <f>$C223*VLOOKUP($B223,FoodDB!$A$2:$I$1016,6,0)</f>
        <v>324</v>
      </c>
      <c r="H223">
        <f>$C223*VLOOKUP($B223,FoodDB!$A$2:$I$1016,7,0)</f>
        <v>0</v>
      </c>
      <c r="I223">
        <f>$C223*VLOOKUP($B223,FoodDB!$A$2:$I$1016,8,0)</f>
        <v>0</v>
      </c>
      <c r="J223">
        <f>$C223*VLOOKUP($B223,FoodDB!$A$2:$I$1016,9,0)</f>
        <v>324</v>
      </c>
    </row>
    <row r="224" spans="1:23" x14ac:dyDescent="0.25">
      <c r="B224" s="94" t="s">
        <v>127</v>
      </c>
      <c r="C224" s="95">
        <v>1</v>
      </c>
      <c r="D224">
        <f>$C224*VLOOKUP($B224,FoodDB!$A$2:$I$1016,3,0)</f>
        <v>15</v>
      </c>
      <c r="E224">
        <f>$C224*VLOOKUP($B224,FoodDB!$A$2:$I$1016,4,0)</f>
        <v>2</v>
      </c>
      <c r="F224">
        <f>$C224*VLOOKUP($B224,FoodDB!$A$2:$I$1016,5,0)</f>
        <v>7</v>
      </c>
      <c r="G224">
        <f>$C224*VLOOKUP($B224,FoodDB!$A$2:$I$1016,6,0)</f>
        <v>135</v>
      </c>
      <c r="H224">
        <f>$C224*VLOOKUP($B224,FoodDB!$A$2:$I$1016,7,0)</f>
        <v>8</v>
      </c>
      <c r="I224">
        <f>$C224*VLOOKUP($B224,FoodDB!$A$2:$I$1016,8,0)</f>
        <v>28</v>
      </c>
      <c r="J224">
        <f>$C224*VLOOKUP($B224,FoodDB!$A$2:$I$1016,9,0)</f>
        <v>171</v>
      </c>
    </row>
    <row r="225" spans="1:23" x14ac:dyDescent="0.25">
      <c r="B225" s="94" t="s">
        <v>101</v>
      </c>
      <c r="C225" s="95">
        <v>1</v>
      </c>
      <c r="D225">
        <f>$C225*VLOOKUP($B225,FoodDB!$A$2:$I$1016,3,0)</f>
        <v>5</v>
      </c>
      <c r="E225">
        <f>$C225*VLOOKUP($B225,FoodDB!$A$2:$I$1016,4,0)</f>
        <v>0</v>
      </c>
      <c r="F225">
        <f>$C225*VLOOKUP($B225,FoodDB!$A$2:$I$1016,5,0)</f>
        <v>6</v>
      </c>
      <c r="G225">
        <f>$C225*VLOOKUP($B225,FoodDB!$A$2:$I$1016,6,0)</f>
        <v>45</v>
      </c>
      <c r="H225">
        <f>$C225*VLOOKUP($B225,FoodDB!$A$2:$I$1016,7,0)</f>
        <v>0</v>
      </c>
      <c r="I225">
        <f>$C225*VLOOKUP($B225,FoodDB!$A$2:$I$1016,8,0)</f>
        <v>24</v>
      </c>
      <c r="J225">
        <f>$C225*VLOOKUP($B225,FoodDB!$A$2:$I$1016,9,0)</f>
        <v>69</v>
      </c>
    </row>
    <row r="226" spans="1:23" x14ac:dyDescent="0.25">
      <c r="B226" s="94" t="s">
        <v>130</v>
      </c>
      <c r="C226" s="95">
        <v>0.2</v>
      </c>
      <c r="D226">
        <f>$C226*VLOOKUP($B226,FoodDB!$A$2:$I$1016,3,0)</f>
        <v>0</v>
      </c>
      <c r="E226">
        <f>$C226*VLOOKUP($B226,FoodDB!$A$2:$I$1016,4,0)</f>
        <v>1.07</v>
      </c>
      <c r="F226">
        <f>$C226*VLOOKUP($B226,FoodDB!$A$2:$I$1016,5,0)</f>
        <v>0</v>
      </c>
      <c r="G226">
        <f>$C226*VLOOKUP($B226,FoodDB!$A$2:$I$1016,6,0)</f>
        <v>0</v>
      </c>
      <c r="H226">
        <f>$C226*VLOOKUP($B226,FoodDB!$A$2:$I$1016,7,0)</f>
        <v>4.28</v>
      </c>
      <c r="I226">
        <f>$C226*VLOOKUP($B226,FoodDB!$A$2:$I$1016,8,0)</f>
        <v>0</v>
      </c>
      <c r="J226">
        <f>$C226*VLOOKUP($B226,FoodDB!$A$2:$I$1016,9,0)</f>
        <v>4.28</v>
      </c>
    </row>
    <row r="227" spans="1:23" x14ac:dyDescent="0.25">
      <c r="B227" s="94" t="s">
        <v>108</v>
      </c>
      <c r="C227" s="95">
        <v>0</v>
      </c>
      <c r="D227">
        <f>$C227*VLOOKUP($B227,FoodDB!$A$2:$I$1016,3,0)</f>
        <v>0</v>
      </c>
      <c r="E227">
        <f>$C227*VLOOKUP($B227,FoodDB!$A$2:$I$1016,4,0)</f>
        <v>0</v>
      </c>
      <c r="F227">
        <f>$C227*VLOOKUP($B227,FoodDB!$A$2:$I$1016,5,0)</f>
        <v>0</v>
      </c>
      <c r="G227">
        <f>$C227*VLOOKUP($B227,FoodDB!$A$2:$I$1016,6,0)</f>
        <v>0</v>
      </c>
      <c r="H227">
        <f>$C227*VLOOKUP($B227,FoodDB!$A$2:$I$1016,7,0)</f>
        <v>0</v>
      </c>
      <c r="I227">
        <f>$C227*VLOOKUP($B227,FoodDB!$A$2:$I$1016,8,0)</f>
        <v>0</v>
      </c>
      <c r="J227">
        <f>$C227*VLOOKUP($B227,FoodDB!$A$2:$I$1016,9,0)</f>
        <v>0</v>
      </c>
    </row>
    <row r="228" spans="1:23" x14ac:dyDescent="0.25">
      <c r="B228" s="94" t="s">
        <v>108</v>
      </c>
      <c r="C228" s="95">
        <v>0</v>
      </c>
      <c r="D228">
        <f>$C228*VLOOKUP($B228,FoodDB!$A$2:$I$1016,3,0)</f>
        <v>0</v>
      </c>
      <c r="E228">
        <f>$C228*VLOOKUP($B228,FoodDB!$A$2:$I$1016,4,0)</f>
        <v>0</v>
      </c>
      <c r="F228">
        <f>$C228*VLOOKUP($B228,FoodDB!$A$2:$I$1016,5,0)</f>
        <v>0</v>
      </c>
      <c r="G228">
        <f>$C228*VLOOKUP($B228,FoodDB!$A$2:$I$1016,6,0)</f>
        <v>0</v>
      </c>
      <c r="H228">
        <f>$C228*VLOOKUP($B228,FoodDB!$A$2:$I$1016,7,0)</f>
        <v>0</v>
      </c>
      <c r="I228">
        <f>$C228*VLOOKUP($B228,FoodDB!$A$2:$I$1016,8,0)</f>
        <v>0</v>
      </c>
      <c r="J228">
        <f>$C228*VLOOKUP($B228,FoodDB!$A$2:$I$1016,9,0)</f>
        <v>0</v>
      </c>
    </row>
    <row r="229" spans="1:23" x14ac:dyDescent="0.25">
      <c r="A229" t="s">
        <v>98</v>
      </c>
      <c r="G229">
        <f>SUM(G219:G228)</f>
        <v>605.70000000000005</v>
      </c>
      <c r="H229">
        <f>SUM(H219:H228)</f>
        <v>64.851428571428571</v>
      </c>
      <c r="I229">
        <f>SUM(I219:I228)</f>
        <v>482.28571428571428</v>
      </c>
      <c r="J229">
        <f>SUM(G229:I229)</f>
        <v>1152.8371428571429</v>
      </c>
    </row>
    <row r="230" spans="1:23" x14ac:dyDescent="0.25">
      <c r="A230" t="s">
        <v>102</v>
      </c>
      <c r="B230" t="s">
        <v>103</v>
      </c>
      <c r="E230" s="98"/>
      <c r="F230" s="98"/>
      <c r="G230" s="98">
        <f>VLOOKUP($A219,LossChart!$A$3:$AB$105,14,0)</f>
        <v>450.0731861016227</v>
      </c>
      <c r="H230" s="98">
        <f>VLOOKUP($A219,LossChart!$A$3:$AB$105,15,0)</f>
        <v>80</v>
      </c>
      <c r="I230" s="98">
        <f>VLOOKUP($A219,LossChart!$A$3:$AB$105,16,0)</f>
        <v>477.30407413615825</v>
      </c>
      <c r="J230" s="98">
        <f>VLOOKUP($A219,LossChart!$A$3:$AB$105,17,0)</f>
        <v>1007.377260237781</v>
      </c>
      <c r="K230" s="98"/>
    </row>
    <row r="231" spans="1:23" x14ac:dyDescent="0.25">
      <c r="A231" t="s">
        <v>104</v>
      </c>
      <c r="G231">
        <f>G230-G229</f>
        <v>-155.62681389837735</v>
      </c>
      <c r="H231">
        <f>H230-H229</f>
        <v>15.148571428571429</v>
      </c>
      <c r="I231">
        <f>I230-I229</f>
        <v>-4.9816401495560285</v>
      </c>
      <c r="J231">
        <f>J230-J229</f>
        <v>-145.45988261936191</v>
      </c>
    </row>
    <row r="233" spans="1:23" ht="60" x14ac:dyDescent="0.25">
      <c r="A233" s="21" t="s">
        <v>63</v>
      </c>
      <c r="B233" s="21" t="s">
        <v>93</v>
      </c>
      <c r="C233" s="21" t="s">
        <v>94</v>
      </c>
      <c r="D233" s="92" t="str">
        <f>FoodDB!$C$1</f>
        <v>Fat
(g)</v>
      </c>
      <c r="E233" s="92" t="str">
        <f>FoodDB!$D$1</f>
        <v xml:space="preserve"> Carbs
(g)</v>
      </c>
      <c r="F233" s="92" t="str">
        <f>FoodDB!$E$1</f>
        <v>Protein
(g)</v>
      </c>
      <c r="G233" s="92" t="str">
        <f>FoodDB!$F$1</f>
        <v>Fat
(Cal)</v>
      </c>
      <c r="H233" s="92" t="str">
        <f>FoodDB!$G$1</f>
        <v>Carb
(Cal)</v>
      </c>
      <c r="I233" s="92" t="str">
        <f>FoodDB!$H$1</f>
        <v>Protein
(Cal)</v>
      </c>
      <c r="J233" s="92" t="str">
        <f>FoodDB!$I$1</f>
        <v>Total
Calories</v>
      </c>
      <c r="K233" s="92"/>
      <c r="L233" s="92" t="s">
        <v>110</v>
      </c>
      <c r="M233" s="92" t="s">
        <v>111</v>
      </c>
      <c r="N233" s="92" t="s">
        <v>112</v>
      </c>
      <c r="O233" s="92" t="s">
        <v>113</v>
      </c>
      <c r="P233" s="92" t="s">
        <v>118</v>
      </c>
      <c r="Q233" s="92" t="s">
        <v>119</v>
      </c>
      <c r="R233" s="92" t="s">
        <v>120</v>
      </c>
      <c r="S233" s="92" t="s">
        <v>121</v>
      </c>
      <c r="T233" s="92"/>
      <c r="U233" s="92"/>
      <c r="V233" s="92"/>
      <c r="W233" s="92"/>
    </row>
    <row r="234" spans="1:23" x14ac:dyDescent="0.25">
      <c r="A234" s="93">
        <f>A219+1</f>
        <v>43013</v>
      </c>
      <c r="B234" s="94" t="s">
        <v>126</v>
      </c>
      <c r="C234" s="95">
        <v>3</v>
      </c>
      <c r="D234" s="98">
        <f>$C234*VLOOKUP($B234,FoodDB!$A$2:$I$1016,3,0)</f>
        <v>10.8</v>
      </c>
      <c r="E234" s="98">
        <f>$C234*VLOOKUP($B234,FoodDB!$A$2:$I$1016,4,0)</f>
        <v>0</v>
      </c>
      <c r="F234" s="98">
        <f>$C234*VLOOKUP($B234,FoodDB!$A$2:$I$1016,5,0)</f>
        <v>93</v>
      </c>
      <c r="G234" s="98">
        <f>$C234*VLOOKUP($B234,FoodDB!$A$2:$I$1016,6,0)</f>
        <v>97.199999999999989</v>
      </c>
      <c r="H234" s="98">
        <f>$C234*VLOOKUP($B234,FoodDB!$A$2:$I$1016,7,0)</f>
        <v>0</v>
      </c>
      <c r="I234" s="98">
        <f>$C234*VLOOKUP($B234,FoodDB!$A$2:$I$1016,8,0)</f>
        <v>372</v>
      </c>
      <c r="J234" s="98">
        <f>$C234*VLOOKUP($B234,FoodDB!$A$2:$I$1016,9,0)</f>
        <v>469.20000000000005</v>
      </c>
      <c r="K234" s="98"/>
      <c r="L234" s="98">
        <f>SUM(G234:G240)</f>
        <v>391.5</v>
      </c>
      <c r="M234" s="98">
        <f>SUM(H234:H240)</f>
        <v>82.057142857142864</v>
      </c>
      <c r="N234" s="98">
        <f>SUM(I234:I240)</f>
        <v>455.62857142857143</v>
      </c>
      <c r="O234" s="98">
        <f>SUM(L234:N234)</f>
        <v>929.18571428571431</v>
      </c>
      <c r="P234" s="98">
        <f>VLOOKUP($A234,LossChart!$A$3:$AB$105,14,0)-L234</f>
        <v>65.318042916087734</v>
      </c>
      <c r="Q234" s="98">
        <f>VLOOKUP($A234,LossChart!$A$3:$AB$105,15,0)-M234</f>
        <v>-2.057142857142864</v>
      </c>
      <c r="R234" s="98">
        <f>VLOOKUP($A234,LossChart!$A$3:$AB$105,16,0)-N234</f>
        <v>21.675502707586816</v>
      </c>
      <c r="S234" s="98">
        <f>VLOOKUP($A234,LossChart!$A$3:$AB$105,17,0)-O234</f>
        <v>84.936402766531728</v>
      </c>
      <c r="T234" s="98"/>
      <c r="U234" s="98"/>
      <c r="V234" s="98"/>
      <c r="W234" s="98"/>
    </row>
    <row r="235" spans="1:23" x14ac:dyDescent="0.25">
      <c r="B235" s="94" t="s">
        <v>134</v>
      </c>
      <c r="C235" s="95">
        <v>2</v>
      </c>
      <c r="D235" s="98">
        <f>$C235*VLOOKUP($B235,FoodDB!$A$2:$I$1016,3,0)</f>
        <v>28</v>
      </c>
      <c r="E235" s="98">
        <f>$C235*VLOOKUP($B235,FoodDB!$A$2:$I$1016,4,0)</f>
        <v>6</v>
      </c>
      <c r="F235" s="98">
        <f>$C235*VLOOKUP($B235,FoodDB!$A$2:$I$1016,5,0)</f>
        <v>14</v>
      </c>
      <c r="G235" s="98">
        <f>$C235*VLOOKUP($B235,FoodDB!$A$2:$I$1016,6,0)</f>
        <v>252</v>
      </c>
      <c r="H235" s="98">
        <f>$C235*VLOOKUP($B235,FoodDB!$A$2:$I$1016,7,0)</f>
        <v>24</v>
      </c>
      <c r="I235" s="98">
        <f>$C235*VLOOKUP($B235,FoodDB!$A$2:$I$1016,8,0)</f>
        <v>56</v>
      </c>
      <c r="J235" s="98">
        <f>$C235*VLOOKUP($B235,FoodDB!$A$2:$I$1016,9,0)</f>
        <v>332</v>
      </c>
      <c r="K235" s="98"/>
      <c r="L235" s="98"/>
      <c r="M235" s="98"/>
      <c r="N235" s="98"/>
      <c r="O235" s="98"/>
      <c r="P235" s="98"/>
      <c r="Q235" s="98"/>
      <c r="R235" s="98"/>
      <c r="S235" s="98"/>
    </row>
    <row r="236" spans="1:23" x14ac:dyDescent="0.25">
      <c r="B236" s="94" t="s">
        <v>96</v>
      </c>
      <c r="C236" s="95">
        <v>5</v>
      </c>
      <c r="D236" s="98">
        <f>$C236*VLOOKUP($B236,FoodDB!$A$2:$I$1016,3,0)</f>
        <v>0</v>
      </c>
      <c r="E236" s="98">
        <f>$C236*VLOOKUP($B236,FoodDB!$A$2:$I$1016,4,0)</f>
        <v>3.2142857142857144</v>
      </c>
      <c r="F236" s="98">
        <f>$C236*VLOOKUP($B236,FoodDB!$A$2:$I$1016,5,0)</f>
        <v>1.6071428571428572</v>
      </c>
      <c r="G236" s="98">
        <f>$C236*VLOOKUP($B236,FoodDB!$A$2:$I$1016,6,0)</f>
        <v>0</v>
      </c>
      <c r="H236" s="98">
        <f>$C236*VLOOKUP($B236,FoodDB!$A$2:$I$1016,7,0)</f>
        <v>12.857142857142858</v>
      </c>
      <c r="I236" s="98">
        <f>$C236*VLOOKUP($B236,FoodDB!$A$2:$I$1016,8,0)</f>
        <v>6.4285714285714288</v>
      </c>
      <c r="J236" s="98">
        <f>$C236*VLOOKUP($B236,FoodDB!$A$2:$I$1016,9,0)</f>
        <v>19.285714285714288</v>
      </c>
      <c r="K236" s="98"/>
      <c r="L236" s="98"/>
      <c r="M236" s="98"/>
      <c r="N236" s="98"/>
      <c r="O236" s="98"/>
      <c r="P236" s="98"/>
      <c r="Q236" s="98"/>
      <c r="R236" s="98"/>
      <c r="S236" s="98"/>
    </row>
    <row r="237" spans="1:23" x14ac:dyDescent="0.25">
      <c r="B237" s="94" t="s">
        <v>129</v>
      </c>
      <c r="C237" s="95">
        <v>2</v>
      </c>
      <c r="D237" s="98">
        <f>$C237*VLOOKUP($B237,FoodDB!$A$2:$I$1016,3,0)</f>
        <v>1.2</v>
      </c>
      <c r="E237" s="98">
        <f>$C237*VLOOKUP($B237,FoodDB!$A$2:$I$1016,4,0)</f>
        <v>9.8000000000000007</v>
      </c>
      <c r="F237" s="98">
        <f>$C237*VLOOKUP($B237,FoodDB!$A$2:$I$1016,5,0)</f>
        <v>4.8</v>
      </c>
      <c r="G237" s="98">
        <f>$C237*VLOOKUP($B237,FoodDB!$A$2:$I$1016,6,0)</f>
        <v>10.799999999999999</v>
      </c>
      <c r="H237" s="98">
        <f>$C237*VLOOKUP($B237,FoodDB!$A$2:$I$1016,7,0)</f>
        <v>39.200000000000003</v>
      </c>
      <c r="I237" s="98">
        <f>$C237*VLOOKUP($B237,FoodDB!$A$2:$I$1016,8,0)</f>
        <v>19.2</v>
      </c>
      <c r="J237" s="98">
        <f>$C237*VLOOKUP($B237,FoodDB!$A$2:$I$1016,9,0)</f>
        <v>69.2</v>
      </c>
      <c r="K237" s="98"/>
      <c r="L237" s="98"/>
      <c r="M237" s="98"/>
      <c r="N237" s="98"/>
      <c r="O237" s="98"/>
      <c r="P237" s="98"/>
      <c r="Q237" s="98"/>
      <c r="R237" s="98"/>
      <c r="S237" s="98"/>
    </row>
    <row r="238" spans="1:23" x14ac:dyDescent="0.25">
      <c r="B238" s="94" t="s">
        <v>131</v>
      </c>
      <c r="C238" s="95">
        <v>0.5</v>
      </c>
      <c r="D238" s="98">
        <f>$C238*VLOOKUP($B238,FoodDB!$A$2:$I$1016,3,0)</f>
        <v>3.5</v>
      </c>
      <c r="E238" s="98">
        <f>$C238*VLOOKUP($B238,FoodDB!$A$2:$I$1016,4,0)</f>
        <v>1.5</v>
      </c>
      <c r="F238" s="98">
        <f>$C238*VLOOKUP($B238,FoodDB!$A$2:$I$1016,5,0)</f>
        <v>0.5</v>
      </c>
      <c r="G238" s="98">
        <f>$C238*VLOOKUP($B238,FoodDB!$A$2:$I$1016,6,0)</f>
        <v>31.5</v>
      </c>
      <c r="H238" s="98">
        <f>$C238*VLOOKUP($B238,FoodDB!$A$2:$I$1016,7,0)</f>
        <v>6</v>
      </c>
      <c r="I238" s="98">
        <f>$C238*VLOOKUP($B238,FoodDB!$A$2:$I$1016,8,0)</f>
        <v>2</v>
      </c>
      <c r="J238" s="98">
        <f>$C238*VLOOKUP($B238,FoodDB!$A$2:$I$1016,9,0)</f>
        <v>39.5</v>
      </c>
      <c r="K238" s="98"/>
      <c r="L238" s="98"/>
      <c r="M238" s="98"/>
      <c r="N238" s="98"/>
      <c r="O238" s="98"/>
      <c r="P238" s="98"/>
      <c r="Q238" s="98"/>
      <c r="R238" s="98"/>
      <c r="S238" s="98"/>
    </row>
    <row r="239" spans="1:23" x14ac:dyDescent="0.25">
      <c r="B239" s="94" t="s">
        <v>108</v>
      </c>
      <c r="C239" s="95">
        <v>1</v>
      </c>
      <c r="D239" s="98">
        <f>$C239*VLOOKUP($B239,FoodDB!$A$2:$I$1016,3,0)</f>
        <v>0</v>
      </c>
      <c r="E239" s="98">
        <f>$C239*VLOOKUP($B239,FoodDB!$A$2:$I$1016,4,0)</f>
        <v>0</v>
      </c>
      <c r="F239" s="98">
        <f>$C239*VLOOKUP($B239,FoodDB!$A$2:$I$1016,5,0)</f>
        <v>0</v>
      </c>
      <c r="G239" s="98">
        <f>$C239*VLOOKUP($B239,FoodDB!$A$2:$I$1016,6,0)</f>
        <v>0</v>
      </c>
      <c r="H239" s="98">
        <f>$C239*VLOOKUP($B239,FoodDB!$A$2:$I$1016,7,0)</f>
        <v>0</v>
      </c>
      <c r="I239" s="98">
        <f>$C239*VLOOKUP($B239,FoodDB!$A$2:$I$1016,8,0)</f>
        <v>0</v>
      </c>
      <c r="J239" s="98">
        <f>$C239*VLOOKUP($B239,FoodDB!$A$2:$I$1016,9,0)</f>
        <v>0</v>
      </c>
      <c r="K239" s="98"/>
      <c r="L239" s="98"/>
      <c r="M239" s="98"/>
      <c r="N239" s="98"/>
      <c r="O239" s="98"/>
      <c r="P239" s="98"/>
      <c r="Q239" s="98"/>
      <c r="R239" s="98"/>
      <c r="S239" s="98"/>
    </row>
    <row r="240" spans="1:23" x14ac:dyDescent="0.25">
      <c r="B240" s="94" t="s">
        <v>108</v>
      </c>
      <c r="C240" s="95">
        <v>1</v>
      </c>
      <c r="D240" s="98">
        <f>$C240*VLOOKUP($B240,FoodDB!$A$2:$I$1016,3,0)</f>
        <v>0</v>
      </c>
      <c r="E240" s="98">
        <f>$C240*VLOOKUP($B240,FoodDB!$A$2:$I$1016,4,0)</f>
        <v>0</v>
      </c>
      <c r="F240" s="98">
        <f>$C240*VLOOKUP($B240,FoodDB!$A$2:$I$1016,5,0)</f>
        <v>0</v>
      </c>
      <c r="G240" s="98">
        <f>$C240*VLOOKUP($B240,FoodDB!$A$2:$I$1016,6,0)</f>
        <v>0</v>
      </c>
      <c r="H240" s="98">
        <f>$C240*VLOOKUP($B240,FoodDB!$A$2:$I$1016,7,0)</f>
        <v>0</v>
      </c>
      <c r="I240" s="98">
        <f>$C240*VLOOKUP($B240,FoodDB!$A$2:$I$1016,8,0)</f>
        <v>0</v>
      </c>
      <c r="J240" s="98">
        <f>$C240*VLOOKUP($B240,FoodDB!$A$2:$I$1016,9,0)</f>
        <v>0</v>
      </c>
      <c r="K240" s="98"/>
      <c r="L240" s="98"/>
      <c r="M240" s="98"/>
      <c r="N240" s="98"/>
      <c r="O240" s="98"/>
      <c r="P240" s="98"/>
      <c r="Q240" s="98"/>
      <c r="R240" s="98"/>
      <c r="S240" s="98"/>
    </row>
    <row r="241" spans="1:19" x14ac:dyDescent="0.25">
      <c r="A241" t="s">
        <v>98</v>
      </c>
      <c r="D241" s="98"/>
      <c r="E241" s="98"/>
      <c r="F241" s="98"/>
      <c r="G241" s="98">
        <f>SUM(G234:G240)</f>
        <v>391.5</v>
      </c>
      <c r="H241" s="98">
        <f>SUM(H234:H240)</f>
        <v>82.057142857142864</v>
      </c>
      <c r="I241" s="98">
        <f>SUM(I234:I240)</f>
        <v>455.62857142857143</v>
      </c>
      <c r="J241" s="98">
        <f>SUM(G241:I241)</f>
        <v>929.18571428571431</v>
      </c>
      <c r="K241" s="98"/>
      <c r="L241" s="98"/>
      <c r="M241" s="98"/>
      <c r="N241" s="98"/>
      <c r="O241" s="98"/>
      <c r="P241" s="98"/>
      <c r="Q241" s="98"/>
      <c r="R241" s="98"/>
      <c r="S241" s="98"/>
    </row>
    <row r="242" spans="1:19" x14ac:dyDescent="0.25">
      <c r="A242" t="s">
        <v>102</v>
      </c>
      <c r="B242" t="s">
        <v>103</v>
      </c>
      <c r="D242" s="98"/>
      <c r="E242" s="98"/>
      <c r="F242" s="98"/>
      <c r="G242" s="98">
        <f>VLOOKUP($A234,LossChart!$A$3:$AB$105,14,0)</f>
        <v>456.81804291608773</v>
      </c>
      <c r="H242" s="98">
        <f>VLOOKUP($A234,LossChart!$A$3:$AB$105,15,0)</f>
        <v>80</v>
      </c>
      <c r="I242" s="98">
        <f>VLOOKUP($A234,LossChart!$A$3:$AB$105,16,0)</f>
        <v>477.30407413615825</v>
      </c>
      <c r="J242" s="98">
        <f>VLOOKUP($A234,LossChart!$A$3:$AB$105,17,0)</f>
        <v>1014.122117052246</v>
      </c>
      <c r="K242" s="98"/>
      <c r="L242" s="98"/>
      <c r="M242" s="98"/>
      <c r="N242" s="98"/>
      <c r="O242" s="98"/>
      <c r="P242" s="98"/>
      <c r="Q242" s="98"/>
      <c r="R242" s="98"/>
      <c r="S242" s="98"/>
    </row>
    <row r="243" spans="1:19" x14ac:dyDescent="0.25">
      <c r="A243" t="s">
        <v>104</v>
      </c>
      <c r="D243" s="98"/>
      <c r="E243" s="98"/>
      <c r="F243" s="98"/>
      <c r="G243" s="98">
        <f>G242-G241</f>
        <v>65.318042916087734</v>
      </c>
      <c r="H243" s="98">
        <f>H242-H241</f>
        <v>-2.057142857142864</v>
      </c>
      <c r="I243" s="98">
        <f>I242-I241</f>
        <v>21.675502707586816</v>
      </c>
      <c r="J243" s="98">
        <f>J242-J241</f>
        <v>84.936402766531728</v>
      </c>
      <c r="K243" s="98"/>
      <c r="L243" s="98"/>
      <c r="M243" s="98"/>
      <c r="N243" s="98"/>
      <c r="O243" s="98"/>
      <c r="P243" s="98"/>
      <c r="Q243" s="98"/>
      <c r="R243" s="98"/>
      <c r="S243" s="98"/>
    </row>
    <row r="245" spans="1:19" ht="60" x14ac:dyDescent="0.25">
      <c r="A245" s="21" t="s">
        <v>63</v>
      </c>
      <c r="B245" s="21" t="s">
        <v>93</v>
      </c>
      <c r="C245" s="21" t="s">
        <v>94</v>
      </c>
      <c r="D245" s="92" t="str">
        <f>FoodDB!$C$1</f>
        <v>Fat
(g)</v>
      </c>
      <c r="E245" s="92" t="str">
        <f>FoodDB!$D$1</f>
        <v xml:space="preserve"> Carbs
(g)</v>
      </c>
      <c r="F245" s="92" t="str">
        <f>FoodDB!$E$1</f>
        <v>Protein
(g)</v>
      </c>
      <c r="G245" s="92" t="str">
        <f>FoodDB!$F$1</f>
        <v>Fat
(Cal)</v>
      </c>
      <c r="H245" s="92" t="str">
        <f>FoodDB!$G$1</f>
        <v>Carb
(Cal)</v>
      </c>
      <c r="I245" s="92" t="str">
        <f>FoodDB!$H$1</f>
        <v>Protein
(Cal)</v>
      </c>
      <c r="J245" s="92" t="str">
        <f>FoodDB!$I$1</f>
        <v>Total
Calories</v>
      </c>
      <c r="K245" s="92"/>
      <c r="L245" s="92" t="s">
        <v>110</v>
      </c>
      <c r="M245" s="92" t="s">
        <v>111</v>
      </c>
      <c r="N245" s="92" t="s">
        <v>112</v>
      </c>
      <c r="O245" s="92" t="s">
        <v>113</v>
      </c>
      <c r="P245" s="92" t="s">
        <v>118</v>
      </c>
      <c r="Q245" s="92" t="s">
        <v>119</v>
      </c>
      <c r="R245" s="92" t="s">
        <v>120</v>
      </c>
      <c r="S245" s="92" t="s">
        <v>121</v>
      </c>
    </row>
    <row r="246" spans="1:19" x14ac:dyDescent="0.25">
      <c r="A246" s="93">
        <f>A234+1</f>
        <v>43014</v>
      </c>
      <c r="B246" s="94" t="s">
        <v>125</v>
      </c>
      <c r="C246" s="95">
        <v>1</v>
      </c>
      <c r="D246" s="98">
        <f>$C246*VLOOKUP($B246,FoodDB!$A$2:$I$1016,3,0)</f>
        <v>1.5</v>
      </c>
      <c r="E246" s="98">
        <f>$C246*VLOOKUP($B246,FoodDB!$A$2:$I$1016,4,0)</f>
        <v>3</v>
      </c>
      <c r="F246" s="98">
        <f>$C246*VLOOKUP($B246,FoodDB!$A$2:$I$1016,5,0)</f>
        <v>25</v>
      </c>
      <c r="G246" s="98">
        <f>$C246*VLOOKUP($B246,FoodDB!$A$2:$I$1016,6,0)</f>
        <v>13.5</v>
      </c>
      <c r="H246" s="98">
        <f>$C246*VLOOKUP($B246,FoodDB!$A$2:$I$1016,7,0)</f>
        <v>12</v>
      </c>
      <c r="I246" s="98">
        <f>$C246*VLOOKUP($B246,FoodDB!$A$2:$I$1016,8,0)</f>
        <v>100</v>
      </c>
      <c r="J246" s="98">
        <f>$C246*VLOOKUP($B246,FoodDB!$A$2:$I$1016,9,0)</f>
        <v>125.5</v>
      </c>
      <c r="K246" s="98"/>
      <c r="L246" s="98">
        <f>SUM(G246:G252)</f>
        <v>177.75</v>
      </c>
      <c r="M246" s="98">
        <f>SUM(H246:H252)</f>
        <v>12</v>
      </c>
      <c r="N246" s="98">
        <f>SUM(I246:I252)</f>
        <v>820</v>
      </c>
      <c r="O246" s="98">
        <f>SUM(L246:N246)</f>
        <v>1009.75</v>
      </c>
      <c r="P246" s="98">
        <f>VLOOKUP($A246,LossChart!$A$3:$AB$105,14,0)-L246</f>
        <v>286.52438774518805</v>
      </c>
      <c r="Q246" s="98">
        <f>VLOOKUP($A246,LossChart!$A$3:$AB$105,15,0)-M246</f>
        <v>68</v>
      </c>
      <c r="R246" s="98">
        <f>VLOOKUP($A246,LossChart!$A$3:$AB$105,16,0)-N246</f>
        <v>-342.69592586384175</v>
      </c>
      <c r="S246" s="98">
        <f>VLOOKUP($A246,LossChart!$A$3:$AB$105,17,0)-O246</f>
        <v>11.828461881346357</v>
      </c>
    </row>
    <row r="247" spans="1:19" x14ac:dyDescent="0.25">
      <c r="B247" s="94" t="s">
        <v>95</v>
      </c>
      <c r="C247" s="95">
        <v>0.5</v>
      </c>
      <c r="D247" s="98">
        <f>$C247*VLOOKUP($B247,FoodDB!$A$2:$I$1016,3,0)</f>
        <v>0.25</v>
      </c>
      <c r="E247" s="98">
        <f>$C247*VLOOKUP($B247,FoodDB!$A$2:$I$1016,4,0)</f>
        <v>0</v>
      </c>
      <c r="F247" s="98">
        <f>$C247*VLOOKUP($B247,FoodDB!$A$2:$I$1016,5,0)</f>
        <v>25</v>
      </c>
      <c r="G247" s="98">
        <f>$C247*VLOOKUP($B247,FoodDB!$A$2:$I$1016,6,0)</f>
        <v>2.25</v>
      </c>
      <c r="H247" s="98">
        <f>$C247*VLOOKUP($B247,FoodDB!$A$2:$I$1016,7,0)</f>
        <v>0</v>
      </c>
      <c r="I247" s="98">
        <f>$C247*VLOOKUP($B247,FoodDB!$A$2:$I$1016,8,0)</f>
        <v>100</v>
      </c>
      <c r="J247" s="98">
        <f>$C247*VLOOKUP($B247,FoodDB!$A$2:$I$1016,9,0)</f>
        <v>102.25</v>
      </c>
      <c r="K247" s="98"/>
      <c r="L247" s="98"/>
      <c r="M247" s="98"/>
      <c r="N247" s="98"/>
      <c r="O247" s="98"/>
      <c r="P247" s="98"/>
      <c r="Q247" s="98"/>
      <c r="R247" s="98"/>
      <c r="S247" s="98"/>
    </row>
    <row r="248" spans="1:19" x14ac:dyDescent="0.25">
      <c r="B248" s="94" t="s">
        <v>133</v>
      </c>
      <c r="C248" s="95">
        <v>1</v>
      </c>
      <c r="D248" s="98">
        <f>$C248*VLOOKUP($B248,FoodDB!$A$2:$I$1016,3,0)</f>
        <v>0</v>
      </c>
      <c r="E248" s="98">
        <f>$C248*VLOOKUP($B248,FoodDB!$A$2:$I$1016,4,0)</f>
        <v>0</v>
      </c>
      <c r="F248" s="98">
        <f>$C248*VLOOKUP($B248,FoodDB!$A$2:$I$1016,5,0)</f>
        <v>0</v>
      </c>
      <c r="G248" s="98">
        <f>$C248*VLOOKUP($B248,FoodDB!$A$2:$I$1016,6,0)</f>
        <v>0</v>
      </c>
      <c r="H248" s="98">
        <f>$C248*VLOOKUP($B248,FoodDB!$A$2:$I$1016,7,0)</f>
        <v>0</v>
      </c>
      <c r="I248" s="98">
        <f>$C248*VLOOKUP($B248,FoodDB!$A$2:$I$1016,8,0)</f>
        <v>0</v>
      </c>
      <c r="J248" s="98">
        <f>$C248*VLOOKUP($B248,FoodDB!$A$2:$I$1016,9,0)</f>
        <v>0</v>
      </c>
      <c r="K248" s="98"/>
      <c r="L248" s="98"/>
      <c r="M248" s="98"/>
      <c r="N248" s="98"/>
      <c r="O248" s="98"/>
      <c r="P248" s="98"/>
      <c r="Q248" s="98"/>
      <c r="R248" s="98"/>
      <c r="S248" s="98"/>
    </row>
    <row r="249" spans="1:19" x14ac:dyDescent="0.25">
      <c r="B249" s="94" t="s">
        <v>126</v>
      </c>
      <c r="C249" s="95">
        <v>5</v>
      </c>
      <c r="D249" s="98">
        <f>$C249*VLOOKUP($B249,FoodDB!$A$2:$I$1016,3,0)</f>
        <v>18</v>
      </c>
      <c r="E249" s="98">
        <f>$C249*VLOOKUP($B249,FoodDB!$A$2:$I$1016,4,0)</f>
        <v>0</v>
      </c>
      <c r="F249" s="98">
        <f>$C249*VLOOKUP($B249,FoodDB!$A$2:$I$1016,5,0)</f>
        <v>155</v>
      </c>
      <c r="G249" s="98">
        <f>$C249*VLOOKUP($B249,FoodDB!$A$2:$I$1016,6,0)</f>
        <v>162</v>
      </c>
      <c r="H249" s="98">
        <f>$C249*VLOOKUP($B249,FoodDB!$A$2:$I$1016,7,0)</f>
        <v>0</v>
      </c>
      <c r="I249" s="98">
        <f>$C249*VLOOKUP($B249,FoodDB!$A$2:$I$1016,8,0)</f>
        <v>620</v>
      </c>
      <c r="J249" s="98">
        <f>$C249*VLOOKUP($B249,FoodDB!$A$2:$I$1016,9,0)</f>
        <v>782</v>
      </c>
      <c r="K249" s="98"/>
      <c r="L249" s="98"/>
      <c r="M249" s="98"/>
      <c r="N249" s="98"/>
      <c r="O249" s="98"/>
      <c r="P249" s="98"/>
      <c r="Q249" s="98"/>
      <c r="R249" s="98"/>
      <c r="S249" s="98"/>
    </row>
    <row r="250" spans="1:19" x14ac:dyDescent="0.25">
      <c r="B250" s="94" t="s">
        <v>108</v>
      </c>
      <c r="C250" s="95">
        <v>1</v>
      </c>
      <c r="D250" s="98">
        <f>$C250*VLOOKUP($B250,FoodDB!$A$2:$I$1016,3,0)</f>
        <v>0</v>
      </c>
      <c r="E250" s="98">
        <f>$C250*VLOOKUP($B250,FoodDB!$A$2:$I$1016,4,0)</f>
        <v>0</v>
      </c>
      <c r="F250" s="98">
        <f>$C250*VLOOKUP($B250,FoodDB!$A$2:$I$1016,5,0)</f>
        <v>0</v>
      </c>
      <c r="G250" s="98">
        <f>$C250*VLOOKUP($B250,FoodDB!$A$2:$I$1016,6,0)</f>
        <v>0</v>
      </c>
      <c r="H250" s="98">
        <f>$C250*VLOOKUP($B250,FoodDB!$A$2:$I$1016,7,0)</f>
        <v>0</v>
      </c>
      <c r="I250" s="98">
        <f>$C250*VLOOKUP($B250,FoodDB!$A$2:$I$1016,8,0)</f>
        <v>0</v>
      </c>
      <c r="J250" s="98">
        <f>$C250*VLOOKUP($B250,FoodDB!$A$2:$I$1016,9,0)</f>
        <v>0</v>
      </c>
      <c r="K250" s="98"/>
      <c r="L250" s="98"/>
      <c r="M250" s="98"/>
      <c r="N250" s="98"/>
      <c r="O250" s="98"/>
      <c r="P250" s="98"/>
      <c r="Q250" s="98"/>
      <c r="R250" s="98"/>
      <c r="S250" s="98"/>
    </row>
    <row r="251" spans="1:19" x14ac:dyDescent="0.25">
      <c r="B251" s="94" t="s">
        <v>108</v>
      </c>
      <c r="C251" s="95">
        <v>1</v>
      </c>
      <c r="D251" s="98">
        <f>$C251*VLOOKUP($B251,FoodDB!$A$2:$I$1016,3,0)</f>
        <v>0</v>
      </c>
      <c r="E251" s="98">
        <f>$C251*VLOOKUP($B251,FoodDB!$A$2:$I$1016,4,0)</f>
        <v>0</v>
      </c>
      <c r="F251" s="98">
        <f>$C251*VLOOKUP($B251,FoodDB!$A$2:$I$1016,5,0)</f>
        <v>0</v>
      </c>
      <c r="G251" s="98">
        <f>$C251*VLOOKUP($B251,FoodDB!$A$2:$I$1016,6,0)</f>
        <v>0</v>
      </c>
      <c r="H251" s="98">
        <f>$C251*VLOOKUP($B251,FoodDB!$A$2:$I$1016,7,0)</f>
        <v>0</v>
      </c>
      <c r="I251" s="98">
        <f>$C251*VLOOKUP($B251,FoodDB!$A$2:$I$1016,8,0)</f>
        <v>0</v>
      </c>
      <c r="J251" s="98">
        <f>$C251*VLOOKUP($B251,FoodDB!$A$2:$I$1016,9,0)</f>
        <v>0</v>
      </c>
      <c r="K251" s="98"/>
      <c r="L251" s="98"/>
      <c r="M251" s="98"/>
      <c r="N251" s="98"/>
      <c r="O251" s="98"/>
      <c r="P251" s="98"/>
      <c r="Q251" s="98"/>
      <c r="R251" s="98"/>
      <c r="S251" s="98"/>
    </row>
    <row r="252" spans="1:19" x14ac:dyDescent="0.25">
      <c r="B252" s="94" t="s">
        <v>108</v>
      </c>
      <c r="C252" s="95">
        <v>1</v>
      </c>
      <c r="D252" s="98">
        <f>$C252*VLOOKUP($B252,FoodDB!$A$2:$I$1016,3,0)</f>
        <v>0</v>
      </c>
      <c r="E252" s="98">
        <f>$C252*VLOOKUP($B252,FoodDB!$A$2:$I$1016,4,0)</f>
        <v>0</v>
      </c>
      <c r="F252" s="98">
        <f>$C252*VLOOKUP($B252,FoodDB!$A$2:$I$1016,5,0)</f>
        <v>0</v>
      </c>
      <c r="G252" s="98">
        <f>$C252*VLOOKUP($B252,FoodDB!$A$2:$I$1016,6,0)</f>
        <v>0</v>
      </c>
      <c r="H252" s="98">
        <f>$C252*VLOOKUP($B252,FoodDB!$A$2:$I$1016,7,0)</f>
        <v>0</v>
      </c>
      <c r="I252" s="98">
        <f>$C252*VLOOKUP($B252,FoodDB!$A$2:$I$1016,8,0)</f>
        <v>0</v>
      </c>
      <c r="J252" s="98">
        <f>$C252*VLOOKUP($B252,FoodDB!$A$2:$I$1016,9,0)</f>
        <v>0</v>
      </c>
      <c r="K252" s="98"/>
      <c r="L252" s="98"/>
      <c r="M252" s="98"/>
      <c r="N252" s="98"/>
      <c r="O252" s="98"/>
      <c r="P252" s="98"/>
      <c r="Q252" s="98"/>
      <c r="R252" s="98"/>
      <c r="S252" s="98"/>
    </row>
    <row r="253" spans="1:19" x14ac:dyDescent="0.25">
      <c r="A253" t="s">
        <v>98</v>
      </c>
      <c r="D253" s="98"/>
      <c r="E253" s="98"/>
      <c r="F253" s="98"/>
      <c r="G253" s="98">
        <f>SUM(G246:G252)</f>
        <v>177.75</v>
      </c>
      <c r="H253" s="98">
        <f>SUM(H246:H252)</f>
        <v>12</v>
      </c>
      <c r="I253" s="98">
        <f>SUM(I246:I252)</f>
        <v>820</v>
      </c>
      <c r="J253" s="98">
        <f>SUM(G253:I253)</f>
        <v>1009.75</v>
      </c>
      <c r="K253" s="98"/>
      <c r="L253" s="98"/>
      <c r="M253" s="98"/>
      <c r="N253" s="98"/>
      <c r="O253" s="98"/>
      <c r="P253" s="98"/>
      <c r="Q253" s="98"/>
      <c r="R253" s="98"/>
      <c r="S253" s="98"/>
    </row>
    <row r="254" spans="1:19" x14ac:dyDescent="0.25">
      <c r="A254" t="s">
        <v>102</v>
      </c>
      <c r="B254" t="s">
        <v>103</v>
      </c>
      <c r="D254" s="98"/>
      <c r="E254" s="98"/>
      <c r="F254" s="98"/>
      <c r="G254" s="98">
        <f>VLOOKUP($A246,LossChart!$A$3:$AB$105,14,0)</f>
        <v>464.27438774518805</v>
      </c>
      <c r="H254" s="98">
        <f>VLOOKUP($A246,LossChart!$A$3:$AB$105,15,0)</f>
        <v>80</v>
      </c>
      <c r="I254" s="98">
        <f>VLOOKUP($A246,LossChart!$A$3:$AB$105,16,0)</f>
        <v>477.30407413615825</v>
      </c>
      <c r="J254" s="98">
        <f>VLOOKUP($A246,LossChart!$A$3:$AB$105,17,0)</f>
        <v>1021.5784618813464</v>
      </c>
      <c r="K254" s="98"/>
      <c r="L254" s="98"/>
      <c r="M254" s="98"/>
      <c r="N254" s="98"/>
      <c r="O254" s="98"/>
      <c r="P254" s="98"/>
      <c r="Q254" s="98"/>
      <c r="R254" s="98"/>
      <c r="S254" s="98"/>
    </row>
    <row r="255" spans="1:19" x14ac:dyDescent="0.25">
      <c r="A255" t="s">
        <v>104</v>
      </c>
      <c r="D255" s="98"/>
      <c r="E255" s="98"/>
      <c r="F255" s="98"/>
      <c r="G255" s="98">
        <f>G254-G253</f>
        <v>286.52438774518805</v>
      </c>
      <c r="H255" s="98">
        <f>H254-H253</f>
        <v>68</v>
      </c>
      <c r="I255" s="98">
        <f>I254-I253</f>
        <v>-342.69592586384175</v>
      </c>
      <c r="J255" s="98">
        <f>J254-J253</f>
        <v>11.828461881346357</v>
      </c>
      <c r="K255" s="98"/>
      <c r="L255" s="98"/>
      <c r="M255" s="98"/>
      <c r="N255" s="98"/>
      <c r="O255" s="98"/>
      <c r="P255" s="98"/>
      <c r="Q255" s="98"/>
      <c r="R255" s="98"/>
      <c r="S255" s="98"/>
    </row>
    <row r="257" spans="1:19" ht="60" x14ac:dyDescent="0.25">
      <c r="A257" s="21" t="s">
        <v>63</v>
      </c>
      <c r="B257" s="21" t="s">
        <v>93</v>
      </c>
      <c r="C257" s="21" t="s">
        <v>94</v>
      </c>
      <c r="D257" s="92" t="str">
        <f>FoodDB!$C$1</f>
        <v>Fat
(g)</v>
      </c>
      <c r="E257" s="92" t="str">
        <f>FoodDB!$D$1</f>
        <v xml:space="preserve"> Carbs
(g)</v>
      </c>
      <c r="F257" s="92" t="str">
        <f>FoodDB!$E$1</f>
        <v>Protein
(g)</v>
      </c>
      <c r="G257" s="92" t="str">
        <f>FoodDB!$F$1</f>
        <v>Fat
(Cal)</v>
      </c>
      <c r="H257" s="92" t="str">
        <f>FoodDB!$G$1</f>
        <v>Carb
(Cal)</v>
      </c>
      <c r="I257" s="92" t="str">
        <f>FoodDB!$H$1</f>
        <v>Protein
(Cal)</v>
      </c>
      <c r="J257" s="92" t="str">
        <f>FoodDB!$I$1</f>
        <v>Total
Calories</v>
      </c>
      <c r="K257" s="92"/>
      <c r="L257" s="92" t="s">
        <v>110</v>
      </c>
      <c r="M257" s="92" t="s">
        <v>111</v>
      </c>
      <c r="N257" s="92" t="s">
        <v>112</v>
      </c>
      <c r="O257" s="92" t="s">
        <v>113</v>
      </c>
      <c r="P257" s="92" t="s">
        <v>118</v>
      </c>
      <c r="Q257" s="92" t="s">
        <v>119</v>
      </c>
      <c r="R257" s="92" t="s">
        <v>120</v>
      </c>
      <c r="S257" s="92" t="s">
        <v>121</v>
      </c>
    </row>
    <row r="258" spans="1:19" x14ac:dyDescent="0.25">
      <c r="A258" s="93">
        <f>A246+1</f>
        <v>43015</v>
      </c>
      <c r="B258" s="94" t="s">
        <v>133</v>
      </c>
      <c r="C258" s="95">
        <v>1</v>
      </c>
      <c r="D258" s="98">
        <f>$C258*VLOOKUP($B258,FoodDB!$A$2:$I$1016,3,0)</f>
        <v>0</v>
      </c>
      <c r="E258" s="98">
        <f>$C258*VLOOKUP($B258,FoodDB!$A$2:$I$1016,4,0)</f>
        <v>0</v>
      </c>
      <c r="F258" s="98">
        <f>$C258*VLOOKUP($B258,FoodDB!$A$2:$I$1016,5,0)</f>
        <v>0</v>
      </c>
      <c r="G258" s="98">
        <f>$C258*VLOOKUP($B258,FoodDB!$A$2:$I$1016,6,0)</f>
        <v>0</v>
      </c>
      <c r="H258" s="98">
        <f>$C258*VLOOKUP($B258,FoodDB!$A$2:$I$1016,7,0)</f>
        <v>0</v>
      </c>
      <c r="I258" s="98">
        <f>$C258*VLOOKUP($B258,FoodDB!$A$2:$I$1016,8,0)</f>
        <v>0</v>
      </c>
      <c r="J258" s="98">
        <f>$C258*VLOOKUP($B258,FoodDB!$A$2:$I$1016,9,0)</f>
        <v>0</v>
      </c>
      <c r="K258" s="98"/>
      <c r="L258" s="98">
        <f>SUM(G258:G264)</f>
        <v>1836</v>
      </c>
      <c r="M258" s="98">
        <f>SUM(H258:H264)</f>
        <v>32</v>
      </c>
      <c r="N258" s="98">
        <f>SUM(I258:I264)</f>
        <v>112</v>
      </c>
      <c r="O258" s="98">
        <f>SUM(L258:N258)</f>
        <v>1980</v>
      </c>
      <c r="P258" s="98">
        <f>VLOOKUP($A258,LossChart!$A$3:$AB$105,14,0)-L258</f>
        <v>-1364.3353093370549</v>
      </c>
      <c r="Q258" s="98">
        <f>VLOOKUP($A258,LossChart!$A$3:$AB$105,15,0)-M258</f>
        <v>48</v>
      </c>
      <c r="R258" s="98">
        <f>VLOOKUP($A258,LossChart!$A$3:$AB$105,16,0)-N258</f>
        <v>365.30407413615825</v>
      </c>
      <c r="S258" s="98">
        <f>VLOOKUP($A258,LossChart!$A$3:$AB$105,17,0)-O258</f>
        <v>-951.03123520089662</v>
      </c>
    </row>
    <row r="259" spans="1:19" x14ac:dyDescent="0.25">
      <c r="B259" s="94" t="s">
        <v>109</v>
      </c>
      <c r="C259" s="95">
        <v>12</v>
      </c>
      <c r="D259" s="98">
        <f>$C259*VLOOKUP($B259,FoodDB!$A$2:$I$1016,3,0)</f>
        <v>144</v>
      </c>
      <c r="E259" s="98">
        <f>$C259*VLOOKUP($B259,FoodDB!$A$2:$I$1016,4,0)</f>
        <v>0</v>
      </c>
      <c r="F259" s="98">
        <f>$C259*VLOOKUP($B259,FoodDB!$A$2:$I$1016,5,0)</f>
        <v>0</v>
      </c>
      <c r="G259" s="98">
        <f>$C259*VLOOKUP($B259,FoodDB!$A$2:$I$1016,6,0)</f>
        <v>1296</v>
      </c>
      <c r="H259" s="98">
        <f>$C259*VLOOKUP($B259,FoodDB!$A$2:$I$1016,7,0)</f>
        <v>0</v>
      </c>
      <c r="I259" s="98">
        <f>$C259*VLOOKUP($B259,FoodDB!$A$2:$I$1016,8,0)</f>
        <v>0</v>
      </c>
      <c r="J259" s="98">
        <f>$C259*VLOOKUP($B259,FoodDB!$A$2:$I$1016,9,0)</f>
        <v>1296</v>
      </c>
      <c r="K259" s="98"/>
      <c r="L259" s="98"/>
      <c r="M259" s="98"/>
      <c r="N259" s="98"/>
      <c r="O259" s="98"/>
      <c r="P259" s="98"/>
      <c r="Q259" s="98"/>
      <c r="R259" s="98"/>
      <c r="S259" s="98"/>
    </row>
    <row r="260" spans="1:19" x14ac:dyDescent="0.25">
      <c r="B260" s="94" t="s">
        <v>127</v>
      </c>
      <c r="C260" s="95">
        <v>4</v>
      </c>
      <c r="D260" s="98">
        <f>$C260*VLOOKUP($B260,FoodDB!$A$2:$I$1016,3,0)</f>
        <v>60</v>
      </c>
      <c r="E260" s="98">
        <f>$C260*VLOOKUP($B260,FoodDB!$A$2:$I$1016,4,0)</f>
        <v>8</v>
      </c>
      <c r="F260" s="98">
        <f>$C260*VLOOKUP($B260,FoodDB!$A$2:$I$1016,5,0)</f>
        <v>28</v>
      </c>
      <c r="G260" s="98">
        <f>$C260*VLOOKUP($B260,FoodDB!$A$2:$I$1016,6,0)</f>
        <v>540</v>
      </c>
      <c r="H260" s="98">
        <f>$C260*VLOOKUP($B260,FoodDB!$A$2:$I$1016,7,0)</f>
        <v>32</v>
      </c>
      <c r="I260" s="98">
        <f>$C260*VLOOKUP($B260,FoodDB!$A$2:$I$1016,8,0)</f>
        <v>112</v>
      </c>
      <c r="J260" s="98">
        <f>$C260*VLOOKUP($B260,FoodDB!$A$2:$I$1016,9,0)</f>
        <v>684</v>
      </c>
      <c r="K260" s="98"/>
      <c r="L260" s="98"/>
      <c r="M260" s="98"/>
      <c r="N260" s="98"/>
      <c r="O260" s="98"/>
      <c r="P260" s="98"/>
      <c r="Q260" s="98"/>
      <c r="R260" s="98"/>
      <c r="S260" s="98"/>
    </row>
    <row r="261" spans="1:19" x14ac:dyDescent="0.25">
      <c r="B261" s="94" t="s">
        <v>108</v>
      </c>
      <c r="C261" s="95">
        <v>1</v>
      </c>
      <c r="D261" s="98">
        <f>$C261*VLOOKUP($B261,FoodDB!$A$2:$I$1016,3,0)</f>
        <v>0</v>
      </c>
      <c r="E261" s="98">
        <f>$C261*VLOOKUP($B261,FoodDB!$A$2:$I$1016,4,0)</f>
        <v>0</v>
      </c>
      <c r="F261" s="98">
        <f>$C261*VLOOKUP($B261,FoodDB!$A$2:$I$1016,5,0)</f>
        <v>0</v>
      </c>
      <c r="G261" s="98">
        <f>$C261*VLOOKUP($B261,FoodDB!$A$2:$I$1016,6,0)</f>
        <v>0</v>
      </c>
      <c r="H261" s="98">
        <f>$C261*VLOOKUP($B261,FoodDB!$A$2:$I$1016,7,0)</f>
        <v>0</v>
      </c>
      <c r="I261" s="98">
        <f>$C261*VLOOKUP($B261,FoodDB!$A$2:$I$1016,8,0)</f>
        <v>0</v>
      </c>
      <c r="J261" s="98">
        <f>$C261*VLOOKUP($B261,FoodDB!$A$2:$I$1016,9,0)</f>
        <v>0</v>
      </c>
      <c r="K261" s="98"/>
      <c r="L261" s="98"/>
      <c r="M261" s="98"/>
      <c r="N261" s="98"/>
      <c r="O261" s="98"/>
      <c r="P261" s="98"/>
      <c r="Q261" s="98"/>
      <c r="R261" s="98"/>
      <c r="S261" s="98"/>
    </row>
    <row r="262" spans="1:19" x14ac:dyDescent="0.25">
      <c r="B262" s="94" t="s">
        <v>108</v>
      </c>
      <c r="C262" s="95">
        <v>1</v>
      </c>
      <c r="D262" s="98">
        <f>$C262*VLOOKUP($B262,FoodDB!$A$2:$I$1016,3,0)</f>
        <v>0</v>
      </c>
      <c r="E262" s="98">
        <f>$C262*VLOOKUP($B262,FoodDB!$A$2:$I$1016,4,0)</f>
        <v>0</v>
      </c>
      <c r="F262" s="98">
        <f>$C262*VLOOKUP($B262,FoodDB!$A$2:$I$1016,5,0)</f>
        <v>0</v>
      </c>
      <c r="G262" s="98">
        <f>$C262*VLOOKUP($B262,FoodDB!$A$2:$I$1016,6,0)</f>
        <v>0</v>
      </c>
      <c r="H262" s="98">
        <f>$C262*VLOOKUP($B262,FoodDB!$A$2:$I$1016,7,0)</f>
        <v>0</v>
      </c>
      <c r="I262" s="98">
        <f>$C262*VLOOKUP($B262,FoodDB!$A$2:$I$1016,8,0)</f>
        <v>0</v>
      </c>
      <c r="J262" s="98">
        <f>$C262*VLOOKUP($B262,FoodDB!$A$2:$I$1016,9,0)</f>
        <v>0</v>
      </c>
      <c r="K262" s="98"/>
      <c r="L262" s="98"/>
      <c r="M262" s="98"/>
      <c r="N262" s="98"/>
      <c r="O262" s="98"/>
      <c r="P262" s="98"/>
      <c r="Q262" s="98"/>
      <c r="R262" s="98"/>
      <c r="S262" s="98"/>
    </row>
    <row r="263" spans="1:19" x14ac:dyDescent="0.25">
      <c r="B263" s="94" t="s">
        <v>108</v>
      </c>
      <c r="C263" s="95">
        <v>1</v>
      </c>
      <c r="D263" s="98">
        <f>$C263*VLOOKUP($B263,FoodDB!$A$2:$I$1016,3,0)</f>
        <v>0</v>
      </c>
      <c r="E263" s="98">
        <f>$C263*VLOOKUP($B263,FoodDB!$A$2:$I$1016,4,0)</f>
        <v>0</v>
      </c>
      <c r="F263" s="98">
        <f>$C263*VLOOKUP($B263,FoodDB!$A$2:$I$1016,5,0)</f>
        <v>0</v>
      </c>
      <c r="G263" s="98">
        <f>$C263*VLOOKUP($B263,FoodDB!$A$2:$I$1016,6,0)</f>
        <v>0</v>
      </c>
      <c r="H263" s="98">
        <f>$C263*VLOOKUP($B263,FoodDB!$A$2:$I$1016,7,0)</f>
        <v>0</v>
      </c>
      <c r="I263" s="98">
        <f>$C263*VLOOKUP($B263,FoodDB!$A$2:$I$1016,8,0)</f>
        <v>0</v>
      </c>
      <c r="J263" s="98">
        <f>$C263*VLOOKUP($B263,FoodDB!$A$2:$I$1016,9,0)</f>
        <v>0</v>
      </c>
      <c r="K263" s="98"/>
      <c r="L263" s="98"/>
      <c r="M263" s="98"/>
      <c r="N263" s="98"/>
      <c r="O263" s="98"/>
      <c r="P263" s="98"/>
      <c r="Q263" s="98"/>
      <c r="R263" s="98"/>
      <c r="S263" s="98"/>
    </row>
    <row r="264" spans="1:19" x14ac:dyDescent="0.25">
      <c r="B264" s="94" t="s">
        <v>108</v>
      </c>
      <c r="C264" s="95">
        <v>1</v>
      </c>
      <c r="D264" s="98">
        <f>$C264*VLOOKUP($B264,FoodDB!$A$2:$I$1016,3,0)</f>
        <v>0</v>
      </c>
      <c r="E264" s="98">
        <f>$C264*VLOOKUP($B264,FoodDB!$A$2:$I$1016,4,0)</f>
        <v>0</v>
      </c>
      <c r="F264" s="98">
        <f>$C264*VLOOKUP($B264,FoodDB!$A$2:$I$1016,5,0)</f>
        <v>0</v>
      </c>
      <c r="G264" s="98">
        <f>$C264*VLOOKUP($B264,FoodDB!$A$2:$I$1016,6,0)</f>
        <v>0</v>
      </c>
      <c r="H264" s="98">
        <f>$C264*VLOOKUP($B264,FoodDB!$A$2:$I$1016,7,0)</f>
        <v>0</v>
      </c>
      <c r="I264" s="98">
        <f>$C264*VLOOKUP($B264,FoodDB!$A$2:$I$1016,8,0)</f>
        <v>0</v>
      </c>
      <c r="J264" s="98">
        <f>$C264*VLOOKUP($B264,FoodDB!$A$2:$I$1016,9,0)</f>
        <v>0</v>
      </c>
      <c r="K264" s="98"/>
      <c r="L264" s="98"/>
      <c r="M264" s="98"/>
      <c r="N264" s="98"/>
      <c r="O264" s="98"/>
      <c r="P264" s="98"/>
      <c r="Q264" s="98"/>
      <c r="R264" s="98"/>
      <c r="S264" s="98"/>
    </row>
    <row r="265" spans="1:19" x14ac:dyDescent="0.25">
      <c r="A265" t="s">
        <v>98</v>
      </c>
      <c r="D265" s="98"/>
      <c r="E265" s="98"/>
      <c r="F265" s="98"/>
      <c r="G265" s="98">
        <f>SUM(G258:G264)</f>
        <v>1836</v>
      </c>
      <c r="H265" s="98">
        <f>SUM(H258:H264)</f>
        <v>32</v>
      </c>
      <c r="I265" s="98">
        <f>SUM(I258:I264)</f>
        <v>112</v>
      </c>
      <c r="J265" s="98">
        <f>SUM(G265:I265)</f>
        <v>1980</v>
      </c>
      <c r="K265" s="98"/>
      <c r="L265" s="98"/>
      <c r="M265" s="98"/>
      <c r="N265" s="98"/>
      <c r="O265" s="98"/>
      <c r="P265" s="98"/>
      <c r="Q265" s="98"/>
      <c r="R265" s="98"/>
      <c r="S265" s="98"/>
    </row>
    <row r="266" spans="1:19" x14ac:dyDescent="0.25">
      <c r="A266" t="s">
        <v>102</v>
      </c>
      <c r="B266" t="s">
        <v>103</v>
      </c>
      <c r="D266" s="98"/>
      <c r="E266" s="98"/>
      <c r="F266" s="98"/>
      <c r="G266" s="98">
        <f>VLOOKUP($A258,LossChart!$A$3:$AB$105,14,0)</f>
        <v>471.66469066294508</v>
      </c>
      <c r="H266" s="98">
        <f>VLOOKUP($A258,LossChart!$A$3:$AB$105,15,0)</f>
        <v>80</v>
      </c>
      <c r="I266" s="98">
        <f>VLOOKUP($A258,LossChart!$A$3:$AB$105,16,0)</f>
        <v>477.30407413615825</v>
      </c>
      <c r="J266" s="98">
        <f>VLOOKUP($A258,LossChart!$A$3:$AB$105,17,0)</f>
        <v>1028.9687647991034</v>
      </c>
      <c r="K266" s="98"/>
      <c r="L266" s="98"/>
      <c r="M266" s="98"/>
      <c r="N266" s="98"/>
      <c r="O266" s="98"/>
      <c r="P266" s="98"/>
      <c r="Q266" s="98"/>
      <c r="R266" s="98"/>
      <c r="S266" s="98"/>
    </row>
    <row r="267" spans="1:19" x14ac:dyDescent="0.25">
      <c r="A267" t="s">
        <v>104</v>
      </c>
      <c r="D267" s="98"/>
      <c r="E267" s="98"/>
      <c r="F267" s="98"/>
      <c r="G267" s="98">
        <f>G266-G265</f>
        <v>-1364.3353093370549</v>
      </c>
      <c r="H267" s="98">
        <f>H266-H265</f>
        <v>48</v>
      </c>
      <c r="I267" s="98">
        <f>I266-I265</f>
        <v>365.30407413615825</v>
      </c>
      <c r="J267" s="98">
        <f>J266-J265</f>
        <v>-951.03123520089662</v>
      </c>
      <c r="K267" s="98"/>
      <c r="L267" s="98"/>
      <c r="M267" s="98"/>
      <c r="N267" s="98"/>
      <c r="O267" s="98"/>
      <c r="P267" s="98"/>
      <c r="Q267" s="98"/>
      <c r="R267" s="98"/>
      <c r="S267" s="98"/>
    </row>
    <row r="269" spans="1:19" ht="60" x14ac:dyDescent="0.25">
      <c r="A269" s="21" t="s">
        <v>63</v>
      </c>
      <c r="B269" s="21" t="s">
        <v>93</v>
      </c>
      <c r="C269" s="21" t="s">
        <v>94</v>
      </c>
      <c r="D269" s="92" t="str">
        <f>FoodDB!$C$1</f>
        <v>Fat
(g)</v>
      </c>
      <c r="E269" s="92" t="str">
        <f>FoodDB!$D$1</f>
        <v xml:space="preserve"> Carbs
(g)</v>
      </c>
      <c r="F269" s="92" t="str">
        <f>FoodDB!$E$1</f>
        <v>Protein
(g)</v>
      </c>
      <c r="G269" s="92" t="str">
        <f>FoodDB!$F$1</f>
        <v>Fat
(Cal)</v>
      </c>
      <c r="H269" s="92" t="str">
        <f>FoodDB!$G$1</f>
        <v>Carb
(Cal)</v>
      </c>
      <c r="I269" s="92" t="str">
        <f>FoodDB!$H$1</f>
        <v>Protein
(Cal)</v>
      </c>
      <c r="J269" s="92" t="str">
        <f>FoodDB!$I$1</f>
        <v>Total
Calories</v>
      </c>
      <c r="K269" s="92"/>
      <c r="L269" s="92" t="s">
        <v>110</v>
      </c>
      <c r="M269" s="92" t="s">
        <v>111</v>
      </c>
      <c r="N269" s="92" t="s">
        <v>112</v>
      </c>
      <c r="O269" s="92" t="s">
        <v>113</v>
      </c>
      <c r="P269" s="92" t="s">
        <v>118</v>
      </c>
      <c r="Q269" s="92" t="s">
        <v>119</v>
      </c>
      <c r="R269" s="92" t="s">
        <v>120</v>
      </c>
      <c r="S269" s="92" t="s">
        <v>121</v>
      </c>
    </row>
    <row r="270" spans="1:19" x14ac:dyDescent="0.25">
      <c r="A270" s="93">
        <f>A258+1</f>
        <v>43016</v>
      </c>
      <c r="B270" s="94" t="s">
        <v>133</v>
      </c>
      <c r="C270" s="95">
        <v>1</v>
      </c>
      <c r="D270" s="98">
        <f>$C270*VLOOKUP($B270,FoodDB!$A$2:$I$1016,3,0)</f>
        <v>0</v>
      </c>
      <c r="E270" s="98">
        <f>$C270*VLOOKUP($B270,FoodDB!$A$2:$I$1016,4,0)</f>
        <v>0</v>
      </c>
      <c r="F270" s="98">
        <f>$C270*VLOOKUP($B270,FoodDB!$A$2:$I$1016,5,0)</f>
        <v>0</v>
      </c>
      <c r="G270" s="98">
        <f>$C270*VLOOKUP($B270,FoodDB!$A$2:$I$1016,6,0)</f>
        <v>0</v>
      </c>
      <c r="H270" s="98">
        <f>$C270*VLOOKUP($B270,FoodDB!$A$2:$I$1016,7,0)</f>
        <v>0</v>
      </c>
      <c r="I270" s="98">
        <f>$C270*VLOOKUP($B270,FoodDB!$A$2:$I$1016,8,0)</f>
        <v>0</v>
      </c>
      <c r="J270" s="98">
        <f>$C270*VLOOKUP($B270,FoodDB!$A$2:$I$1016,9,0)</f>
        <v>0</v>
      </c>
      <c r="K270" s="98"/>
      <c r="L270" s="98">
        <f>SUM(G270:G276)</f>
        <v>1836</v>
      </c>
      <c r="M270" s="98">
        <f>SUM(H270:H276)</f>
        <v>32</v>
      </c>
      <c r="N270" s="98">
        <f>SUM(I270:I276)</f>
        <v>112</v>
      </c>
      <c r="O270" s="98">
        <f>SUM(L270:N270)</f>
        <v>1980</v>
      </c>
      <c r="P270" s="98">
        <f>VLOOKUP($A270,LossChart!$A$3:$AB$105,14,0)-L270</f>
        <v>-1362.0528301950958</v>
      </c>
      <c r="Q270" s="98">
        <f>VLOOKUP($A270,LossChart!$A$3:$AB$105,15,0)-M270</f>
        <v>48</v>
      </c>
      <c r="R270" s="98">
        <f>VLOOKUP($A270,LossChart!$A$3:$AB$105,16,0)-N270</f>
        <v>365.30407413615825</v>
      </c>
      <c r="S270" s="98">
        <f>VLOOKUP($A270,LossChart!$A$3:$AB$105,17,0)-O270</f>
        <v>-948.74875605893749</v>
      </c>
    </row>
    <row r="271" spans="1:19" x14ac:dyDescent="0.25">
      <c r="B271" s="94" t="s">
        <v>109</v>
      </c>
      <c r="C271" s="95">
        <v>12</v>
      </c>
      <c r="D271" s="98">
        <f>$C271*VLOOKUP($B271,FoodDB!$A$2:$I$1016,3,0)</f>
        <v>144</v>
      </c>
      <c r="E271" s="98">
        <f>$C271*VLOOKUP($B271,FoodDB!$A$2:$I$1016,4,0)</f>
        <v>0</v>
      </c>
      <c r="F271" s="98">
        <f>$C271*VLOOKUP($B271,FoodDB!$A$2:$I$1016,5,0)</f>
        <v>0</v>
      </c>
      <c r="G271" s="98">
        <f>$C271*VLOOKUP($B271,FoodDB!$A$2:$I$1016,6,0)</f>
        <v>1296</v>
      </c>
      <c r="H271" s="98">
        <f>$C271*VLOOKUP($B271,FoodDB!$A$2:$I$1016,7,0)</f>
        <v>0</v>
      </c>
      <c r="I271" s="98">
        <f>$C271*VLOOKUP($B271,FoodDB!$A$2:$I$1016,8,0)</f>
        <v>0</v>
      </c>
      <c r="J271" s="98">
        <f>$C271*VLOOKUP($B271,FoodDB!$A$2:$I$1016,9,0)</f>
        <v>1296</v>
      </c>
      <c r="K271" s="98"/>
      <c r="L271" s="98"/>
      <c r="M271" s="98"/>
      <c r="N271" s="98"/>
      <c r="O271" s="98"/>
      <c r="P271" s="98"/>
      <c r="Q271" s="98"/>
      <c r="R271" s="98"/>
      <c r="S271" s="98"/>
    </row>
    <row r="272" spans="1:19" x14ac:dyDescent="0.25">
      <c r="B272" s="94" t="s">
        <v>127</v>
      </c>
      <c r="C272" s="95">
        <v>4</v>
      </c>
      <c r="D272" s="98">
        <f>$C272*VLOOKUP($B272,FoodDB!$A$2:$I$1016,3,0)</f>
        <v>60</v>
      </c>
      <c r="E272" s="98">
        <f>$C272*VLOOKUP($B272,FoodDB!$A$2:$I$1016,4,0)</f>
        <v>8</v>
      </c>
      <c r="F272" s="98">
        <f>$C272*VLOOKUP($B272,FoodDB!$A$2:$I$1016,5,0)</f>
        <v>28</v>
      </c>
      <c r="G272" s="98">
        <f>$C272*VLOOKUP($B272,FoodDB!$A$2:$I$1016,6,0)</f>
        <v>540</v>
      </c>
      <c r="H272" s="98">
        <f>$C272*VLOOKUP($B272,FoodDB!$A$2:$I$1016,7,0)</f>
        <v>32</v>
      </c>
      <c r="I272" s="98">
        <f>$C272*VLOOKUP($B272,FoodDB!$A$2:$I$1016,8,0)</f>
        <v>112</v>
      </c>
      <c r="J272" s="98">
        <f>$C272*VLOOKUP($B272,FoodDB!$A$2:$I$1016,9,0)</f>
        <v>684</v>
      </c>
      <c r="K272" s="98"/>
      <c r="L272" s="98"/>
      <c r="M272" s="98"/>
      <c r="N272" s="98"/>
      <c r="O272" s="98"/>
      <c r="P272" s="98"/>
      <c r="Q272" s="98"/>
      <c r="R272" s="98"/>
      <c r="S272" s="98"/>
    </row>
    <row r="273" spans="1:19" x14ac:dyDescent="0.25">
      <c r="B273" s="94" t="s">
        <v>108</v>
      </c>
      <c r="C273" s="95">
        <v>1</v>
      </c>
      <c r="D273" s="98">
        <f>$C273*VLOOKUP($B273,FoodDB!$A$2:$I$1016,3,0)</f>
        <v>0</v>
      </c>
      <c r="E273" s="98">
        <f>$C273*VLOOKUP($B273,FoodDB!$A$2:$I$1016,4,0)</f>
        <v>0</v>
      </c>
      <c r="F273" s="98">
        <f>$C273*VLOOKUP($B273,FoodDB!$A$2:$I$1016,5,0)</f>
        <v>0</v>
      </c>
      <c r="G273" s="98">
        <f>$C273*VLOOKUP($B273,FoodDB!$A$2:$I$1016,6,0)</f>
        <v>0</v>
      </c>
      <c r="H273" s="98">
        <f>$C273*VLOOKUP($B273,FoodDB!$A$2:$I$1016,7,0)</f>
        <v>0</v>
      </c>
      <c r="I273" s="98">
        <f>$C273*VLOOKUP($B273,FoodDB!$A$2:$I$1016,8,0)</f>
        <v>0</v>
      </c>
      <c r="J273" s="98">
        <f>$C273*VLOOKUP($B273,FoodDB!$A$2:$I$1016,9,0)</f>
        <v>0</v>
      </c>
      <c r="K273" s="98"/>
      <c r="L273" s="98"/>
      <c r="M273" s="98"/>
      <c r="N273" s="98"/>
      <c r="O273" s="98"/>
      <c r="P273" s="98"/>
      <c r="Q273" s="98"/>
      <c r="R273" s="98"/>
      <c r="S273" s="98"/>
    </row>
    <row r="274" spans="1:19" x14ac:dyDescent="0.25">
      <c r="B274" s="94" t="s">
        <v>108</v>
      </c>
      <c r="C274" s="95">
        <v>1</v>
      </c>
      <c r="D274" s="98">
        <f>$C274*VLOOKUP($B274,FoodDB!$A$2:$I$1016,3,0)</f>
        <v>0</v>
      </c>
      <c r="E274" s="98">
        <f>$C274*VLOOKUP($B274,FoodDB!$A$2:$I$1016,4,0)</f>
        <v>0</v>
      </c>
      <c r="F274" s="98">
        <f>$C274*VLOOKUP($B274,FoodDB!$A$2:$I$1016,5,0)</f>
        <v>0</v>
      </c>
      <c r="G274" s="98">
        <f>$C274*VLOOKUP($B274,FoodDB!$A$2:$I$1016,6,0)</f>
        <v>0</v>
      </c>
      <c r="H274" s="98">
        <f>$C274*VLOOKUP($B274,FoodDB!$A$2:$I$1016,7,0)</f>
        <v>0</v>
      </c>
      <c r="I274" s="98">
        <f>$C274*VLOOKUP($B274,FoodDB!$A$2:$I$1016,8,0)</f>
        <v>0</v>
      </c>
      <c r="J274" s="98">
        <f>$C274*VLOOKUP($B274,FoodDB!$A$2:$I$1016,9,0)</f>
        <v>0</v>
      </c>
      <c r="K274" s="98"/>
      <c r="L274" s="98"/>
      <c r="M274" s="98"/>
      <c r="N274" s="98"/>
      <c r="O274" s="98"/>
      <c r="P274" s="98"/>
      <c r="Q274" s="98"/>
      <c r="R274" s="98"/>
      <c r="S274" s="98"/>
    </row>
    <row r="275" spans="1:19" x14ac:dyDescent="0.25">
      <c r="B275" s="94" t="s">
        <v>108</v>
      </c>
      <c r="C275" s="95">
        <v>1</v>
      </c>
      <c r="D275" s="98">
        <f>$C275*VLOOKUP($B275,FoodDB!$A$2:$I$1016,3,0)</f>
        <v>0</v>
      </c>
      <c r="E275" s="98">
        <f>$C275*VLOOKUP($B275,FoodDB!$A$2:$I$1016,4,0)</f>
        <v>0</v>
      </c>
      <c r="F275" s="98">
        <f>$C275*VLOOKUP($B275,FoodDB!$A$2:$I$1016,5,0)</f>
        <v>0</v>
      </c>
      <c r="G275" s="98">
        <f>$C275*VLOOKUP($B275,FoodDB!$A$2:$I$1016,6,0)</f>
        <v>0</v>
      </c>
      <c r="H275" s="98">
        <f>$C275*VLOOKUP($B275,FoodDB!$A$2:$I$1016,7,0)</f>
        <v>0</v>
      </c>
      <c r="I275" s="98">
        <f>$C275*VLOOKUP($B275,FoodDB!$A$2:$I$1016,8,0)</f>
        <v>0</v>
      </c>
      <c r="J275" s="98">
        <f>$C275*VLOOKUP($B275,FoodDB!$A$2:$I$1016,9,0)</f>
        <v>0</v>
      </c>
      <c r="K275" s="98"/>
      <c r="L275" s="98"/>
      <c r="M275" s="98"/>
      <c r="N275" s="98"/>
      <c r="O275" s="98"/>
      <c r="P275" s="98"/>
      <c r="Q275" s="98"/>
      <c r="R275" s="98"/>
      <c r="S275" s="98"/>
    </row>
    <row r="276" spans="1:19" x14ac:dyDescent="0.25">
      <c r="B276" s="94" t="s">
        <v>108</v>
      </c>
      <c r="C276" s="95">
        <v>1</v>
      </c>
      <c r="D276" s="98">
        <f>$C276*VLOOKUP($B276,FoodDB!$A$2:$I$1016,3,0)</f>
        <v>0</v>
      </c>
      <c r="E276" s="98">
        <f>$C276*VLOOKUP($B276,FoodDB!$A$2:$I$1016,4,0)</f>
        <v>0</v>
      </c>
      <c r="F276" s="98">
        <f>$C276*VLOOKUP($B276,FoodDB!$A$2:$I$1016,5,0)</f>
        <v>0</v>
      </c>
      <c r="G276" s="98">
        <f>$C276*VLOOKUP($B276,FoodDB!$A$2:$I$1016,6,0)</f>
        <v>0</v>
      </c>
      <c r="H276" s="98">
        <f>$C276*VLOOKUP($B276,FoodDB!$A$2:$I$1016,7,0)</f>
        <v>0</v>
      </c>
      <c r="I276" s="98">
        <f>$C276*VLOOKUP($B276,FoodDB!$A$2:$I$1016,8,0)</f>
        <v>0</v>
      </c>
      <c r="J276" s="98">
        <f>$C276*VLOOKUP($B276,FoodDB!$A$2:$I$1016,9,0)</f>
        <v>0</v>
      </c>
      <c r="K276" s="98"/>
      <c r="L276" s="98"/>
      <c r="M276" s="98"/>
      <c r="N276" s="98"/>
      <c r="O276" s="98"/>
      <c r="P276" s="98"/>
      <c r="Q276" s="98"/>
      <c r="R276" s="98"/>
      <c r="S276" s="98"/>
    </row>
    <row r="277" spans="1:19" x14ac:dyDescent="0.25">
      <c r="A277" t="s">
        <v>98</v>
      </c>
      <c r="D277" s="98"/>
      <c r="E277" s="98"/>
      <c r="F277" s="98"/>
      <c r="G277" s="98">
        <f>SUM(G270:G276)</f>
        <v>1836</v>
      </c>
      <c r="H277" s="98">
        <f>SUM(H270:H276)</f>
        <v>32</v>
      </c>
      <c r="I277" s="98">
        <f>SUM(I270:I276)</f>
        <v>112</v>
      </c>
      <c r="J277" s="98">
        <f>SUM(G277:I277)</f>
        <v>1980</v>
      </c>
      <c r="K277" s="98"/>
      <c r="L277" s="98"/>
      <c r="M277" s="98"/>
      <c r="N277" s="98"/>
      <c r="O277" s="98"/>
      <c r="P277" s="98"/>
      <c r="Q277" s="98"/>
      <c r="R277" s="98"/>
      <c r="S277" s="98"/>
    </row>
    <row r="278" spans="1:19" x14ac:dyDescent="0.25">
      <c r="A278" t="s">
        <v>102</v>
      </c>
      <c r="B278" t="s">
        <v>103</v>
      </c>
      <c r="D278" s="98"/>
      <c r="E278" s="98"/>
      <c r="F278" s="98"/>
      <c r="G278" s="98">
        <f>VLOOKUP($A270,LossChart!$A$3:$AB$105,14,0)</f>
        <v>473.94716980490421</v>
      </c>
      <c r="H278" s="98">
        <f>VLOOKUP($A270,LossChart!$A$3:$AB$105,15,0)</f>
        <v>80</v>
      </c>
      <c r="I278" s="98">
        <f>VLOOKUP($A270,LossChart!$A$3:$AB$105,16,0)</f>
        <v>477.30407413615825</v>
      </c>
      <c r="J278" s="98">
        <f>VLOOKUP($A270,LossChart!$A$3:$AB$105,17,0)</f>
        <v>1031.2512439410625</v>
      </c>
      <c r="K278" s="98"/>
      <c r="L278" s="98"/>
      <c r="M278" s="98"/>
      <c r="N278" s="98"/>
      <c r="O278" s="98"/>
      <c r="P278" s="98"/>
      <c r="Q278" s="98"/>
      <c r="R278" s="98"/>
      <c r="S278" s="98"/>
    </row>
    <row r="279" spans="1:19" x14ac:dyDescent="0.25">
      <c r="A279" t="s">
        <v>104</v>
      </c>
      <c r="D279" s="98"/>
      <c r="E279" s="98"/>
      <c r="F279" s="98"/>
      <c r="G279" s="98">
        <f>G278-G277</f>
        <v>-1362.0528301950958</v>
      </c>
      <c r="H279" s="98">
        <f>H278-H277</f>
        <v>48</v>
      </c>
      <c r="I279" s="98">
        <f>I278-I277</f>
        <v>365.30407413615825</v>
      </c>
      <c r="J279" s="98">
        <f>J278-J277</f>
        <v>-948.74875605893749</v>
      </c>
      <c r="K279" s="98"/>
      <c r="L279" s="98"/>
      <c r="M279" s="98"/>
      <c r="N279" s="98"/>
      <c r="O279" s="98"/>
      <c r="P279" s="98"/>
      <c r="Q279" s="98"/>
      <c r="R279" s="98"/>
      <c r="S279" s="98"/>
    </row>
    <row r="281" spans="1:19" ht="60" x14ac:dyDescent="0.25">
      <c r="A281" s="21" t="s">
        <v>63</v>
      </c>
      <c r="B281" s="21" t="s">
        <v>93</v>
      </c>
      <c r="C281" s="21" t="s">
        <v>94</v>
      </c>
      <c r="D281" s="92" t="str">
        <f>FoodDB!$C$1</f>
        <v>Fat
(g)</v>
      </c>
      <c r="E281" s="92" t="str">
        <f>FoodDB!$D$1</f>
        <v xml:space="preserve"> Carbs
(g)</v>
      </c>
      <c r="F281" s="92" t="str">
        <f>FoodDB!$E$1</f>
        <v>Protein
(g)</v>
      </c>
      <c r="G281" s="92" t="str">
        <f>FoodDB!$F$1</f>
        <v>Fat
(Cal)</v>
      </c>
      <c r="H281" s="92" t="str">
        <f>FoodDB!$G$1</f>
        <v>Carb
(Cal)</v>
      </c>
      <c r="I281" s="92" t="str">
        <f>FoodDB!$H$1</f>
        <v>Protein
(Cal)</v>
      </c>
      <c r="J281" s="92" t="str">
        <f>FoodDB!$I$1</f>
        <v>Total
Calories</v>
      </c>
      <c r="K281" s="92"/>
      <c r="L281" s="92" t="s">
        <v>110</v>
      </c>
      <c r="M281" s="92" t="s">
        <v>111</v>
      </c>
      <c r="N281" s="92" t="s">
        <v>112</v>
      </c>
      <c r="O281" s="92" t="s">
        <v>113</v>
      </c>
      <c r="P281" s="92" t="s">
        <v>118</v>
      </c>
      <c r="Q281" s="92" t="s">
        <v>119</v>
      </c>
      <c r="R281" s="92" t="s">
        <v>120</v>
      </c>
      <c r="S281" s="92" t="s">
        <v>121</v>
      </c>
    </row>
    <row r="282" spans="1:19" x14ac:dyDescent="0.25">
      <c r="A282" s="93">
        <f>A270+1</f>
        <v>43017</v>
      </c>
      <c r="B282" s="94" t="s">
        <v>133</v>
      </c>
      <c r="C282" s="95">
        <v>1</v>
      </c>
      <c r="D282" s="98">
        <f>$C282*VLOOKUP($B282,FoodDB!$A$2:$I$1016,3,0)</f>
        <v>0</v>
      </c>
      <c r="E282" s="98">
        <f>$C282*VLOOKUP($B282,FoodDB!$A$2:$I$1016,4,0)</f>
        <v>0</v>
      </c>
      <c r="F282" s="98">
        <f>$C282*VLOOKUP($B282,FoodDB!$A$2:$I$1016,5,0)</f>
        <v>0</v>
      </c>
      <c r="G282" s="98">
        <f>$C282*VLOOKUP($B282,FoodDB!$A$2:$I$1016,6,0)</f>
        <v>0</v>
      </c>
      <c r="H282" s="98">
        <f>$C282*VLOOKUP($B282,FoodDB!$A$2:$I$1016,7,0)</f>
        <v>0</v>
      </c>
      <c r="I282" s="98">
        <f>$C282*VLOOKUP($B282,FoodDB!$A$2:$I$1016,8,0)</f>
        <v>0</v>
      </c>
      <c r="J282" s="98">
        <f>$C282*VLOOKUP($B282,FoodDB!$A$2:$I$1016,9,0)</f>
        <v>0</v>
      </c>
      <c r="K282" s="98"/>
      <c r="L282" s="98">
        <f>SUM(G282:G288)</f>
        <v>1851.75</v>
      </c>
      <c r="M282" s="98">
        <f>SUM(H282:H288)</f>
        <v>44</v>
      </c>
      <c r="N282" s="98">
        <f>SUM(I282:I288)</f>
        <v>312</v>
      </c>
      <c r="O282" s="98">
        <f>SUM(L282:N282)</f>
        <v>2207.75</v>
      </c>
      <c r="P282" s="98">
        <f>VLOOKUP($A282,LossChart!$A$3:$AB$105,14,0)-L282</f>
        <v>-1375.5284655944793</v>
      </c>
      <c r="Q282" s="98">
        <f>VLOOKUP($A282,LossChart!$A$3:$AB$105,15,0)-M282</f>
        <v>36</v>
      </c>
      <c r="R282" s="98">
        <f>VLOOKUP($A282,LossChart!$A$3:$AB$105,16,0)-N282</f>
        <v>165.30407413615825</v>
      </c>
      <c r="S282" s="98">
        <f>VLOOKUP($A282,LossChart!$A$3:$AB$105,17,0)-O282</f>
        <v>-1174.224391458321</v>
      </c>
    </row>
    <row r="283" spans="1:19" x14ac:dyDescent="0.25">
      <c r="B283" s="94" t="s">
        <v>95</v>
      </c>
      <c r="C283" s="95">
        <v>0.5</v>
      </c>
      <c r="D283" s="98">
        <f>$C283*VLOOKUP($B283,FoodDB!$A$2:$I$1016,3,0)</f>
        <v>0.25</v>
      </c>
      <c r="E283" s="98">
        <f>$C283*VLOOKUP($B283,FoodDB!$A$2:$I$1016,4,0)</f>
        <v>0</v>
      </c>
      <c r="F283" s="98">
        <f>$C283*VLOOKUP($B283,FoodDB!$A$2:$I$1016,5,0)</f>
        <v>25</v>
      </c>
      <c r="G283" s="98">
        <f>$C283*VLOOKUP($B283,FoodDB!$A$2:$I$1016,6,0)</f>
        <v>2.25</v>
      </c>
      <c r="H283" s="98">
        <f>$C283*VLOOKUP($B283,FoodDB!$A$2:$I$1016,7,0)</f>
        <v>0</v>
      </c>
      <c r="I283" s="98">
        <f>$C283*VLOOKUP($B283,FoodDB!$A$2:$I$1016,8,0)</f>
        <v>100</v>
      </c>
      <c r="J283" s="98">
        <f>$C283*VLOOKUP($B283,FoodDB!$A$2:$I$1016,9,0)</f>
        <v>102.25</v>
      </c>
      <c r="K283" s="98"/>
      <c r="L283" s="98"/>
      <c r="M283" s="98"/>
      <c r="N283" s="98"/>
      <c r="O283" s="98"/>
      <c r="P283" s="98"/>
      <c r="Q283" s="98"/>
      <c r="R283" s="98"/>
      <c r="S283" s="98"/>
    </row>
    <row r="284" spans="1:19" x14ac:dyDescent="0.25">
      <c r="B284" s="94" t="s">
        <v>125</v>
      </c>
      <c r="C284" s="95">
        <v>1</v>
      </c>
      <c r="D284" s="98">
        <f>$C284*VLOOKUP($B284,FoodDB!$A$2:$I$1016,3,0)</f>
        <v>1.5</v>
      </c>
      <c r="E284" s="98">
        <f>$C284*VLOOKUP($B284,FoodDB!$A$2:$I$1016,4,0)</f>
        <v>3</v>
      </c>
      <c r="F284" s="98">
        <f>$C284*VLOOKUP($B284,FoodDB!$A$2:$I$1016,5,0)</f>
        <v>25</v>
      </c>
      <c r="G284" s="98">
        <f>$C284*VLOOKUP($B284,FoodDB!$A$2:$I$1016,6,0)</f>
        <v>13.5</v>
      </c>
      <c r="H284" s="98">
        <f>$C284*VLOOKUP($B284,FoodDB!$A$2:$I$1016,7,0)</f>
        <v>12</v>
      </c>
      <c r="I284" s="98">
        <f>$C284*VLOOKUP($B284,FoodDB!$A$2:$I$1016,8,0)</f>
        <v>100</v>
      </c>
      <c r="J284" s="98">
        <f>$C284*VLOOKUP($B284,FoodDB!$A$2:$I$1016,9,0)</f>
        <v>125.5</v>
      </c>
      <c r="K284" s="98"/>
      <c r="L284" s="98"/>
      <c r="M284" s="98"/>
      <c r="N284" s="98"/>
      <c r="O284" s="98"/>
      <c r="P284" s="98"/>
      <c r="Q284" s="98"/>
      <c r="R284" s="98"/>
      <c r="S284" s="98"/>
    </row>
    <row r="285" spans="1:19" x14ac:dyDescent="0.25">
      <c r="B285" s="94" t="s">
        <v>109</v>
      </c>
      <c r="C285" s="95">
        <v>12</v>
      </c>
      <c r="D285" s="98">
        <f>$C285*VLOOKUP($B285,FoodDB!$A$2:$I$1016,3,0)</f>
        <v>144</v>
      </c>
      <c r="E285" s="98">
        <f>$C285*VLOOKUP($B285,FoodDB!$A$2:$I$1016,4,0)</f>
        <v>0</v>
      </c>
      <c r="F285" s="98">
        <f>$C285*VLOOKUP($B285,FoodDB!$A$2:$I$1016,5,0)</f>
        <v>0</v>
      </c>
      <c r="G285" s="98">
        <f>$C285*VLOOKUP($B285,FoodDB!$A$2:$I$1016,6,0)</f>
        <v>1296</v>
      </c>
      <c r="H285" s="98">
        <f>$C285*VLOOKUP($B285,FoodDB!$A$2:$I$1016,7,0)</f>
        <v>0</v>
      </c>
      <c r="I285" s="98">
        <f>$C285*VLOOKUP($B285,FoodDB!$A$2:$I$1016,8,0)</f>
        <v>0</v>
      </c>
      <c r="J285" s="98">
        <f>$C285*VLOOKUP($B285,FoodDB!$A$2:$I$1016,9,0)</f>
        <v>1296</v>
      </c>
      <c r="K285" s="98"/>
      <c r="L285" s="98"/>
      <c r="M285" s="98"/>
      <c r="N285" s="98"/>
      <c r="O285" s="98"/>
      <c r="P285" s="98"/>
      <c r="Q285" s="98"/>
      <c r="R285" s="98"/>
      <c r="S285" s="98"/>
    </row>
    <row r="286" spans="1:19" x14ac:dyDescent="0.25">
      <c r="B286" s="94" t="s">
        <v>127</v>
      </c>
      <c r="C286" s="95">
        <v>4</v>
      </c>
      <c r="D286" s="98">
        <f>$C286*VLOOKUP($B286,FoodDB!$A$2:$I$1016,3,0)</f>
        <v>60</v>
      </c>
      <c r="E286" s="98">
        <f>$C286*VLOOKUP($B286,FoodDB!$A$2:$I$1016,4,0)</f>
        <v>8</v>
      </c>
      <c r="F286" s="98">
        <f>$C286*VLOOKUP($B286,FoodDB!$A$2:$I$1016,5,0)</f>
        <v>28</v>
      </c>
      <c r="G286" s="98">
        <f>$C286*VLOOKUP($B286,FoodDB!$A$2:$I$1016,6,0)</f>
        <v>540</v>
      </c>
      <c r="H286" s="98">
        <f>$C286*VLOOKUP($B286,FoodDB!$A$2:$I$1016,7,0)</f>
        <v>32</v>
      </c>
      <c r="I286" s="98">
        <f>$C286*VLOOKUP($B286,FoodDB!$A$2:$I$1016,8,0)</f>
        <v>112</v>
      </c>
      <c r="J286" s="98">
        <f>$C286*VLOOKUP($B286,FoodDB!$A$2:$I$1016,9,0)</f>
        <v>684</v>
      </c>
      <c r="K286" s="98"/>
      <c r="L286" s="98"/>
      <c r="M286" s="98"/>
      <c r="N286" s="98"/>
      <c r="O286" s="98"/>
      <c r="P286" s="98"/>
      <c r="Q286" s="98"/>
      <c r="R286" s="98"/>
      <c r="S286" s="98"/>
    </row>
    <row r="287" spans="1:19" x14ac:dyDescent="0.25">
      <c r="B287" s="94" t="s">
        <v>108</v>
      </c>
      <c r="C287" s="95">
        <v>1</v>
      </c>
      <c r="D287" s="98">
        <f>$C287*VLOOKUP($B287,FoodDB!$A$2:$I$1016,3,0)</f>
        <v>0</v>
      </c>
      <c r="E287" s="98">
        <f>$C287*VLOOKUP($B287,FoodDB!$A$2:$I$1016,4,0)</f>
        <v>0</v>
      </c>
      <c r="F287" s="98">
        <f>$C287*VLOOKUP($B287,FoodDB!$A$2:$I$1016,5,0)</f>
        <v>0</v>
      </c>
      <c r="G287" s="98">
        <f>$C287*VLOOKUP($B287,FoodDB!$A$2:$I$1016,6,0)</f>
        <v>0</v>
      </c>
      <c r="H287" s="98">
        <f>$C287*VLOOKUP($B287,FoodDB!$A$2:$I$1016,7,0)</f>
        <v>0</v>
      </c>
      <c r="I287" s="98">
        <f>$C287*VLOOKUP($B287,FoodDB!$A$2:$I$1016,8,0)</f>
        <v>0</v>
      </c>
      <c r="J287" s="98">
        <f>$C287*VLOOKUP($B287,FoodDB!$A$2:$I$1016,9,0)</f>
        <v>0</v>
      </c>
      <c r="K287" s="98"/>
      <c r="L287" s="98"/>
      <c r="M287" s="98"/>
      <c r="N287" s="98"/>
      <c r="O287" s="98"/>
      <c r="P287" s="98"/>
      <c r="Q287" s="98"/>
      <c r="R287" s="98"/>
      <c r="S287" s="98"/>
    </row>
    <row r="288" spans="1:19" x14ac:dyDescent="0.25">
      <c r="B288" s="94" t="s">
        <v>108</v>
      </c>
      <c r="C288" s="95">
        <v>1</v>
      </c>
      <c r="D288" s="98">
        <f>$C288*VLOOKUP($B288,FoodDB!$A$2:$I$1016,3,0)</f>
        <v>0</v>
      </c>
      <c r="E288" s="98">
        <f>$C288*VLOOKUP($B288,FoodDB!$A$2:$I$1016,4,0)</f>
        <v>0</v>
      </c>
      <c r="F288" s="98">
        <f>$C288*VLOOKUP($B288,FoodDB!$A$2:$I$1016,5,0)</f>
        <v>0</v>
      </c>
      <c r="G288" s="98">
        <f>$C288*VLOOKUP($B288,FoodDB!$A$2:$I$1016,6,0)</f>
        <v>0</v>
      </c>
      <c r="H288" s="98">
        <f>$C288*VLOOKUP($B288,FoodDB!$A$2:$I$1016,7,0)</f>
        <v>0</v>
      </c>
      <c r="I288" s="98">
        <f>$C288*VLOOKUP($B288,FoodDB!$A$2:$I$1016,8,0)</f>
        <v>0</v>
      </c>
      <c r="J288" s="98">
        <f>$C288*VLOOKUP($B288,FoodDB!$A$2:$I$1016,9,0)</f>
        <v>0</v>
      </c>
      <c r="K288" s="98"/>
      <c r="L288" s="98"/>
      <c r="M288" s="98"/>
      <c r="N288" s="98"/>
      <c r="O288" s="98"/>
      <c r="P288" s="98"/>
      <c r="Q288" s="98"/>
      <c r="R288" s="98"/>
      <c r="S288" s="98"/>
    </row>
    <row r="289" spans="1:19" x14ac:dyDescent="0.25">
      <c r="A289" t="s">
        <v>98</v>
      </c>
      <c r="D289" s="98"/>
      <c r="E289" s="98"/>
      <c r="F289" s="98"/>
      <c r="G289" s="98">
        <f>SUM(G282:G288)</f>
        <v>1851.75</v>
      </c>
      <c r="H289" s="98">
        <f>SUM(H282:H288)</f>
        <v>44</v>
      </c>
      <c r="I289" s="98">
        <f>SUM(I282:I288)</f>
        <v>312</v>
      </c>
      <c r="J289" s="98">
        <f>SUM(G289:I289)</f>
        <v>2207.75</v>
      </c>
      <c r="K289" s="98"/>
      <c r="L289" s="98"/>
      <c r="M289" s="98"/>
      <c r="N289" s="98"/>
      <c r="O289" s="98"/>
      <c r="P289" s="98"/>
      <c r="Q289" s="98"/>
      <c r="R289" s="98"/>
      <c r="S289" s="98"/>
    </row>
    <row r="290" spans="1:19" x14ac:dyDescent="0.25">
      <c r="A290" t="s">
        <v>102</v>
      </c>
      <c r="B290" t="s">
        <v>103</v>
      </c>
      <c r="D290" s="98"/>
      <c r="E290" s="98"/>
      <c r="F290" s="98"/>
      <c r="G290" s="98">
        <f>VLOOKUP($A282,LossChart!$A$3:$AB$105,14,0)</f>
        <v>476.22153440552074</v>
      </c>
      <c r="H290" s="98">
        <f>VLOOKUP($A282,LossChart!$A$3:$AB$105,15,0)</f>
        <v>80</v>
      </c>
      <c r="I290" s="98">
        <f>VLOOKUP($A282,LossChart!$A$3:$AB$105,16,0)</f>
        <v>477.30407413615825</v>
      </c>
      <c r="J290" s="98">
        <f>VLOOKUP($A282,LossChart!$A$3:$AB$105,17,0)</f>
        <v>1033.525608541679</v>
      </c>
      <c r="K290" s="98"/>
      <c r="L290" s="98"/>
      <c r="M290" s="98"/>
      <c r="N290" s="98"/>
      <c r="O290" s="98"/>
      <c r="P290" s="98"/>
      <c r="Q290" s="98"/>
      <c r="R290" s="98"/>
      <c r="S290" s="98"/>
    </row>
    <row r="291" spans="1:19" x14ac:dyDescent="0.25">
      <c r="A291" t="s">
        <v>104</v>
      </c>
      <c r="D291" s="98"/>
      <c r="E291" s="98"/>
      <c r="F291" s="98"/>
      <c r="G291" s="98">
        <f>G290-G289</f>
        <v>-1375.5284655944793</v>
      </c>
      <c r="H291" s="98">
        <f>H290-H289</f>
        <v>36</v>
      </c>
      <c r="I291" s="98">
        <f>I290-I289</f>
        <v>165.30407413615825</v>
      </c>
      <c r="J291" s="98">
        <f>J290-J289</f>
        <v>-1174.224391458321</v>
      </c>
      <c r="K291" s="98"/>
      <c r="L291" s="98"/>
      <c r="M291" s="98"/>
      <c r="N291" s="98"/>
      <c r="O291" s="98"/>
      <c r="P291" s="98"/>
      <c r="Q291" s="98"/>
      <c r="R291" s="98"/>
      <c r="S291" s="98"/>
    </row>
    <row r="293" spans="1:19" ht="60" x14ac:dyDescent="0.25">
      <c r="A293" s="21" t="s">
        <v>63</v>
      </c>
      <c r="B293" s="21" t="s">
        <v>93</v>
      </c>
      <c r="C293" s="21" t="s">
        <v>94</v>
      </c>
      <c r="D293" s="92" t="str">
        <f>FoodDB!$C$1</f>
        <v>Fat
(g)</v>
      </c>
      <c r="E293" s="92" t="str">
        <f>FoodDB!$D$1</f>
        <v xml:space="preserve"> Carbs
(g)</v>
      </c>
      <c r="F293" s="92" t="str">
        <f>FoodDB!$E$1</f>
        <v>Protein
(g)</v>
      </c>
      <c r="G293" s="92" t="str">
        <f>FoodDB!$F$1</f>
        <v>Fat
(Cal)</v>
      </c>
      <c r="H293" s="92" t="str">
        <f>FoodDB!$G$1</f>
        <v>Carb
(Cal)</v>
      </c>
      <c r="I293" s="92" t="str">
        <f>FoodDB!$H$1</f>
        <v>Protein
(Cal)</v>
      </c>
      <c r="J293" s="92" t="str">
        <f>FoodDB!$I$1</f>
        <v>Total
Calories</v>
      </c>
      <c r="K293" s="92"/>
      <c r="L293" s="92" t="s">
        <v>110</v>
      </c>
      <c r="M293" s="92" t="s">
        <v>111</v>
      </c>
      <c r="N293" s="92" t="s">
        <v>112</v>
      </c>
      <c r="O293" s="92" t="s">
        <v>113</v>
      </c>
      <c r="P293" s="92" t="s">
        <v>118</v>
      </c>
      <c r="Q293" s="92" t="s">
        <v>119</v>
      </c>
      <c r="R293" s="92" t="s">
        <v>120</v>
      </c>
      <c r="S293" s="92" t="s">
        <v>121</v>
      </c>
    </row>
    <row r="294" spans="1:19" x14ac:dyDescent="0.25">
      <c r="A294" s="93">
        <f>A282+1</f>
        <v>43018</v>
      </c>
      <c r="B294" s="94" t="s">
        <v>95</v>
      </c>
      <c r="C294" s="95">
        <v>0.5</v>
      </c>
      <c r="D294" s="98">
        <f>$C294*VLOOKUP($B294,FoodDB!$A$2:$I$1016,3,0)</f>
        <v>0.25</v>
      </c>
      <c r="E294" s="98">
        <f>$C294*VLOOKUP($B294,FoodDB!$A$2:$I$1016,4,0)</f>
        <v>0</v>
      </c>
      <c r="F294" s="98">
        <f>$C294*VLOOKUP($B294,FoodDB!$A$2:$I$1016,5,0)</f>
        <v>25</v>
      </c>
      <c r="G294" s="98">
        <f>$C294*VLOOKUP($B294,FoodDB!$A$2:$I$1016,6,0)</f>
        <v>2.25</v>
      </c>
      <c r="H294" s="98">
        <f>$C294*VLOOKUP($B294,FoodDB!$A$2:$I$1016,7,0)</f>
        <v>0</v>
      </c>
      <c r="I294" s="98">
        <f>$C294*VLOOKUP($B294,FoodDB!$A$2:$I$1016,8,0)</f>
        <v>100</v>
      </c>
      <c r="J294" s="98">
        <f>$C294*VLOOKUP($B294,FoodDB!$A$2:$I$1016,9,0)</f>
        <v>102.25</v>
      </c>
      <c r="K294" s="98"/>
      <c r="L294" s="98">
        <f>SUM(G294:G300)</f>
        <v>364.95</v>
      </c>
      <c r="M294" s="98">
        <f>SUM(H294:H300)</f>
        <v>148</v>
      </c>
      <c r="N294" s="98">
        <f>SUM(I294:I300)</f>
        <v>508</v>
      </c>
      <c r="O294" s="98">
        <f>SUM(L294:N294)</f>
        <v>1020.95</v>
      </c>
      <c r="P294" s="98">
        <f>VLOOKUP($A294,LossChart!$A$3:$AB$105,14,0)-L294</f>
        <v>112.33028300520101</v>
      </c>
      <c r="Q294" s="98">
        <f>VLOOKUP($A294,LossChart!$A$3:$AB$105,15,0)-M294</f>
        <v>-68</v>
      </c>
      <c r="R294" s="98">
        <f>VLOOKUP($A294,LossChart!$A$3:$AB$105,16,0)-N294</f>
        <v>-30.695925863841751</v>
      </c>
      <c r="S294" s="98">
        <f>VLOOKUP($A294,LossChart!$A$3:$AB$105,17,0)-O294</f>
        <v>13.63435714135926</v>
      </c>
    </row>
    <row r="295" spans="1:19" x14ac:dyDescent="0.25">
      <c r="B295" s="94" t="s">
        <v>125</v>
      </c>
      <c r="C295" s="95">
        <v>1</v>
      </c>
      <c r="D295" s="98">
        <f>$C295*VLOOKUP($B295,FoodDB!$A$2:$I$1016,3,0)</f>
        <v>1.5</v>
      </c>
      <c r="E295" s="98">
        <f>$C295*VLOOKUP($B295,FoodDB!$A$2:$I$1016,4,0)</f>
        <v>3</v>
      </c>
      <c r="F295" s="98">
        <f>$C295*VLOOKUP($B295,FoodDB!$A$2:$I$1016,5,0)</f>
        <v>25</v>
      </c>
      <c r="G295" s="98">
        <f>$C295*VLOOKUP($B295,FoodDB!$A$2:$I$1016,6,0)</f>
        <v>13.5</v>
      </c>
      <c r="H295" s="98">
        <f>$C295*VLOOKUP($B295,FoodDB!$A$2:$I$1016,7,0)</f>
        <v>12</v>
      </c>
      <c r="I295" s="98">
        <f>$C295*VLOOKUP($B295,FoodDB!$A$2:$I$1016,8,0)</f>
        <v>100</v>
      </c>
      <c r="J295" s="98">
        <f>$C295*VLOOKUP($B295,FoodDB!$A$2:$I$1016,9,0)</f>
        <v>125.5</v>
      </c>
      <c r="K295" s="98"/>
      <c r="L295" s="98"/>
      <c r="M295" s="98"/>
      <c r="N295" s="98"/>
      <c r="O295" s="98"/>
      <c r="P295" s="98"/>
      <c r="Q295" s="98"/>
      <c r="R295" s="98"/>
      <c r="S295" s="98"/>
    </row>
    <row r="296" spans="1:19" x14ac:dyDescent="0.25">
      <c r="B296" s="94" t="s">
        <v>135</v>
      </c>
      <c r="C296" s="95">
        <v>2</v>
      </c>
      <c r="D296" s="98">
        <f>$C296*VLOOKUP($B296,FoodDB!$A$2:$I$1016,3,0)</f>
        <v>3.2</v>
      </c>
      <c r="E296" s="98">
        <f>$C296*VLOOKUP($B296,FoodDB!$A$2:$I$1016,4,0)</f>
        <v>34</v>
      </c>
      <c r="F296" s="98">
        <f>$C296*VLOOKUP($B296,FoodDB!$A$2:$I$1016,5,0)</f>
        <v>22</v>
      </c>
      <c r="G296" s="98">
        <f>$C296*VLOOKUP($B296,FoodDB!$A$2:$I$1016,6,0)</f>
        <v>28.8</v>
      </c>
      <c r="H296" s="98">
        <f>$C296*VLOOKUP($B296,FoodDB!$A$2:$I$1016,7,0)</f>
        <v>136</v>
      </c>
      <c r="I296" s="98">
        <f>$C296*VLOOKUP($B296,FoodDB!$A$2:$I$1016,8,0)</f>
        <v>88</v>
      </c>
      <c r="J296" s="98">
        <f>$C296*VLOOKUP($B296,FoodDB!$A$2:$I$1016,9,0)</f>
        <v>252.8</v>
      </c>
      <c r="K296" s="98"/>
      <c r="L296" s="98"/>
      <c r="M296" s="98"/>
      <c r="N296" s="98"/>
      <c r="O296" s="98"/>
      <c r="P296" s="98"/>
      <c r="Q296" s="98"/>
      <c r="R296" s="98"/>
      <c r="S296" s="98"/>
    </row>
    <row r="297" spans="1:19" x14ac:dyDescent="0.25">
      <c r="B297" s="94" t="s">
        <v>109</v>
      </c>
      <c r="C297" s="95">
        <v>1</v>
      </c>
      <c r="D297" s="98">
        <f>$C297*VLOOKUP($B297,FoodDB!$A$2:$I$1016,3,0)</f>
        <v>12</v>
      </c>
      <c r="E297" s="98">
        <f>$C297*VLOOKUP($B297,FoodDB!$A$2:$I$1016,4,0)</f>
        <v>0</v>
      </c>
      <c r="F297" s="98">
        <f>$C297*VLOOKUP($B297,FoodDB!$A$2:$I$1016,5,0)</f>
        <v>0</v>
      </c>
      <c r="G297" s="98">
        <f>$C297*VLOOKUP($B297,FoodDB!$A$2:$I$1016,6,0)</f>
        <v>108</v>
      </c>
      <c r="H297" s="98">
        <f>$C297*VLOOKUP($B297,FoodDB!$A$2:$I$1016,7,0)</f>
        <v>0</v>
      </c>
      <c r="I297" s="98">
        <f>$C297*VLOOKUP($B297,FoodDB!$A$2:$I$1016,8,0)</f>
        <v>0</v>
      </c>
      <c r="J297" s="98">
        <f>$C297*VLOOKUP($B297,FoodDB!$A$2:$I$1016,9,0)</f>
        <v>108</v>
      </c>
      <c r="K297" s="98"/>
      <c r="L297" s="98"/>
      <c r="M297" s="98"/>
      <c r="N297" s="98"/>
      <c r="O297" s="98"/>
      <c r="P297" s="98"/>
      <c r="Q297" s="98"/>
      <c r="R297" s="98"/>
      <c r="S297" s="98"/>
    </row>
    <row r="298" spans="1:19" x14ac:dyDescent="0.25">
      <c r="B298" s="94" t="s">
        <v>101</v>
      </c>
      <c r="C298" s="95">
        <v>4</v>
      </c>
      <c r="D298" s="98">
        <f>$C298*VLOOKUP($B298,FoodDB!$A$2:$I$1016,3,0)</f>
        <v>20</v>
      </c>
      <c r="E298" s="98">
        <f>$C298*VLOOKUP($B298,FoodDB!$A$2:$I$1016,4,0)</f>
        <v>0</v>
      </c>
      <c r="F298" s="98">
        <f>$C298*VLOOKUP($B298,FoodDB!$A$2:$I$1016,5,0)</f>
        <v>24</v>
      </c>
      <c r="G298" s="98">
        <f>$C298*VLOOKUP($B298,FoodDB!$A$2:$I$1016,6,0)</f>
        <v>180</v>
      </c>
      <c r="H298" s="98">
        <f>$C298*VLOOKUP($B298,FoodDB!$A$2:$I$1016,7,0)</f>
        <v>0</v>
      </c>
      <c r="I298" s="98">
        <f>$C298*VLOOKUP($B298,FoodDB!$A$2:$I$1016,8,0)</f>
        <v>96</v>
      </c>
      <c r="J298" s="98">
        <f>$C298*VLOOKUP($B298,FoodDB!$A$2:$I$1016,9,0)</f>
        <v>276</v>
      </c>
      <c r="K298" s="98"/>
      <c r="L298" s="98"/>
      <c r="M298" s="98"/>
      <c r="N298" s="98"/>
      <c r="O298" s="98"/>
      <c r="P298" s="98"/>
      <c r="Q298" s="98"/>
      <c r="R298" s="98"/>
      <c r="S298" s="98"/>
    </row>
    <row r="299" spans="1:19" x14ac:dyDescent="0.25">
      <c r="B299" s="94" t="s">
        <v>126</v>
      </c>
      <c r="C299" s="95">
        <v>1</v>
      </c>
      <c r="D299" s="98">
        <f>$C299*VLOOKUP($B299,FoodDB!$A$2:$I$1016,3,0)</f>
        <v>3.6</v>
      </c>
      <c r="E299" s="98">
        <f>$C299*VLOOKUP($B299,FoodDB!$A$2:$I$1016,4,0)</f>
        <v>0</v>
      </c>
      <c r="F299" s="98">
        <f>$C299*VLOOKUP($B299,FoodDB!$A$2:$I$1016,5,0)</f>
        <v>31</v>
      </c>
      <c r="G299" s="98">
        <f>$C299*VLOOKUP($B299,FoodDB!$A$2:$I$1016,6,0)</f>
        <v>32.4</v>
      </c>
      <c r="H299" s="98">
        <f>$C299*VLOOKUP($B299,FoodDB!$A$2:$I$1016,7,0)</f>
        <v>0</v>
      </c>
      <c r="I299" s="98">
        <f>$C299*VLOOKUP($B299,FoodDB!$A$2:$I$1016,8,0)</f>
        <v>124</v>
      </c>
      <c r="J299" s="98">
        <f>$C299*VLOOKUP($B299,FoodDB!$A$2:$I$1016,9,0)</f>
        <v>156.4</v>
      </c>
      <c r="K299" s="98"/>
      <c r="L299" s="98"/>
      <c r="M299" s="98"/>
      <c r="N299" s="98"/>
      <c r="O299" s="98"/>
      <c r="P299" s="98"/>
      <c r="Q299" s="98"/>
      <c r="R299" s="98"/>
      <c r="S299" s="98"/>
    </row>
    <row r="300" spans="1:19" x14ac:dyDescent="0.25">
      <c r="B300" s="94" t="s">
        <v>108</v>
      </c>
      <c r="C300" s="95">
        <v>1</v>
      </c>
      <c r="D300" s="98">
        <f>$C300*VLOOKUP($B300,FoodDB!$A$2:$I$1016,3,0)</f>
        <v>0</v>
      </c>
      <c r="E300" s="98">
        <f>$C300*VLOOKUP($B300,FoodDB!$A$2:$I$1016,4,0)</f>
        <v>0</v>
      </c>
      <c r="F300" s="98">
        <f>$C300*VLOOKUP($B300,FoodDB!$A$2:$I$1016,5,0)</f>
        <v>0</v>
      </c>
      <c r="G300" s="98">
        <f>$C300*VLOOKUP($B300,FoodDB!$A$2:$I$1016,6,0)</f>
        <v>0</v>
      </c>
      <c r="H300" s="98">
        <f>$C300*VLOOKUP($B300,FoodDB!$A$2:$I$1016,7,0)</f>
        <v>0</v>
      </c>
      <c r="I300" s="98">
        <f>$C300*VLOOKUP($B300,FoodDB!$A$2:$I$1016,8,0)</f>
        <v>0</v>
      </c>
      <c r="J300" s="98">
        <f>$C300*VLOOKUP($B300,FoodDB!$A$2:$I$1016,9,0)</f>
        <v>0</v>
      </c>
      <c r="K300" s="98"/>
      <c r="L300" s="98"/>
      <c r="M300" s="98"/>
      <c r="N300" s="98"/>
      <c r="O300" s="98"/>
      <c r="P300" s="98"/>
      <c r="Q300" s="98"/>
      <c r="R300" s="98"/>
      <c r="S300" s="98"/>
    </row>
    <row r="301" spans="1:19" x14ac:dyDescent="0.25">
      <c r="A301" t="s">
        <v>98</v>
      </c>
      <c r="D301" s="98"/>
      <c r="E301" s="98"/>
      <c r="F301" s="98"/>
      <c r="G301" s="98">
        <f>SUM(G294:G300)</f>
        <v>364.95</v>
      </c>
      <c r="H301" s="98">
        <f>SUM(H294:H300)</f>
        <v>148</v>
      </c>
      <c r="I301" s="98">
        <f>SUM(I294:I300)</f>
        <v>508</v>
      </c>
      <c r="J301" s="98">
        <f>SUM(G301:I301)</f>
        <v>1020.95</v>
      </c>
      <c r="K301" s="98"/>
      <c r="L301" s="98"/>
      <c r="M301" s="98"/>
      <c r="N301" s="98"/>
      <c r="O301" s="98"/>
      <c r="P301" s="98"/>
      <c r="Q301" s="98"/>
      <c r="R301" s="98"/>
      <c r="S301" s="98"/>
    </row>
    <row r="302" spans="1:19" x14ac:dyDescent="0.25">
      <c r="A302" t="s">
        <v>102</v>
      </c>
      <c r="B302" t="s">
        <v>103</v>
      </c>
      <c r="D302" s="98"/>
      <c r="E302" s="98"/>
      <c r="F302" s="98"/>
      <c r="G302" s="98">
        <f>VLOOKUP($A294,LossChart!$A$3:$AB$105,14,0)</f>
        <v>477.280283005201</v>
      </c>
      <c r="H302" s="98">
        <f>VLOOKUP($A294,LossChart!$A$3:$AB$105,15,0)</f>
        <v>80</v>
      </c>
      <c r="I302" s="98">
        <f>VLOOKUP($A294,LossChart!$A$3:$AB$105,16,0)</f>
        <v>477.30407413615825</v>
      </c>
      <c r="J302" s="98">
        <f>VLOOKUP($A294,LossChart!$A$3:$AB$105,17,0)</f>
        <v>1034.5843571413593</v>
      </c>
      <c r="K302" s="98"/>
      <c r="L302" s="98"/>
      <c r="M302" s="98"/>
      <c r="N302" s="98"/>
      <c r="O302" s="98"/>
      <c r="P302" s="98"/>
      <c r="Q302" s="98"/>
      <c r="R302" s="98"/>
      <c r="S302" s="98"/>
    </row>
    <row r="303" spans="1:19" x14ac:dyDescent="0.25">
      <c r="A303" t="s">
        <v>104</v>
      </c>
      <c r="D303" s="98"/>
      <c r="E303" s="98"/>
      <c r="F303" s="98"/>
      <c r="G303" s="98">
        <f>G302-G301</f>
        <v>112.33028300520101</v>
      </c>
      <c r="H303" s="98">
        <f>H302-H301</f>
        <v>-68</v>
      </c>
      <c r="I303" s="98">
        <f>I302-I301</f>
        <v>-30.695925863841751</v>
      </c>
      <c r="J303" s="98">
        <f>J302-J301</f>
        <v>13.63435714135926</v>
      </c>
      <c r="K303" s="98"/>
      <c r="L303" s="98"/>
      <c r="M303" s="98"/>
      <c r="N303" s="98"/>
      <c r="O303" s="98"/>
      <c r="P303" s="98"/>
      <c r="Q303" s="98"/>
      <c r="R303" s="98"/>
      <c r="S303" s="98"/>
    </row>
    <row r="305" spans="1:19" ht="60" x14ac:dyDescent="0.25">
      <c r="A305" s="21" t="s">
        <v>63</v>
      </c>
      <c r="B305" s="21" t="s">
        <v>93</v>
      </c>
      <c r="C305" s="21" t="s">
        <v>94</v>
      </c>
      <c r="D305" s="92" t="str">
        <f>FoodDB!$C$1</f>
        <v>Fat
(g)</v>
      </c>
      <c r="E305" s="92" t="str">
        <f>FoodDB!$D$1</f>
        <v xml:space="preserve"> Carbs
(g)</v>
      </c>
      <c r="F305" s="92" t="str">
        <f>FoodDB!$E$1</f>
        <v>Protein
(g)</v>
      </c>
      <c r="G305" s="92" t="str">
        <f>FoodDB!$F$1</f>
        <v>Fat
(Cal)</v>
      </c>
      <c r="H305" s="92" t="str">
        <f>FoodDB!$G$1</f>
        <v>Carb
(Cal)</v>
      </c>
      <c r="I305" s="92" t="str">
        <f>FoodDB!$H$1</f>
        <v>Protein
(Cal)</v>
      </c>
      <c r="J305" s="92" t="str">
        <f>FoodDB!$I$1</f>
        <v>Total
Calories</v>
      </c>
      <c r="K305" s="92"/>
      <c r="L305" s="92" t="s">
        <v>110</v>
      </c>
      <c r="M305" s="92" t="s">
        <v>111</v>
      </c>
      <c r="N305" s="92" t="s">
        <v>112</v>
      </c>
      <c r="O305" s="92" t="s">
        <v>113</v>
      </c>
      <c r="P305" s="92" t="s">
        <v>118</v>
      </c>
      <c r="Q305" s="92" t="s">
        <v>119</v>
      </c>
      <c r="R305" s="92" t="s">
        <v>120</v>
      </c>
      <c r="S305" s="92" t="s">
        <v>121</v>
      </c>
    </row>
    <row r="306" spans="1:19" x14ac:dyDescent="0.25">
      <c r="A306" s="93">
        <f>A294+1</f>
        <v>43019</v>
      </c>
      <c r="B306" s="94" t="s">
        <v>95</v>
      </c>
      <c r="C306" s="95">
        <v>0.5</v>
      </c>
      <c r="D306" s="98">
        <f>$C306*VLOOKUP($B306,FoodDB!$A$2:$I$1016,3,0)</f>
        <v>0.25</v>
      </c>
      <c r="E306" s="98">
        <f>$C306*VLOOKUP($B306,FoodDB!$A$2:$I$1016,4,0)</f>
        <v>0</v>
      </c>
      <c r="F306" s="98">
        <f>$C306*VLOOKUP($B306,FoodDB!$A$2:$I$1016,5,0)</f>
        <v>25</v>
      </c>
      <c r="G306" s="98">
        <f>$C306*VLOOKUP($B306,FoodDB!$A$2:$I$1016,6,0)</f>
        <v>2.25</v>
      </c>
      <c r="H306" s="98">
        <f>$C306*VLOOKUP($B306,FoodDB!$A$2:$I$1016,7,0)</f>
        <v>0</v>
      </c>
      <c r="I306" s="98">
        <f>$C306*VLOOKUP($B306,FoodDB!$A$2:$I$1016,8,0)</f>
        <v>100</v>
      </c>
      <c r="J306" s="98">
        <f>$C306*VLOOKUP($B306,FoodDB!$A$2:$I$1016,9,0)</f>
        <v>102.25</v>
      </c>
      <c r="K306" s="98"/>
      <c r="L306" s="98">
        <f>SUM(G306:G314)</f>
        <v>445.95</v>
      </c>
      <c r="M306" s="98">
        <f>SUM(H306:H314)</f>
        <v>88</v>
      </c>
      <c r="N306" s="98">
        <f>SUM(I306:I314)</f>
        <v>500</v>
      </c>
      <c r="O306" s="98">
        <f>SUM(L306:N306)</f>
        <v>1033.95</v>
      </c>
      <c r="P306" s="98">
        <f>VLOOKUP($A306,LossChart!$A$3:$AB$105,14,0)-L306</f>
        <v>38.605390850654715</v>
      </c>
      <c r="Q306" s="98">
        <f>VLOOKUP($A306,LossChart!$A$3:$AB$105,15,0)-M306</f>
        <v>-8</v>
      </c>
      <c r="R306" s="98">
        <f>VLOOKUP($A306,LossChart!$A$3:$AB$105,16,0)-N306</f>
        <v>-22.695925863841751</v>
      </c>
      <c r="S306" s="98">
        <f>VLOOKUP($A306,LossChart!$A$3:$AB$105,17,0)-O306</f>
        <v>7.9094649868129636</v>
      </c>
    </row>
    <row r="307" spans="1:19" x14ac:dyDescent="0.25">
      <c r="B307" s="94" t="s">
        <v>125</v>
      </c>
      <c r="C307" s="95">
        <v>1</v>
      </c>
      <c r="D307" s="98">
        <f>$C307*VLOOKUP($B307,FoodDB!$A$2:$I$1016,3,0)</f>
        <v>1.5</v>
      </c>
      <c r="E307" s="98">
        <f>$C307*VLOOKUP($B307,FoodDB!$A$2:$I$1016,4,0)</f>
        <v>3</v>
      </c>
      <c r="F307" s="98">
        <f>$C307*VLOOKUP($B307,FoodDB!$A$2:$I$1016,5,0)</f>
        <v>25</v>
      </c>
      <c r="G307" s="98">
        <f>$C307*VLOOKUP($B307,FoodDB!$A$2:$I$1016,6,0)</f>
        <v>13.5</v>
      </c>
      <c r="H307" s="98">
        <f>$C307*VLOOKUP($B307,FoodDB!$A$2:$I$1016,7,0)</f>
        <v>12</v>
      </c>
      <c r="I307" s="98">
        <f>$C307*VLOOKUP($B307,FoodDB!$A$2:$I$1016,8,0)</f>
        <v>100</v>
      </c>
      <c r="J307" s="98">
        <f>$C307*VLOOKUP($B307,FoodDB!$A$2:$I$1016,9,0)</f>
        <v>125.5</v>
      </c>
      <c r="K307" s="98"/>
      <c r="L307" s="98"/>
      <c r="M307" s="98"/>
      <c r="N307" s="98"/>
      <c r="O307" s="98"/>
      <c r="P307" s="98"/>
      <c r="Q307" s="98"/>
      <c r="R307" s="98"/>
      <c r="S307" s="98"/>
    </row>
    <row r="308" spans="1:19" x14ac:dyDescent="0.25">
      <c r="B308" s="94" t="s">
        <v>107</v>
      </c>
      <c r="C308" s="95">
        <v>2</v>
      </c>
      <c r="D308" s="98">
        <f>$C308*VLOOKUP($B308,FoodDB!$A$2:$I$1016,3,0)</f>
        <v>1</v>
      </c>
      <c r="E308" s="98">
        <f>$C308*VLOOKUP($B308,FoodDB!$A$2:$I$1016,4,0)</f>
        <v>0</v>
      </c>
      <c r="F308" s="98">
        <f>$C308*VLOOKUP($B308,FoodDB!$A$2:$I$1016,5,0)</f>
        <v>0</v>
      </c>
      <c r="G308" s="98">
        <f>$C308*VLOOKUP($B308,FoodDB!$A$2:$I$1016,6,0)</f>
        <v>9</v>
      </c>
      <c r="H308" s="98">
        <f>$C308*VLOOKUP($B308,FoodDB!$A$2:$I$1016,7,0)</f>
        <v>0</v>
      </c>
      <c r="I308" s="98">
        <f>$C308*VLOOKUP($B308,FoodDB!$A$2:$I$1016,8,0)</f>
        <v>0</v>
      </c>
      <c r="J308" s="98">
        <f>$C308*VLOOKUP($B308,FoodDB!$A$2:$I$1016,9,0)</f>
        <v>9</v>
      </c>
      <c r="K308" s="98"/>
      <c r="L308" s="98"/>
      <c r="M308" s="98"/>
      <c r="N308" s="98"/>
      <c r="O308" s="98"/>
      <c r="P308" s="98"/>
      <c r="Q308" s="98"/>
      <c r="R308" s="98"/>
      <c r="S308" s="98"/>
    </row>
    <row r="309" spans="1:19" x14ac:dyDescent="0.25">
      <c r="B309" s="94" t="s">
        <v>135</v>
      </c>
      <c r="C309" s="95">
        <v>1</v>
      </c>
      <c r="D309" s="98">
        <f>$C309*VLOOKUP($B309,FoodDB!$A$2:$I$1016,3,0)</f>
        <v>1.6</v>
      </c>
      <c r="E309" s="98">
        <f>$C309*VLOOKUP($B309,FoodDB!$A$2:$I$1016,4,0)</f>
        <v>17</v>
      </c>
      <c r="F309" s="98">
        <f>$C309*VLOOKUP($B309,FoodDB!$A$2:$I$1016,5,0)</f>
        <v>11</v>
      </c>
      <c r="G309" s="98">
        <f>$C309*VLOOKUP($B309,FoodDB!$A$2:$I$1016,6,0)</f>
        <v>14.4</v>
      </c>
      <c r="H309" s="98">
        <f>$C309*VLOOKUP($B309,FoodDB!$A$2:$I$1016,7,0)</f>
        <v>68</v>
      </c>
      <c r="I309" s="98">
        <f>$C309*VLOOKUP($B309,FoodDB!$A$2:$I$1016,8,0)</f>
        <v>44</v>
      </c>
      <c r="J309" s="98">
        <f>$C309*VLOOKUP($B309,FoodDB!$A$2:$I$1016,9,0)</f>
        <v>126.4</v>
      </c>
      <c r="K309" s="98"/>
      <c r="L309" s="98"/>
      <c r="M309" s="98"/>
      <c r="N309" s="98"/>
      <c r="O309" s="98"/>
      <c r="P309" s="98"/>
      <c r="Q309" s="98"/>
      <c r="R309" s="98"/>
      <c r="S309" s="98"/>
    </row>
    <row r="310" spans="1:19" x14ac:dyDescent="0.25">
      <c r="B310" s="94" t="s">
        <v>127</v>
      </c>
      <c r="C310" s="95">
        <v>1</v>
      </c>
      <c r="D310" s="98">
        <f>$C310*VLOOKUP($B310,FoodDB!$A$2:$I$1016,3,0)</f>
        <v>15</v>
      </c>
      <c r="E310" s="98">
        <f>$C310*VLOOKUP($B310,FoodDB!$A$2:$I$1016,4,0)</f>
        <v>2</v>
      </c>
      <c r="F310" s="98">
        <f>$C310*VLOOKUP($B310,FoodDB!$A$2:$I$1016,5,0)</f>
        <v>7</v>
      </c>
      <c r="G310" s="98">
        <f>$C310*VLOOKUP($B310,FoodDB!$A$2:$I$1016,6,0)</f>
        <v>135</v>
      </c>
      <c r="H310" s="98">
        <f>$C310*VLOOKUP($B310,FoodDB!$A$2:$I$1016,7,0)</f>
        <v>8</v>
      </c>
      <c r="I310" s="98">
        <f>$C310*VLOOKUP($B310,FoodDB!$A$2:$I$1016,8,0)</f>
        <v>28</v>
      </c>
      <c r="J310" s="98">
        <f>$C310*VLOOKUP($B310,FoodDB!$A$2:$I$1016,9,0)</f>
        <v>171</v>
      </c>
      <c r="K310" s="98"/>
      <c r="L310" s="98"/>
      <c r="M310" s="98"/>
      <c r="N310" s="98"/>
      <c r="O310" s="98"/>
      <c r="P310" s="98"/>
      <c r="Q310" s="98"/>
      <c r="R310" s="98"/>
      <c r="S310" s="98"/>
    </row>
    <row r="311" spans="1:19" x14ac:dyDescent="0.25">
      <c r="B311" s="94" t="s">
        <v>101</v>
      </c>
      <c r="C311" s="95">
        <v>1</v>
      </c>
      <c r="D311" s="98">
        <f>$C311*VLOOKUP($B311,FoodDB!$A$2:$I$1016,3,0)</f>
        <v>5</v>
      </c>
      <c r="E311" s="98">
        <f>$C311*VLOOKUP($B311,FoodDB!$A$2:$I$1016,4,0)</f>
        <v>0</v>
      </c>
      <c r="F311" s="98">
        <f>$C311*VLOOKUP($B311,FoodDB!$A$2:$I$1016,5,0)</f>
        <v>6</v>
      </c>
      <c r="G311" s="98">
        <f>$C311*VLOOKUP($B311,FoodDB!$A$2:$I$1016,6,0)</f>
        <v>45</v>
      </c>
      <c r="H311" s="98">
        <f>$C311*VLOOKUP($B311,FoodDB!$A$2:$I$1016,7,0)</f>
        <v>0</v>
      </c>
      <c r="I311" s="98">
        <f>$C311*VLOOKUP($B311,FoodDB!$A$2:$I$1016,8,0)</f>
        <v>24</v>
      </c>
      <c r="J311" s="98">
        <f>$C311*VLOOKUP($B311,FoodDB!$A$2:$I$1016,9,0)</f>
        <v>69</v>
      </c>
      <c r="K311" s="98"/>
      <c r="L311" s="98"/>
      <c r="M311" s="98"/>
      <c r="N311" s="98"/>
      <c r="O311" s="98"/>
      <c r="P311" s="98"/>
      <c r="Q311" s="98"/>
      <c r="R311" s="98"/>
      <c r="S311" s="98"/>
    </row>
    <row r="312" spans="1:19" x14ac:dyDescent="0.25">
      <c r="B312" s="94" t="s">
        <v>109</v>
      </c>
      <c r="C312" s="95">
        <v>2</v>
      </c>
      <c r="D312" s="98">
        <f>$C312*VLOOKUP($B312,FoodDB!$A$2:$I$1016,3,0)</f>
        <v>24</v>
      </c>
      <c r="E312" s="98">
        <f>$C312*VLOOKUP($B312,FoodDB!$A$2:$I$1016,4,0)</f>
        <v>0</v>
      </c>
      <c r="F312" s="98">
        <f>$C312*VLOOKUP($B312,FoodDB!$A$2:$I$1016,5,0)</f>
        <v>0</v>
      </c>
      <c r="G312" s="98">
        <f>$C312*VLOOKUP($B312,FoodDB!$A$2:$I$1016,6,0)</f>
        <v>216</v>
      </c>
      <c r="H312" s="98">
        <f>$C312*VLOOKUP($B312,FoodDB!$A$2:$I$1016,7,0)</f>
        <v>0</v>
      </c>
      <c r="I312" s="98">
        <f>$C312*VLOOKUP($B312,FoodDB!$A$2:$I$1016,8,0)</f>
        <v>0</v>
      </c>
      <c r="J312" s="98">
        <f>$C312*VLOOKUP($B312,FoodDB!$A$2:$I$1016,9,0)</f>
        <v>216</v>
      </c>
      <c r="K312" s="98"/>
      <c r="L312" s="98"/>
      <c r="M312" s="98"/>
      <c r="N312" s="98"/>
      <c r="O312" s="98"/>
      <c r="P312" s="98"/>
      <c r="Q312" s="98"/>
      <c r="R312" s="98"/>
      <c r="S312" s="98"/>
    </row>
    <row r="313" spans="1:19" x14ac:dyDescent="0.25">
      <c r="B313" s="94" t="s">
        <v>105</v>
      </c>
      <c r="C313" s="95">
        <v>1.5</v>
      </c>
      <c r="D313" s="98">
        <f>$C313*VLOOKUP($B313,FoodDB!$A$2:$I$1016,3,0)</f>
        <v>1.2000000000000002</v>
      </c>
      <c r="E313" s="98">
        <f>$C313*VLOOKUP($B313,FoodDB!$A$2:$I$1016,4,0)</f>
        <v>0</v>
      </c>
      <c r="F313" s="98">
        <f>$C313*VLOOKUP($B313,FoodDB!$A$2:$I$1016,5,0)</f>
        <v>51</v>
      </c>
      <c r="G313" s="98">
        <f>$C313*VLOOKUP($B313,FoodDB!$A$2:$I$1016,6,0)</f>
        <v>10.8</v>
      </c>
      <c r="H313" s="98">
        <f>$C313*VLOOKUP($B313,FoodDB!$A$2:$I$1016,7,0)</f>
        <v>0</v>
      </c>
      <c r="I313" s="98">
        <f>$C313*VLOOKUP($B313,FoodDB!$A$2:$I$1016,8,0)</f>
        <v>204</v>
      </c>
      <c r="J313" s="98">
        <f>$C313*VLOOKUP($B313,FoodDB!$A$2:$I$1016,9,0)</f>
        <v>214.79999999999998</v>
      </c>
      <c r="K313" s="98"/>
      <c r="L313" s="98"/>
      <c r="M313" s="98"/>
      <c r="N313" s="98"/>
      <c r="O313" s="98"/>
      <c r="P313" s="98"/>
      <c r="Q313" s="98"/>
      <c r="R313" s="98"/>
      <c r="S313" s="98"/>
    </row>
    <row r="314" spans="1:19" x14ac:dyDescent="0.25">
      <c r="B314" s="94" t="s">
        <v>133</v>
      </c>
      <c r="C314" s="95">
        <v>1</v>
      </c>
      <c r="D314" s="98">
        <f>$C314*VLOOKUP($B314,FoodDB!$A$2:$I$1016,3,0)</f>
        <v>0</v>
      </c>
      <c r="E314" s="98">
        <f>$C314*VLOOKUP($B314,FoodDB!$A$2:$I$1016,4,0)</f>
        <v>0</v>
      </c>
      <c r="F314" s="98">
        <f>$C314*VLOOKUP($B314,FoodDB!$A$2:$I$1016,5,0)</f>
        <v>0</v>
      </c>
      <c r="G314" s="98">
        <f>$C314*VLOOKUP($B314,FoodDB!$A$2:$I$1016,6,0)</f>
        <v>0</v>
      </c>
      <c r="H314" s="98">
        <f>$C314*VLOOKUP($B314,FoodDB!$A$2:$I$1016,7,0)</f>
        <v>0</v>
      </c>
      <c r="I314" s="98">
        <f>$C314*VLOOKUP($B314,FoodDB!$A$2:$I$1016,8,0)</f>
        <v>0</v>
      </c>
      <c r="J314" s="98">
        <f>$C314*VLOOKUP($B314,FoodDB!$A$2:$I$1016,9,0)</f>
        <v>0</v>
      </c>
      <c r="K314" s="98"/>
      <c r="L314" s="98"/>
      <c r="M314" s="98"/>
      <c r="N314" s="98"/>
      <c r="O314" s="98"/>
      <c r="P314" s="98"/>
      <c r="Q314" s="98"/>
      <c r="R314" s="98"/>
      <c r="S314" s="98"/>
    </row>
    <row r="315" spans="1:19" x14ac:dyDescent="0.25">
      <c r="A315" t="s">
        <v>98</v>
      </c>
      <c r="D315" s="98"/>
      <c r="E315" s="98"/>
      <c r="F315" s="98"/>
      <c r="G315" s="98">
        <f>SUM(G306:G314)</f>
        <v>445.95</v>
      </c>
      <c r="H315" s="98">
        <f>SUM(H306:H314)</f>
        <v>88</v>
      </c>
      <c r="I315" s="98">
        <f>SUM(I306:I314)</f>
        <v>500</v>
      </c>
      <c r="J315" s="98">
        <f>SUM(G315:I315)</f>
        <v>1033.95</v>
      </c>
      <c r="K315" s="98"/>
      <c r="L315" s="98"/>
      <c r="M315" s="98"/>
      <c r="N315" s="98"/>
      <c r="O315" s="98"/>
      <c r="P315" s="98"/>
      <c r="Q315" s="98"/>
      <c r="R315" s="98"/>
      <c r="S315" s="98"/>
    </row>
    <row r="316" spans="1:19" x14ac:dyDescent="0.25">
      <c r="A316" t="s">
        <v>102</v>
      </c>
      <c r="B316" t="s">
        <v>103</v>
      </c>
      <c r="D316" s="98"/>
      <c r="E316" s="98"/>
      <c r="F316" s="98"/>
      <c r="G316" s="98">
        <f>VLOOKUP($A306,LossChart!$A$3:$AB$105,14,0)</f>
        <v>484.5553908506547</v>
      </c>
      <c r="H316" s="98">
        <f>VLOOKUP($A306,LossChart!$A$3:$AB$105,15,0)</f>
        <v>80</v>
      </c>
      <c r="I316" s="98">
        <f>VLOOKUP($A306,LossChart!$A$3:$AB$105,16,0)</f>
        <v>477.30407413615825</v>
      </c>
      <c r="J316" s="98">
        <f>VLOOKUP($A306,LossChart!$A$3:$AB$105,17,0)</f>
        <v>1041.859464986813</v>
      </c>
      <c r="K316" s="98"/>
      <c r="L316" s="98"/>
      <c r="M316" s="98"/>
      <c r="N316" s="98"/>
      <c r="O316" s="98"/>
      <c r="P316" s="98"/>
      <c r="Q316" s="98"/>
      <c r="R316" s="98"/>
      <c r="S316" s="98"/>
    </row>
    <row r="317" spans="1:19" x14ac:dyDescent="0.25">
      <c r="A317" t="s">
        <v>104</v>
      </c>
      <c r="D317" s="98"/>
      <c r="E317" s="98"/>
      <c r="F317" s="98"/>
      <c r="G317" s="98">
        <f>G316-G315</f>
        <v>38.605390850654715</v>
      </c>
      <c r="H317" s="98">
        <f>H316-H315</f>
        <v>-8</v>
      </c>
      <c r="I317" s="98">
        <f>I316-I315</f>
        <v>-22.695925863841751</v>
      </c>
      <c r="J317" s="98">
        <f>J316-J315</f>
        <v>7.9094649868129636</v>
      </c>
      <c r="K317" s="98"/>
      <c r="L317" s="98"/>
      <c r="M317" s="98"/>
      <c r="N317" s="98"/>
      <c r="O317" s="98"/>
      <c r="P317" s="98"/>
      <c r="Q317" s="98"/>
      <c r="R317" s="98"/>
      <c r="S317" s="98"/>
    </row>
    <row r="319" spans="1:19" ht="60" x14ac:dyDescent="0.25">
      <c r="A319" s="21" t="s">
        <v>63</v>
      </c>
      <c r="B319" s="21" t="s">
        <v>93</v>
      </c>
      <c r="C319" s="21" t="s">
        <v>94</v>
      </c>
      <c r="D319" s="92" t="str">
        <f>FoodDB!$C$1</f>
        <v>Fat
(g)</v>
      </c>
      <c r="E319" s="92" t="str">
        <f>FoodDB!$D$1</f>
        <v xml:space="preserve"> Carbs
(g)</v>
      </c>
      <c r="F319" s="92" t="str">
        <f>FoodDB!$E$1</f>
        <v>Protein
(g)</v>
      </c>
      <c r="G319" s="92" t="str">
        <f>FoodDB!$F$1</f>
        <v>Fat
(Cal)</v>
      </c>
      <c r="H319" s="92" t="str">
        <f>FoodDB!$G$1</f>
        <v>Carb
(Cal)</v>
      </c>
      <c r="I319" s="92" t="str">
        <f>FoodDB!$H$1</f>
        <v>Protein
(Cal)</v>
      </c>
      <c r="J319" s="92" t="str">
        <f>FoodDB!$I$1</f>
        <v>Total
Calories</v>
      </c>
      <c r="K319" s="92"/>
      <c r="L319" s="92" t="s">
        <v>110</v>
      </c>
      <c r="M319" s="92" t="s">
        <v>111</v>
      </c>
      <c r="N319" s="92" t="s">
        <v>112</v>
      </c>
      <c r="O319" s="92" t="s">
        <v>113</v>
      </c>
      <c r="P319" s="92" t="s">
        <v>118</v>
      </c>
      <c r="Q319" s="92" t="s">
        <v>119</v>
      </c>
      <c r="R319" s="92" t="s">
        <v>120</v>
      </c>
      <c r="S319" s="92" t="s">
        <v>121</v>
      </c>
    </row>
    <row r="320" spans="1:19" x14ac:dyDescent="0.25">
      <c r="A320" s="93">
        <f>A306+1</f>
        <v>43020</v>
      </c>
      <c r="B320" s="94" t="s">
        <v>133</v>
      </c>
      <c r="C320" s="95">
        <v>1</v>
      </c>
      <c r="D320" s="98">
        <f>$C320*VLOOKUP($B320,FoodDB!$A$2:$I$1016,3,0)</f>
        <v>0</v>
      </c>
      <c r="E320" s="98">
        <f>$C320*VLOOKUP($B320,FoodDB!$A$2:$I$1016,4,0)</f>
        <v>0</v>
      </c>
      <c r="F320" s="98">
        <f>$C320*VLOOKUP($B320,FoodDB!$A$2:$I$1016,5,0)</f>
        <v>0</v>
      </c>
      <c r="G320" s="98">
        <f>$C320*VLOOKUP($B320,FoodDB!$A$2:$I$1016,6,0)</f>
        <v>0</v>
      </c>
      <c r="H320" s="98">
        <f>$C320*VLOOKUP($B320,FoodDB!$A$2:$I$1016,7,0)</f>
        <v>0</v>
      </c>
      <c r="I320" s="98">
        <f>$C320*VLOOKUP($B320,FoodDB!$A$2:$I$1016,8,0)</f>
        <v>0</v>
      </c>
      <c r="J320" s="98">
        <f>$C320*VLOOKUP($B320,FoodDB!$A$2:$I$1016,9,0)</f>
        <v>0</v>
      </c>
      <c r="K320" s="98"/>
      <c r="L320" s="98">
        <f>SUM(G320:G326)</f>
        <v>267.75</v>
      </c>
      <c r="M320" s="98">
        <f>SUM(H320:H326)</f>
        <v>36</v>
      </c>
      <c r="N320" s="98">
        <f>SUM(I320:I326)</f>
        <v>256</v>
      </c>
      <c r="O320" s="98">
        <f>SUM(L320:N320)</f>
        <v>559.75</v>
      </c>
      <c r="P320" s="98">
        <f>VLOOKUP($A320,LossChart!$A$3:$AB$105,14,0)-L320</f>
        <v>224.0160620266206</v>
      </c>
      <c r="Q320" s="98">
        <f>VLOOKUP($A320,LossChart!$A$3:$AB$105,15,0)-M320</f>
        <v>44</v>
      </c>
      <c r="R320" s="98">
        <f>VLOOKUP($A320,LossChart!$A$3:$AB$105,16,0)-N320</f>
        <v>221.30407413615825</v>
      </c>
      <c r="S320" s="98">
        <f>VLOOKUP($A320,LossChart!$A$3:$AB$105,17,0)-O320</f>
        <v>489.32013616277891</v>
      </c>
    </row>
    <row r="321" spans="1:19" x14ac:dyDescent="0.25">
      <c r="B321" s="94" t="s">
        <v>125</v>
      </c>
      <c r="C321" s="95">
        <v>1</v>
      </c>
      <c r="D321" s="98">
        <f>$C321*VLOOKUP($B321,FoodDB!$A$2:$I$1016,3,0)</f>
        <v>1.5</v>
      </c>
      <c r="E321" s="98">
        <f>$C321*VLOOKUP($B321,FoodDB!$A$2:$I$1016,4,0)</f>
        <v>3</v>
      </c>
      <c r="F321" s="98">
        <f>$C321*VLOOKUP($B321,FoodDB!$A$2:$I$1016,5,0)</f>
        <v>25</v>
      </c>
      <c r="G321" s="98">
        <f>$C321*VLOOKUP($B321,FoodDB!$A$2:$I$1016,6,0)</f>
        <v>13.5</v>
      </c>
      <c r="H321" s="98">
        <f>$C321*VLOOKUP($B321,FoodDB!$A$2:$I$1016,7,0)</f>
        <v>12</v>
      </c>
      <c r="I321" s="98">
        <f>$C321*VLOOKUP($B321,FoodDB!$A$2:$I$1016,8,0)</f>
        <v>100</v>
      </c>
      <c r="J321" s="98">
        <f>$C321*VLOOKUP($B321,FoodDB!$A$2:$I$1016,9,0)</f>
        <v>125.5</v>
      </c>
      <c r="K321" s="98"/>
      <c r="L321" s="98"/>
      <c r="M321" s="98"/>
      <c r="N321" s="98"/>
      <c r="O321" s="98"/>
      <c r="P321" s="98"/>
      <c r="Q321" s="98"/>
      <c r="R321" s="98"/>
      <c r="S321" s="98"/>
    </row>
    <row r="322" spans="1:19" x14ac:dyDescent="0.25">
      <c r="B322" s="94" t="s">
        <v>95</v>
      </c>
      <c r="C322" s="95">
        <v>0.5</v>
      </c>
      <c r="D322" s="98">
        <f>$C322*VLOOKUP($B322,FoodDB!$A$2:$I$1016,3,0)</f>
        <v>0.25</v>
      </c>
      <c r="E322" s="98">
        <f>$C322*VLOOKUP($B322,FoodDB!$A$2:$I$1016,4,0)</f>
        <v>0</v>
      </c>
      <c r="F322" s="98">
        <f>$C322*VLOOKUP($B322,FoodDB!$A$2:$I$1016,5,0)</f>
        <v>25</v>
      </c>
      <c r="G322" s="98">
        <f>$C322*VLOOKUP($B322,FoodDB!$A$2:$I$1016,6,0)</f>
        <v>2.25</v>
      </c>
      <c r="H322" s="98">
        <f>$C322*VLOOKUP($B322,FoodDB!$A$2:$I$1016,7,0)</f>
        <v>0</v>
      </c>
      <c r="I322" s="98">
        <f>$C322*VLOOKUP($B322,FoodDB!$A$2:$I$1016,8,0)</f>
        <v>100</v>
      </c>
      <c r="J322" s="98">
        <f>$C322*VLOOKUP($B322,FoodDB!$A$2:$I$1016,9,0)</f>
        <v>102.25</v>
      </c>
      <c r="K322" s="98"/>
      <c r="L322" s="98"/>
      <c r="M322" s="98"/>
      <c r="N322" s="98"/>
      <c r="O322" s="98"/>
      <c r="P322" s="98"/>
      <c r="Q322" s="98"/>
      <c r="R322" s="98"/>
      <c r="S322" s="98"/>
    </row>
    <row r="323" spans="1:19" x14ac:dyDescent="0.25">
      <c r="B323" s="94" t="s">
        <v>134</v>
      </c>
      <c r="C323" s="95">
        <v>2</v>
      </c>
      <c r="D323" s="98">
        <f>$C323*VLOOKUP($B323,FoodDB!$A$2:$I$1016,3,0)</f>
        <v>28</v>
      </c>
      <c r="E323" s="98">
        <f>$C323*VLOOKUP($B323,FoodDB!$A$2:$I$1016,4,0)</f>
        <v>6</v>
      </c>
      <c r="F323" s="98">
        <f>$C323*VLOOKUP($B323,FoodDB!$A$2:$I$1016,5,0)</f>
        <v>14</v>
      </c>
      <c r="G323" s="98">
        <f>$C323*VLOOKUP($B323,FoodDB!$A$2:$I$1016,6,0)</f>
        <v>252</v>
      </c>
      <c r="H323" s="98">
        <f>$C323*VLOOKUP($B323,FoodDB!$A$2:$I$1016,7,0)</f>
        <v>24</v>
      </c>
      <c r="I323" s="98">
        <f>$C323*VLOOKUP($B323,FoodDB!$A$2:$I$1016,8,0)</f>
        <v>56</v>
      </c>
      <c r="J323" s="98">
        <f>$C323*VLOOKUP($B323,FoodDB!$A$2:$I$1016,9,0)</f>
        <v>332</v>
      </c>
      <c r="K323" s="98"/>
      <c r="L323" s="98"/>
      <c r="M323" s="98"/>
      <c r="N323" s="98"/>
      <c r="O323" s="98"/>
      <c r="P323" s="98"/>
      <c r="Q323" s="98"/>
      <c r="R323" s="98"/>
      <c r="S323" s="98"/>
    </row>
    <row r="324" spans="1:19" x14ac:dyDescent="0.25">
      <c r="B324" s="94" t="s">
        <v>108</v>
      </c>
      <c r="C324" s="95">
        <v>1</v>
      </c>
      <c r="D324" s="98">
        <f>$C324*VLOOKUP($B324,FoodDB!$A$2:$I$1016,3,0)</f>
        <v>0</v>
      </c>
      <c r="E324" s="98">
        <f>$C324*VLOOKUP($B324,FoodDB!$A$2:$I$1016,4,0)</f>
        <v>0</v>
      </c>
      <c r="F324" s="98">
        <f>$C324*VLOOKUP($B324,FoodDB!$A$2:$I$1016,5,0)</f>
        <v>0</v>
      </c>
      <c r="G324" s="98">
        <f>$C324*VLOOKUP($B324,FoodDB!$A$2:$I$1016,6,0)</f>
        <v>0</v>
      </c>
      <c r="H324" s="98">
        <f>$C324*VLOOKUP($B324,FoodDB!$A$2:$I$1016,7,0)</f>
        <v>0</v>
      </c>
      <c r="I324" s="98">
        <f>$C324*VLOOKUP($B324,FoodDB!$A$2:$I$1016,8,0)</f>
        <v>0</v>
      </c>
      <c r="J324" s="98">
        <f>$C324*VLOOKUP($B324,FoodDB!$A$2:$I$1016,9,0)</f>
        <v>0</v>
      </c>
      <c r="K324" s="98"/>
      <c r="L324" s="98"/>
      <c r="M324" s="98"/>
      <c r="N324" s="98"/>
      <c r="O324" s="98"/>
      <c r="P324" s="98"/>
      <c r="Q324" s="98"/>
      <c r="R324" s="98"/>
      <c r="S324" s="98"/>
    </row>
    <row r="325" spans="1:19" x14ac:dyDescent="0.25">
      <c r="B325" s="94" t="s">
        <v>108</v>
      </c>
      <c r="C325" s="95">
        <v>1</v>
      </c>
      <c r="D325" s="98">
        <f>$C325*VLOOKUP($B325,FoodDB!$A$2:$I$1016,3,0)</f>
        <v>0</v>
      </c>
      <c r="E325" s="98">
        <f>$C325*VLOOKUP($B325,FoodDB!$A$2:$I$1016,4,0)</f>
        <v>0</v>
      </c>
      <c r="F325" s="98">
        <f>$C325*VLOOKUP($B325,FoodDB!$A$2:$I$1016,5,0)</f>
        <v>0</v>
      </c>
      <c r="G325" s="98">
        <f>$C325*VLOOKUP($B325,FoodDB!$A$2:$I$1016,6,0)</f>
        <v>0</v>
      </c>
      <c r="H325" s="98">
        <f>$C325*VLOOKUP($B325,FoodDB!$A$2:$I$1016,7,0)</f>
        <v>0</v>
      </c>
      <c r="I325" s="98">
        <f>$C325*VLOOKUP($B325,FoodDB!$A$2:$I$1016,8,0)</f>
        <v>0</v>
      </c>
      <c r="J325" s="98">
        <f>$C325*VLOOKUP($B325,FoodDB!$A$2:$I$1016,9,0)</f>
        <v>0</v>
      </c>
      <c r="K325" s="98"/>
      <c r="L325" s="98"/>
      <c r="M325" s="98"/>
      <c r="N325" s="98"/>
      <c r="O325" s="98"/>
      <c r="P325" s="98"/>
      <c r="Q325" s="98"/>
      <c r="R325" s="98"/>
      <c r="S325" s="98"/>
    </row>
    <row r="326" spans="1:19" x14ac:dyDescent="0.25">
      <c r="B326" s="94" t="s">
        <v>108</v>
      </c>
      <c r="C326" s="95">
        <v>1</v>
      </c>
      <c r="D326" s="98">
        <f>$C326*VLOOKUP($B326,FoodDB!$A$2:$I$1016,3,0)</f>
        <v>0</v>
      </c>
      <c r="E326" s="98">
        <f>$C326*VLOOKUP($B326,FoodDB!$A$2:$I$1016,4,0)</f>
        <v>0</v>
      </c>
      <c r="F326" s="98">
        <f>$C326*VLOOKUP($B326,FoodDB!$A$2:$I$1016,5,0)</f>
        <v>0</v>
      </c>
      <c r="G326" s="98">
        <f>$C326*VLOOKUP($B326,FoodDB!$A$2:$I$1016,6,0)</f>
        <v>0</v>
      </c>
      <c r="H326" s="98">
        <f>$C326*VLOOKUP($B326,FoodDB!$A$2:$I$1016,7,0)</f>
        <v>0</v>
      </c>
      <c r="I326" s="98">
        <f>$C326*VLOOKUP($B326,FoodDB!$A$2:$I$1016,8,0)</f>
        <v>0</v>
      </c>
      <c r="J326" s="98">
        <f>$C326*VLOOKUP($B326,FoodDB!$A$2:$I$1016,9,0)</f>
        <v>0</v>
      </c>
      <c r="K326" s="98"/>
      <c r="L326" s="98"/>
      <c r="M326" s="98"/>
      <c r="N326" s="98"/>
      <c r="O326" s="98"/>
      <c r="P326" s="98"/>
      <c r="Q326" s="98"/>
      <c r="R326" s="98"/>
      <c r="S326" s="98"/>
    </row>
    <row r="327" spans="1:19" x14ac:dyDescent="0.25">
      <c r="A327" t="s">
        <v>98</v>
      </c>
      <c r="D327" s="98"/>
      <c r="E327" s="98"/>
      <c r="F327" s="98"/>
      <c r="G327" s="98">
        <f>SUM(G320:G326)</f>
        <v>267.75</v>
      </c>
      <c r="H327" s="98">
        <f>SUM(H320:H326)</f>
        <v>36</v>
      </c>
      <c r="I327" s="98">
        <f>SUM(I320:I326)</f>
        <v>256</v>
      </c>
      <c r="J327" s="98">
        <f>SUM(G327:I327)</f>
        <v>559.75</v>
      </c>
      <c r="K327" s="98"/>
      <c r="L327" s="98"/>
      <c r="M327" s="98"/>
      <c r="N327" s="98"/>
      <c r="O327" s="98"/>
      <c r="P327" s="98"/>
      <c r="Q327" s="98"/>
      <c r="R327" s="98"/>
      <c r="S327" s="98"/>
    </row>
    <row r="328" spans="1:19" x14ac:dyDescent="0.25">
      <c r="A328" t="s">
        <v>102</v>
      </c>
      <c r="B328" t="s">
        <v>103</v>
      </c>
      <c r="D328" s="98"/>
      <c r="E328" s="98"/>
      <c r="F328" s="98"/>
      <c r="G328" s="98">
        <f>VLOOKUP($A320,LossChart!$A$3:$AB$105,14,0)</f>
        <v>491.7660620266206</v>
      </c>
      <c r="H328" s="98">
        <f>VLOOKUP($A320,LossChart!$A$3:$AB$105,15,0)</f>
        <v>80</v>
      </c>
      <c r="I328" s="98">
        <f>VLOOKUP($A320,LossChart!$A$3:$AB$105,16,0)</f>
        <v>477.30407413615825</v>
      </c>
      <c r="J328" s="98">
        <f>VLOOKUP($A320,LossChart!$A$3:$AB$105,17,0)</f>
        <v>1049.0701361627789</v>
      </c>
      <c r="K328" s="98"/>
      <c r="L328" s="98"/>
      <c r="M328" s="98"/>
      <c r="N328" s="98"/>
      <c r="O328" s="98"/>
      <c r="P328" s="98"/>
      <c r="Q328" s="98"/>
      <c r="R328" s="98"/>
      <c r="S328" s="98"/>
    </row>
    <row r="329" spans="1:19" x14ac:dyDescent="0.25">
      <c r="A329" t="s">
        <v>104</v>
      </c>
      <c r="D329" s="98"/>
      <c r="E329" s="98"/>
      <c r="F329" s="98"/>
      <c r="G329" s="98">
        <f>G328-G327</f>
        <v>224.0160620266206</v>
      </c>
      <c r="H329" s="98">
        <f>H328-H327</f>
        <v>44</v>
      </c>
      <c r="I329" s="98">
        <f>I328-I327</f>
        <v>221.30407413615825</v>
      </c>
      <c r="J329" s="98">
        <f>J328-J327</f>
        <v>489.32013616277891</v>
      </c>
      <c r="K329" s="98"/>
      <c r="L329" s="98"/>
      <c r="M329" s="98"/>
      <c r="N329" s="98"/>
      <c r="O329" s="98"/>
      <c r="P329" s="98"/>
      <c r="Q329" s="98"/>
      <c r="R329" s="98"/>
      <c r="S329" s="98"/>
    </row>
    <row r="331" spans="1:19" ht="60" x14ac:dyDescent="0.25">
      <c r="A331" s="21" t="s">
        <v>63</v>
      </c>
      <c r="B331" s="21" t="s">
        <v>93</v>
      </c>
      <c r="C331" s="21" t="s">
        <v>94</v>
      </c>
      <c r="D331" s="92" t="str">
        <f>FoodDB!$C$1</f>
        <v>Fat
(g)</v>
      </c>
      <c r="E331" s="92" t="str">
        <f>FoodDB!$D$1</f>
        <v xml:space="preserve"> Carbs
(g)</v>
      </c>
      <c r="F331" s="92" t="str">
        <f>FoodDB!$E$1</f>
        <v>Protein
(g)</v>
      </c>
      <c r="G331" s="92" t="str">
        <f>FoodDB!$F$1</f>
        <v>Fat
(Cal)</v>
      </c>
      <c r="H331" s="92" t="str">
        <f>FoodDB!$G$1</f>
        <v>Carb
(Cal)</v>
      </c>
      <c r="I331" s="92" t="str">
        <f>FoodDB!$H$1</f>
        <v>Protein
(Cal)</v>
      </c>
      <c r="J331" s="92" t="str">
        <f>FoodDB!$I$1</f>
        <v>Total
Calories</v>
      </c>
      <c r="K331" s="92"/>
      <c r="L331" s="92" t="s">
        <v>110</v>
      </c>
      <c r="M331" s="92" t="s">
        <v>111</v>
      </c>
      <c r="N331" s="92" t="s">
        <v>112</v>
      </c>
      <c r="O331" s="92" t="s">
        <v>113</v>
      </c>
      <c r="P331" s="92" t="s">
        <v>118</v>
      </c>
      <c r="Q331" s="92" t="s">
        <v>119</v>
      </c>
      <c r="R331" s="92" t="s">
        <v>120</v>
      </c>
      <c r="S331" s="92" t="s">
        <v>121</v>
      </c>
    </row>
    <row r="332" spans="1:19" x14ac:dyDescent="0.25">
      <c r="A332" s="93">
        <f>A320+1</f>
        <v>43021</v>
      </c>
      <c r="B332" s="94" t="s">
        <v>108</v>
      </c>
      <c r="C332" s="95">
        <v>1</v>
      </c>
      <c r="D332" s="98">
        <f>$C332*VLOOKUP($B332,FoodDB!$A$2:$I$1016,3,0)</f>
        <v>0</v>
      </c>
      <c r="E332" s="98">
        <f>$C332*VLOOKUP($B332,FoodDB!$A$2:$I$1016,4,0)</f>
        <v>0</v>
      </c>
      <c r="F332" s="98">
        <f>$C332*VLOOKUP($B332,FoodDB!$A$2:$I$1016,5,0)</f>
        <v>0</v>
      </c>
      <c r="G332" s="98">
        <f>$C332*VLOOKUP($B332,FoodDB!$A$2:$I$1016,6,0)</f>
        <v>0</v>
      </c>
      <c r="H332" s="98">
        <f>$C332*VLOOKUP($B332,FoodDB!$A$2:$I$1016,7,0)</f>
        <v>0</v>
      </c>
      <c r="I332" s="98">
        <f>$C332*VLOOKUP($B332,FoodDB!$A$2:$I$1016,8,0)</f>
        <v>0</v>
      </c>
      <c r="J332" s="98">
        <f>$C332*VLOOKUP($B332,FoodDB!$A$2:$I$1016,9,0)</f>
        <v>0</v>
      </c>
      <c r="K332" s="98"/>
      <c r="L332" s="98">
        <f>SUM(G332:G338)</f>
        <v>0</v>
      </c>
      <c r="M332" s="98">
        <f>SUM(H332:H338)</f>
        <v>0</v>
      </c>
      <c r="N332" s="98">
        <f>SUM(I332:I338)</f>
        <v>0</v>
      </c>
      <c r="O332" s="98">
        <f>SUM(L332:N332)</f>
        <v>0</v>
      </c>
      <c r="P332" s="98">
        <f>VLOOKUP($A332,LossChart!$A$3:$AB$105,14,0)-L332</f>
        <v>498.91286725788495</v>
      </c>
      <c r="Q332" s="98">
        <f>VLOOKUP($A332,LossChart!$A$3:$AB$105,15,0)-M332</f>
        <v>80</v>
      </c>
      <c r="R332" s="98">
        <f>VLOOKUP($A332,LossChart!$A$3:$AB$105,16,0)-N332</f>
        <v>477.30407413615825</v>
      </c>
      <c r="S332" s="98">
        <f>VLOOKUP($A332,LossChart!$A$3:$AB$105,17,0)-O332</f>
        <v>1056.2169413940433</v>
      </c>
    </row>
    <row r="333" spans="1:19" x14ac:dyDescent="0.25">
      <c r="B333" s="94" t="s">
        <v>108</v>
      </c>
      <c r="C333" s="95">
        <v>1</v>
      </c>
      <c r="D333" s="98">
        <f>$C333*VLOOKUP($B333,FoodDB!$A$2:$I$1016,3,0)</f>
        <v>0</v>
      </c>
      <c r="E333" s="98">
        <f>$C333*VLOOKUP($B333,FoodDB!$A$2:$I$1016,4,0)</f>
        <v>0</v>
      </c>
      <c r="F333" s="98">
        <f>$C333*VLOOKUP($B333,FoodDB!$A$2:$I$1016,5,0)</f>
        <v>0</v>
      </c>
      <c r="G333" s="98">
        <f>$C333*VLOOKUP($B333,FoodDB!$A$2:$I$1016,6,0)</f>
        <v>0</v>
      </c>
      <c r="H333" s="98">
        <f>$C333*VLOOKUP($B333,FoodDB!$A$2:$I$1016,7,0)</f>
        <v>0</v>
      </c>
      <c r="I333" s="98">
        <f>$C333*VLOOKUP($B333,FoodDB!$A$2:$I$1016,8,0)</f>
        <v>0</v>
      </c>
      <c r="J333" s="98">
        <f>$C333*VLOOKUP($B333,FoodDB!$A$2:$I$1016,9,0)</f>
        <v>0</v>
      </c>
      <c r="K333" s="98"/>
      <c r="L333" s="98"/>
      <c r="M333" s="98"/>
      <c r="N333" s="98"/>
      <c r="O333" s="98"/>
      <c r="P333" s="98"/>
      <c r="Q333" s="98"/>
      <c r="R333" s="98"/>
      <c r="S333" s="98"/>
    </row>
    <row r="334" spans="1:19" x14ac:dyDescent="0.25">
      <c r="B334" s="94" t="s">
        <v>108</v>
      </c>
      <c r="C334" s="95">
        <v>1</v>
      </c>
      <c r="D334" s="98">
        <f>$C334*VLOOKUP($B334,FoodDB!$A$2:$I$1016,3,0)</f>
        <v>0</v>
      </c>
      <c r="E334" s="98">
        <f>$C334*VLOOKUP($B334,FoodDB!$A$2:$I$1016,4,0)</f>
        <v>0</v>
      </c>
      <c r="F334" s="98">
        <f>$C334*VLOOKUP($B334,FoodDB!$A$2:$I$1016,5,0)</f>
        <v>0</v>
      </c>
      <c r="G334" s="98">
        <f>$C334*VLOOKUP($B334,FoodDB!$A$2:$I$1016,6,0)</f>
        <v>0</v>
      </c>
      <c r="H334" s="98">
        <f>$C334*VLOOKUP($B334,FoodDB!$A$2:$I$1016,7,0)</f>
        <v>0</v>
      </c>
      <c r="I334" s="98">
        <f>$C334*VLOOKUP($B334,FoodDB!$A$2:$I$1016,8,0)</f>
        <v>0</v>
      </c>
      <c r="J334" s="98">
        <f>$C334*VLOOKUP($B334,FoodDB!$A$2:$I$1016,9,0)</f>
        <v>0</v>
      </c>
      <c r="K334" s="98"/>
      <c r="L334" s="98"/>
      <c r="M334" s="98"/>
      <c r="N334" s="98"/>
      <c r="O334" s="98"/>
      <c r="P334" s="98"/>
      <c r="Q334" s="98"/>
      <c r="R334" s="98"/>
      <c r="S334" s="98"/>
    </row>
    <row r="335" spans="1:19" x14ac:dyDescent="0.25">
      <c r="B335" s="94" t="s">
        <v>108</v>
      </c>
      <c r="C335" s="95">
        <v>1</v>
      </c>
      <c r="D335" s="98">
        <f>$C335*VLOOKUP($B335,FoodDB!$A$2:$I$1016,3,0)</f>
        <v>0</v>
      </c>
      <c r="E335" s="98">
        <f>$C335*VLOOKUP($B335,FoodDB!$A$2:$I$1016,4,0)</f>
        <v>0</v>
      </c>
      <c r="F335" s="98">
        <f>$C335*VLOOKUP($B335,FoodDB!$A$2:$I$1016,5,0)</f>
        <v>0</v>
      </c>
      <c r="G335" s="98">
        <f>$C335*VLOOKUP($B335,FoodDB!$A$2:$I$1016,6,0)</f>
        <v>0</v>
      </c>
      <c r="H335" s="98">
        <f>$C335*VLOOKUP($B335,FoodDB!$A$2:$I$1016,7,0)</f>
        <v>0</v>
      </c>
      <c r="I335" s="98">
        <f>$C335*VLOOKUP($B335,FoodDB!$A$2:$I$1016,8,0)</f>
        <v>0</v>
      </c>
      <c r="J335" s="98">
        <f>$C335*VLOOKUP($B335,FoodDB!$A$2:$I$1016,9,0)</f>
        <v>0</v>
      </c>
      <c r="K335" s="98"/>
      <c r="L335" s="98"/>
      <c r="M335" s="98"/>
      <c r="N335" s="98"/>
      <c r="O335" s="98"/>
      <c r="P335" s="98"/>
      <c r="Q335" s="98"/>
      <c r="R335" s="98"/>
      <c r="S335" s="98"/>
    </row>
    <row r="336" spans="1:19" x14ac:dyDescent="0.25">
      <c r="B336" s="94" t="s">
        <v>108</v>
      </c>
      <c r="C336" s="95">
        <v>1</v>
      </c>
      <c r="D336" s="98">
        <f>$C336*VLOOKUP($B336,FoodDB!$A$2:$I$1016,3,0)</f>
        <v>0</v>
      </c>
      <c r="E336" s="98">
        <f>$C336*VLOOKUP($B336,FoodDB!$A$2:$I$1016,4,0)</f>
        <v>0</v>
      </c>
      <c r="F336" s="98">
        <f>$C336*VLOOKUP($B336,FoodDB!$A$2:$I$1016,5,0)</f>
        <v>0</v>
      </c>
      <c r="G336" s="98">
        <f>$C336*VLOOKUP($B336,FoodDB!$A$2:$I$1016,6,0)</f>
        <v>0</v>
      </c>
      <c r="H336" s="98">
        <f>$C336*VLOOKUP($B336,FoodDB!$A$2:$I$1016,7,0)</f>
        <v>0</v>
      </c>
      <c r="I336" s="98">
        <f>$C336*VLOOKUP($B336,FoodDB!$A$2:$I$1016,8,0)</f>
        <v>0</v>
      </c>
      <c r="J336" s="98">
        <f>$C336*VLOOKUP($B336,FoodDB!$A$2:$I$1016,9,0)</f>
        <v>0</v>
      </c>
      <c r="K336" s="98"/>
      <c r="L336" s="98"/>
      <c r="M336" s="98"/>
      <c r="N336" s="98"/>
      <c r="O336" s="98"/>
      <c r="P336" s="98"/>
      <c r="Q336" s="98"/>
      <c r="R336" s="98"/>
      <c r="S336" s="98"/>
    </row>
    <row r="337" spans="1:19" x14ac:dyDescent="0.25">
      <c r="B337" s="94" t="s">
        <v>108</v>
      </c>
      <c r="C337" s="95">
        <v>1</v>
      </c>
      <c r="D337" s="98">
        <f>$C337*VLOOKUP($B337,FoodDB!$A$2:$I$1016,3,0)</f>
        <v>0</v>
      </c>
      <c r="E337" s="98">
        <f>$C337*VLOOKUP($B337,FoodDB!$A$2:$I$1016,4,0)</f>
        <v>0</v>
      </c>
      <c r="F337" s="98">
        <f>$C337*VLOOKUP($B337,FoodDB!$A$2:$I$1016,5,0)</f>
        <v>0</v>
      </c>
      <c r="G337" s="98">
        <f>$C337*VLOOKUP($B337,FoodDB!$A$2:$I$1016,6,0)</f>
        <v>0</v>
      </c>
      <c r="H337" s="98">
        <f>$C337*VLOOKUP($B337,FoodDB!$A$2:$I$1016,7,0)</f>
        <v>0</v>
      </c>
      <c r="I337" s="98">
        <f>$C337*VLOOKUP($B337,FoodDB!$A$2:$I$1016,8,0)</f>
        <v>0</v>
      </c>
      <c r="J337" s="98">
        <f>$C337*VLOOKUP($B337,FoodDB!$A$2:$I$1016,9,0)</f>
        <v>0</v>
      </c>
      <c r="K337" s="98"/>
      <c r="L337" s="98"/>
      <c r="M337" s="98"/>
      <c r="N337" s="98"/>
      <c r="O337" s="98"/>
      <c r="P337" s="98"/>
      <c r="Q337" s="98"/>
      <c r="R337" s="98"/>
      <c r="S337" s="98"/>
    </row>
    <row r="338" spans="1:19" x14ac:dyDescent="0.25">
      <c r="B338" s="94" t="s">
        <v>108</v>
      </c>
      <c r="C338" s="95">
        <v>1</v>
      </c>
      <c r="D338" s="98">
        <f>$C338*VLOOKUP($B338,FoodDB!$A$2:$I$1016,3,0)</f>
        <v>0</v>
      </c>
      <c r="E338" s="98">
        <f>$C338*VLOOKUP($B338,FoodDB!$A$2:$I$1016,4,0)</f>
        <v>0</v>
      </c>
      <c r="F338" s="98">
        <f>$C338*VLOOKUP($B338,FoodDB!$A$2:$I$1016,5,0)</f>
        <v>0</v>
      </c>
      <c r="G338" s="98">
        <f>$C338*VLOOKUP($B338,FoodDB!$A$2:$I$1016,6,0)</f>
        <v>0</v>
      </c>
      <c r="H338" s="98">
        <f>$C338*VLOOKUP($B338,FoodDB!$A$2:$I$1016,7,0)</f>
        <v>0</v>
      </c>
      <c r="I338" s="98">
        <f>$C338*VLOOKUP($B338,FoodDB!$A$2:$I$1016,8,0)</f>
        <v>0</v>
      </c>
      <c r="J338" s="98">
        <f>$C338*VLOOKUP($B338,FoodDB!$A$2:$I$1016,9,0)</f>
        <v>0</v>
      </c>
      <c r="K338" s="98"/>
      <c r="L338" s="98"/>
      <c r="M338" s="98"/>
      <c r="N338" s="98"/>
      <c r="O338" s="98"/>
      <c r="P338" s="98"/>
      <c r="Q338" s="98"/>
      <c r="R338" s="98"/>
      <c r="S338" s="98"/>
    </row>
    <row r="339" spans="1:19" x14ac:dyDescent="0.25">
      <c r="A339" t="s">
        <v>98</v>
      </c>
      <c r="D339" s="98"/>
      <c r="E339" s="98"/>
      <c r="F339" s="98"/>
      <c r="G339" s="98">
        <f>SUM(G332:G338)</f>
        <v>0</v>
      </c>
      <c r="H339" s="98">
        <f>SUM(H332:H338)</f>
        <v>0</v>
      </c>
      <c r="I339" s="98">
        <f>SUM(I332:I338)</f>
        <v>0</v>
      </c>
      <c r="J339" s="98">
        <f>SUM(G339:I339)</f>
        <v>0</v>
      </c>
      <c r="K339" s="98"/>
      <c r="L339" s="98"/>
      <c r="M339" s="98"/>
      <c r="N339" s="98"/>
      <c r="O339" s="98"/>
      <c r="P339" s="98"/>
      <c r="Q339" s="98"/>
      <c r="R339" s="98"/>
      <c r="S339" s="98"/>
    </row>
    <row r="340" spans="1:19" x14ac:dyDescent="0.25">
      <c r="A340" t="s">
        <v>102</v>
      </c>
      <c r="B340" t="s">
        <v>103</v>
      </c>
      <c r="D340" s="98"/>
      <c r="E340" s="98"/>
      <c r="F340" s="98"/>
      <c r="G340" s="98">
        <f>VLOOKUP($A332,LossChart!$A$3:$AB$105,14,0)</f>
        <v>498.91286725788495</v>
      </c>
      <c r="H340" s="98">
        <f>VLOOKUP($A332,LossChart!$A$3:$AB$105,15,0)</f>
        <v>80</v>
      </c>
      <c r="I340" s="98">
        <f>VLOOKUP($A332,LossChart!$A$3:$AB$105,16,0)</f>
        <v>477.30407413615825</v>
      </c>
      <c r="J340" s="98">
        <f>VLOOKUP($A332,LossChart!$A$3:$AB$105,17,0)</f>
        <v>1056.2169413940433</v>
      </c>
      <c r="K340" s="98"/>
      <c r="L340" s="98"/>
      <c r="M340" s="98"/>
      <c r="N340" s="98"/>
      <c r="O340" s="98"/>
      <c r="P340" s="98"/>
      <c r="Q340" s="98"/>
      <c r="R340" s="98"/>
      <c r="S340" s="98"/>
    </row>
    <row r="341" spans="1:19" x14ac:dyDescent="0.25">
      <c r="A341" t="s">
        <v>104</v>
      </c>
      <c r="D341" s="98"/>
      <c r="E341" s="98"/>
      <c r="F341" s="98"/>
      <c r="G341" s="98">
        <f>G340-G339</f>
        <v>498.91286725788495</v>
      </c>
      <c r="H341" s="98">
        <f>H340-H339</f>
        <v>80</v>
      </c>
      <c r="I341" s="98">
        <f>I340-I339</f>
        <v>477.30407413615825</v>
      </c>
      <c r="J341" s="98">
        <f>J340-J339</f>
        <v>1056.2169413940433</v>
      </c>
      <c r="K341" s="98"/>
      <c r="L341" s="98"/>
      <c r="M341" s="98"/>
      <c r="N341" s="98"/>
      <c r="O341" s="98"/>
      <c r="P341" s="98"/>
      <c r="Q341" s="98"/>
      <c r="R341" s="98"/>
      <c r="S341" s="98"/>
    </row>
    <row r="343" spans="1:19" ht="60" x14ac:dyDescent="0.25">
      <c r="A343" s="21" t="s">
        <v>63</v>
      </c>
      <c r="B343" s="21" t="s">
        <v>93</v>
      </c>
      <c r="C343" s="21" t="s">
        <v>94</v>
      </c>
      <c r="D343" s="92" t="str">
        <f>FoodDB!$C$1</f>
        <v>Fat
(g)</v>
      </c>
      <c r="E343" s="92" t="str">
        <f>FoodDB!$D$1</f>
        <v xml:space="preserve"> Carbs
(g)</v>
      </c>
      <c r="F343" s="92" t="str">
        <f>FoodDB!$E$1</f>
        <v>Protein
(g)</v>
      </c>
      <c r="G343" s="92" t="str">
        <f>FoodDB!$F$1</f>
        <v>Fat
(Cal)</v>
      </c>
      <c r="H343" s="92" t="str">
        <f>FoodDB!$G$1</f>
        <v>Carb
(Cal)</v>
      </c>
      <c r="I343" s="92" t="str">
        <f>FoodDB!$H$1</f>
        <v>Protein
(Cal)</v>
      </c>
      <c r="J343" s="92" t="str">
        <f>FoodDB!$I$1</f>
        <v>Total
Calories</v>
      </c>
      <c r="K343" s="92"/>
      <c r="L343" s="92" t="s">
        <v>110</v>
      </c>
      <c r="M343" s="92" t="s">
        <v>111</v>
      </c>
      <c r="N343" s="92" t="s">
        <v>112</v>
      </c>
      <c r="O343" s="92" t="s">
        <v>113</v>
      </c>
      <c r="P343" s="92" t="s">
        <v>118</v>
      </c>
      <c r="Q343" s="92" t="s">
        <v>119</v>
      </c>
      <c r="R343" s="92" t="s">
        <v>120</v>
      </c>
      <c r="S343" s="92" t="s">
        <v>121</v>
      </c>
    </row>
    <row r="344" spans="1:19" x14ac:dyDescent="0.25">
      <c r="A344" s="93">
        <f>A332+1</f>
        <v>43022</v>
      </c>
      <c r="B344" s="94" t="s">
        <v>108</v>
      </c>
      <c r="C344" s="95">
        <v>1</v>
      </c>
      <c r="D344" s="98">
        <f>$C344*VLOOKUP($B344,FoodDB!$A$2:$I$1016,3,0)</f>
        <v>0</v>
      </c>
      <c r="E344" s="98">
        <f>$C344*VLOOKUP($B344,FoodDB!$A$2:$I$1016,4,0)</f>
        <v>0</v>
      </c>
      <c r="F344" s="98">
        <f>$C344*VLOOKUP($B344,FoodDB!$A$2:$I$1016,5,0)</f>
        <v>0</v>
      </c>
      <c r="G344" s="98">
        <f>$C344*VLOOKUP($B344,FoodDB!$A$2:$I$1016,6,0)</f>
        <v>0</v>
      </c>
      <c r="H344" s="98">
        <f>$C344*VLOOKUP($B344,FoodDB!$A$2:$I$1016,7,0)</f>
        <v>0</v>
      </c>
      <c r="I344" s="98">
        <f>$C344*VLOOKUP($B344,FoodDB!$A$2:$I$1016,8,0)</f>
        <v>0</v>
      </c>
      <c r="J344" s="98">
        <f>$C344*VLOOKUP($B344,FoodDB!$A$2:$I$1016,9,0)</f>
        <v>0</v>
      </c>
      <c r="K344" s="98"/>
      <c r="L344" s="98">
        <f>SUM(G344:G350)</f>
        <v>0</v>
      </c>
      <c r="M344" s="98">
        <f>SUM(H344:H350)</f>
        <v>0</v>
      </c>
      <c r="N344" s="98">
        <f>SUM(I344:I350)</f>
        <v>0</v>
      </c>
      <c r="O344" s="98">
        <f>SUM(L344:N344)</f>
        <v>0</v>
      </c>
      <c r="P344" s="98">
        <f>VLOOKUP($A344,LossChart!$A$3:$AB$105,14,0)-L344</f>
        <v>505.99637221424405</v>
      </c>
      <c r="Q344" s="98">
        <f>VLOOKUP($A344,LossChart!$A$3:$AB$105,15,0)-M344</f>
        <v>80</v>
      </c>
      <c r="R344" s="98">
        <f>VLOOKUP($A344,LossChart!$A$3:$AB$105,16,0)-N344</f>
        <v>477.30407413615825</v>
      </c>
      <c r="S344" s="98">
        <f>VLOOKUP($A344,LossChart!$A$3:$AB$105,17,0)-O344</f>
        <v>1063.3004463504024</v>
      </c>
    </row>
    <row r="345" spans="1:19" x14ac:dyDescent="0.25">
      <c r="B345" s="94" t="s">
        <v>108</v>
      </c>
      <c r="C345" s="95">
        <v>1</v>
      </c>
      <c r="D345" s="98">
        <f>$C345*VLOOKUP($B345,FoodDB!$A$2:$I$1016,3,0)</f>
        <v>0</v>
      </c>
      <c r="E345" s="98">
        <f>$C345*VLOOKUP($B345,FoodDB!$A$2:$I$1016,4,0)</f>
        <v>0</v>
      </c>
      <c r="F345" s="98">
        <f>$C345*VLOOKUP($B345,FoodDB!$A$2:$I$1016,5,0)</f>
        <v>0</v>
      </c>
      <c r="G345" s="98">
        <f>$C345*VLOOKUP($B345,FoodDB!$A$2:$I$1016,6,0)</f>
        <v>0</v>
      </c>
      <c r="H345" s="98">
        <f>$C345*VLOOKUP($B345,FoodDB!$A$2:$I$1016,7,0)</f>
        <v>0</v>
      </c>
      <c r="I345" s="98">
        <f>$C345*VLOOKUP($B345,FoodDB!$A$2:$I$1016,8,0)</f>
        <v>0</v>
      </c>
      <c r="J345" s="98">
        <f>$C345*VLOOKUP($B345,FoodDB!$A$2:$I$1016,9,0)</f>
        <v>0</v>
      </c>
      <c r="K345" s="98"/>
      <c r="L345" s="98"/>
      <c r="M345" s="98"/>
      <c r="N345" s="98"/>
      <c r="O345" s="98"/>
      <c r="P345" s="98"/>
      <c r="Q345" s="98"/>
      <c r="R345" s="98"/>
      <c r="S345" s="98"/>
    </row>
    <row r="346" spans="1:19" x14ac:dyDescent="0.25">
      <c r="B346" s="94" t="s">
        <v>108</v>
      </c>
      <c r="C346" s="95">
        <v>1</v>
      </c>
      <c r="D346" s="98">
        <f>$C346*VLOOKUP($B346,FoodDB!$A$2:$I$1016,3,0)</f>
        <v>0</v>
      </c>
      <c r="E346" s="98">
        <f>$C346*VLOOKUP($B346,FoodDB!$A$2:$I$1016,4,0)</f>
        <v>0</v>
      </c>
      <c r="F346" s="98">
        <f>$C346*VLOOKUP($B346,FoodDB!$A$2:$I$1016,5,0)</f>
        <v>0</v>
      </c>
      <c r="G346" s="98">
        <f>$C346*VLOOKUP($B346,FoodDB!$A$2:$I$1016,6,0)</f>
        <v>0</v>
      </c>
      <c r="H346" s="98">
        <f>$C346*VLOOKUP($B346,FoodDB!$A$2:$I$1016,7,0)</f>
        <v>0</v>
      </c>
      <c r="I346" s="98">
        <f>$C346*VLOOKUP($B346,FoodDB!$A$2:$I$1016,8,0)</f>
        <v>0</v>
      </c>
      <c r="J346" s="98">
        <f>$C346*VLOOKUP($B346,FoodDB!$A$2:$I$1016,9,0)</f>
        <v>0</v>
      </c>
      <c r="K346" s="98"/>
      <c r="L346" s="98"/>
      <c r="M346" s="98"/>
      <c r="N346" s="98"/>
      <c r="O346" s="98"/>
      <c r="P346" s="98"/>
      <c r="Q346" s="98"/>
      <c r="R346" s="98"/>
      <c r="S346" s="98"/>
    </row>
    <row r="347" spans="1:19" x14ac:dyDescent="0.25">
      <c r="B347" s="94" t="s">
        <v>108</v>
      </c>
      <c r="C347" s="95">
        <v>1</v>
      </c>
      <c r="D347" s="98">
        <f>$C347*VLOOKUP($B347,FoodDB!$A$2:$I$1016,3,0)</f>
        <v>0</v>
      </c>
      <c r="E347" s="98">
        <f>$C347*VLOOKUP($B347,FoodDB!$A$2:$I$1016,4,0)</f>
        <v>0</v>
      </c>
      <c r="F347" s="98">
        <f>$C347*VLOOKUP($B347,FoodDB!$A$2:$I$1016,5,0)</f>
        <v>0</v>
      </c>
      <c r="G347" s="98">
        <f>$C347*VLOOKUP($B347,FoodDB!$A$2:$I$1016,6,0)</f>
        <v>0</v>
      </c>
      <c r="H347" s="98">
        <f>$C347*VLOOKUP($B347,FoodDB!$A$2:$I$1016,7,0)</f>
        <v>0</v>
      </c>
      <c r="I347" s="98">
        <f>$C347*VLOOKUP($B347,FoodDB!$A$2:$I$1016,8,0)</f>
        <v>0</v>
      </c>
      <c r="J347" s="98">
        <f>$C347*VLOOKUP($B347,FoodDB!$A$2:$I$1016,9,0)</f>
        <v>0</v>
      </c>
      <c r="K347" s="98"/>
      <c r="L347" s="98"/>
      <c r="M347" s="98"/>
      <c r="N347" s="98"/>
      <c r="O347" s="98"/>
      <c r="P347" s="98"/>
      <c r="Q347" s="98"/>
      <c r="R347" s="98"/>
      <c r="S347" s="98"/>
    </row>
    <row r="348" spans="1:19" x14ac:dyDescent="0.25">
      <c r="B348" s="94" t="s">
        <v>108</v>
      </c>
      <c r="C348" s="95">
        <v>1</v>
      </c>
      <c r="D348" s="98">
        <f>$C348*VLOOKUP($B348,FoodDB!$A$2:$I$1016,3,0)</f>
        <v>0</v>
      </c>
      <c r="E348" s="98">
        <f>$C348*VLOOKUP($B348,FoodDB!$A$2:$I$1016,4,0)</f>
        <v>0</v>
      </c>
      <c r="F348" s="98">
        <f>$C348*VLOOKUP($B348,FoodDB!$A$2:$I$1016,5,0)</f>
        <v>0</v>
      </c>
      <c r="G348" s="98">
        <f>$C348*VLOOKUP($B348,FoodDB!$A$2:$I$1016,6,0)</f>
        <v>0</v>
      </c>
      <c r="H348" s="98">
        <f>$C348*VLOOKUP($B348,FoodDB!$A$2:$I$1016,7,0)</f>
        <v>0</v>
      </c>
      <c r="I348" s="98">
        <f>$C348*VLOOKUP($B348,FoodDB!$A$2:$I$1016,8,0)</f>
        <v>0</v>
      </c>
      <c r="J348" s="98">
        <f>$C348*VLOOKUP($B348,FoodDB!$A$2:$I$1016,9,0)</f>
        <v>0</v>
      </c>
      <c r="K348" s="98"/>
      <c r="L348" s="98"/>
      <c r="M348" s="98"/>
      <c r="N348" s="98"/>
      <c r="O348" s="98"/>
      <c r="P348" s="98"/>
      <c r="Q348" s="98"/>
      <c r="R348" s="98"/>
      <c r="S348" s="98"/>
    </row>
    <row r="349" spans="1:19" x14ac:dyDescent="0.25">
      <c r="B349" s="94" t="s">
        <v>108</v>
      </c>
      <c r="C349" s="95">
        <v>1</v>
      </c>
      <c r="D349" s="98">
        <f>$C349*VLOOKUP($B349,FoodDB!$A$2:$I$1016,3,0)</f>
        <v>0</v>
      </c>
      <c r="E349" s="98">
        <f>$C349*VLOOKUP($B349,FoodDB!$A$2:$I$1016,4,0)</f>
        <v>0</v>
      </c>
      <c r="F349" s="98">
        <f>$C349*VLOOKUP($B349,FoodDB!$A$2:$I$1016,5,0)</f>
        <v>0</v>
      </c>
      <c r="G349" s="98">
        <f>$C349*VLOOKUP($B349,FoodDB!$A$2:$I$1016,6,0)</f>
        <v>0</v>
      </c>
      <c r="H349" s="98">
        <f>$C349*VLOOKUP($B349,FoodDB!$A$2:$I$1016,7,0)</f>
        <v>0</v>
      </c>
      <c r="I349" s="98">
        <f>$C349*VLOOKUP($B349,FoodDB!$A$2:$I$1016,8,0)</f>
        <v>0</v>
      </c>
      <c r="J349" s="98">
        <f>$C349*VLOOKUP($B349,FoodDB!$A$2:$I$1016,9,0)</f>
        <v>0</v>
      </c>
      <c r="K349" s="98"/>
      <c r="L349" s="98"/>
      <c r="M349" s="98"/>
      <c r="N349" s="98"/>
      <c r="O349" s="98"/>
      <c r="P349" s="98"/>
      <c r="Q349" s="98"/>
      <c r="R349" s="98"/>
      <c r="S349" s="98"/>
    </row>
    <row r="350" spans="1:19" x14ac:dyDescent="0.25">
      <c r="B350" s="94" t="s">
        <v>108</v>
      </c>
      <c r="C350" s="95">
        <v>1</v>
      </c>
      <c r="D350" s="98">
        <f>$C350*VLOOKUP($B350,FoodDB!$A$2:$I$1016,3,0)</f>
        <v>0</v>
      </c>
      <c r="E350" s="98">
        <f>$C350*VLOOKUP($B350,FoodDB!$A$2:$I$1016,4,0)</f>
        <v>0</v>
      </c>
      <c r="F350" s="98">
        <f>$C350*VLOOKUP($B350,FoodDB!$A$2:$I$1016,5,0)</f>
        <v>0</v>
      </c>
      <c r="G350" s="98">
        <f>$C350*VLOOKUP($B350,FoodDB!$A$2:$I$1016,6,0)</f>
        <v>0</v>
      </c>
      <c r="H350" s="98">
        <f>$C350*VLOOKUP($B350,FoodDB!$A$2:$I$1016,7,0)</f>
        <v>0</v>
      </c>
      <c r="I350" s="98">
        <f>$C350*VLOOKUP($B350,FoodDB!$A$2:$I$1016,8,0)</f>
        <v>0</v>
      </c>
      <c r="J350" s="98">
        <f>$C350*VLOOKUP($B350,FoodDB!$A$2:$I$1016,9,0)</f>
        <v>0</v>
      </c>
      <c r="K350" s="98"/>
      <c r="L350" s="98"/>
      <c r="M350" s="98"/>
      <c r="N350" s="98"/>
      <c r="O350" s="98"/>
      <c r="P350" s="98"/>
      <c r="Q350" s="98"/>
      <c r="R350" s="98"/>
      <c r="S350" s="98"/>
    </row>
    <row r="351" spans="1:19" x14ac:dyDescent="0.25">
      <c r="A351" t="s">
        <v>98</v>
      </c>
      <c r="D351" s="98"/>
      <c r="E351" s="98"/>
      <c r="F351" s="98"/>
      <c r="G351" s="98">
        <f>SUM(G344:G350)</f>
        <v>0</v>
      </c>
      <c r="H351" s="98">
        <f>SUM(H344:H350)</f>
        <v>0</v>
      </c>
      <c r="I351" s="98">
        <f>SUM(I344:I350)</f>
        <v>0</v>
      </c>
      <c r="J351" s="98">
        <f>SUM(G351:I351)</f>
        <v>0</v>
      </c>
      <c r="K351" s="98"/>
      <c r="L351" s="98"/>
      <c r="M351" s="98"/>
      <c r="N351" s="98"/>
      <c r="O351" s="98"/>
      <c r="P351" s="98"/>
      <c r="Q351" s="98"/>
      <c r="R351" s="98"/>
      <c r="S351" s="98"/>
    </row>
    <row r="352" spans="1:19" x14ac:dyDescent="0.25">
      <c r="A352" t="s">
        <v>102</v>
      </c>
      <c r="B352" t="s">
        <v>103</v>
      </c>
      <c r="D352" s="98"/>
      <c r="E352" s="98"/>
      <c r="F352" s="98"/>
      <c r="G352" s="98">
        <f>VLOOKUP($A344,LossChart!$A$3:$AB$105,14,0)</f>
        <v>505.99637221424405</v>
      </c>
      <c r="H352" s="98">
        <f>VLOOKUP($A344,LossChart!$A$3:$AB$105,15,0)</f>
        <v>80</v>
      </c>
      <c r="I352" s="98">
        <f>VLOOKUP($A344,LossChart!$A$3:$AB$105,16,0)</f>
        <v>477.30407413615825</v>
      </c>
      <c r="J352" s="98">
        <f>VLOOKUP($A344,LossChart!$A$3:$AB$105,17,0)</f>
        <v>1063.3004463504024</v>
      </c>
      <c r="K352" s="98"/>
      <c r="L352" s="98"/>
      <c r="M352" s="98"/>
      <c r="N352" s="98"/>
      <c r="O352" s="98"/>
      <c r="P352" s="98"/>
      <c r="Q352" s="98"/>
      <c r="R352" s="98"/>
      <c r="S352" s="98"/>
    </row>
    <row r="353" spans="1:19" x14ac:dyDescent="0.25">
      <c r="A353" t="s">
        <v>104</v>
      </c>
      <c r="D353" s="98"/>
      <c r="E353" s="98"/>
      <c r="F353" s="98"/>
      <c r="G353" s="98">
        <f>G352-G351</f>
        <v>505.99637221424405</v>
      </c>
      <c r="H353" s="98">
        <f>H352-H351</f>
        <v>80</v>
      </c>
      <c r="I353" s="98">
        <f>I352-I351</f>
        <v>477.30407413615825</v>
      </c>
      <c r="J353" s="98">
        <f>J352-J351</f>
        <v>1063.3004463504024</v>
      </c>
      <c r="K353" s="98"/>
      <c r="L353" s="98"/>
      <c r="M353" s="98"/>
      <c r="N353" s="98"/>
      <c r="O353" s="98"/>
      <c r="P353" s="98"/>
      <c r="Q353" s="98"/>
      <c r="R353" s="98"/>
      <c r="S353" s="98"/>
    </row>
    <row r="355" spans="1:19" ht="60" x14ac:dyDescent="0.25">
      <c r="A355" s="21" t="s">
        <v>63</v>
      </c>
      <c r="B355" s="21" t="s">
        <v>93</v>
      </c>
      <c r="C355" s="21" t="s">
        <v>94</v>
      </c>
      <c r="D355" s="92" t="str">
        <f>FoodDB!$C$1</f>
        <v>Fat
(g)</v>
      </c>
      <c r="E355" s="92" t="str">
        <f>FoodDB!$D$1</f>
        <v xml:space="preserve"> Carbs
(g)</v>
      </c>
      <c r="F355" s="92" t="str">
        <f>FoodDB!$E$1</f>
        <v>Protein
(g)</v>
      </c>
      <c r="G355" s="92" t="str">
        <f>FoodDB!$F$1</f>
        <v>Fat
(Cal)</v>
      </c>
      <c r="H355" s="92" t="str">
        <f>FoodDB!$G$1</f>
        <v>Carb
(Cal)</v>
      </c>
      <c r="I355" s="92" t="str">
        <f>FoodDB!$H$1</f>
        <v>Protein
(Cal)</v>
      </c>
      <c r="J355" s="92" t="str">
        <f>FoodDB!$I$1</f>
        <v>Total
Calories</v>
      </c>
      <c r="K355" s="92"/>
      <c r="L355" s="92" t="s">
        <v>110</v>
      </c>
      <c r="M355" s="92" t="s">
        <v>111</v>
      </c>
      <c r="N355" s="92" t="s">
        <v>112</v>
      </c>
      <c r="O355" s="92" t="s">
        <v>113</v>
      </c>
      <c r="P355" s="92" t="s">
        <v>118</v>
      </c>
      <c r="Q355" s="92" t="s">
        <v>119</v>
      </c>
      <c r="R355" s="92" t="s">
        <v>120</v>
      </c>
      <c r="S355" s="92" t="s">
        <v>121</v>
      </c>
    </row>
    <row r="356" spans="1:19" x14ac:dyDescent="0.25">
      <c r="A356" s="93">
        <f>A344+1</f>
        <v>43023</v>
      </c>
      <c r="B356" s="94" t="s">
        <v>108</v>
      </c>
      <c r="C356" s="95">
        <v>1</v>
      </c>
      <c r="D356" s="98">
        <f>$C356*VLOOKUP($B356,FoodDB!$A$2:$I$1016,3,0)</f>
        <v>0</v>
      </c>
      <c r="E356" s="98">
        <f>$C356*VLOOKUP($B356,FoodDB!$A$2:$I$1016,4,0)</f>
        <v>0</v>
      </c>
      <c r="F356" s="98">
        <f>$C356*VLOOKUP($B356,FoodDB!$A$2:$I$1016,5,0)</f>
        <v>0</v>
      </c>
      <c r="G356" s="98">
        <f>$C356*VLOOKUP($B356,FoodDB!$A$2:$I$1016,6,0)</f>
        <v>0</v>
      </c>
      <c r="H356" s="98">
        <f>$C356*VLOOKUP($B356,FoodDB!$A$2:$I$1016,7,0)</f>
        <v>0</v>
      </c>
      <c r="I356" s="98">
        <f>$C356*VLOOKUP($B356,FoodDB!$A$2:$I$1016,8,0)</f>
        <v>0</v>
      </c>
      <c r="J356" s="98">
        <f>$C356*VLOOKUP($B356,FoodDB!$A$2:$I$1016,9,0)</f>
        <v>0</v>
      </c>
      <c r="K356" s="98"/>
      <c r="L356" s="98">
        <f>SUM(G356:G362)</f>
        <v>0</v>
      </c>
      <c r="M356" s="98">
        <f>SUM(H356:H362)</f>
        <v>0</v>
      </c>
      <c r="N356" s="98">
        <f>SUM(I356:I362)</f>
        <v>0</v>
      </c>
      <c r="O356" s="98">
        <f>SUM(L356:N356)</f>
        <v>0</v>
      </c>
      <c r="P356" s="98">
        <f>VLOOKUP($A356,LossChart!$A$3:$AB$105,14,0)-L356</f>
        <v>513.01713755527476</v>
      </c>
      <c r="Q356" s="98">
        <f>VLOOKUP($A356,LossChart!$A$3:$AB$105,15,0)-M356</f>
        <v>80</v>
      </c>
      <c r="R356" s="98">
        <f>VLOOKUP($A356,LossChart!$A$3:$AB$105,16,0)-N356</f>
        <v>477.30407413615825</v>
      </c>
      <c r="S356" s="98">
        <f>VLOOKUP($A356,LossChart!$A$3:$AB$105,17,0)-O356</f>
        <v>1070.3212116914331</v>
      </c>
    </row>
    <row r="357" spans="1:19" x14ac:dyDescent="0.25">
      <c r="B357" s="94" t="s">
        <v>108</v>
      </c>
      <c r="C357" s="95">
        <v>1</v>
      </c>
      <c r="D357" s="98">
        <f>$C357*VLOOKUP($B357,FoodDB!$A$2:$I$1016,3,0)</f>
        <v>0</v>
      </c>
      <c r="E357" s="98">
        <f>$C357*VLOOKUP($B357,FoodDB!$A$2:$I$1016,4,0)</f>
        <v>0</v>
      </c>
      <c r="F357" s="98">
        <f>$C357*VLOOKUP($B357,FoodDB!$A$2:$I$1016,5,0)</f>
        <v>0</v>
      </c>
      <c r="G357" s="98">
        <f>$C357*VLOOKUP($B357,FoodDB!$A$2:$I$1016,6,0)</f>
        <v>0</v>
      </c>
      <c r="H357" s="98">
        <f>$C357*VLOOKUP($B357,FoodDB!$A$2:$I$1016,7,0)</f>
        <v>0</v>
      </c>
      <c r="I357" s="98">
        <f>$C357*VLOOKUP($B357,FoodDB!$A$2:$I$1016,8,0)</f>
        <v>0</v>
      </c>
      <c r="J357" s="98">
        <f>$C357*VLOOKUP($B357,FoodDB!$A$2:$I$1016,9,0)</f>
        <v>0</v>
      </c>
      <c r="K357" s="98"/>
      <c r="L357" s="98"/>
      <c r="M357" s="98"/>
      <c r="N357" s="98"/>
      <c r="O357" s="98"/>
      <c r="P357" s="98"/>
      <c r="Q357" s="98"/>
      <c r="R357" s="98"/>
      <c r="S357" s="98"/>
    </row>
    <row r="358" spans="1:19" x14ac:dyDescent="0.25">
      <c r="B358" s="94" t="s">
        <v>108</v>
      </c>
      <c r="C358" s="95">
        <v>1</v>
      </c>
      <c r="D358" s="98">
        <f>$C358*VLOOKUP($B358,FoodDB!$A$2:$I$1016,3,0)</f>
        <v>0</v>
      </c>
      <c r="E358" s="98">
        <f>$C358*VLOOKUP($B358,FoodDB!$A$2:$I$1016,4,0)</f>
        <v>0</v>
      </c>
      <c r="F358" s="98">
        <f>$C358*VLOOKUP($B358,FoodDB!$A$2:$I$1016,5,0)</f>
        <v>0</v>
      </c>
      <c r="G358" s="98">
        <f>$C358*VLOOKUP($B358,FoodDB!$A$2:$I$1016,6,0)</f>
        <v>0</v>
      </c>
      <c r="H358" s="98">
        <f>$C358*VLOOKUP($B358,FoodDB!$A$2:$I$1016,7,0)</f>
        <v>0</v>
      </c>
      <c r="I358" s="98">
        <f>$C358*VLOOKUP($B358,FoodDB!$A$2:$I$1016,8,0)</f>
        <v>0</v>
      </c>
      <c r="J358" s="98">
        <f>$C358*VLOOKUP($B358,FoodDB!$A$2:$I$1016,9,0)</f>
        <v>0</v>
      </c>
      <c r="K358" s="98"/>
      <c r="L358" s="98"/>
      <c r="M358" s="98"/>
      <c r="N358" s="98"/>
      <c r="O358" s="98"/>
      <c r="P358" s="98"/>
      <c r="Q358" s="98"/>
      <c r="R358" s="98"/>
      <c r="S358" s="98"/>
    </row>
    <row r="359" spans="1:19" x14ac:dyDescent="0.25">
      <c r="B359" s="94" t="s">
        <v>108</v>
      </c>
      <c r="C359" s="95">
        <v>1</v>
      </c>
      <c r="D359" s="98">
        <f>$C359*VLOOKUP($B359,FoodDB!$A$2:$I$1016,3,0)</f>
        <v>0</v>
      </c>
      <c r="E359" s="98">
        <f>$C359*VLOOKUP($B359,FoodDB!$A$2:$I$1016,4,0)</f>
        <v>0</v>
      </c>
      <c r="F359" s="98">
        <f>$C359*VLOOKUP($B359,FoodDB!$A$2:$I$1016,5,0)</f>
        <v>0</v>
      </c>
      <c r="G359" s="98">
        <f>$C359*VLOOKUP($B359,FoodDB!$A$2:$I$1016,6,0)</f>
        <v>0</v>
      </c>
      <c r="H359" s="98">
        <f>$C359*VLOOKUP($B359,FoodDB!$A$2:$I$1016,7,0)</f>
        <v>0</v>
      </c>
      <c r="I359" s="98">
        <f>$C359*VLOOKUP($B359,FoodDB!$A$2:$I$1016,8,0)</f>
        <v>0</v>
      </c>
      <c r="J359" s="98">
        <f>$C359*VLOOKUP($B359,FoodDB!$A$2:$I$1016,9,0)</f>
        <v>0</v>
      </c>
      <c r="K359" s="98"/>
      <c r="L359" s="98"/>
      <c r="M359" s="98"/>
      <c r="N359" s="98"/>
      <c r="O359" s="98"/>
      <c r="P359" s="98"/>
      <c r="Q359" s="98"/>
      <c r="R359" s="98"/>
      <c r="S359" s="98"/>
    </row>
    <row r="360" spans="1:19" x14ac:dyDescent="0.25">
      <c r="B360" s="94" t="s">
        <v>108</v>
      </c>
      <c r="C360" s="95">
        <v>1</v>
      </c>
      <c r="D360" s="98">
        <f>$C360*VLOOKUP($B360,FoodDB!$A$2:$I$1016,3,0)</f>
        <v>0</v>
      </c>
      <c r="E360" s="98">
        <f>$C360*VLOOKUP($B360,FoodDB!$A$2:$I$1016,4,0)</f>
        <v>0</v>
      </c>
      <c r="F360" s="98">
        <f>$C360*VLOOKUP($B360,FoodDB!$A$2:$I$1016,5,0)</f>
        <v>0</v>
      </c>
      <c r="G360" s="98">
        <f>$C360*VLOOKUP($B360,FoodDB!$A$2:$I$1016,6,0)</f>
        <v>0</v>
      </c>
      <c r="H360" s="98">
        <f>$C360*VLOOKUP($B360,FoodDB!$A$2:$I$1016,7,0)</f>
        <v>0</v>
      </c>
      <c r="I360" s="98">
        <f>$C360*VLOOKUP($B360,FoodDB!$A$2:$I$1016,8,0)</f>
        <v>0</v>
      </c>
      <c r="J360" s="98">
        <f>$C360*VLOOKUP($B360,FoodDB!$A$2:$I$1016,9,0)</f>
        <v>0</v>
      </c>
      <c r="K360" s="98"/>
      <c r="L360" s="98"/>
      <c r="M360" s="98"/>
      <c r="N360" s="98"/>
      <c r="O360" s="98"/>
      <c r="P360" s="98"/>
      <c r="Q360" s="98"/>
      <c r="R360" s="98"/>
      <c r="S360" s="98"/>
    </row>
    <row r="361" spans="1:19" x14ac:dyDescent="0.25">
      <c r="B361" s="94" t="s">
        <v>108</v>
      </c>
      <c r="C361" s="95">
        <v>1</v>
      </c>
      <c r="D361" s="98">
        <f>$C361*VLOOKUP($B361,FoodDB!$A$2:$I$1016,3,0)</f>
        <v>0</v>
      </c>
      <c r="E361" s="98">
        <f>$C361*VLOOKUP($B361,FoodDB!$A$2:$I$1016,4,0)</f>
        <v>0</v>
      </c>
      <c r="F361" s="98">
        <f>$C361*VLOOKUP($B361,FoodDB!$A$2:$I$1016,5,0)</f>
        <v>0</v>
      </c>
      <c r="G361" s="98">
        <f>$C361*VLOOKUP($B361,FoodDB!$A$2:$I$1016,6,0)</f>
        <v>0</v>
      </c>
      <c r="H361" s="98">
        <f>$C361*VLOOKUP($B361,FoodDB!$A$2:$I$1016,7,0)</f>
        <v>0</v>
      </c>
      <c r="I361" s="98">
        <f>$C361*VLOOKUP($B361,FoodDB!$A$2:$I$1016,8,0)</f>
        <v>0</v>
      </c>
      <c r="J361" s="98">
        <f>$C361*VLOOKUP($B361,FoodDB!$A$2:$I$1016,9,0)</f>
        <v>0</v>
      </c>
      <c r="K361" s="98"/>
      <c r="L361" s="98"/>
      <c r="M361" s="98"/>
      <c r="N361" s="98"/>
      <c r="O361" s="98"/>
      <c r="P361" s="98"/>
      <c r="Q361" s="98"/>
      <c r="R361" s="98"/>
      <c r="S361" s="98"/>
    </row>
    <row r="362" spans="1:19" x14ac:dyDescent="0.25">
      <c r="B362" s="94" t="s">
        <v>108</v>
      </c>
      <c r="C362" s="95">
        <v>1</v>
      </c>
      <c r="D362" s="98">
        <f>$C362*VLOOKUP($B362,FoodDB!$A$2:$I$1016,3,0)</f>
        <v>0</v>
      </c>
      <c r="E362" s="98">
        <f>$C362*VLOOKUP($B362,FoodDB!$A$2:$I$1016,4,0)</f>
        <v>0</v>
      </c>
      <c r="F362" s="98">
        <f>$C362*VLOOKUP($B362,FoodDB!$A$2:$I$1016,5,0)</f>
        <v>0</v>
      </c>
      <c r="G362" s="98">
        <f>$C362*VLOOKUP($B362,FoodDB!$A$2:$I$1016,6,0)</f>
        <v>0</v>
      </c>
      <c r="H362" s="98">
        <f>$C362*VLOOKUP($B362,FoodDB!$A$2:$I$1016,7,0)</f>
        <v>0</v>
      </c>
      <c r="I362" s="98">
        <f>$C362*VLOOKUP($B362,FoodDB!$A$2:$I$1016,8,0)</f>
        <v>0</v>
      </c>
      <c r="J362" s="98">
        <f>$C362*VLOOKUP($B362,FoodDB!$A$2:$I$1016,9,0)</f>
        <v>0</v>
      </c>
      <c r="K362" s="98"/>
      <c r="L362" s="98"/>
      <c r="M362" s="98"/>
      <c r="N362" s="98"/>
      <c r="O362" s="98"/>
      <c r="P362" s="98"/>
      <c r="Q362" s="98"/>
      <c r="R362" s="98"/>
      <c r="S362" s="98"/>
    </row>
    <row r="363" spans="1:19" x14ac:dyDescent="0.25">
      <c r="A363" t="s">
        <v>98</v>
      </c>
      <c r="D363" s="98"/>
      <c r="E363" s="98"/>
      <c r="F363" s="98"/>
      <c r="G363" s="98">
        <f>SUM(G356:G362)</f>
        <v>0</v>
      </c>
      <c r="H363" s="98">
        <f>SUM(H356:H362)</f>
        <v>0</v>
      </c>
      <c r="I363" s="98">
        <f>SUM(I356:I362)</f>
        <v>0</v>
      </c>
      <c r="J363" s="98">
        <f>SUM(G363:I363)</f>
        <v>0</v>
      </c>
      <c r="K363" s="98"/>
      <c r="L363" s="98"/>
      <c r="M363" s="98"/>
      <c r="N363" s="98"/>
      <c r="O363" s="98"/>
      <c r="P363" s="98"/>
      <c r="Q363" s="98"/>
      <c r="R363" s="98"/>
      <c r="S363" s="98"/>
    </row>
    <row r="364" spans="1:19" x14ac:dyDescent="0.25">
      <c r="A364" t="s">
        <v>102</v>
      </c>
      <c r="B364" t="s">
        <v>103</v>
      </c>
      <c r="D364" s="98"/>
      <c r="E364" s="98"/>
      <c r="F364" s="98"/>
      <c r="G364" s="98">
        <f>VLOOKUP($A356,LossChart!$A$3:$AB$105,14,0)</f>
        <v>513.01713755527476</v>
      </c>
      <c r="H364" s="98">
        <f>VLOOKUP($A356,LossChart!$A$3:$AB$105,15,0)</f>
        <v>80</v>
      </c>
      <c r="I364" s="98">
        <f>VLOOKUP($A356,LossChart!$A$3:$AB$105,16,0)</f>
        <v>477.30407413615825</v>
      </c>
      <c r="J364" s="98">
        <f>VLOOKUP($A356,LossChart!$A$3:$AB$105,17,0)</f>
        <v>1070.3212116914331</v>
      </c>
      <c r="K364" s="98"/>
      <c r="L364" s="98"/>
      <c r="M364" s="98"/>
      <c r="N364" s="98"/>
      <c r="O364" s="98"/>
      <c r="P364" s="98"/>
      <c r="Q364" s="98"/>
      <c r="R364" s="98"/>
      <c r="S364" s="98"/>
    </row>
    <row r="365" spans="1:19" x14ac:dyDescent="0.25">
      <c r="A365" t="s">
        <v>104</v>
      </c>
      <c r="D365" s="98"/>
      <c r="E365" s="98"/>
      <c r="F365" s="98"/>
      <c r="G365" s="98">
        <f>G364-G363</f>
        <v>513.01713755527476</v>
      </c>
      <c r="H365" s="98">
        <f>H364-H363</f>
        <v>80</v>
      </c>
      <c r="I365" s="98">
        <f>I364-I363</f>
        <v>477.30407413615825</v>
      </c>
      <c r="J365" s="98">
        <f>J364-J363</f>
        <v>1070.3212116914331</v>
      </c>
      <c r="K365" s="98"/>
      <c r="L365" s="98"/>
      <c r="M365" s="98"/>
      <c r="N365" s="98"/>
      <c r="O365" s="98"/>
      <c r="P365" s="98"/>
      <c r="Q365" s="98"/>
      <c r="R365" s="98"/>
      <c r="S365" s="98"/>
    </row>
    <row r="367" spans="1:19" ht="60" x14ac:dyDescent="0.25">
      <c r="A367" s="21" t="s">
        <v>63</v>
      </c>
      <c r="B367" s="21" t="s">
        <v>93</v>
      </c>
      <c r="C367" s="21" t="s">
        <v>94</v>
      </c>
      <c r="D367" s="92" t="str">
        <f>FoodDB!$C$1</f>
        <v>Fat
(g)</v>
      </c>
      <c r="E367" s="92" t="str">
        <f>FoodDB!$D$1</f>
        <v xml:space="preserve"> Carbs
(g)</v>
      </c>
      <c r="F367" s="92" t="str">
        <f>FoodDB!$E$1</f>
        <v>Protein
(g)</v>
      </c>
      <c r="G367" s="92" t="str">
        <f>FoodDB!$F$1</f>
        <v>Fat
(Cal)</v>
      </c>
      <c r="H367" s="92" t="str">
        <f>FoodDB!$G$1</f>
        <v>Carb
(Cal)</v>
      </c>
      <c r="I367" s="92" t="str">
        <f>FoodDB!$H$1</f>
        <v>Protein
(Cal)</v>
      </c>
      <c r="J367" s="92" t="str">
        <f>FoodDB!$I$1</f>
        <v>Total
Calories</v>
      </c>
      <c r="K367" s="92"/>
      <c r="L367" s="92" t="s">
        <v>110</v>
      </c>
      <c r="M367" s="92" t="s">
        <v>111</v>
      </c>
      <c r="N367" s="92" t="s">
        <v>112</v>
      </c>
      <c r="O367" s="92" t="s">
        <v>113</v>
      </c>
      <c r="P367" s="92" t="s">
        <v>118</v>
      </c>
      <c r="Q367" s="92" t="s">
        <v>119</v>
      </c>
      <c r="R367" s="92" t="s">
        <v>120</v>
      </c>
      <c r="S367" s="92" t="s">
        <v>121</v>
      </c>
    </row>
    <row r="368" spans="1:19" x14ac:dyDescent="0.25">
      <c r="A368" s="93">
        <f>A356+1</f>
        <v>43024</v>
      </c>
      <c r="B368" s="94" t="s">
        <v>108</v>
      </c>
      <c r="C368" s="95">
        <v>1</v>
      </c>
      <c r="D368" s="98">
        <f>$C368*VLOOKUP($B368,FoodDB!$A$2:$I$1016,3,0)</f>
        <v>0</v>
      </c>
      <c r="E368" s="98">
        <f>$C368*VLOOKUP($B368,FoodDB!$A$2:$I$1016,4,0)</f>
        <v>0</v>
      </c>
      <c r="F368" s="98">
        <f>$C368*VLOOKUP($B368,FoodDB!$A$2:$I$1016,5,0)</f>
        <v>0</v>
      </c>
      <c r="G368" s="98">
        <f>$C368*VLOOKUP($B368,FoodDB!$A$2:$I$1016,6,0)</f>
        <v>0</v>
      </c>
      <c r="H368" s="98">
        <f>$C368*VLOOKUP($B368,FoodDB!$A$2:$I$1016,7,0)</f>
        <v>0</v>
      </c>
      <c r="I368" s="98">
        <f>$C368*VLOOKUP($B368,FoodDB!$A$2:$I$1016,8,0)</f>
        <v>0</v>
      </c>
      <c r="J368" s="98">
        <f>$C368*VLOOKUP($B368,FoodDB!$A$2:$I$1016,9,0)</f>
        <v>0</v>
      </c>
      <c r="K368" s="98"/>
      <c r="L368" s="98">
        <f>SUM(G368:G374)</f>
        <v>0</v>
      </c>
      <c r="M368" s="98">
        <f>SUM(H368:H374)</f>
        <v>0</v>
      </c>
      <c r="N368" s="98">
        <f>SUM(I368:I374)</f>
        <v>0</v>
      </c>
      <c r="O368" s="98">
        <f>SUM(L368:N368)</f>
        <v>0</v>
      </c>
      <c r="P368" s="98">
        <f>VLOOKUP($A368,LossChart!$A$3:$AB$105,14,0)-L368</f>
        <v>519.97571897471357</v>
      </c>
      <c r="Q368" s="98">
        <f>VLOOKUP($A368,LossChart!$A$3:$AB$105,15,0)-M368</f>
        <v>80</v>
      </c>
      <c r="R368" s="98">
        <f>VLOOKUP($A368,LossChart!$A$3:$AB$105,16,0)-N368</f>
        <v>477.30407413615825</v>
      </c>
      <c r="S368" s="98">
        <f>VLOOKUP($A368,LossChart!$A$3:$AB$105,17,0)-O368</f>
        <v>1077.2797931108719</v>
      </c>
    </row>
    <row r="369" spans="1:19" x14ac:dyDescent="0.25">
      <c r="B369" s="94" t="s">
        <v>108</v>
      </c>
      <c r="C369" s="95">
        <v>1</v>
      </c>
      <c r="D369" s="98">
        <f>$C369*VLOOKUP($B369,FoodDB!$A$2:$I$1016,3,0)</f>
        <v>0</v>
      </c>
      <c r="E369" s="98">
        <f>$C369*VLOOKUP($B369,FoodDB!$A$2:$I$1016,4,0)</f>
        <v>0</v>
      </c>
      <c r="F369" s="98">
        <f>$C369*VLOOKUP($B369,FoodDB!$A$2:$I$1016,5,0)</f>
        <v>0</v>
      </c>
      <c r="G369" s="98">
        <f>$C369*VLOOKUP($B369,FoodDB!$A$2:$I$1016,6,0)</f>
        <v>0</v>
      </c>
      <c r="H369" s="98">
        <f>$C369*VLOOKUP($B369,FoodDB!$A$2:$I$1016,7,0)</f>
        <v>0</v>
      </c>
      <c r="I369" s="98">
        <f>$C369*VLOOKUP($B369,FoodDB!$A$2:$I$1016,8,0)</f>
        <v>0</v>
      </c>
      <c r="J369" s="98">
        <f>$C369*VLOOKUP($B369,FoodDB!$A$2:$I$1016,9,0)</f>
        <v>0</v>
      </c>
      <c r="K369" s="98"/>
      <c r="L369" s="98"/>
      <c r="M369" s="98"/>
      <c r="N369" s="98"/>
      <c r="O369" s="98"/>
      <c r="P369" s="98"/>
      <c r="Q369" s="98"/>
      <c r="R369" s="98"/>
      <c r="S369" s="98"/>
    </row>
    <row r="370" spans="1:19" x14ac:dyDescent="0.25">
      <c r="B370" s="94" t="s">
        <v>108</v>
      </c>
      <c r="C370" s="95">
        <v>1</v>
      </c>
      <c r="D370" s="98">
        <f>$C370*VLOOKUP($B370,FoodDB!$A$2:$I$1016,3,0)</f>
        <v>0</v>
      </c>
      <c r="E370" s="98">
        <f>$C370*VLOOKUP($B370,FoodDB!$A$2:$I$1016,4,0)</f>
        <v>0</v>
      </c>
      <c r="F370" s="98">
        <f>$C370*VLOOKUP($B370,FoodDB!$A$2:$I$1016,5,0)</f>
        <v>0</v>
      </c>
      <c r="G370" s="98">
        <f>$C370*VLOOKUP($B370,FoodDB!$A$2:$I$1016,6,0)</f>
        <v>0</v>
      </c>
      <c r="H370" s="98">
        <f>$C370*VLOOKUP($B370,FoodDB!$A$2:$I$1016,7,0)</f>
        <v>0</v>
      </c>
      <c r="I370" s="98">
        <f>$C370*VLOOKUP($B370,FoodDB!$A$2:$I$1016,8,0)</f>
        <v>0</v>
      </c>
      <c r="J370" s="98">
        <f>$C370*VLOOKUP($B370,FoodDB!$A$2:$I$1016,9,0)</f>
        <v>0</v>
      </c>
      <c r="K370" s="98"/>
      <c r="L370" s="98"/>
      <c r="M370" s="98"/>
      <c r="N370" s="98"/>
      <c r="O370" s="98"/>
      <c r="P370" s="98"/>
      <c r="Q370" s="98"/>
      <c r="R370" s="98"/>
      <c r="S370" s="98"/>
    </row>
    <row r="371" spans="1:19" x14ac:dyDescent="0.25">
      <c r="B371" s="94" t="s">
        <v>108</v>
      </c>
      <c r="C371" s="95">
        <v>1</v>
      </c>
      <c r="D371" s="98">
        <f>$C371*VLOOKUP($B371,FoodDB!$A$2:$I$1016,3,0)</f>
        <v>0</v>
      </c>
      <c r="E371" s="98">
        <f>$C371*VLOOKUP($B371,FoodDB!$A$2:$I$1016,4,0)</f>
        <v>0</v>
      </c>
      <c r="F371" s="98">
        <f>$C371*VLOOKUP($B371,FoodDB!$A$2:$I$1016,5,0)</f>
        <v>0</v>
      </c>
      <c r="G371" s="98">
        <f>$C371*VLOOKUP($B371,FoodDB!$A$2:$I$1016,6,0)</f>
        <v>0</v>
      </c>
      <c r="H371" s="98">
        <f>$C371*VLOOKUP($B371,FoodDB!$A$2:$I$1016,7,0)</f>
        <v>0</v>
      </c>
      <c r="I371" s="98">
        <f>$C371*VLOOKUP($B371,FoodDB!$A$2:$I$1016,8,0)</f>
        <v>0</v>
      </c>
      <c r="J371" s="98">
        <f>$C371*VLOOKUP($B371,FoodDB!$A$2:$I$1016,9,0)</f>
        <v>0</v>
      </c>
      <c r="K371" s="98"/>
      <c r="L371" s="98"/>
      <c r="M371" s="98"/>
      <c r="N371" s="98"/>
      <c r="O371" s="98"/>
      <c r="P371" s="98"/>
      <c r="Q371" s="98"/>
      <c r="R371" s="98"/>
      <c r="S371" s="98"/>
    </row>
    <row r="372" spans="1:19" x14ac:dyDescent="0.25">
      <c r="B372" s="94" t="s">
        <v>108</v>
      </c>
      <c r="C372" s="95">
        <v>1</v>
      </c>
      <c r="D372" s="98">
        <f>$C372*VLOOKUP($B372,FoodDB!$A$2:$I$1016,3,0)</f>
        <v>0</v>
      </c>
      <c r="E372" s="98">
        <f>$C372*VLOOKUP($B372,FoodDB!$A$2:$I$1016,4,0)</f>
        <v>0</v>
      </c>
      <c r="F372" s="98">
        <f>$C372*VLOOKUP($B372,FoodDB!$A$2:$I$1016,5,0)</f>
        <v>0</v>
      </c>
      <c r="G372" s="98">
        <f>$C372*VLOOKUP($B372,FoodDB!$A$2:$I$1016,6,0)</f>
        <v>0</v>
      </c>
      <c r="H372" s="98">
        <f>$C372*VLOOKUP($B372,FoodDB!$A$2:$I$1016,7,0)</f>
        <v>0</v>
      </c>
      <c r="I372" s="98">
        <f>$C372*VLOOKUP($B372,FoodDB!$A$2:$I$1016,8,0)</f>
        <v>0</v>
      </c>
      <c r="J372" s="98">
        <f>$C372*VLOOKUP($B372,FoodDB!$A$2:$I$1016,9,0)</f>
        <v>0</v>
      </c>
      <c r="K372" s="98"/>
      <c r="L372" s="98"/>
      <c r="M372" s="98"/>
      <c r="N372" s="98"/>
      <c r="O372" s="98"/>
      <c r="P372" s="98"/>
      <c r="Q372" s="98"/>
      <c r="R372" s="98"/>
      <c r="S372" s="98"/>
    </row>
    <row r="373" spans="1:19" x14ac:dyDescent="0.25">
      <c r="B373" s="94" t="s">
        <v>108</v>
      </c>
      <c r="C373" s="95">
        <v>1</v>
      </c>
      <c r="D373" s="98">
        <f>$C373*VLOOKUP($B373,FoodDB!$A$2:$I$1016,3,0)</f>
        <v>0</v>
      </c>
      <c r="E373" s="98">
        <f>$C373*VLOOKUP($B373,FoodDB!$A$2:$I$1016,4,0)</f>
        <v>0</v>
      </c>
      <c r="F373" s="98">
        <f>$C373*VLOOKUP($B373,FoodDB!$A$2:$I$1016,5,0)</f>
        <v>0</v>
      </c>
      <c r="G373" s="98">
        <f>$C373*VLOOKUP($B373,FoodDB!$A$2:$I$1016,6,0)</f>
        <v>0</v>
      </c>
      <c r="H373" s="98">
        <f>$C373*VLOOKUP($B373,FoodDB!$A$2:$I$1016,7,0)</f>
        <v>0</v>
      </c>
      <c r="I373" s="98">
        <f>$C373*VLOOKUP($B373,FoodDB!$A$2:$I$1016,8,0)</f>
        <v>0</v>
      </c>
      <c r="J373" s="98">
        <f>$C373*VLOOKUP($B373,FoodDB!$A$2:$I$1016,9,0)</f>
        <v>0</v>
      </c>
      <c r="K373" s="98"/>
      <c r="L373" s="98"/>
      <c r="M373" s="98"/>
      <c r="N373" s="98"/>
      <c r="O373" s="98"/>
      <c r="P373" s="98"/>
      <c r="Q373" s="98"/>
      <c r="R373" s="98"/>
      <c r="S373" s="98"/>
    </row>
    <row r="374" spans="1:19" x14ac:dyDescent="0.25">
      <c r="B374" s="94" t="s">
        <v>108</v>
      </c>
      <c r="C374" s="95">
        <v>1</v>
      </c>
      <c r="D374" s="98">
        <f>$C374*VLOOKUP($B374,FoodDB!$A$2:$I$1016,3,0)</f>
        <v>0</v>
      </c>
      <c r="E374" s="98">
        <f>$C374*VLOOKUP($B374,FoodDB!$A$2:$I$1016,4,0)</f>
        <v>0</v>
      </c>
      <c r="F374" s="98">
        <f>$C374*VLOOKUP($B374,FoodDB!$A$2:$I$1016,5,0)</f>
        <v>0</v>
      </c>
      <c r="G374" s="98">
        <f>$C374*VLOOKUP($B374,FoodDB!$A$2:$I$1016,6,0)</f>
        <v>0</v>
      </c>
      <c r="H374" s="98">
        <f>$C374*VLOOKUP($B374,FoodDB!$A$2:$I$1016,7,0)</f>
        <v>0</v>
      </c>
      <c r="I374" s="98">
        <f>$C374*VLOOKUP($B374,FoodDB!$A$2:$I$1016,8,0)</f>
        <v>0</v>
      </c>
      <c r="J374" s="98">
        <f>$C374*VLOOKUP($B374,FoodDB!$A$2:$I$1016,9,0)</f>
        <v>0</v>
      </c>
      <c r="K374" s="98"/>
      <c r="L374" s="98"/>
      <c r="M374" s="98"/>
      <c r="N374" s="98"/>
      <c r="O374" s="98"/>
      <c r="P374" s="98"/>
      <c r="Q374" s="98"/>
      <c r="R374" s="98"/>
      <c r="S374" s="98"/>
    </row>
    <row r="375" spans="1:19" x14ac:dyDescent="0.25">
      <c r="A375" t="s">
        <v>98</v>
      </c>
      <c r="D375" s="98"/>
      <c r="E375" s="98"/>
      <c r="F375" s="98"/>
      <c r="G375" s="98">
        <f>SUM(G368:G374)</f>
        <v>0</v>
      </c>
      <c r="H375" s="98">
        <f>SUM(H368:H374)</f>
        <v>0</v>
      </c>
      <c r="I375" s="98">
        <f>SUM(I368:I374)</f>
        <v>0</v>
      </c>
      <c r="J375" s="98">
        <f>SUM(G375:I375)</f>
        <v>0</v>
      </c>
      <c r="K375" s="98"/>
      <c r="L375" s="98"/>
      <c r="M375" s="98"/>
      <c r="N375" s="98"/>
      <c r="O375" s="98"/>
      <c r="P375" s="98"/>
      <c r="Q375" s="98"/>
      <c r="R375" s="98"/>
      <c r="S375" s="98"/>
    </row>
    <row r="376" spans="1:19" x14ac:dyDescent="0.25">
      <c r="A376" t="s">
        <v>102</v>
      </c>
      <c r="B376" t="s">
        <v>103</v>
      </c>
      <c r="D376" s="98"/>
      <c r="E376" s="98"/>
      <c r="F376" s="98"/>
      <c r="G376" s="98">
        <f>VLOOKUP($A368,LossChart!$A$3:$AB$105,14,0)</f>
        <v>519.97571897471357</v>
      </c>
      <c r="H376" s="98">
        <f>VLOOKUP($A368,LossChart!$A$3:$AB$105,15,0)</f>
        <v>80</v>
      </c>
      <c r="I376" s="98">
        <f>VLOOKUP($A368,LossChart!$A$3:$AB$105,16,0)</f>
        <v>477.30407413615825</v>
      </c>
      <c r="J376" s="98">
        <f>VLOOKUP($A368,LossChart!$A$3:$AB$105,17,0)</f>
        <v>1077.2797931108719</v>
      </c>
      <c r="K376" s="98"/>
      <c r="L376" s="98"/>
      <c r="M376" s="98"/>
      <c r="N376" s="98"/>
      <c r="O376" s="98"/>
      <c r="P376" s="98"/>
      <c r="Q376" s="98"/>
      <c r="R376" s="98"/>
      <c r="S376" s="98"/>
    </row>
    <row r="377" spans="1:19" x14ac:dyDescent="0.25">
      <c r="A377" t="s">
        <v>104</v>
      </c>
      <c r="D377" s="98"/>
      <c r="E377" s="98"/>
      <c r="F377" s="98"/>
      <c r="G377" s="98">
        <f>G376-G375</f>
        <v>519.97571897471357</v>
      </c>
      <c r="H377" s="98">
        <f>H376-H375</f>
        <v>80</v>
      </c>
      <c r="I377" s="98">
        <f>I376-I375</f>
        <v>477.30407413615825</v>
      </c>
      <c r="J377" s="98">
        <f>J376-J375</f>
        <v>1077.2797931108719</v>
      </c>
      <c r="K377" s="98"/>
      <c r="L377" s="98"/>
      <c r="M377" s="98"/>
      <c r="N377" s="98"/>
      <c r="O377" s="98"/>
      <c r="P377" s="98"/>
      <c r="Q377" s="98"/>
      <c r="R377" s="98"/>
      <c r="S377" s="98"/>
    </row>
    <row r="379" spans="1:19" ht="60" x14ac:dyDescent="0.25">
      <c r="A379" s="21" t="s">
        <v>63</v>
      </c>
      <c r="B379" s="21" t="s">
        <v>93</v>
      </c>
      <c r="C379" s="21" t="s">
        <v>94</v>
      </c>
      <c r="D379" s="92" t="str">
        <f>FoodDB!$C$1</f>
        <v>Fat
(g)</v>
      </c>
      <c r="E379" s="92" t="str">
        <f>FoodDB!$D$1</f>
        <v xml:space="preserve"> Carbs
(g)</v>
      </c>
      <c r="F379" s="92" t="str">
        <f>FoodDB!$E$1</f>
        <v>Protein
(g)</v>
      </c>
      <c r="G379" s="92" t="str">
        <f>FoodDB!$F$1</f>
        <v>Fat
(Cal)</v>
      </c>
      <c r="H379" s="92" t="str">
        <f>FoodDB!$G$1</f>
        <v>Carb
(Cal)</v>
      </c>
      <c r="I379" s="92" t="str">
        <f>FoodDB!$H$1</f>
        <v>Protein
(Cal)</v>
      </c>
      <c r="J379" s="92" t="str">
        <f>FoodDB!$I$1</f>
        <v>Total
Calories</v>
      </c>
      <c r="K379" s="92"/>
      <c r="L379" s="92" t="s">
        <v>110</v>
      </c>
      <c r="M379" s="92" t="s">
        <v>111</v>
      </c>
      <c r="N379" s="92" t="s">
        <v>112</v>
      </c>
      <c r="O379" s="92" t="s">
        <v>113</v>
      </c>
      <c r="P379" s="92" t="s">
        <v>118</v>
      </c>
      <c r="Q379" s="92" t="s">
        <v>119</v>
      </c>
      <c r="R379" s="92" t="s">
        <v>120</v>
      </c>
      <c r="S379" s="92" t="s">
        <v>121</v>
      </c>
    </row>
    <row r="380" spans="1:19" x14ac:dyDescent="0.25">
      <c r="A380" s="93">
        <f>A368+1</f>
        <v>43025</v>
      </c>
      <c r="B380" s="94" t="s">
        <v>108</v>
      </c>
      <c r="C380" s="95">
        <v>1</v>
      </c>
      <c r="D380" s="98">
        <f>$C380*VLOOKUP($B380,FoodDB!$A$2:$I$1016,3,0)</f>
        <v>0</v>
      </c>
      <c r="E380" s="98">
        <f>$C380*VLOOKUP($B380,FoodDB!$A$2:$I$1016,4,0)</f>
        <v>0</v>
      </c>
      <c r="F380" s="98">
        <f>$C380*VLOOKUP($B380,FoodDB!$A$2:$I$1016,5,0)</f>
        <v>0</v>
      </c>
      <c r="G380" s="98">
        <f>$C380*VLOOKUP($B380,FoodDB!$A$2:$I$1016,6,0)</f>
        <v>0</v>
      </c>
      <c r="H380" s="98">
        <f>$C380*VLOOKUP($B380,FoodDB!$A$2:$I$1016,7,0)</f>
        <v>0</v>
      </c>
      <c r="I380" s="98">
        <f>$C380*VLOOKUP($B380,FoodDB!$A$2:$I$1016,8,0)</f>
        <v>0</v>
      </c>
      <c r="J380" s="98">
        <f>$C380*VLOOKUP($B380,FoodDB!$A$2:$I$1016,9,0)</f>
        <v>0</v>
      </c>
      <c r="K380" s="98"/>
      <c r="L380" s="98">
        <f>SUM(G380:G386)</f>
        <v>0</v>
      </c>
      <c r="M380" s="98">
        <f>SUM(H380:H386)</f>
        <v>0</v>
      </c>
      <c r="N380" s="98">
        <f>SUM(I380:I386)</f>
        <v>0</v>
      </c>
      <c r="O380" s="98">
        <f>SUM(L380:N380)</f>
        <v>0</v>
      </c>
      <c r="P380" s="98">
        <f>VLOOKUP($A380,LossChart!$A$3:$AB$105,14,0)-L380</f>
        <v>526.87266724443771</v>
      </c>
      <c r="Q380" s="98">
        <f>VLOOKUP($A380,LossChart!$A$3:$AB$105,15,0)-M380</f>
        <v>80</v>
      </c>
      <c r="R380" s="98">
        <f>VLOOKUP($A380,LossChart!$A$3:$AB$105,16,0)-N380</f>
        <v>477.30407413615825</v>
      </c>
      <c r="S380" s="98">
        <f>VLOOKUP($A380,LossChart!$A$3:$AB$105,17,0)-O380</f>
        <v>1084.176741380596</v>
      </c>
    </row>
    <row r="381" spans="1:19" x14ac:dyDescent="0.25">
      <c r="B381" s="94" t="s">
        <v>108</v>
      </c>
      <c r="C381" s="95">
        <v>1</v>
      </c>
      <c r="D381" s="98">
        <f>$C381*VLOOKUP($B381,FoodDB!$A$2:$I$1016,3,0)</f>
        <v>0</v>
      </c>
      <c r="E381" s="98">
        <f>$C381*VLOOKUP($B381,FoodDB!$A$2:$I$1016,4,0)</f>
        <v>0</v>
      </c>
      <c r="F381" s="98">
        <f>$C381*VLOOKUP($B381,FoodDB!$A$2:$I$1016,5,0)</f>
        <v>0</v>
      </c>
      <c r="G381" s="98">
        <f>$C381*VLOOKUP($B381,FoodDB!$A$2:$I$1016,6,0)</f>
        <v>0</v>
      </c>
      <c r="H381" s="98">
        <f>$C381*VLOOKUP($B381,FoodDB!$A$2:$I$1016,7,0)</f>
        <v>0</v>
      </c>
      <c r="I381" s="98">
        <f>$C381*VLOOKUP($B381,FoodDB!$A$2:$I$1016,8,0)</f>
        <v>0</v>
      </c>
      <c r="J381" s="98">
        <f>$C381*VLOOKUP($B381,FoodDB!$A$2:$I$1016,9,0)</f>
        <v>0</v>
      </c>
      <c r="K381" s="98"/>
      <c r="L381" s="98"/>
      <c r="M381" s="98"/>
      <c r="N381" s="98"/>
      <c r="O381" s="98"/>
      <c r="P381" s="98"/>
      <c r="Q381" s="98"/>
      <c r="R381" s="98"/>
      <c r="S381" s="98"/>
    </row>
    <row r="382" spans="1:19" x14ac:dyDescent="0.25">
      <c r="B382" s="94" t="s">
        <v>108</v>
      </c>
      <c r="C382" s="95">
        <v>1</v>
      </c>
      <c r="D382" s="98">
        <f>$C382*VLOOKUP($B382,FoodDB!$A$2:$I$1016,3,0)</f>
        <v>0</v>
      </c>
      <c r="E382" s="98">
        <f>$C382*VLOOKUP($B382,FoodDB!$A$2:$I$1016,4,0)</f>
        <v>0</v>
      </c>
      <c r="F382" s="98">
        <f>$C382*VLOOKUP($B382,FoodDB!$A$2:$I$1016,5,0)</f>
        <v>0</v>
      </c>
      <c r="G382" s="98">
        <f>$C382*VLOOKUP($B382,FoodDB!$A$2:$I$1016,6,0)</f>
        <v>0</v>
      </c>
      <c r="H382" s="98">
        <f>$C382*VLOOKUP($B382,FoodDB!$A$2:$I$1016,7,0)</f>
        <v>0</v>
      </c>
      <c r="I382" s="98">
        <f>$C382*VLOOKUP($B382,FoodDB!$A$2:$I$1016,8,0)</f>
        <v>0</v>
      </c>
      <c r="J382" s="98">
        <f>$C382*VLOOKUP($B382,FoodDB!$A$2:$I$1016,9,0)</f>
        <v>0</v>
      </c>
      <c r="K382" s="98"/>
      <c r="L382" s="98"/>
      <c r="M382" s="98"/>
      <c r="N382" s="98"/>
      <c r="O382" s="98"/>
      <c r="P382" s="98"/>
      <c r="Q382" s="98"/>
      <c r="R382" s="98"/>
      <c r="S382" s="98"/>
    </row>
    <row r="383" spans="1:19" x14ac:dyDescent="0.25">
      <c r="B383" s="94" t="s">
        <v>108</v>
      </c>
      <c r="C383" s="95">
        <v>1</v>
      </c>
      <c r="D383" s="98">
        <f>$C383*VLOOKUP($B383,FoodDB!$A$2:$I$1016,3,0)</f>
        <v>0</v>
      </c>
      <c r="E383" s="98">
        <f>$C383*VLOOKUP($B383,FoodDB!$A$2:$I$1016,4,0)</f>
        <v>0</v>
      </c>
      <c r="F383" s="98">
        <f>$C383*VLOOKUP($B383,FoodDB!$A$2:$I$1016,5,0)</f>
        <v>0</v>
      </c>
      <c r="G383" s="98">
        <f>$C383*VLOOKUP($B383,FoodDB!$A$2:$I$1016,6,0)</f>
        <v>0</v>
      </c>
      <c r="H383" s="98">
        <f>$C383*VLOOKUP($B383,FoodDB!$A$2:$I$1016,7,0)</f>
        <v>0</v>
      </c>
      <c r="I383" s="98">
        <f>$C383*VLOOKUP($B383,FoodDB!$A$2:$I$1016,8,0)</f>
        <v>0</v>
      </c>
      <c r="J383" s="98">
        <f>$C383*VLOOKUP($B383,FoodDB!$A$2:$I$1016,9,0)</f>
        <v>0</v>
      </c>
      <c r="K383" s="98"/>
      <c r="L383" s="98"/>
      <c r="M383" s="98"/>
      <c r="N383" s="98"/>
      <c r="O383" s="98"/>
      <c r="P383" s="98"/>
      <c r="Q383" s="98"/>
      <c r="R383" s="98"/>
      <c r="S383" s="98"/>
    </row>
    <row r="384" spans="1:19" x14ac:dyDescent="0.25">
      <c r="B384" s="94" t="s">
        <v>108</v>
      </c>
      <c r="C384" s="95">
        <v>1</v>
      </c>
      <c r="D384" s="98">
        <f>$C384*VLOOKUP($B384,FoodDB!$A$2:$I$1016,3,0)</f>
        <v>0</v>
      </c>
      <c r="E384" s="98">
        <f>$C384*VLOOKUP($B384,FoodDB!$A$2:$I$1016,4,0)</f>
        <v>0</v>
      </c>
      <c r="F384" s="98">
        <f>$C384*VLOOKUP($B384,FoodDB!$A$2:$I$1016,5,0)</f>
        <v>0</v>
      </c>
      <c r="G384" s="98">
        <f>$C384*VLOOKUP($B384,FoodDB!$A$2:$I$1016,6,0)</f>
        <v>0</v>
      </c>
      <c r="H384" s="98">
        <f>$C384*VLOOKUP($B384,FoodDB!$A$2:$I$1016,7,0)</f>
        <v>0</v>
      </c>
      <c r="I384" s="98">
        <f>$C384*VLOOKUP($B384,FoodDB!$A$2:$I$1016,8,0)</f>
        <v>0</v>
      </c>
      <c r="J384" s="98">
        <f>$C384*VLOOKUP($B384,FoodDB!$A$2:$I$1016,9,0)</f>
        <v>0</v>
      </c>
      <c r="K384" s="98"/>
      <c r="L384" s="98"/>
      <c r="M384" s="98"/>
      <c r="N384" s="98"/>
      <c r="O384" s="98"/>
      <c r="P384" s="98"/>
      <c r="Q384" s="98"/>
      <c r="R384" s="98"/>
      <c r="S384" s="98"/>
    </row>
    <row r="385" spans="1:19" x14ac:dyDescent="0.25">
      <c r="B385" s="94" t="s">
        <v>108</v>
      </c>
      <c r="C385" s="95">
        <v>1</v>
      </c>
      <c r="D385" s="98">
        <f>$C385*VLOOKUP($B385,FoodDB!$A$2:$I$1016,3,0)</f>
        <v>0</v>
      </c>
      <c r="E385" s="98">
        <f>$C385*VLOOKUP($B385,FoodDB!$A$2:$I$1016,4,0)</f>
        <v>0</v>
      </c>
      <c r="F385" s="98">
        <f>$C385*VLOOKUP($B385,FoodDB!$A$2:$I$1016,5,0)</f>
        <v>0</v>
      </c>
      <c r="G385" s="98">
        <f>$C385*VLOOKUP($B385,FoodDB!$A$2:$I$1016,6,0)</f>
        <v>0</v>
      </c>
      <c r="H385" s="98">
        <f>$C385*VLOOKUP($B385,FoodDB!$A$2:$I$1016,7,0)</f>
        <v>0</v>
      </c>
      <c r="I385" s="98">
        <f>$C385*VLOOKUP($B385,FoodDB!$A$2:$I$1016,8,0)</f>
        <v>0</v>
      </c>
      <c r="J385" s="98">
        <f>$C385*VLOOKUP($B385,FoodDB!$A$2:$I$1016,9,0)</f>
        <v>0</v>
      </c>
      <c r="K385" s="98"/>
      <c r="L385" s="98"/>
      <c r="M385" s="98"/>
      <c r="N385" s="98"/>
      <c r="O385" s="98"/>
      <c r="P385" s="98"/>
      <c r="Q385" s="98"/>
      <c r="R385" s="98"/>
      <c r="S385" s="98"/>
    </row>
    <row r="386" spans="1:19" x14ac:dyDescent="0.25">
      <c r="B386" s="94" t="s">
        <v>108</v>
      </c>
      <c r="C386" s="95">
        <v>1</v>
      </c>
      <c r="D386" s="98">
        <f>$C386*VLOOKUP($B386,FoodDB!$A$2:$I$1016,3,0)</f>
        <v>0</v>
      </c>
      <c r="E386" s="98">
        <f>$C386*VLOOKUP($B386,FoodDB!$A$2:$I$1016,4,0)</f>
        <v>0</v>
      </c>
      <c r="F386" s="98">
        <f>$C386*VLOOKUP($B386,FoodDB!$A$2:$I$1016,5,0)</f>
        <v>0</v>
      </c>
      <c r="G386" s="98">
        <f>$C386*VLOOKUP($B386,FoodDB!$A$2:$I$1016,6,0)</f>
        <v>0</v>
      </c>
      <c r="H386" s="98">
        <f>$C386*VLOOKUP($B386,FoodDB!$A$2:$I$1016,7,0)</f>
        <v>0</v>
      </c>
      <c r="I386" s="98">
        <f>$C386*VLOOKUP($B386,FoodDB!$A$2:$I$1016,8,0)</f>
        <v>0</v>
      </c>
      <c r="J386" s="98">
        <f>$C386*VLOOKUP($B386,FoodDB!$A$2:$I$1016,9,0)</f>
        <v>0</v>
      </c>
      <c r="K386" s="98"/>
      <c r="L386" s="98"/>
      <c r="M386" s="98"/>
      <c r="N386" s="98"/>
      <c r="O386" s="98"/>
      <c r="P386" s="98"/>
      <c r="Q386" s="98"/>
      <c r="R386" s="98"/>
      <c r="S386" s="98"/>
    </row>
    <row r="387" spans="1:19" x14ac:dyDescent="0.25">
      <c r="A387" t="s">
        <v>98</v>
      </c>
      <c r="D387" s="98"/>
      <c r="E387" s="98"/>
      <c r="F387" s="98"/>
      <c r="G387" s="98">
        <f>SUM(G380:G386)</f>
        <v>0</v>
      </c>
      <c r="H387" s="98">
        <f>SUM(H380:H386)</f>
        <v>0</v>
      </c>
      <c r="I387" s="98">
        <f>SUM(I380:I386)</f>
        <v>0</v>
      </c>
      <c r="J387" s="98">
        <f>SUM(G387:I387)</f>
        <v>0</v>
      </c>
      <c r="K387" s="98"/>
      <c r="L387" s="98"/>
      <c r="M387" s="98"/>
      <c r="N387" s="98"/>
      <c r="O387" s="98"/>
      <c r="P387" s="98"/>
      <c r="Q387" s="98"/>
      <c r="R387" s="98"/>
      <c r="S387" s="98"/>
    </row>
    <row r="388" spans="1:19" x14ac:dyDescent="0.25">
      <c r="A388" t="s">
        <v>102</v>
      </c>
      <c r="B388" t="s">
        <v>103</v>
      </c>
      <c r="D388" s="98"/>
      <c r="E388" s="98"/>
      <c r="F388" s="98"/>
      <c r="G388" s="98">
        <f>VLOOKUP($A380,LossChart!$A$3:$AB$105,14,0)</f>
        <v>526.87266724443771</v>
      </c>
      <c r="H388" s="98">
        <f>VLOOKUP($A380,LossChart!$A$3:$AB$105,15,0)</f>
        <v>80</v>
      </c>
      <c r="I388" s="98">
        <f>VLOOKUP($A380,LossChart!$A$3:$AB$105,16,0)</f>
        <v>477.30407413615825</v>
      </c>
      <c r="J388" s="98">
        <f>VLOOKUP($A380,LossChart!$A$3:$AB$105,17,0)</f>
        <v>1084.176741380596</v>
      </c>
      <c r="K388" s="98"/>
      <c r="L388" s="98"/>
      <c r="M388" s="98"/>
      <c r="N388" s="98"/>
      <c r="O388" s="98"/>
      <c r="P388" s="98"/>
      <c r="Q388" s="98"/>
      <c r="R388" s="98"/>
      <c r="S388" s="98"/>
    </row>
    <row r="389" spans="1:19" x14ac:dyDescent="0.25">
      <c r="A389" t="s">
        <v>104</v>
      </c>
      <c r="D389" s="98"/>
      <c r="E389" s="98"/>
      <c r="F389" s="98"/>
      <c r="G389" s="98">
        <f>G388-G387</f>
        <v>526.87266724443771</v>
      </c>
      <c r="H389" s="98">
        <f>H388-H387</f>
        <v>80</v>
      </c>
      <c r="I389" s="98">
        <f>I388-I387</f>
        <v>477.30407413615825</v>
      </c>
      <c r="J389" s="98">
        <f>J388-J387</f>
        <v>1084.176741380596</v>
      </c>
      <c r="K389" s="98"/>
      <c r="L389" s="98"/>
      <c r="M389" s="98"/>
      <c r="N389" s="98"/>
      <c r="O389" s="98"/>
      <c r="P389" s="98"/>
      <c r="Q389" s="98"/>
      <c r="R389" s="98"/>
      <c r="S389" s="98"/>
    </row>
    <row r="391" spans="1:19" ht="60" x14ac:dyDescent="0.25">
      <c r="A391" s="21" t="s">
        <v>63</v>
      </c>
      <c r="B391" s="21" t="s">
        <v>93</v>
      </c>
      <c r="C391" s="21" t="s">
        <v>94</v>
      </c>
      <c r="D391" s="92" t="str">
        <f>FoodDB!$C$1</f>
        <v>Fat
(g)</v>
      </c>
      <c r="E391" s="92" t="str">
        <f>FoodDB!$D$1</f>
        <v xml:space="preserve"> Carbs
(g)</v>
      </c>
      <c r="F391" s="92" t="str">
        <f>FoodDB!$E$1</f>
        <v>Protein
(g)</v>
      </c>
      <c r="G391" s="92" t="str">
        <f>FoodDB!$F$1</f>
        <v>Fat
(Cal)</v>
      </c>
      <c r="H391" s="92" t="str">
        <f>FoodDB!$G$1</f>
        <v>Carb
(Cal)</v>
      </c>
      <c r="I391" s="92" t="str">
        <f>FoodDB!$H$1</f>
        <v>Protein
(Cal)</v>
      </c>
      <c r="J391" s="92" t="str">
        <f>FoodDB!$I$1</f>
        <v>Total
Calories</v>
      </c>
      <c r="K391" s="92"/>
      <c r="L391" s="92" t="s">
        <v>110</v>
      </c>
      <c r="M391" s="92" t="s">
        <v>111</v>
      </c>
      <c r="N391" s="92" t="s">
        <v>112</v>
      </c>
      <c r="O391" s="92" t="s">
        <v>113</v>
      </c>
      <c r="P391" s="92" t="s">
        <v>118</v>
      </c>
      <c r="Q391" s="92" t="s">
        <v>119</v>
      </c>
      <c r="R391" s="92" t="s">
        <v>120</v>
      </c>
      <c r="S391" s="92" t="s">
        <v>121</v>
      </c>
    </row>
    <row r="392" spans="1:19" x14ac:dyDescent="0.25">
      <c r="A392" s="93">
        <f>A380+1</f>
        <v>43026</v>
      </c>
      <c r="B392" s="94" t="s">
        <v>108</v>
      </c>
      <c r="C392" s="95">
        <v>1</v>
      </c>
      <c r="D392" s="98">
        <f>$C392*VLOOKUP($B392,FoodDB!$A$2:$I$1016,3,0)</f>
        <v>0</v>
      </c>
      <c r="E392" s="98">
        <f>$C392*VLOOKUP($B392,FoodDB!$A$2:$I$1016,4,0)</f>
        <v>0</v>
      </c>
      <c r="F392" s="98">
        <f>$C392*VLOOKUP($B392,FoodDB!$A$2:$I$1016,5,0)</f>
        <v>0</v>
      </c>
      <c r="G392" s="98">
        <f>$C392*VLOOKUP($B392,FoodDB!$A$2:$I$1016,6,0)</f>
        <v>0</v>
      </c>
      <c r="H392" s="98">
        <f>$C392*VLOOKUP($B392,FoodDB!$A$2:$I$1016,7,0)</f>
        <v>0</v>
      </c>
      <c r="I392" s="98">
        <f>$C392*VLOOKUP($B392,FoodDB!$A$2:$I$1016,8,0)</f>
        <v>0</v>
      </c>
      <c r="J392" s="98">
        <f>$C392*VLOOKUP($B392,FoodDB!$A$2:$I$1016,9,0)</f>
        <v>0</v>
      </c>
      <c r="K392" s="98"/>
      <c r="L392" s="98">
        <f>SUM(G392:G398)</f>
        <v>0</v>
      </c>
      <c r="M392" s="98">
        <f>SUM(H392:H398)</f>
        <v>0</v>
      </c>
      <c r="N392" s="98">
        <f>SUM(I392:I398)</f>
        <v>0</v>
      </c>
      <c r="O392" s="98">
        <f>SUM(L392:N392)</f>
        <v>0</v>
      </c>
      <c r="P392" s="98">
        <f>VLOOKUP($A392,LossChart!$A$3:$AB$105,14,0)-L392</f>
        <v>533.70852825805832</v>
      </c>
      <c r="Q392" s="98">
        <f>VLOOKUP($A392,LossChart!$A$3:$AB$105,15,0)-M392</f>
        <v>80</v>
      </c>
      <c r="R392" s="98">
        <f>VLOOKUP($A392,LossChart!$A$3:$AB$105,16,0)-N392</f>
        <v>477.30407413615825</v>
      </c>
      <c r="S392" s="98">
        <f>VLOOKUP($A392,LossChart!$A$3:$AB$105,17,0)-O392</f>
        <v>1091.0126023942166</v>
      </c>
    </row>
    <row r="393" spans="1:19" x14ac:dyDescent="0.25">
      <c r="B393" s="94" t="s">
        <v>108</v>
      </c>
      <c r="C393" s="95">
        <v>1</v>
      </c>
      <c r="D393" s="98">
        <f>$C393*VLOOKUP($B393,FoodDB!$A$2:$I$1016,3,0)</f>
        <v>0</v>
      </c>
      <c r="E393" s="98">
        <f>$C393*VLOOKUP($B393,FoodDB!$A$2:$I$1016,4,0)</f>
        <v>0</v>
      </c>
      <c r="F393" s="98">
        <f>$C393*VLOOKUP($B393,FoodDB!$A$2:$I$1016,5,0)</f>
        <v>0</v>
      </c>
      <c r="G393" s="98">
        <f>$C393*VLOOKUP($B393,FoodDB!$A$2:$I$1016,6,0)</f>
        <v>0</v>
      </c>
      <c r="H393" s="98">
        <f>$C393*VLOOKUP($B393,FoodDB!$A$2:$I$1016,7,0)</f>
        <v>0</v>
      </c>
      <c r="I393" s="98">
        <f>$C393*VLOOKUP($B393,FoodDB!$A$2:$I$1016,8,0)</f>
        <v>0</v>
      </c>
      <c r="J393" s="98">
        <f>$C393*VLOOKUP($B393,FoodDB!$A$2:$I$1016,9,0)</f>
        <v>0</v>
      </c>
      <c r="K393" s="98"/>
      <c r="L393" s="98"/>
      <c r="M393" s="98"/>
      <c r="N393" s="98"/>
      <c r="O393" s="98"/>
      <c r="P393" s="98"/>
      <c r="Q393" s="98"/>
      <c r="R393" s="98"/>
      <c r="S393" s="98"/>
    </row>
    <row r="394" spans="1:19" x14ac:dyDescent="0.25">
      <c r="B394" s="94" t="s">
        <v>108</v>
      </c>
      <c r="C394" s="95">
        <v>1</v>
      </c>
      <c r="D394" s="98">
        <f>$C394*VLOOKUP($B394,FoodDB!$A$2:$I$1016,3,0)</f>
        <v>0</v>
      </c>
      <c r="E394" s="98">
        <f>$C394*VLOOKUP($B394,FoodDB!$A$2:$I$1016,4,0)</f>
        <v>0</v>
      </c>
      <c r="F394" s="98">
        <f>$C394*VLOOKUP($B394,FoodDB!$A$2:$I$1016,5,0)</f>
        <v>0</v>
      </c>
      <c r="G394" s="98">
        <f>$C394*VLOOKUP($B394,FoodDB!$A$2:$I$1016,6,0)</f>
        <v>0</v>
      </c>
      <c r="H394" s="98">
        <f>$C394*VLOOKUP($B394,FoodDB!$A$2:$I$1016,7,0)</f>
        <v>0</v>
      </c>
      <c r="I394" s="98">
        <f>$C394*VLOOKUP($B394,FoodDB!$A$2:$I$1016,8,0)</f>
        <v>0</v>
      </c>
      <c r="J394" s="98">
        <f>$C394*VLOOKUP($B394,FoodDB!$A$2:$I$1016,9,0)</f>
        <v>0</v>
      </c>
      <c r="K394" s="98"/>
      <c r="L394" s="98"/>
      <c r="M394" s="98"/>
      <c r="N394" s="98"/>
      <c r="O394" s="98"/>
      <c r="P394" s="98"/>
      <c r="Q394" s="98"/>
      <c r="R394" s="98"/>
      <c r="S394" s="98"/>
    </row>
    <row r="395" spans="1:19" x14ac:dyDescent="0.25">
      <c r="B395" s="94" t="s">
        <v>108</v>
      </c>
      <c r="C395" s="95">
        <v>1</v>
      </c>
      <c r="D395" s="98">
        <f>$C395*VLOOKUP($B395,FoodDB!$A$2:$I$1016,3,0)</f>
        <v>0</v>
      </c>
      <c r="E395" s="98">
        <f>$C395*VLOOKUP($B395,FoodDB!$A$2:$I$1016,4,0)</f>
        <v>0</v>
      </c>
      <c r="F395" s="98">
        <f>$C395*VLOOKUP($B395,FoodDB!$A$2:$I$1016,5,0)</f>
        <v>0</v>
      </c>
      <c r="G395" s="98">
        <f>$C395*VLOOKUP($B395,FoodDB!$A$2:$I$1016,6,0)</f>
        <v>0</v>
      </c>
      <c r="H395" s="98">
        <f>$C395*VLOOKUP($B395,FoodDB!$A$2:$I$1016,7,0)</f>
        <v>0</v>
      </c>
      <c r="I395" s="98">
        <f>$C395*VLOOKUP($B395,FoodDB!$A$2:$I$1016,8,0)</f>
        <v>0</v>
      </c>
      <c r="J395" s="98">
        <f>$C395*VLOOKUP($B395,FoodDB!$A$2:$I$1016,9,0)</f>
        <v>0</v>
      </c>
      <c r="K395" s="98"/>
      <c r="L395" s="98"/>
      <c r="M395" s="98"/>
      <c r="N395" s="98"/>
      <c r="O395" s="98"/>
      <c r="P395" s="98"/>
      <c r="Q395" s="98"/>
      <c r="R395" s="98"/>
      <c r="S395" s="98"/>
    </row>
    <row r="396" spans="1:19" x14ac:dyDescent="0.25">
      <c r="B396" s="94" t="s">
        <v>108</v>
      </c>
      <c r="C396" s="95">
        <v>1</v>
      </c>
      <c r="D396" s="98">
        <f>$C396*VLOOKUP($B396,FoodDB!$A$2:$I$1016,3,0)</f>
        <v>0</v>
      </c>
      <c r="E396" s="98">
        <f>$C396*VLOOKUP($B396,FoodDB!$A$2:$I$1016,4,0)</f>
        <v>0</v>
      </c>
      <c r="F396" s="98">
        <f>$C396*VLOOKUP($B396,FoodDB!$A$2:$I$1016,5,0)</f>
        <v>0</v>
      </c>
      <c r="G396" s="98">
        <f>$C396*VLOOKUP($B396,FoodDB!$A$2:$I$1016,6,0)</f>
        <v>0</v>
      </c>
      <c r="H396" s="98">
        <f>$C396*VLOOKUP($B396,FoodDB!$A$2:$I$1016,7,0)</f>
        <v>0</v>
      </c>
      <c r="I396" s="98">
        <f>$C396*VLOOKUP($B396,FoodDB!$A$2:$I$1016,8,0)</f>
        <v>0</v>
      </c>
      <c r="J396" s="98">
        <f>$C396*VLOOKUP($B396,FoodDB!$A$2:$I$1016,9,0)</f>
        <v>0</v>
      </c>
      <c r="K396" s="98"/>
      <c r="L396" s="98"/>
      <c r="M396" s="98"/>
      <c r="N396" s="98"/>
      <c r="O396" s="98"/>
      <c r="P396" s="98"/>
      <c r="Q396" s="98"/>
      <c r="R396" s="98"/>
      <c r="S396" s="98"/>
    </row>
    <row r="397" spans="1:19" x14ac:dyDescent="0.25">
      <c r="B397" s="94" t="s">
        <v>108</v>
      </c>
      <c r="C397" s="95">
        <v>1</v>
      </c>
      <c r="D397" s="98">
        <f>$C397*VLOOKUP($B397,FoodDB!$A$2:$I$1016,3,0)</f>
        <v>0</v>
      </c>
      <c r="E397" s="98">
        <f>$C397*VLOOKUP($B397,FoodDB!$A$2:$I$1016,4,0)</f>
        <v>0</v>
      </c>
      <c r="F397" s="98">
        <f>$C397*VLOOKUP($B397,FoodDB!$A$2:$I$1016,5,0)</f>
        <v>0</v>
      </c>
      <c r="G397" s="98">
        <f>$C397*VLOOKUP($B397,FoodDB!$A$2:$I$1016,6,0)</f>
        <v>0</v>
      </c>
      <c r="H397" s="98">
        <f>$C397*VLOOKUP($B397,FoodDB!$A$2:$I$1016,7,0)</f>
        <v>0</v>
      </c>
      <c r="I397" s="98">
        <f>$C397*VLOOKUP($B397,FoodDB!$A$2:$I$1016,8,0)</f>
        <v>0</v>
      </c>
      <c r="J397" s="98">
        <f>$C397*VLOOKUP($B397,FoodDB!$A$2:$I$1016,9,0)</f>
        <v>0</v>
      </c>
      <c r="K397" s="98"/>
      <c r="L397" s="98"/>
      <c r="M397" s="98"/>
      <c r="N397" s="98"/>
      <c r="O397" s="98"/>
      <c r="P397" s="98"/>
      <c r="Q397" s="98"/>
      <c r="R397" s="98"/>
      <c r="S397" s="98"/>
    </row>
    <row r="398" spans="1:19" x14ac:dyDescent="0.25">
      <c r="B398" s="94" t="s">
        <v>108</v>
      </c>
      <c r="C398" s="95">
        <v>1</v>
      </c>
      <c r="D398" s="98">
        <f>$C398*VLOOKUP($B398,FoodDB!$A$2:$I$1016,3,0)</f>
        <v>0</v>
      </c>
      <c r="E398" s="98">
        <f>$C398*VLOOKUP($B398,FoodDB!$A$2:$I$1016,4,0)</f>
        <v>0</v>
      </c>
      <c r="F398" s="98">
        <f>$C398*VLOOKUP($B398,FoodDB!$A$2:$I$1016,5,0)</f>
        <v>0</v>
      </c>
      <c r="G398" s="98">
        <f>$C398*VLOOKUP($B398,FoodDB!$A$2:$I$1016,6,0)</f>
        <v>0</v>
      </c>
      <c r="H398" s="98">
        <f>$C398*VLOOKUP($B398,FoodDB!$A$2:$I$1016,7,0)</f>
        <v>0</v>
      </c>
      <c r="I398" s="98">
        <f>$C398*VLOOKUP($B398,FoodDB!$A$2:$I$1016,8,0)</f>
        <v>0</v>
      </c>
      <c r="J398" s="98">
        <f>$C398*VLOOKUP($B398,FoodDB!$A$2:$I$1016,9,0)</f>
        <v>0</v>
      </c>
      <c r="K398" s="98"/>
      <c r="L398" s="98"/>
      <c r="M398" s="98"/>
      <c r="N398" s="98"/>
      <c r="O398" s="98"/>
      <c r="P398" s="98"/>
      <c r="Q398" s="98"/>
      <c r="R398" s="98"/>
      <c r="S398" s="98"/>
    </row>
    <row r="399" spans="1:19" x14ac:dyDescent="0.25">
      <c r="A399" t="s">
        <v>98</v>
      </c>
      <c r="D399" s="98"/>
      <c r="E399" s="98"/>
      <c r="F399" s="98"/>
      <c r="G399" s="98">
        <f>SUM(G392:G398)</f>
        <v>0</v>
      </c>
      <c r="H399" s="98">
        <f>SUM(H392:H398)</f>
        <v>0</v>
      </c>
      <c r="I399" s="98">
        <f>SUM(I392:I398)</f>
        <v>0</v>
      </c>
      <c r="J399" s="98">
        <f>SUM(G399:I399)</f>
        <v>0</v>
      </c>
      <c r="K399" s="98"/>
      <c r="L399" s="98"/>
      <c r="M399" s="98"/>
      <c r="N399" s="98"/>
      <c r="O399" s="98"/>
      <c r="P399" s="98"/>
      <c r="Q399" s="98"/>
      <c r="R399" s="98"/>
      <c r="S399" s="98"/>
    </row>
    <row r="400" spans="1:19" x14ac:dyDescent="0.25">
      <c r="A400" t="s">
        <v>102</v>
      </c>
      <c r="B400" t="s">
        <v>103</v>
      </c>
      <c r="D400" s="98"/>
      <c r="E400" s="98"/>
      <c r="F400" s="98"/>
      <c r="G400" s="98">
        <f>VLOOKUP($A392,LossChart!$A$3:$AB$105,14,0)</f>
        <v>533.70852825805832</v>
      </c>
      <c r="H400" s="98">
        <f>VLOOKUP($A392,LossChart!$A$3:$AB$105,15,0)</f>
        <v>80</v>
      </c>
      <c r="I400" s="98">
        <f>VLOOKUP($A392,LossChart!$A$3:$AB$105,16,0)</f>
        <v>477.30407413615825</v>
      </c>
      <c r="J400" s="98">
        <f>VLOOKUP($A392,LossChart!$A$3:$AB$105,17,0)</f>
        <v>1091.0126023942166</v>
      </c>
      <c r="K400" s="98"/>
      <c r="L400" s="98"/>
      <c r="M400" s="98"/>
      <c r="N400" s="98"/>
      <c r="O400" s="98"/>
      <c r="P400" s="98"/>
      <c r="Q400" s="98"/>
      <c r="R400" s="98"/>
      <c r="S400" s="98"/>
    </row>
    <row r="401" spans="1:19" x14ac:dyDescent="0.25">
      <c r="A401" t="s">
        <v>104</v>
      </c>
      <c r="D401" s="98"/>
      <c r="E401" s="98"/>
      <c r="F401" s="98"/>
      <c r="G401" s="98">
        <f>G400-G399</f>
        <v>533.70852825805832</v>
      </c>
      <c r="H401" s="98">
        <f>H400-H399</f>
        <v>80</v>
      </c>
      <c r="I401" s="98">
        <f>I400-I399</f>
        <v>477.30407413615825</v>
      </c>
      <c r="J401" s="98">
        <f>J400-J399</f>
        <v>1091.0126023942166</v>
      </c>
      <c r="K401" s="98"/>
      <c r="L401" s="98"/>
      <c r="M401" s="98"/>
      <c r="N401" s="98"/>
      <c r="O401" s="98"/>
      <c r="P401" s="98"/>
      <c r="Q401" s="98"/>
      <c r="R401" s="98"/>
      <c r="S401" s="98"/>
    </row>
    <row r="403" spans="1:19" ht="60" x14ac:dyDescent="0.25">
      <c r="A403" s="21" t="s">
        <v>63</v>
      </c>
      <c r="B403" s="21" t="s">
        <v>93</v>
      </c>
      <c r="C403" s="21" t="s">
        <v>94</v>
      </c>
      <c r="D403" s="92" t="str">
        <f>FoodDB!$C$1</f>
        <v>Fat
(g)</v>
      </c>
      <c r="E403" s="92" t="str">
        <f>FoodDB!$D$1</f>
        <v xml:space="preserve"> Carbs
(g)</v>
      </c>
      <c r="F403" s="92" t="str">
        <f>FoodDB!$E$1</f>
        <v>Protein
(g)</v>
      </c>
      <c r="G403" s="92" t="str">
        <f>FoodDB!$F$1</f>
        <v>Fat
(Cal)</v>
      </c>
      <c r="H403" s="92" t="str">
        <f>FoodDB!$G$1</f>
        <v>Carb
(Cal)</v>
      </c>
      <c r="I403" s="92" t="str">
        <f>FoodDB!$H$1</f>
        <v>Protein
(Cal)</v>
      </c>
      <c r="J403" s="92" t="str">
        <f>FoodDB!$I$1</f>
        <v>Total
Calories</v>
      </c>
      <c r="K403" s="92"/>
      <c r="L403" s="92" t="s">
        <v>110</v>
      </c>
      <c r="M403" s="92" t="s">
        <v>111</v>
      </c>
      <c r="N403" s="92" t="s">
        <v>112</v>
      </c>
      <c r="O403" s="92" t="s">
        <v>113</v>
      </c>
      <c r="P403" s="92" t="s">
        <v>118</v>
      </c>
      <c r="Q403" s="92" t="s">
        <v>119</v>
      </c>
      <c r="R403" s="92" t="s">
        <v>120</v>
      </c>
      <c r="S403" s="92" t="s">
        <v>121</v>
      </c>
    </row>
    <row r="404" spans="1:19" x14ac:dyDescent="0.25">
      <c r="A404" s="93">
        <f>A392+1</f>
        <v>43027</v>
      </c>
      <c r="B404" s="94" t="s">
        <v>108</v>
      </c>
      <c r="C404" s="95">
        <v>1</v>
      </c>
      <c r="D404" s="98">
        <f>$C404*VLOOKUP($B404,FoodDB!$A$2:$I$1016,3,0)</f>
        <v>0</v>
      </c>
      <c r="E404" s="98">
        <f>$C404*VLOOKUP($B404,FoodDB!$A$2:$I$1016,4,0)</f>
        <v>0</v>
      </c>
      <c r="F404" s="98">
        <f>$C404*VLOOKUP($B404,FoodDB!$A$2:$I$1016,5,0)</f>
        <v>0</v>
      </c>
      <c r="G404" s="98">
        <f>$C404*VLOOKUP($B404,FoodDB!$A$2:$I$1016,6,0)</f>
        <v>0</v>
      </c>
      <c r="H404" s="98">
        <f>$C404*VLOOKUP($B404,FoodDB!$A$2:$I$1016,7,0)</f>
        <v>0</v>
      </c>
      <c r="I404" s="98">
        <f>$C404*VLOOKUP($B404,FoodDB!$A$2:$I$1016,8,0)</f>
        <v>0</v>
      </c>
      <c r="J404" s="98">
        <f>$C404*VLOOKUP($B404,FoodDB!$A$2:$I$1016,9,0)</f>
        <v>0</v>
      </c>
      <c r="K404" s="98"/>
      <c r="L404" s="98">
        <f>SUM(G404:G410)</f>
        <v>0</v>
      </c>
      <c r="M404" s="98">
        <f>SUM(H404:H410)</f>
        <v>0</v>
      </c>
      <c r="N404" s="98">
        <f>SUM(I404:I410)</f>
        <v>0</v>
      </c>
      <c r="O404" s="98">
        <f>SUM(L404:N404)</f>
        <v>0</v>
      </c>
      <c r="P404" s="98">
        <f>VLOOKUP($A404,LossChart!$A$3:$AB$105,14,0)-L404</f>
        <v>540.48384307412994</v>
      </c>
      <c r="Q404" s="98">
        <f>VLOOKUP($A404,LossChart!$A$3:$AB$105,15,0)-M404</f>
        <v>80</v>
      </c>
      <c r="R404" s="98">
        <f>VLOOKUP($A404,LossChart!$A$3:$AB$105,16,0)-N404</f>
        <v>477.30407413615825</v>
      </c>
      <c r="S404" s="98">
        <f>VLOOKUP($A404,LossChart!$A$3:$AB$105,17,0)-O404</f>
        <v>1097.7879172102882</v>
      </c>
    </row>
    <row r="405" spans="1:19" x14ac:dyDescent="0.25">
      <c r="B405" s="94" t="s">
        <v>108</v>
      </c>
      <c r="C405" s="95">
        <v>1</v>
      </c>
      <c r="D405" s="98">
        <f>$C405*VLOOKUP($B405,FoodDB!$A$2:$I$1016,3,0)</f>
        <v>0</v>
      </c>
      <c r="E405" s="98">
        <f>$C405*VLOOKUP($B405,FoodDB!$A$2:$I$1016,4,0)</f>
        <v>0</v>
      </c>
      <c r="F405" s="98">
        <f>$C405*VLOOKUP($B405,FoodDB!$A$2:$I$1016,5,0)</f>
        <v>0</v>
      </c>
      <c r="G405" s="98">
        <f>$C405*VLOOKUP($B405,FoodDB!$A$2:$I$1016,6,0)</f>
        <v>0</v>
      </c>
      <c r="H405" s="98">
        <f>$C405*VLOOKUP($B405,FoodDB!$A$2:$I$1016,7,0)</f>
        <v>0</v>
      </c>
      <c r="I405" s="98">
        <f>$C405*VLOOKUP($B405,FoodDB!$A$2:$I$1016,8,0)</f>
        <v>0</v>
      </c>
      <c r="J405" s="98">
        <f>$C405*VLOOKUP($B405,FoodDB!$A$2:$I$1016,9,0)</f>
        <v>0</v>
      </c>
      <c r="K405" s="98"/>
      <c r="L405" s="98"/>
      <c r="M405" s="98"/>
      <c r="N405" s="98"/>
      <c r="O405" s="98"/>
      <c r="P405" s="98"/>
      <c r="Q405" s="98"/>
      <c r="R405" s="98"/>
      <c r="S405" s="98"/>
    </row>
    <row r="406" spans="1:19" x14ac:dyDescent="0.25">
      <c r="B406" s="94" t="s">
        <v>108</v>
      </c>
      <c r="C406" s="95">
        <v>1</v>
      </c>
      <c r="D406" s="98">
        <f>$C406*VLOOKUP($B406,FoodDB!$A$2:$I$1016,3,0)</f>
        <v>0</v>
      </c>
      <c r="E406" s="98">
        <f>$C406*VLOOKUP($B406,FoodDB!$A$2:$I$1016,4,0)</f>
        <v>0</v>
      </c>
      <c r="F406" s="98">
        <f>$C406*VLOOKUP($B406,FoodDB!$A$2:$I$1016,5,0)</f>
        <v>0</v>
      </c>
      <c r="G406" s="98">
        <f>$C406*VLOOKUP($B406,FoodDB!$A$2:$I$1016,6,0)</f>
        <v>0</v>
      </c>
      <c r="H406" s="98">
        <f>$C406*VLOOKUP($B406,FoodDB!$A$2:$I$1016,7,0)</f>
        <v>0</v>
      </c>
      <c r="I406" s="98">
        <f>$C406*VLOOKUP($B406,FoodDB!$A$2:$I$1016,8,0)</f>
        <v>0</v>
      </c>
      <c r="J406" s="98">
        <f>$C406*VLOOKUP($B406,FoodDB!$A$2:$I$1016,9,0)</f>
        <v>0</v>
      </c>
      <c r="K406" s="98"/>
      <c r="L406" s="98"/>
      <c r="M406" s="98"/>
      <c r="N406" s="98"/>
      <c r="O406" s="98"/>
      <c r="P406" s="98"/>
      <c r="Q406" s="98"/>
      <c r="R406" s="98"/>
      <c r="S406" s="98"/>
    </row>
    <row r="407" spans="1:19" x14ac:dyDescent="0.25">
      <c r="B407" s="94" t="s">
        <v>108</v>
      </c>
      <c r="C407" s="95">
        <v>1</v>
      </c>
      <c r="D407" s="98">
        <f>$C407*VLOOKUP($B407,FoodDB!$A$2:$I$1016,3,0)</f>
        <v>0</v>
      </c>
      <c r="E407" s="98">
        <f>$C407*VLOOKUP($B407,FoodDB!$A$2:$I$1016,4,0)</f>
        <v>0</v>
      </c>
      <c r="F407" s="98">
        <f>$C407*VLOOKUP($B407,FoodDB!$A$2:$I$1016,5,0)</f>
        <v>0</v>
      </c>
      <c r="G407" s="98">
        <f>$C407*VLOOKUP($B407,FoodDB!$A$2:$I$1016,6,0)</f>
        <v>0</v>
      </c>
      <c r="H407" s="98">
        <f>$C407*VLOOKUP($B407,FoodDB!$A$2:$I$1016,7,0)</f>
        <v>0</v>
      </c>
      <c r="I407" s="98">
        <f>$C407*VLOOKUP($B407,FoodDB!$A$2:$I$1016,8,0)</f>
        <v>0</v>
      </c>
      <c r="J407" s="98">
        <f>$C407*VLOOKUP($B407,FoodDB!$A$2:$I$1016,9,0)</f>
        <v>0</v>
      </c>
      <c r="K407" s="98"/>
      <c r="L407" s="98"/>
      <c r="M407" s="98"/>
      <c r="N407" s="98"/>
      <c r="O407" s="98"/>
      <c r="P407" s="98"/>
      <c r="Q407" s="98"/>
      <c r="R407" s="98"/>
      <c r="S407" s="98"/>
    </row>
    <row r="408" spans="1:19" x14ac:dyDescent="0.25">
      <c r="B408" s="94" t="s">
        <v>108</v>
      </c>
      <c r="C408" s="95">
        <v>1</v>
      </c>
      <c r="D408" s="98">
        <f>$C408*VLOOKUP($B408,FoodDB!$A$2:$I$1016,3,0)</f>
        <v>0</v>
      </c>
      <c r="E408" s="98">
        <f>$C408*VLOOKUP($B408,FoodDB!$A$2:$I$1016,4,0)</f>
        <v>0</v>
      </c>
      <c r="F408" s="98">
        <f>$C408*VLOOKUP($B408,FoodDB!$A$2:$I$1016,5,0)</f>
        <v>0</v>
      </c>
      <c r="G408" s="98">
        <f>$C408*VLOOKUP($B408,FoodDB!$A$2:$I$1016,6,0)</f>
        <v>0</v>
      </c>
      <c r="H408" s="98">
        <f>$C408*VLOOKUP($B408,FoodDB!$A$2:$I$1016,7,0)</f>
        <v>0</v>
      </c>
      <c r="I408" s="98">
        <f>$C408*VLOOKUP($B408,FoodDB!$A$2:$I$1016,8,0)</f>
        <v>0</v>
      </c>
      <c r="J408" s="98">
        <f>$C408*VLOOKUP($B408,FoodDB!$A$2:$I$1016,9,0)</f>
        <v>0</v>
      </c>
      <c r="K408" s="98"/>
      <c r="L408" s="98"/>
      <c r="M408" s="98"/>
      <c r="N408" s="98"/>
      <c r="O408" s="98"/>
      <c r="P408" s="98"/>
      <c r="Q408" s="98"/>
      <c r="R408" s="98"/>
      <c r="S408" s="98"/>
    </row>
    <row r="409" spans="1:19" x14ac:dyDescent="0.25">
      <c r="B409" s="94" t="s">
        <v>108</v>
      </c>
      <c r="C409" s="95">
        <v>1</v>
      </c>
      <c r="D409" s="98">
        <f>$C409*VLOOKUP($B409,FoodDB!$A$2:$I$1016,3,0)</f>
        <v>0</v>
      </c>
      <c r="E409" s="98">
        <f>$C409*VLOOKUP($B409,FoodDB!$A$2:$I$1016,4,0)</f>
        <v>0</v>
      </c>
      <c r="F409" s="98">
        <f>$C409*VLOOKUP($B409,FoodDB!$A$2:$I$1016,5,0)</f>
        <v>0</v>
      </c>
      <c r="G409" s="98">
        <f>$C409*VLOOKUP($B409,FoodDB!$A$2:$I$1016,6,0)</f>
        <v>0</v>
      </c>
      <c r="H409" s="98">
        <f>$C409*VLOOKUP($B409,FoodDB!$A$2:$I$1016,7,0)</f>
        <v>0</v>
      </c>
      <c r="I409" s="98">
        <f>$C409*VLOOKUP($B409,FoodDB!$A$2:$I$1016,8,0)</f>
        <v>0</v>
      </c>
      <c r="J409" s="98">
        <f>$C409*VLOOKUP($B409,FoodDB!$A$2:$I$1016,9,0)</f>
        <v>0</v>
      </c>
      <c r="K409" s="98"/>
      <c r="L409" s="98"/>
      <c r="M409" s="98"/>
      <c r="N409" s="98"/>
      <c r="O409" s="98"/>
      <c r="P409" s="98"/>
      <c r="Q409" s="98"/>
      <c r="R409" s="98"/>
      <c r="S409" s="98"/>
    </row>
    <row r="410" spans="1:19" x14ac:dyDescent="0.25">
      <c r="B410" s="94" t="s">
        <v>108</v>
      </c>
      <c r="C410" s="95">
        <v>1</v>
      </c>
      <c r="D410" s="98">
        <f>$C410*VLOOKUP($B410,FoodDB!$A$2:$I$1016,3,0)</f>
        <v>0</v>
      </c>
      <c r="E410" s="98">
        <f>$C410*VLOOKUP($B410,FoodDB!$A$2:$I$1016,4,0)</f>
        <v>0</v>
      </c>
      <c r="F410" s="98">
        <f>$C410*VLOOKUP($B410,FoodDB!$A$2:$I$1016,5,0)</f>
        <v>0</v>
      </c>
      <c r="G410" s="98">
        <f>$C410*VLOOKUP($B410,FoodDB!$A$2:$I$1016,6,0)</f>
        <v>0</v>
      </c>
      <c r="H410" s="98">
        <f>$C410*VLOOKUP($B410,FoodDB!$A$2:$I$1016,7,0)</f>
        <v>0</v>
      </c>
      <c r="I410" s="98">
        <f>$C410*VLOOKUP($B410,FoodDB!$A$2:$I$1016,8,0)</f>
        <v>0</v>
      </c>
      <c r="J410" s="98">
        <f>$C410*VLOOKUP($B410,FoodDB!$A$2:$I$1016,9,0)</f>
        <v>0</v>
      </c>
      <c r="K410" s="98"/>
      <c r="L410" s="98"/>
      <c r="M410" s="98"/>
      <c r="N410" s="98"/>
      <c r="O410" s="98"/>
      <c r="P410" s="98"/>
      <c r="Q410" s="98"/>
      <c r="R410" s="98"/>
      <c r="S410" s="98"/>
    </row>
    <row r="411" spans="1:19" x14ac:dyDescent="0.25">
      <c r="A411" t="s">
        <v>98</v>
      </c>
      <c r="D411" s="98"/>
      <c r="E411" s="98"/>
      <c r="F411" s="98"/>
      <c r="G411" s="98">
        <f>SUM(G404:G410)</f>
        <v>0</v>
      </c>
      <c r="H411" s="98">
        <f>SUM(H404:H410)</f>
        <v>0</v>
      </c>
      <c r="I411" s="98">
        <f>SUM(I404:I410)</f>
        <v>0</v>
      </c>
      <c r="J411" s="98">
        <f>SUM(G411:I411)</f>
        <v>0</v>
      </c>
      <c r="K411" s="98"/>
      <c r="L411" s="98"/>
      <c r="M411" s="98"/>
      <c r="N411" s="98"/>
      <c r="O411" s="98"/>
      <c r="P411" s="98"/>
      <c r="Q411" s="98"/>
      <c r="R411" s="98"/>
      <c r="S411" s="98"/>
    </row>
    <row r="412" spans="1:19" x14ac:dyDescent="0.25">
      <c r="A412" t="s">
        <v>102</v>
      </c>
      <c r="B412" t="s">
        <v>103</v>
      </c>
      <c r="D412" s="98"/>
      <c r="E412" s="98"/>
      <c r="F412" s="98"/>
      <c r="G412" s="98">
        <f>VLOOKUP($A404,LossChart!$A$3:$AB$105,14,0)</f>
        <v>540.48384307412994</v>
      </c>
      <c r="H412" s="98">
        <f>VLOOKUP($A404,LossChart!$A$3:$AB$105,15,0)</f>
        <v>80</v>
      </c>
      <c r="I412" s="98">
        <f>VLOOKUP($A404,LossChart!$A$3:$AB$105,16,0)</f>
        <v>477.30407413615825</v>
      </c>
      <c r="J412" s="98">
        <f>VLOOKUP($A404,LossChart!$A$3:$AB$105,17,0)</f>
        <v>1097.7879172102882</v>
      </c>
      <c r="K412" s="98"/>
      <c r="L412" s="98"/>
      <c r="M412" s="98"/>
      <c r="N412" s="98"/>
      <c r="O412" s="98"/>
      <c r="P412" s="98"/>
      <c r="Q412" s="98"/>
      <c r="R412" s="98"/>
      <c r="S412" s="98"/>
    </row>
    <row r="413" spans="1:19" x14ac:dyDescent="0.25">
      <c r="A413" t="s">
        <v>104</v>
      </c>
      <c r="D413" s="98"/>
      <c r="E413" s="98"/>
      <c r="F413" s="98"/>
      <c r="G413" s="98">
        <f>G412-G411</f>
        <v>540.48384307412994</v>
      </c>
      <c r="H413" s="98">
        <f>H412-H411</f>
        <v>80</v>
      </c>
      <c r="I413" s="98">
        <f>I412-I411</f>
        <v>477.30407413615825</v>
      </c>
      <c r="J413" s="98">
        <f>J412-J411</f>
        <v>1097.7879172102882</v>
      </c>
      <c r="K413" s="98"/>
      <c r="L413" s="98"/>
      <c r="M413" s="98"/>
      <c r="N413" s="98"/>
      <c r="O413" s="98"/>
      <c r="P413" s="98"/>
      <c r="Q413" s="98"/>
      <c r="R413" s="98"/>
      <c r="S413" s="98"/>
    </row>
    <row r="415" spans="1:19" ht="60" x14ac:dyDescent="0.25">
      <c r="A415" s="21" t="s">
        <v>63</v>
      </c>
      <c r="B415" s="21" t="s">
        <v>93</v>
      </c>
      <c r="C415" s="21" t="s">
        <v>94</v>
      </c>
      <c r="D415" s="92" t="str">
        <f>FoodDB!$C$1</f>
        <v>Fat
(g)</v>
      </c>
      <c r="E415" s="92" t="str">
        <f>FoodDB!$D$1</f>
        <v xml:space="preserve"> Carbs
(g)</v>
      </c>
      <c r="F415" s="92" t="str">
        <f>FoodDB!$E$1</f>
        <v>Protein
(g)</v>
      </c>
      <c r="G415" s="92" t="str">
        <f>FoodDB!$F$1</f>
        <v>Fat
(Cal)</v>
      </c>
      <c r="H415" s="92" t="str">
        <f>FoodDB!$G$1</f>
        <v>Carb
(Cal)</v>
      </c>
      <c r="I415" s="92" t="str">
        <f>FoodDB!$H$1</f>
        <v>Protein
(Cal)</v>
      </c>
      <c r="J415" s="92" t="str">
        <f>FoodDB!$I$1</f>
        <v>Total
Calories</v>
      </c>
      <c r="K415" s="92"/>
      <c r="L415" s="92" t="s">
        <v>110</v>
      </c>
      <c r="M415" s="92" t="s">
        <v>111</v>
      </c>
      <c r="N415" s="92" t="s">
        <v>112</v>
      </c>
      <c r="O415" s="92" t="s">
        <v>113</v>
      </c>
      <c r="P415" s="92" t="s">
        <v>118</v>
      </c>
      <c r="Q415" s="92" t="s">
        <v>119</v>
      </c>
      <c r="R415" s="92" t="s">
        <v>120</v>
      </c>
      <c r="S415" s="92" t="s">
        <v>121</v>
      </c>
    </row>
    <row r="416" spans="1:19" x14ac:dyDescent="0.25">
      <c r="A416" s="93">
        <f>A404+1</f>
        <v>43028</v>
      </c>
      <c r="B416" s="94" t="s">
        <v>108</v>
      </c>
      <c r="C416" s="95">
        <v>1</v>
      </c>
      <c r="D416" s="98">
        <f>$C416*VLOOKUP($B416,FoodDB!$A$2:$I$1016,3,0)</f>
        <v>0</v>
      </c>
      <c r="E416" s="98">
        <f>$C416*VLOOKUP($B416,FoodDB!$A$2:$I$1016,4,0)</f>
        <v>0</v>
      </c>
      <c r="F416" s="98">
        <f>$C416*VLOOKUP($B416,FoodDB!$A$2:$I$1016,5,0)</f>
        <v>0</v>
      </c>
      <c r="G416" s="98">
        <f>$C416*VLOOKUP($B416,FoodDB!$A$2:$I$1016,6,0)</f>
        <v>0</v>
      </c>
      <c r="H416" s="98">
        <f>$C416*VLOOKUP($B416,FoodDB!$A$2:$I$1016,7,0)</f>
        <v>0</v>
      </c>
      <c r="I416" s="98">
        <f>$C416*VLOOKUP($B416,FoodDB!$A$2:$I$1016,8,0)</f>
        <v>0</v>
      </c>
      <c r="J416" s="98">
        <f>$C416*VLOOKUP($B416,FoodDB!$A$2:$I$1016,9,0)</f>
        <v>0</v>
      </c>
      <c r="K416" s="98"/>
      <c r="L416" s="98">
        <f>SUM(G416:G422)</f>
        <v>0</v>
      </c>
      <c r="M416" s="98">
        <f>SUM(H416:H422)</f>
        <v>0</v>
      </c>
      <c r="N416" s="98">
        <f>SUM(I416:I422)</f>
        <v>0</v>
      </c>
      <c r="O416" s="98">
        <f>SUM(L416:N416)</f>
        <v>0</v>
      </c>
      <c r="P416" s="98">
        <f>VLOOKUP($A416,LossChart!$A$3:$AB$105,14,0)-L416</f>
        <v>547.19914795897307</v>
      </c>
      <c r="Q416" s="98">
        <f>VLOOKUP($A416,LossChart!$A$3:$AB$105,15,0)-M416</f>
        <v>80</v>
      </c>
      <c r="R416" s="98">
        <f>VLOOKUP($A416,LossChart!$A$3:$AB$105,16,0)-N416</f>
        <v>477.30407413615825</v>
      </c>
      <c r="S416" s="98">
        <f>VLOOKUP($A416,LossChart!$A$3:$AB$105,17,0)-O416</f>
        <v>1104.5032220951314</v>
      </c>
    </row>
    <row r="417" spans="1:19" x14ac:dyDescent="0.25">
      <c r="B417" s="94" t="s">
        <v>108</v>
      </c>
      <c r="C417" s="95">
        <v>1</v>
      </c>
      <c r="D417" s="98">
        <f>$C417*VLOOKUP($B417,FoodDB!$A$2:$I$1016,3,0)</f>
        <v>0</v>
      </c>
      <c r="E417" s="98">
        <f>$C417*VLOOKUP($B417,FoodDB!$A$2:$I$1016,4,0)</f>
        <v>0</v>
      </c>
      <c r="F417" s="98">
        <f>$C417*VLOOKUP($B417,FoodDB!$A$2:$I$1016,5,0)</f>
        <v>0</v>
      </c>
      <c r="G417" s="98">
        <f>$C417*VLOOKUP($B417,FoodDB!$A$2:$I$1016,6,0)</f>
        <v>0</v>
      </c>
      <c r="H417" s="98">
        <f>$C417*VLOOKUP($B417,FoodDB!$A$2:$I$1016,7,0)</f>
        <v>0</v>
      </c>
      <c r="I417" s="98">
        <f>$C417*VLOOKUP($B417,FoodDB!$A$2:$I$1016,8,0)</f>
        <v>0</v>
      </c>
      <c r="J417" s="98">
        <f>$C417*VLOOKUP($B417,FoodDB!$A$2:$I$1016,9,0)</f>
        <v>0</v>
      </c>
      <c r="K417" s="98"/>
      <c r="L417" s="98"/>
      <c r="M417" s="98"/>
      <c r="N417" s="98"/>
      <c r="O417" s="98"/>
      <c r="P417" s="98"/>
      <c r="Q417" s="98"/>
      <c r="R417" s="98"/>
      <c r="S417" s="98"/>
    </row>
    <row r="418" spans="1:19" x14ac:dyDescent="0.25">
      <c r="B418" s="94" t="s">
        <v>108</v>
      </c>
      <c r="C418" s="95">
        <v>1</v>
      </c>
      <c r="D418" s="98">
        <f>$C418*VLOOKUP($B418,FoodDB!$A$2:$I$1016,3,0)</f>
        <v>0</v>
      </c>
      <c r="E418" s="98">
        <f>$C418*VLOOKUP($B418,FoodDB!$A$2:$I$1016,4,0)</f>
        <v>0</v>
      </c>
      <c r="F418" s="98">
        <f>$C418*VLOOKUP($B418,FoodDB!$A$2:$I$1016,5,0)</f>
        <v>0</v>
      </c>
      <c r="G418" s="98">
        <f>$C418*VLOOKUP($B418,FoodDB!$A$2:$I$1016,6,0)</f>
        <v>0</v>
      </c>
      <c r="H418" s="98">
        <f>$C418*VLOOKUP($B418,FoodDB!$A$2:$I$1016,7,0)</f>
        <v>0</v>
      </c>
      <c r="I418" s="98">
        <f>$C418*VLOOKUP($B418,FoodDB!$A$2:$I$1016,8,0)</f>
        <v>0</v>
      </c>
      <c r="J418" s="98">
        <f>$C418*VLOOKUP($B418,FoodDB!$A$2:$I$1016,9,0)</f>
        <v>0</v>
      </c>
      <c r="K418" s="98"/>
      <c r="L418" s="98"/>
      <c r="M418" s="98"/>
      <c r="N418" s="98"/>
      <c r="O418" s="98"/>
      <c r="P418" s="98"/>
      <c r="Q418" s="98"/>
      <c r="R418" s="98"/>
      <c r="S418" s="98"/>
    </row>
    <row r="419" spans="1:19" x14ac:dyDescent="0.25">
      <c r="B419" s="94" t="s">
        <v>108</v>
      </c>
      <c r="C419" s="95">
        <v>1</v>
      </c>
      <c r="D419" s="98">
        <f>$C419*VLOOKUP($B419,FoodDB!$A$2:$I$1016,3,0)</f>
        <v>0</v>
      </c>
      <c r="E419" s="98">
        <f>$C419*VLOOKUP($B419,FoodDB!$A$2:$I$1016,4,0)</f>
        <v>0</v>
      </c>
      <c r="F419" s="98">
        <f>$C419*VLOOKUP($B419,FoodDB!$A$2:$I$1016,5,0)</f>
        <v>0</v>
      </c>
      <c r="G419" s="98">
        <f>$C419*VLOOKUP($B419,FoodDB!$A$2:$I$1016,6,0)</f>
        <v>0</v>
      </c>
      <c r="H419" s="98">
        <f>$C419*VLOOKUP($B419,FoodDB!$A$2:$I$1016,7,0)</f>
        <v>0</v>
      </c>
      <c r="I419" s="98">
        <f>$C419*VLOOKUP($B419,FoodDB!$A$2:$I$1016,8,0)</f>
        <v>0</v>
      </c>
      <c r="J419" s="98">
        <f>$C419*VLOOKUP($B419,FoodDB!$A$2:$I$1016,9,0)</f>
        <v>0</v>
      </c>
      <c r="K419" s="98"/>
      <c r="L419" s="98"/>
      <c r="M419" s="98"/>
      <c r="N419" s="98"/>
      <c r="O419" s="98"/>
      <c r="P419" s="98"/>
      <c r="Q419" s="98"/>
      <c r="R419" s="98"/>
      <c r="S419" s="98"/>
    </row>
    <row r="420" spans="1:19" x14ac:dyDescent="0.25">
      <c r="B420" s="94" t="s">
        <v>108</v>
      </c>
      <c r="C420" s="95">
        <v>1</v>
      </c>
      <c r="D420" s="98">
        <f>$C420*VLOOKUP($B420,FoodDB!$A$2:$I$1016,3,0)</f>
        <v>0</v>
      </c>
      <c r="E420" s="98">
        <f>$C420*VLOOKUP($B420,FoodDB!$A$2:$I$1016,4,0)</f>
        <v>0</v>
      </c>
      <c r="F420" s="98">
        <f>$C420*VLOOKUP($B420,FoodDB!$A$2:$I$1016,5,0)</f>
        <v>0</v>
      </c>
      <c r="G420" s="98">
        <f>$C420*VLOOKUP($B420,FoodDB!$A$2:$I$1016,6,0)</f>
        <v>0</v>
      </c>
      <c r="H420" s="98">
        <f>$C420*VLOOKUP($B420,FoodDB!$A$2:$I$1016,7,0)</f>
        <v>0</v>
      </c>
      <c r="I420" s="98">
        <f>$C420*VLOOKUP($B420,FoodDB!$A$2:$I$1016,8,0)</f>
        <v>0</v>
      </c>
      <c r="J420" s="98">
        <f>$C420*VLOOKUP($B420,FoodDB!$A$2:$I$1016,9,0)</f>
        <v>0</v>
      </c>
      <c r="K420" s="98"/>
      <c r="L420" s="98"/>
      <c r="M420" s="98"/>
      <c r="N420" s="98"/>
      <c r="O420" s="98"/>
      <c r="P420" s="98"/>
      <c r="Q420" s="98"/>
      <c r="R420" s="98"/>
      <c r="S420" s="98"/>
    </row>
    <row r="421" spans="1:19" x14ac:dyDescent="0.25">
      <c r="B421" s="94" t="s">
        <v>108</v>
      </c>
      <c r="C421" s="95">
        <v>1</v>
      </c>
      <c r="D421" s="98">
        <f>$C421*VLOOKUP($B421,FoodDB!$A$2:$I$1016,3,0)</f>
        <v>0</v>
      </c>
      <c r="E421" s="98">
        <f>$C421*VLOOKUP($B421,FoodDB!$A$2:$I$1016,4,0)</f>
        <v>0</v>
      </c>
      <c r="F421" s="98">
        <f>$C421*VLOOKUP($B421,FoodDB!$A$2:$I$1016,5,0)</f>
        <v>0</v>
      </c>
      <c r="G421" s="98">
        <f>$C421*VLOOKUP($B421,FoodDB!$A$2:$I$1016,6,0)</f>
        <v>0</v>
      </c>
      <c r="H421" s="98">
        <f>$C421*VLOOKUP($B421,FoodDB!$A$2:$I$1016,7,0)</f>
        <v>0</v>
      </c>
      <c r="I421" s="98">
        <f>$C421*VLOOKUP($B421,FoodDB!$A$2:$I$1016,8,0)</f>
        <v>0</v>
      </c>
      <c r="J421" s="98">
        <f>$C421*VLOOKUP($B421,FoodDB!$A$2:$I$1016,9,0)</f>
        <v>0</v>
      </c>
      <c r="K421" s="98"/>
      <c r="L421" s="98"/>
      <c r="M421" s="98"/>
      <c r="N421" s="98"/>
      <c r="O421" s="98"/>
      <c r="P421" s="98"/>
      <c r="Q421" s="98"/>
      <c r="R421" s="98"/>
      <c r="S421" s="98"/>
    </row>
    <row r="422" spans="1:19" x14ac:dyDescent="0.25">
      <c r="B422" s="94" t="s">
        <v>108</v>
      </c>
      <c r="C422" s="95">
        <v>1</v>
      </c>
      <c r="D422" s="98">
        <f>$C422*VLOOKUP($B422,FoodDB!$A$2:$I$1016,3,0)</f>
        <v>0</v>
      </c>
      <c r="E422" s="98">
        <f>$C422*VLOOKUP($B422,FoodDB!$A$2:$I$1016,4,0)</f>
        <v>0</v>
      </c>
      <c r="F422" s="98">
        <f>$C422*VLOOKUP($B422,FoodDB!$A$2:$I$1016,5,0)</f>
        <v>0</v>
      </c>
      <c r="G422" s="98">
        <f>$C422*VLOOKUP($B422,FoodDB!$A$2:$I$1016,6,0)</f>
        <v>0</v>
      </c>
      <c r="H422" s="98">
        <f>$C422*VLOOKUP($B422,FoodDB!$A$2:$I$1016,7,0)</f>
        <v>0</v>
      </c>
      <c r="I422" s="98">
        <f>$C422*VLOOKUP($B422,FoodDB!$A$2:$I$1016,8,0)</f>
        <v>0</v>
      </c>
      <c r="J422" s="98">
        <f>$C422*VLOOKUP($B422,FoodDB!$A$2:$I$1016,9,0)</f>
        <v>0</v>
      </c>
      <c r="K422" s="98"/>
      <c r="L422" s="98"/>
      <c r="M422" s="98"/>
      <c r="N422" s="98"/>
      <c r="O422" s="98"/>
      <c r="P422" s="98"/>
      <c r="Q422" s="98"/>
      <c r="R422" s="98"/>
      <c r="S422" s="98"/>
    </row>
    <row r="423" spans="1:19" x14ac:dyDescent="0.25">
      <c r="A423" t="s">
        <v>98</v>
      </c>
      <c r="D423" s="98"/>
      <c r="E423" s="98"/>
      <c r="F423" s="98"/>
      <c r="G423" s="98">
        <f>SUM(G416:G422)</f>
        <v>0</v>
      </c>
      <c r="H423" s="98">
        <f>SUM(H416:H422)</f>
        <v>0</v>
      </c>
      <c r="I423" s="98">
        <f>SUM(I416:I422)</f>
        <v>0</v>
      </c>
      <c r="J423" s="98">
        <f>SUM(G423:I423)</f>
        <v>0</v>
      </c>
      <c r="K423" s="98"/>
      <c r="L423" s="98"/>
      <c r="M423" s="98"/>
      <c r="N423" s="98"/>
      <c r="O423" s="98"/>
      <c r="P423" s="98"/>
      <c r="Q423" s="98"/>
      <c r="R423" s="98"/>
      <c r="S423" s="98"/>
    </row>
    <row r="424" spans="1:19" x14ac:dyDescent="0.25">
      <c r="A424" t="s">
        <v>102</v>
      </c>
      <c r="B424" t="s">
        <v>103</v>
      </c>
      <c r="D424" s="98"/>
      <c r="E424" s="98"/>
      <c r="F424" s="98"/>
      <c r="G424" s="98">
        <f>VLOOKUP($A416,LossChart!$A$3:$AB$105,14,0)</f>
        <v>547.19914795897307</v>
      </c>
      <c r="H424" s="98">
        <f>VLOOKUP($A416,LossChart!$A$3:$AB$105,15,0)</f>
        <v>80</v>
      </c>
      <c r="I424" s="98">
        <f>VLOOKUP($A416,LossChart!$A$3:$AB$105,16,0)</f>
        <v>477.30407413615825</v>
      </c>
      <c r="J424" s="98">
        <f>VLOOKUP($A416,LossChart!$A$3:$AB$105,17,0)</f>
        <v>1104.5032220951314</v>
      </c>
      <c r="K424" s="98"/>
      <c r="L424" s="98"/>
      <c r="M424" s="98"/>
      <c r="N424" s="98"/>
      <c r="O424" s="98"/>
      <c r="P424" s="98"/>
      <c r="Q424" s="98"/>
      <c r="R424" s="98"/>
      <c r="S424" s="98"/>
    </row>
    <row r="425" spans="1:19" x14ac:dyDescent="0.25">
      <c r="A425" t="s">
        <v>104</v>
      </c>
      <c r="D425" s="98"/>
      <c r="E425" s="98"/>
      <c r="F425" s="98"/>
      <c r="G425" s="98">
        <f>G424-G423</f>
        <v>547.19914795897307</v>
      </c>
      <c r="H425" s="98">
        <f>H424-H423</f>
        <v>80</v>
      </c>
      <c r="I425" s="98">
        <f>I424-I423</f>
        <v>477.30407413615825</v>
      </c>
      <c r="J425" s="98">
        <f>J424-J423</f>
        <v>1104.5032220951314</v>
      </c>
      <c r="K425" s="98"/>
      <c r="L425" s="98"/>
      <c r="M425" s="98"/>
      <c r="N425" s="98"/>
      <c r="O425" s="98"/>
      <c r="P425" s="98"/>
      <c r="Q425" s="98"/>
      <c r="R425" s="98"/>
      <c r="S425" s="98"/>
    </row>
    <row r="427" spans="1:19" ht="60" x14ac:dyDescent="0.25">
      <c r="A427" s="21" t="s">
        <v>63</v>
      </c>
      <c r="B427" s="21" t="s">
        <v>93</v>
      </c>
      <c r="C427" s="21" t="s">
        <v>94</v>
      </c>
      <c r="D427" s="92" t="str">
        <f>FoodDB!$C$1</f>
        <v>Fat
(g)</v>
      </c>
      <c r="E427" s="92" t="str">
        <f>FoodDB!$D$1</f>
        <v xml:space="preserve"> Carbs
(g)</v>
      </c>
      <c r="F427" s="92" t="str">
        <f>FoodDB!$E$1</f>
        <v>Protein
(g)</v>
      </c>
      <c r="G427" s="92" t="str">
        <f>FoodDB!$F$1</f>
        <v>Fat
(Cal)</v>
      </c>
      <c r="H427" s="92" t="str">
        <f>FoodDB!$G$1</f>
        <v>Carb
(Cal)</v>
      </c>
      <c r="I427" s="92" t="str">
        <f>FoodDB!$H$1</f>
        <v>Protein
(Cal)</v>
      </c>
      <c r="J427" s="92" t="str">
        <f>FoodDB!$I$1</f>
        <v>Total
Calories</v>
      </c>
      <c r="K427" s="92"/>
      <c r="L427" s="92" t="s">
        <v>110</v>
      </c>
      <c r="M427" s="92" t="s">
        <v>111</v>
      </c>
      <c r="N427" s="92" t="s">
        <v>112</v>
      </c>
      <c r="O427" s="92" t="s">
        <v>113</v>
      </c>
      <c r="P427" s="92" t="s">
        <v>118</v>
      </c>
      <c r="Q427" s="92" t="s">
        <v>119</v>
      </c>
      <c r="R427" s="92" t="s">
        <v>120</v>
      </c>
      <c r="S427" s="92" t="s">
        <v>121</v>
      </c>
    </row>
    <row r="428" spans="1:19" x14ac:dyDescent="0.25">
      <c r="A428" s="93">
        <f>A416+1</f>
        <v>43029</v>
      </c>
      <c r="B428" s="94" t="s">
        <v>108</v>
      </c>
      <c r="C428" s="95">
        <v>1</v>
      </c>
      <c r="D428" s="98">
        <f>$C428*VLOOKUP($B428,FoodDB!$A$2:$I$1016,3,0)</f>
        <v>0</v>
      </c>
      <c r="E428" s="98">
        <f>$C428*VLOOKUP($B428,FoodDB!$A$2:$I$1016,4,0)</f>
        <v>0</v>
      </c>
      <c r="F428" s="98">
        <f>$C428*VLOOKUP($B428,FoodDB!$A$2:$I$1016,5,0)</f>
        <v>0</v>
      </c>
      <c r="G428" s="98">
        <f>$C428*VLOOKUP($B428,FoodDB!$A$2:$I$1016,6,0)</f>
        <v>0</v>
      </c>
      <c r="H428" s="98">
        <f>$C428*VLOOKUP($B428,FoodDB!$A$2:$I$1016,7,0)</f>
        <v>0</v>
      </c>
      <c r="I428" s="98">
        <f>$C428*VLOOKUP($B428,FoodDB!$A$2:$I$1016,8,0)</f>
        <v>0</v>
      </c>
      <c r="J428" s="98">
        <f>$C428*VLOOKUP($B428,FoodDB!$A$2:$I$1016,9,0)</f>
        <v>0</v>
      </c>
      <c r="K428" s="98"/>
      <c r="L428" s="98">
        <f>SUM(G428:G434)</f>
        <v>0</v>
      </c>
      <c r="M428" s="98">
        <f>SUM(H428:H434)</f>
        <v>0</v>
      </c>
      <c r="N428" s="98">
        <f>SUM(I428:I434)</f>
        <v>0</v>
      </c>
      <c r="O428" s="98">
        <f>SUM(L428:N428)</f>
        <v>0</v>
      </c>
      <c r="P428" s="98">
        <f>VLOOKUP($A428,LossChart!$A$3:$AB$105,14,0)-L428</f>
        <v>553.85497442912288</v>
      </c>
      <c r="Q428" s="98">
        <f>VLOOKUP($A428,LossChart!$A$3:$AB$105,15,0)-M428</f>
        <v>80</v>
      </c>
      <c r="R428" s="98">
        <f>VLOOKUP($A428,LossChart!$A$3:$AB$105,16,0)-N428</f>
        <v>477.30407413615825</v>
      </c>
      <c r="S428" s="98">
        <f>VLOOKUP($A428,LossChart!$A$3:$AB$105,17,0)-O428</f>
        <v>1111.1590485652812</v>
      </c>
    </row>
    <row r="429" spans="1:19" x14ac:dyDescent="0.25">
      <c r="B429" s="94" t="s">
        <v>108</v>
      </c>
      <c r="C429" s="95">
        <v>1</v>
      </c>
      <c r="D429" s="98">
        <f>$C429*VLOOKUP($B429,FoodDB!$A$2:$I$1016,3,0)</f>
        <v>0</v>
      </c>
      <c r="E429" s="98">
        <f>$C429*VLOOKUP($B429,FoodDB!$A$2:$I$1016,4,0)</f>
        <v>0</v>
      </c>
      <c r="F429" s="98">
        <f>$C429*VLOOKUP($B429,FoodDB!$A$2:$I$1016,5,0)</f>
        <v>0</v>
      </c>
      <c r="G429" s="98">
        <f>$C429*VLOOKUP($B429,FoodDB!$A$2:$I$1016,6,0)</f>
        <v>0</v>
      </c>
      <c r="H429" s="98">
        <f>$C429*VLOOKUP($B429,FoodDB!$A$2:$I$1016,7,0)</f>
        <v>0</v>
      </c>
      <c r="I429" s="98">
        <f>$C429*VLOOKUP($B429,FoodDB!$A$2:$I$1016,8,0)</f>
        <v>0</v>
      </c>
      <c r="J429" s="98">
        <f>$C429*VLOOKUP($B429,FoodDB!$A$2:$I$1016,9,0)</f>
        <v>0</v>
      </c>
      <c r="K429" s="98"/>
      <c r="L429" s="98"/>
      <c r="M429" s="98"/>
      <c r="N429" s="98"/>
      <c r="O429" s="98"/>
      <c r="P429" s="98"/>
      <c r="Q429" s="98"/>
      <c r="R429" s="98"/>
      <c r="S429" s="98"/>
    </row>
    <row r="430" spans="1:19" x14ac:dyDescent="0.25">
      <c r="B430" s="94" t="s">
        <v>108</v>
      </c>
      <c r="C430" s="95">
        <v>1</v>
      </c>
      <c r="D430" s="98">
        <f>$C430*VLOOKUP($B430,FoodDB!$A$2:$I$1016,3,0)</f>
        <v>0</v>
      </c>
      <c r="E430" s="98">
        <f>$C430*VLOOKUP($B430,FoodDB!$A$2:$I$1016,4,0)</f>
        <v>0</v>
      </c>
      <c r="F430" s="98">
        <f>$C430*VLOOKUP($B430,FoodDB!$A$2:$I$1016,5,0)</f>
        <v>0</v>
      </c>
      <c r="G430" s="98">
        <f>$C430*VLOOKUP($B430,FoodDB!$A$2:$I$1016,6,0)</f>
        <v>0</v>
      </c>
      <c r="H430" s="98">
        <f>$C430*VLOOKUP($B430,FoodDB!$A$2:$I$1016,7,0)</f>
        <v>0</v>
      </c>
      <c r="I430" s="98">
        <f>$C430*VLOOKUP($B430,FoodDB!$A$2:$I$1016,8,0)</f>
        <v>0</v>
      </c>
      <c r="J430" s="98">
        <f>$C430*VLOOKUP($B430,FoodDB!$A$2:$I$1016,9,0)</f>
        <v>0</v>
      </c>
      <c r="K430" s="98"/>
      <c r="L430" s="98"/>
      <c r="M430" s="98"/>
      <c r="N430" s="98"/>
      <c r="O430" s="98"/>
      <c r="P430" s="98"/>
      <c r="Q430" s="98"/>
      <c r="R430" s="98"/>
      <c r="S430" s="98"/>
    </row>
    <row r="431" spans="1:19" x14ac:dyDescent="0.25">
      <c r="B431" s="94" t="s">
        <v>108</v>
      </c>
      <c r="C431" s="95">
        <v>1</v>
      </c>
      <c r="D431" s="98">
        <f>$C431*VLOOKUP($B431,FoodDB!$A$2:$I$1016,3,0)</f>
        <v>0</v>
      </c>
      <c r="E431" s="98">
        <f>$C431*VLOOKUP($B431,FoodDB!$A$2:$I$1016,4,0)</f>
        <v>0</v>
      </c>
      <c r="F431" s="98">
        <f>$C431*VLOOKUP($B431,FoodDB!$A$2:$I$1016,5,0)</f>
        <v>0</v>
      </c>
      <c r="G431" s="98">
        <f>$C431*VLOOKUP($B431,FoodDB!$A$2:$I$1016,6,0)</f>
        <v>0</v>
      </c>
      <c r="H431" s="98">
        <f>$C431*VLOOKUP($B431,FoodDB!$A$2:$I$1016,7,0)</f>
        <v>0</v>
      </c>
      <c r="I431" s="98">
        <f>$C431*VLOOKUP($B431,FoodDB!$A$2:$I$1016,8,0)</f>
        <v>0</v>
      </c>
      <c r="J431" s="98">
        <f>$C431*VLOOKUP($B431,FoodDB!$A$2:$I$1016,9,0)</f>
        <v>0</v>
      </c>
      <c r="K431" s="98"/>
      <c r="L431" s="98"/>
      <c r="M431" s="98"/>
      <c r="N431" s="98"/>
      <c r="O431" s="98"/>
      <c r="P431" s="98"/>
      <c r="Q431" s="98"/>
      <c r="R431" s="98"/>
      <c r="S431" s="98"/>
    </row>
    <row r="432" spans="1:19" x14ac:dyDescent="0.25">
      <c r="B432" s="94" t="s">
        <v>108</v>
      </c>
      <c r="C432" s="95">
        <v>1</v>
      </c>
      <c r="D432" s="98">
        <f>$C432*VLOOKUP($B432,FoodDB!$A$2:$I$1016,3,0)</f>
        <v>0</v>
      </c>
      <c r="E432" s="98">
        <f>$C432*VLOOKUP($B432,FoodDB!$A$2:$I$1016,4,0)</f>
        <v>0</v>
      </c>
      <c r="F432" s="98">
        <f>$C432*VLOOKUP($B432,FoodDB!$A$2:$I$1016,5,0)</f>
        <v>0</v>
      </c>
      <c r="G432" s="98">
        <f>$C432*VLOOKUP($B432,FoodDB!$A$2:$I$1016,6,0)</f>
        <v>0</v>
      </c>
      <c r="H432" s="98">
        <f>$C432*VLOOKUP($B432,FoodDB!$A$2:$I$1016,7,0)</f>
        <v>0</v>
      </c>
      <c r="I432" s="98">
        <f>$C432*VLOOKUP($B432,FoodDB!$A$2:$I$1016,8,0)</f>
        <v>0</v>
      </c>
      <c r="J432" s="98">
        <f>$C432*VLOOKUP($B432,FoodDB!$A$2:$I$1016,9,0)</f>
        <v>0</v>
      </c>
      <c r="K432" s="98"/>
      <c r="L432" s="98"/>
      <c r="M432" s="98"/>
      <c r="N432" s="98"/>
      <c r="O432" s="98"/>
      <c r="P432" s="98"/>
      <c r="Q432" s="98"/>
      <c r="R432" s="98"/>
      <c r="S432" s="98"/>
    </row>
    <row r="433" spans="1:19" x14ac:dyDescent="0.25">
      <c r="B433" s="94" t="s">
        <v>108</v>
      </c>
      <c r="C433" s="95">
        <v>1</v>
      </c>
      <c r="D433" s="98">
        <f>$C433*VLOOKUP($B433,FoodDB!$A$2:$I$1016,3,0)</f>
        <v>0</v>
      </c>
      <c r="E433" s="98">
        <f>$C433*VLOOKUP($B433,FoodDB!$A$2:$I$1016,4,0)</f>
        <v>0</v>
      </c>
      <c r="F433" s="98">
        <f>$C433*VLOOKUP($B433,FoodDB!$A$2:$I$1016,5,0)</f>
        <v>0</v>
      </c>
      <c r="G433" s="98">
        <f>$C433*VLOOKUP($B433,FoodDB!$A$2:$I$1016,6,0)</f>
        <v>0</v>
      </c>
      <c r="H433" s="98">
        <f>$C433*VLOOKUP($B433,FoodDB!$A$2:$I$1016,7,0)</f>
        <v>0</v>
      </c>
      <c r="I433" s="98">
        <f>$C433*VLOOKUP($B433,FoodDB!$A$2:$I$1016,8,0)</f>
        <v>0</v>
      </c>
      <c r="J433" s="98">
        <f>$C433*VLOOKUP($B433,FoodDB!$A$2:$I$1016,9,0)</f>
        <v>0</v>
      </c>
      <c r="K433" s="98"/>
      <c r="L433" s="98"/>
      <c r="M433" s="98"/>
      <c r="N433" s="98"/>
      <c r="O433" s="98"/>
      <c r="P433" s="98"/>
      <c r="Q433" s="98"/>
      <c r="R433" s="98"/>
      <c r="S433" s="98"/>
    </row>
    <row r="434" spans="1:19" x14ac:dyDescent="0.25">
      <c r="B434" s="94" t="s">
        <v>108</v>
      </c>
      <c r="C434" s="95">
        <v>1</v>
      </c>
      <c r="D434" s="98">
        <f>$C434*VLOOKUP($B434,FoodDB!$A$2:$I$1016,3,0)</f>
        <v>0</v>
      </c>
      <c r="E434" s="98">
        <f>$C434*VLOOKUP($B434,FoodDB!$A$2:$I$1016,4,0)</f>
        <v>0</v>
      </c>
      <c r="F434" s="98">
        <f>$C434*VLOOKUP($B434,FoodDB!$A$2:$I$1016,5,0)</f>
        <v>0</v>
      </c>
      <c r="G434" s="98">
        <f>$C434*VLOOKUP($B434,FoodDB!$A$2:$I$1016,6,0)</f>
        <v>0</v>
      </c>
      <c r="H434" s="98">
        <f>$C434*VLOOKUP($B434,FoodDB!$A$2:$I$1016,7,0)</f>
        <v>0</v>
      </c>
      <c r="I434" s="98">
        <f>$C434*VLOOKUP($B434,FoodDB!$A$2:$I$1016,8,0)</f>
        <v>0</v>
      </c>
      <c r="J434" s="98">
        <f>$C434*VLOOKUP($B434,FoodDB!$A$2:$I$1016,9,0)</f>
        <v>0</v>
      </c>
      <c r="K434" s="98"/>
      <c r="L434" s="98"/>
      <c r="M434" s="98"/>
      <c r="N434" s="98"/>
      <c r="O434" s="98"/>
      <c r="P434" s="98"/>
      <c r="Q434" s="98"/>
      <c r="R434" s="98"/>
      <c r="S434" s="98"/>
    </row>
    <row r="435" spans="1:19" x14ac:dyDescent="0.25">
      <c r="A435" t="s">
        <v>98</v>
      </c>
      <c r="D435" s="98"/>
      <c r="E435" s="98"/>
      <c r="F435" s="98"/>
      <c r="G435" s="98">
        <f>SUM(G428:G434)</f>
        <v>0</v>
      </c>
      <c r="H435" s="98">
        <f>SUM(H428:H434)</f>
        <v>0</v>
      </c>
      <c r="I435" s="98">
        <f>SUM(I428:I434)</f>
        <v>0</v>
      </c>
      <c r="J435" s="98">
        <f>SUM(G435:I435)</f>
        <v>0</v>
      </c>
      <c r="K435" s="98"/>
      <c r="L435" s="98"/>
      <c r="M435" s="98"/>
      <c r="N435" s="98"/>
      <c r="O435" s="98"/>
      <c r="P435" s="98"/>
      <c r="Q435" s="98"/>
      <c r="R435" s="98"/>
      <c r="S435" s="98"/>
    </row>
    <row r="436" spans="1:19" x14ac:dyDescent="0.25">
      <c r="A436" t="s">
        <v>102</v>
      </c>
      <c r="B436" t="s">
        <v>103</v>
      </c>
      <c r="D436" s="98"/>
      <c r="E436" s="98"/>
      <c r="F436" s="98"/>
      <c r="G436" s="98">
        <f>VLOOKUP($A428,LossChart!$A$3:$AB$105,14,0)</f>
        <v>553.85497442912288</v>
      </c>
      <c r="H436" s="98">
        <f>VLOOKUP($A428,LossChart!$A$3:$AB$105,15,0)</f>
        <v>80</v>
      </c>
      <c r="I436" s="98">
        <f>VLOOKUP($A428,LossChart!$A$3:$AB$105,16,0)</f>
        <v>477.30407413615825</v>
      </c>
      <c r="J436" s="98">
        <f>VLOOKUP($A428,LossChart!$A$3:$AB$105,17,0)</f>
        <v>1111.1590485652812</v>
      </c>
      <c r="K436" s="98"/>
      <c r="L436" s="98"/>
      <c r="M436" s="98"/>
      <c r="N436" s="98"/>
      <c r="O436" s="98"/>
      <c r="P436" s="98"/>
      <c r="Q436" s="98"/>
      <c r="R436" s="98"/>
      <c r="S436" s="98"/>
    </row>
    <row r="437" spans="1:19" x14ac:dyDescent="0.25">
      <c r="A437" t="s">
        <v>104</v>
      </c>
      <c r="D437" s="98"/>
      <c r="E437" s="98"/>
      <c r="F437" s="98"/>
      <c r="G437" s="98">
        <f>G436-G435</f>
        <v>553.85497442912288</v>
      </c>
      <c r="H437" s="98">
        <f>H436-H435</f>
        <v>80</v>
      </c>
      <c r="I437" s="98">
        <f>I436-I435</f>
        <v>477.30407413615825</v>
      </c>
      <c r="J437" s="98">
        <f>J436-J435</f>
        <v>1111.1590485652812</v>
      </c>
      <c r="K437" s="98"/>
      <c r="L437" s="98"/>
      <c r="M437" s="98"/>
      <c r="N437" s="98"/>
      <c r="O437" s="98"/>
      <c r="P437" s="98"/>
      <c r="Q437" s="98"/>
      <c r="R437" s="98"/>
      <c r="S437" s="98"/>
    </row>
    <row r="439" spans="1:19" ht="60" x14ac:dyDescent="0.25">
      <c r="A439" s="21" t="s">
        <v>63</v>
      </c>
      <c r="B439" s="21" t="s">
        <v>93</v>
      </c>
      <c r="C439" s="21" t="s">
        <v>94</v>
      </c>
      <c r="D439" s="92" t="str">
        <f>FoodDB!$C$1</f>
        <v>Fat
(g)</v>
      </c>
      <c r="E439" s="92" t="str">
        <f>FoodDB!$D$1</f>
        <v xml:space="preserve"> Carbs
(g)</v>
      </c>
      <c r="F439" s="92" t="str">
        <f>FoodDB!$E$1</f>
        <v>Protein
(g)</v>
      </c>
      <c r="G439" s="92" t="str">
        <f>FoodDB!$F$1</f>
        <v>Fat
(Cal)</v>
      </c>
      <c r="H439" s="92" t="str">
        <f>FoodDB!$G$1</f>
        <v>Carb
(Cal)</v>
      </c>
      <c r="I439" s="92" t="str">
        <f>FoodDB!$H$1</f>
        <v>Protein
(Cal)</v>
      </c>
      <c r="J439" s="92" t="str">
        <f>FoodDB!$I$1</f>
        <v>Total
Calories</v>
      </c>
      <c r="K439" s="92"/>
      <c r="L439" s="92" t="s">
        <v>110</v>
      </c>
      <c r="M439" s="92" t="s">
        <v>111</v>
      </c>
      <c r="N439" s="92" t="s">
        <v>112</v>
      </c>
      <c r="O439" s="92" t="s">
        <v>113</v>
      </c>
      <c r="P439" s="92" t="s">
        <v>118</v>
      </c>
      <c r="Q439" s="92" t="s">
        <v>119</v>
      </c>
      <c r="R439" s="92" t="s">
        <v>120</v>
      </c>
      <c r="S439" s="92" t="s">
        <v>121</v>
      </c>
    </row>
    <row r="440" spans="1:19" x14ac:dyDescent="0.25">
      <c r="A440" s="93">
        <f>A428+1</f>
        <v>43030</v>
      </c>
      <c r="B440" s="94" t="s">
        <v>108</v>
      </c>
      <c r="C440" s="95">
        <v>1</v>
      </c>
      <c r="D440" s="98">
        <f>$C440*VLOOKUP($B440,FoodDB!$A$2:$I$1016,3,0)</f>
        <v>0</v>
      </c>
      <c r="E440" s="98">
        <f>$C440*VLOOKUP($B440,FoodDB!$A$2:$I$1016,4,0)</f>
        <v>0</v>
      </c>
      <c r="F440" s="98">
        <f>$C440*VLOOKUP($B440,FoodDB!$A$2:$I$1016,5,0)</f>
        <v>0</v>
      </c>
      <c r="G440" s="98">
        <f>$C440*VLOOKUP($B440,FoodDB!$A$2:$I$1016,6,0)</f>
        <v>0</v>
      </c>
      <c r="H440" s="98">
        <f>$C440*VLOOKUP($B440,FoodDB!$A$2:$I$1016,7,0)</f>
        <v>0</v>
      </c>
      <c r="I440" s="98">
        <f>$C440*VLOOKUP($B440,FoodDB!$A$2:$I$1016,8,0)</f>
        <v>0</v>
      </c>
      <c r="J440" s="98">
        <f>$C440*VLOOKUP($B440,FoodDB!$A$2:$I$1016,9,0)</f>
        <v>0</v>
      </c>
      <c r="K440" s="98"/>
      <c r="L440" s="98">
        <f>SUM(G440:G446)</f>
        <v>0</v>
      </c>
      <c r="M440" s="98">
        <f>SUM(H440:H446)</f>
        <v>0</v>
      </c>
      <c r="N440" s="98">
        <f>SUM(I440:I446)</f>
        <v>0</v>
      </c>
      <c r="O440" s="98">
        <f>SUM(L440:N440)</f>
        <v>0</v>
      </c>
      <c r="P440" s="98">
        <f>VLOOKUP($A440,LossChart!$A$3:$AB$105,14,0)-L440</f>
        <v>560.45184929339325</v>
      </c>
      <c r="Q440" s="98">
        <f>VLOOKUP($A440,LossChart!$A$3:$AB$105,15,0)-M440</f>
        <v>80</v>
      </c>
      <c r="R440" s="98">
        <f>VLOOKUP($A440,LossChart!$A$3:$AB$105,16,0)-N440</f>
        <v>477.30407413615825</v>
      </c>
      <c r="S440" s="98">
        <f>VLOOKUP($A440,LossChart!$A$3:$AB$105,17,0)-O440</f>
        <v>1117.7559234295516</v>
      </c>
    </row>
    <row r="441" spans="1:19" x14ac:dyDescent="0.25">
      <c r="B441" s="94" t="s">
        <v>108</v>
      </c>
      <c r="C441" s="95">
        <v>1</v>
      </c>
      <c r="D441" s="98">
        <f>$C441*VLOOKUP($B441,FoodDB!$A$2:$I$1016,3,0)</f>
        <v>0</v>
      </c>
      <c r="E441" s="98">
        <f>$C441*VLOOKUP($B441,FoodDB!$A$2:$I$1016,4,0)</f>
        <v>0</v>
      </c>
      <c r="F441" s="98">
        <f>$C441*VLOOKUP($B441,FoodDB!$A$2:$I$1016,5,0)</f>
        <v>0</v>
      </c>
      <c r="G441" s="98">
        <f>$C441*VLOOKUP($B441,FoodDB!$A$2:$I$1016,6,0)</f>
        <v>0</v>
      </c>
      <c r="H441" s="98">
        <f>$C441*VLOOKUP($B441,FoodDB!$A$2:$I$1016,7,0)</f>
        <v>0</v>
      </c>
      <c r="I441" s="98">
        <f>$C441*VLOOKUP($B441,FoodDB!$A$2:$I$1016,8,0)</f>
        <v>0</v>
      </c>
      <c r="J441" s="98">
        <f>$C441*VLOOKUP($B441,FoodDB!$A$2:$I$1016,9,0)</f>
        <v>0</v>
      </c>
      <c r="K441" s="98"/>
      <c r="L441" s="98"/>
      <c r="M441" s="98"/>
      <c r="N441" s="98"/>
      <c r="O441" s="98"/>
      <c r="P441" s="98"/>
      <c r="Q441" s="98"/>
      <c r="R441" s="98"/>
      <c r="S441" s="98"/>
    </row>
    <row r="442" spans="1:19" x14ac:dyDescent="0.25">
      <c r="B442" s="94" t="s">
        <v>108</v>
      </c>
      <c r="C442" s="95">
        <v>1</v>
      </c>
      <c r="D442" s="98">
        <f>$C442*VLOOKUP($B442,FoodDB!$A$2:$I$1016,3,0)</f>
        <v>0</v>
      </c>
      <c r="E442" s="98">
        <f>$C442*VLOOKUP($B442,FoodDB!$A$2:$I$1016,4,0)</f>
        <v>0</v>
      </c>
      <c r="F442" s="98">
        <f>$C442*VLOOKUP($B442,FoodDB!$A$2:$I$1016,5,0)</f>
        <v>0</v>
      </c>
      <c r="G442" s="98">
        <f>$C442*VLOOKUP($B442,FoodDB!$A$2:$I$1016,6,0)</f>
        <v>0</v>
      </c>
      <c r="H442" s="98">
        <f>$C442*VLOOKUP($B442,FoodDB!$A$2:$I$1016,7,0)</f>
        <v>0</v>
      </c>
      <c r="I442" s="98">
        <f>$C442*VLOOKUP($B442,FoodDB!$A$2:$I$1016,8,0)</f>
        <v>0</v>
      </c>
      <c r="J442" s="98">
        <f>$C442*VLOOKUP($B442,FoodDB!$A$2:$I$1016,9,0)</f>
        <v>0</v>
      </c>
      <c r="K442" s="98"/>
      <c r="L442" s="98"/>
      <c r="M442" s="98"/>
      <c r="N442" s="98"/>
      <c r="O442" s="98"/>
      <c r="P442" s="98"/>
      <c r="Q442" s="98"/>
      <c r="R442" s="98"/>
      <c r="S442" s="98"/>
    </row>
    <row r="443" spans="1:19" x14ac:dyDescent="0.25">
      <c r="B443" s="94" t="s">
        <v>108</v>
      </c>
      <c r="C443" s="95">
        <v>1</v>
      </c>
      <c r="D443" s="98">
        <f>$C443*VLOOKUP($B443,FoodDB!$A$2:$I$1016,3,0)</f>
        <v>0</v>
      </c>
      <c r="E443" s="98">
        <f>$C443*VLOOKUP($B443,FoodDB!$A$2:$I$1016,4,0)</f>
        <v>0</v>
      </c>
      <c r="F443" s="98">
        <f>$C443*VLOOKUP($B443,FoodDB!$A$2:$I$1016,5,0)</f>
        <v>0</v>
      </c>
      <c r="G443" s="98">
        <f>$C443*VLOOKUP($B443,FoodDB!$A$2:$I$1016,6,0)</f>
        <v>0</v>
      </c>
      <c r="H443" s="98">
        <f>$C443*VLOOKUP($B443,FoodDB!$A$2:$I$1016,7,0)</f>
        <v>0</v>
      </c>
      <c r="I443" s="98">
        <f>$C443*VLOOKUP($B443,FoodDB!$A$2:$I$1016,8,0)</f>
        <v>0</v>
      </c>
      <c r="J443" s="98">
        <f>$C443*VLOOKUP($B443,FoodDB!$A$2:$I$1016,9,0)</f>
        <v>0</v>
      </c>
      <c r="K443" s="98"/>
      <c r="L443" s="98"/>
      <c r="M443" s="98"/>
      <c r="N443" s="98"/>
      <c r="O443" s="98"/>
      <c r="P443" s="98"/>
      <c r="Q443" s="98"/>
      <c r="R443" s="98"/>
      <c r="S443" s="98"/>
    </row>
    <row r="444" spans="1:19" x14ac:dyDescent="0.25">
      <c r="B444" s="94" t="s">
        <v>108</v>
      </c>
      <c r="C444" s="95">
        <v>1</v>
      </c>
      <c r="D444" s="98">
        <f>$C444*VLOOKUP($B444,FoodDB!$A$2:$I$1016,3,0)</f>
        <v>0</v>
      </c>
      <c r="E444" s="98">
        <f>$C444*VLOOKUP($B444,FoodDB!$A$2:$I$1016,4,0)</f>
        <v>0</v>
      </c>
      <c r="F444" s="98">
        <f>$C444*VLOOKUP($B444,FoodDB!$A$2:$I$1016,5,0)</f>
        <v>0</v>
      </c>
      <c r="G444" s="98">
        <f>$C444*VLOOKUP($B444,FoodDB!$A$2:$I$1016,6,0)</f>
        <v>0</v>
      </c>
      <c r="H444" s="98">
        <f>$C444*VLOOKUP($B444,FoodDB!$A$2:$I$1016,7,0)</f>
        <v>0</v>
      </c>
      <c r="I444" s="98">
        <f>$C444*VLOOKUP($B444,FoodDB!$A$2:$I$1016,8,0)</f>
        <v>0</v>
      </c>
      <c r="J444" s="98">
        <f>$C444*VLOOKUP($B444,FoodDB!$A$2:$I$1016,9,0)</f>
        <v>0</v>
      </c>
      <c r="K444" s="98"/>
      <c r="L444" s="98"/>
      <c r="M444" s="98"/>
      <c r="N444" s="98"/>
      <c r="O444" s="98"/>
      <c r="P444" s="98"/>
      <c r="Q444" s="98"/>
      <c r="R444" s="98"/>
      <c r="S444" s="98"/>
    </row>
    <row r="445" spans="1:19" x14ac:dyDescent="0.25">
      <c r="B445" s="94" t="s">
        <v>108</v>
      </c>
      <c r="C445" s="95">
        <v>1</v>
      </c>
      <c r="D445" s="98">
        <f>$C445*VLOOKUP($B445,FoodDB!$A$2:$I$1016,3,0)</f>
        <v>0</v>
      </c>
      <c r="E445" s="98">
        <f>$C445*VLOOKUP($B445,FoodDB!$A$2:$I$1016,4,0)</f>
        <v>0</v>
      </c>
      <c r="F445" s="98">
        <f>$C445*VLOOKUP($B445,FoodDB!$A$2:$I$1016,5,0)</f>
        <v>0</v>
      </c>
      <c r="G445" s="98">
        <f>$C445*VLOOKUP($B445,FoodDB!$A$2:$I$1016,6,0)</f>
        <v>0</v>
      </c>
      <c r="H445" s="98">
        <f>$C445*VLOOKUP($B445,FoodDB!$A$2:$I$1016,7,0)</f>
        <v>0</v>
      </c>
      <c r="I445" s="98">
        <f>$C445*VLOOKUP($B445,FoodDB!$A$2:$I$1016,8,0)</f>
        <v>0</v>
      </c>
      <c r="J445" s="98">
        <f>$C445*VLOOKUP($B445,FoodDB!$A$2:$I$1016,9,0)</f>
        <v>0</v>
      </c>
      <c r="K445" s="98"/>
      <c r="L445" s="98"/>
      <c r="M445" s="98"/>
      <c r="N445" s="98"/>
      <c r="O445" s="98"/>
      <c r="P445" s="98"/>
      <c r="Q445" s="98"/>
      <c r="R445" s="98"/>
      <c r="S445" s="98"/>
    </row>
    <row r="446" spans="1:19" x14ac:dyDescent="0.25">
      <c r="B446" s="94" t="s">
        <v>108</v>
      </c>
      <c r="C446" s="95">
        <v>1</v>
      </c>
      <c r="D446" s="98">
        <f>$C446*VLOOKUP($B446,FoodDB!$A$2:$I$1016,3,0)</f>
        <v>0</v>
      </c>
      <c r="E446" s="98">
        <f>$C446*VLOOKUP($B446,FoodDB!$A$2:$I$1016,4,0)</f>
        <v>0</v>
      </c>
      <c r="F446" s="98">
        <f>$C446*VLOOKUP($B446,FoodDB!$A$2:$I$1016,5,0)</f>
        <v>0</v>
      </c>
      <c r="G446" s="98">
        <f>$C446*VLOOKUP($B446,FoodDB!$A$2:$I$1016,6,0)</f>
        <v>0</v>
      </c>
      <c r="H446" s="98">
        <f>$C446*VLOOKUP($B446,FoodDB!$A$2:$I$1016,7,0)</f>
        <v>0</v>
      </c>
      <c r="I446" s="98">
        <f>$C446*VLOOKUP($B446,FoodDB!$A$2:$I$1016,8,0)</f>
        <v>0</v>
      </c>
      <c r="J446" s="98">
        <f>$C446*VLOOKUP($B446,FoodDB!$A$2:$I$1016,9,0)</f>
        <v>0</v>
      </c>
      <c r="K446" s="98"/>
      <c r="L446" s="98"/>
      <c r="M446" s="98"/>
      <c r="N446" s="98"/>
      <c r="O446" s="98"/>
      <c r="P446" s="98"/>
      <c r="Q446" s="98"/>
      <c r="R446" s="98"/>
      <c r="S446" s="98"/>
    </row>
    <row r="447" spans="1:19" x14ac:dyDescent="0.25">
      <c r="A447" t="s">
        <v>98</v>
      </c>
      <c r="D447" s="98"/>
      <c r="E447" s="98"/>
      <c r="F447" s="98"/>
      <c r="G447" s="98">
        <f>SUM(G440:G446)</f>
        <v>0</v>
      </c>
      <c r="H447" s="98">
        <f>SUM(H440:H446)</f>
        <v>0</v>
      </c>
      <c r="I447" s="98">
        <f>SUM(I440:I446)</f>
        <v>0</v>
      </c>
      <c r="J447" s="98">
        <f>SUM(G447:I447)</f>
        <v>0</v>
      </c>
      <c r="K447" s="98"/>
      <c r="L447" s="98"/>
      <c r="M447" s="98"/>
      <c r="N447" s="98"/>
      <c r="O447" s="98"/>
      <c r="P447" s="98"/>
      <c r="Q447" s="98"/>
      <c r="R447" s="98"/>
      <c r="S447" s="98"/>
    </row>
    <row r="448" spans="1:19" x14ac:dyDescent="0.25">
      <c r="A448" t="s">
        <v>102</v>
      </c>
      <c r="B448" t="s">
        <v>103</v>
      </c>
      <c r="D448" s="98"/>
      <c r="E448" s="98"/>
      <c r="F448" s="98"/>
      <c r="G448" s="98">
        <f>VLOOKUP($A440,LossChart!$A$3:$AB$105,14,0)</f>
        <v>560.45184929339325</v>
      </c>
      <c r="H448" s="98">
        <f>VLOOKUP($A440,LossChart!$A$3:$AB$105,15,0)</f>
        <v>80</v>
      </c>
      <c r="I448" s="98">
        <f>VLOOKUP($A440,LossChart!$A$3:$AB$105,16,0)</f>
        <v>477.30407413615825</v>
      </c>
      <c r="J448" s="98">
        <f>VLOOKUP($A440,LossChart!$A$3:$AB$105,17,0)</f>
        <v>1117.7559234295516</v>
      </c>
      <c r="K448" s="98"/>
      <c r="L448" s="98"/>
      <c r="M448" s="98"/>
      <c r="N448" s="98"/>
      <c r="O448" s="98"/>
      <c r="P448" s="98"/>
      <c r="Q448" s="98"/>
      <c r="R448" s="98"/>
      <c r="S448" s="98"/>
    </row>
    <row r="449" spans="1:19" x14ac:dyDescent="0.25">
      <c r="A449" t="s">
        <v>104</v>
      </c>
      <c r="D449" s="98"/>
      <c r="E449" s="98"/>
      <c r="F449" s="98"/>
      <c r="G449" s="98">
        <f>G448-G447</f>
        <v>560.45184929339325</v>
      </c>
      <c r="H449" s="98">
        <f>H448-H447</f>
        <v>80</v>
      </c>
      <c r="I449" s="98">
        <f>I448-I447</f>
        <v>477.30407413615825</v>
      </c>
      <c r="J449" s="98">
        <f>J448-J447</f>
        <v>1117.7559234295516</v>
      </c>
      <c r="K449" s="98"/>
      <c r="L449" s="98"/>
      <c r="M449" s="98"/>
      <c r="N449" s="98"/>
      <c r="O449" s="98"/>
      <c r="P449" s="98"/>
      <c r="Q449" s="98"/>
      <c r="R449" s="98"/>
      <c r="S449" s="98"/>
    </row>
    <row r="451" spans="1:19" ht="60" x14ac:dyDescent="0.25">
      <c r="A451" s="21" t="s">
        <v>63</v>
      </c>
      <c r="B451" s="21" t="s">
        <v>93</v>
      </c>
      <c r="C451" s="21" t="s">
        <v>94</v>
      </c>
      <c r="D451" s="92" t="str">
        <f>FoodDB!$C$1</f>
        <v>Fat
(g)</v>
      </c>
      <c r="E451" s="92" t="str">
        <f>FoodDB!$D$1</f>
        <v xml:space="preserve"> Carbs
(g)</v>
      </c>
      <c r="F451" s="92" t="str">
        <f>FoodDB!$E$1</f>
        <v>Protein
(g)</v>
      </c>
      <c r="G451" s="92" t="str">
        <f>FoodDB!$F$1</f>
        <v>Fat
(Cal)</v>
      </c>
      <c r="H451" s="92" t="str">
        <f>FoodDB!$G$1</f>
        <v>Carb
(Cal)</v>
      </c>
      <c r="I451" s="92" t="str">
        <f>FoodDB!$H$1</f>
        <v>Protein
(Cal)</v>
      </c>
      <c r="J451" s="92" t="str">
        <f>FoodDB!$I$1</f>
        <v>Total
Calories</v>
      </c>
      <c r="K451" s="92"/>
      <c r="L451" s="92" t="s">
        <v>110</v>
      </c>
      <c r="M451" s="92" t="s">
        <v>111</v>
      </c>
      <c r="N451" s="92" t="s">
        <v>112</v>
      </c>
      <c r="O451" s="92" t="s">
        <v>113</v>
      </c>
      <c r="P451" s="92" t="s">
        <v>118</v>
      </c>
      <c r="Q451" s="92" t="s">
        <v>119</v>
      </c>
      <c r="R451" s="92" t="s">
        <v>120</v>
      </c>
      <c r="S451" s="92" t="s">
        <v>121</v>
      </c>
    </row>
    <row r="452" spans="1:19" x14ac:dyDescent="0.25">
      <c r="A452" s="93">
        <f>A440+1</f>
        <v>43031</v>
      </c>
      <c r="B452" s="94" t="s">
        <v>108</v>
      </c>
      <c r="C452" s="95">
        <v>1</v>
      </c>
      <c r="D452" s="98">
        <f>$C452*VLOOKUP($B452,FoodDB!$A$2:$I$1016,3,0)</f>
        <v>0</v>
      </c>
      <c r="E452" s="98">
        <f>$C452*VLOOKUP($B452,FoodDB!$A$2:$I$1016,4,0)</f>
        <v>0</v>
      </c>
      <c r="F452" s="98">
        <f>$C452*VLOOKUP($B452,FoodDB!$A$2:$I$1016,5,0)</f>
        <v>0</v>
      </c>
      <c r="G452" s="98">
        <f>$C452*VLOOKUP($B452,FoodDB!$A$2:$I$1016,6,0)</f>
        <v>0</v>
      </c>
      <c r="H452" s="98">
        <f>$C452*VLOOKUP($B452,FoodDB!$A$2:$I$1016,7,0)</f>
        <v>0</v>
      </c>
      <c r="I452" s="98">
        <f>$C452*VLOOKUP($B452,FoodDB!$A$2:$I$1016,8,0)</f>
        <v>0</v>
      </c>
      <c r="J452" s="98">
        <f>$C452*VLOOKUP($B452,FoodDB!$A$2:$I$1016,9,0)</f>
        <v>0</v>
      </c>
      <c r="K452" s="98"/>
      <c r="L452" s="98">
        <f>SUM(G452:G458)</f>
        <v>0</v>
      </c>
      <c r="M452" s="98">
        <f>SUM(H452:H458)</f>
        <v>0</v>
      </c>
      <c r="N452" s="98">
        <f>SUM(I452:I458)</f>
        <v>0</v>
      </c>
      <c r="O452" s="98">
        <f>SUM(L452:N452)</f>
        <v>0</v>
      </c>
      <c r="P452" s="98">
        <f>VLOOKUP($A452,LossChart!$A$3:$AB$105,14,0)-L452</f>
        <v>566.99029469458014</v>
      </c>
      <c r="Q452" s="98">
        <f>VLOOKUP($A452,LossChart!$A$3:$AB$105,15,0)-M452</f>
        <v>80</v>
      </c>
      <c r="R452" s="98">
        <f>VLOOKUP($A452,LossChart!$A$3:$AB$105,16,0)-N452</f>
        <v>477.30407413615825</v>
      </c>
      <c r="S452" s="98">
        <f>VLOOKUP($A452,LossChart!$A$3:$AB$105,17,0)-O452</f>
        <v>1124.2943688307384</v>
      </c>
    </row>
    <row r="453" spans="1:19" x14ac:dyDescent="0.25">
      <c r="B453" s="94" t="s">
        <v>108</v>
      </c>
      <c r="C453" s="95">
        <v>1</v>
      </c>
      <c r="D453" s="98">
        <f>$C453*VLOOKUP($B453,FoodDB!$A$2:$I$1016,3,0)</f>
        <v>0</v>
      </c>
      <c r="E453" s="98">
        <f>$C453*VLOOKUP($B453,FoodDB!$A$2:$I$1016,4,0)</f>
        <v>0</v>
      </c>
      <c r="F453" s="98">
        <f>$C453*VLOOKUP($B453,FoodDB!$A$2:$I$1016,5,0)</f>
        <v>0</v>
      </c>
      <c r="G453" s="98">
        <f>$C453*VLOOKUP($B453,FoodDB!$A$2:$I$1016,6,0)</f>
        <v>0</v>
      </c>
      <c r="H453" s="98">
        <f>$C453*VLOOKUP($B453,FoodDB!$A$2:$I$1016,7,0)</f>
        <v>0</v>
      </c>
      <c r="I453" s="98">
        <f>$C453*VLOOKUP($B453,FoodDB!$A$2:$I$1016,8,0)</f>
        <v>0</v>
      </c>
      <c r="J453" s="98">
        <f>$C453*VLOOKUP($B453,FoodDB!$A$2:$I$1016,9,0)</f>
        <v>0</v>
      </c>
      <c r="K453" s="98"/>
      <c r="L453" s="98"/>
      <c r="M453" s="98"/>
      <c r="N453" s="98"/>
      <c r="O453" s="98"/>
      <c r="P453" s="98"/>
      <c r="Q453" s="98"/>
      <c r="R453" s="98"/>
      <c r="S453" s="98"/>
    </row>
    <row r="454" spans="1:19" x14ac:dyDescent="0.25">
      <c r="B454" s="94" t="s">
        <v>108</v>
      </c>
      <c r="C454" s="95">
        <v>1</v>
      </c>
      <c r="D454" s="98">
        <f>$C454*VLOOKUP($B454,FoodDB!$A$2:$I$1016,3,0)</f>
        <v>0</v>
      </c>
      <c r="E454" s="98">
        <f>$C454*VLOOKUP($B454,FoodDB!$A$2:$I$1016,4,0)</f>
        <v>0</v>
      </c>
      <c r="F454" s="98">
        <f>$C454*VLOOKUP($B454,FoodDB!$A$2:$I$1016,5,0)</f>
        <v>0</v>
      </c>
      <c r="G454" s="98">
        <f>$C454*VLOOKUP($B454,FoodDB!$A$2:$I$1016,6,0)</f>
        <v>0</v>
      </c>
      <c r="H454" s="98">
        <f>$C454*VLOOKUP($B454,FoodDB!$A$2:$I$1016,7,0)</f>
        <v>0</v>
      </c>
      <c r="I454" s="98">
        <f>$C454*VLOOKUP($B454,FoodDB!$A$2:$I$1016,8,0)</f>
        <v>0</v>
      </c>
      <c r="J454" s="98">
        <f>$C454*VLOOKUP($B454,FoodDB!$A$2:$I$1016,9,0)</f>
        <v>0</v>
      </c>
      <c r="K454" s="98"/>
      <c r="L454" s="98"/>
      <c r="M454" s="98"/>
      <c r="N454" s="98"/>
      <c r="O454" s="98"/>
      <c r="P454" s="98"/>
      <c r="Q454" s="98"/>
      <c r="R454" s="98"/>
      <c r="S454" s="98"/>
    </row>
    <row r="455" spans="1:19" x14ac:dyDescent="0.25">
      <c r="B455" s="94" t="s">
        <v>108</v>
      </c>
      <c r="C455" s="95">
        <v>1</v>
      </c>
      <c r="D455" s="98">
        <f>$C455*VLOOKUP($B455,FoodDB!$A$2:$I$1016,3,0)</f>
        <v>0</v>
      </c>
      <c r="E455" s="98">
        <f>$C455*VLOOKUP($B455,FoodDB!$A$2:$I$1016,4,0)</f>
        <v>0</v>
      </c>
      <c r="F455" s="98">
        <f>$C455*VLOOKUP($B455,FoodDB!$A$2:$I$1016,5,0)</f>
        <v>0</v>
      </c>
      <c r="G455" s="98">
        <f>$C455*VLOOKUP($B455,FoodDB!$A$2:$I$1016,6,0)</f>
        <v>0</v>
      </c>
      <c r="H455" s="98">
        <f>$C455*VLOOKUP($B455,FoodDB!$A$2:$I$1016,7,0)</f>
        <v>0</v>
      </c>
      <c r="I455" s="98">
        <f>$C455*VLOOKUP($B455,FoodDB!$A$2:$I$1016,8,0)</f>
        <v>0</v>
      </c>
      <c r="J455" s="98">
        <f>$C455*VLOOKUP($B455,FoodDB!$A$2:$I$1016,9,0)</f>
        <v>0</v>
      </c>
      <c r="K455" s="98"/>
      <c r="L455" s="98"/>
      <c r="M455" s="98"/>
      <c r="N455" s="98"/>
      <c r="O455" s="98"/>
      <c r="P455" s="98"/>
      <c r="Q455" s="98"/>
      <c r="R455" s="98"/>
      <c r="S455" s="98"/>
    </row>
    <row r="456" spans="1:19" x14ac:dyDescent="0.25">
      <c r="B456" s="94" t="s">
        <v>108</v>
      </c>
      <c r="C456" s="95">
        <v>1</v>
      </c>
      <c r="D456" s="98">
        <f>$C456*VLOOKUP($B456,FoodDB!$A$2:$I$1016,3,0)</f>
        <v>0</v>
      </c>
      <c r="E456" s="98">
        <f>$C456*VLOOKUP($B456,FoodDB!$A$2:$I$1016,4,0)</f>
        <v>0</v>
      </c>
      <c r="F456" s="98">
        <f>$C456*VLOOKUP($B456,FoodDB!$A$2:$I$1016,5,0)</f>
        <v>0</v>
      </c>
      <c r="G456" s="98">
        <f>$C456*VLOOKUP($B456,FoodDB!$A$2:$I$1016,6,0)</f>
        <v>0</v>
      </c>
      <c r="H456" s="98">
        <f>$C456*VLOOKUP($B456,FoodDB!$A$2:$I$1016,7,0)</f>
        <v>0</v>
      </c>
      <c r="I456" s="98">
        <f>$C456*VLOOKUP($B456,FoodDB!$A$2:$I$1016,8,0)</f>
        <v>0</v>
      </c>
      <c r="J456" s="98">
        <f>$C456*VLOOKUP($B456,FoodDB!$A$2:$I$1016,9,0)</f>
        <v>0</v>
      </c>
      <c r="K456" s="98"/>
      <c r="L456" s="98"/>
      <c r="M456" s="98"/>
      <c r="N456" s="98"/>
      <c r="O456" s="98"/>
      <c r="P456" s="98"/>
      <c r="Q456" s="98"/>
      <c r="R456" s="98"/>
      <c r="S456" s="98"/>
    </row>
    <row r="457" spans="1:19" x14ac:dyDescent="0.25">
      <c r="B457" s="94" t="s">
        <v>108</v>
      </c>
      <c r="C457" s="95">
        <v>1</v>
      </c>
      <c r="D457" s="98">
        <f>$C457*VLOOKUP($B457,FoodDB!$A$2:$I$1016,3,0)</f>
        <v>0</v>
      </c>
      <c r="E457" s="98">
        <f>$C457*VLOOKUP($B457,FoodDB!$A$2:$I$1016,4,0)</f>
        <v>0</v>
      </c>
      <c r="F457" s="98">
        <f>$C457*VLOOKUP($B457,FoodDB!$A$2:$I$1016,5,0)</f>
        <v>0</v>
      </c>
      <c r="G457" s="98">
        <f>$C457*VLOOKUP($B457,FoodDB!$A$2:$I$1016,6,0)</f>
        <v>0</v>
      </c>
      <c r="H457" s="98">
        <f>$C457*VLOOKUP($B457,FoodDB!$A$2:$I$1016,7,0)</f>
        <v>0</v>
      </c>
      <c r="I457" s="98">
        <f>$C457*VLOOKUP($B457,FoodDB!$A$2:$I$1016,8,0)</f>
        <v>0</v>
      </c>
      <c r="J457" s="98">
        <f>$C457*VLOOKUP($B457,FoodDB!$A$2:$I$1016,9,0)</f>
        <v>0</v>
      </c>
      <c r="K457" s="98"/>
      <c r="L457" s="98"/>
      <c r="M457" s="98"/>
      <c r="N457" s="98"/>
      <c r="O457" s="98"/>
      <c r="P457" s="98"/>
      <c r="Q457" s="98"/>
      <c r="R457" s="98"/>
      <c r="S457" s="98"/>
    </row>
    <row r="458" spans="1:19" x14ac:dyDescent="0.25">
      <c r="B458" s="94" t="s">
        <v>108</v>
      </c>
      <c r="C458" s="95">
        <v>1</v>
      </c>
      <c r="D458" s="98">
        <f>$C458*VLOOKUP($B458,FoodDB!$A$2:$I$1016,3,0)</f>
        <v>0</v>
      </c>
      <c r="E458" s="98">
        <f>$C458*VLOOKUP($B458,FoodDB!$A$2:$I$1016,4,0)</f>
        <v>0</v>
      </c>
      <c r="F458" s="98">
        <f>$C458*VLOOKUP($B458,FoodDB!$A$2:$I$1016,5,0)</f>
        <v>0</v>
      </c>
      <c r="G458" s="98">
        <f>$C458*VLOOKUP($B458,FoodDB!$A$2:$I$1016,6,0)</f>
        <v>0</v>
      </c>
      <c r="H458" s="98">
        <f>$C458*VLOOKUP($B458,FoodDB!$A$2:$I$1016,7,0)</f>
        <v>0</v>
      </c>
      <c r="I458" s="98">
        <f>$C458*VLOOKUP($B458,FoodDB!$A$2:$I$1016,8,0)</f>
        <v>0</v>
      </c>
      <c r="J458" s="98">
        <f>$C458*VLOOKUP($B458,FoodDB!$A$2:$I$1016,9,0)</f>
        <v>0</v>
      </c>
      <c r="K458" s="98"/>
      <c r="L458" s="98"/>
      <c r="M458" s="98"/>
      <c r="N458" s="98"/>
      <c r="O458" s="98"/>
      <c r="P458" s="98"/>
      <c r="Q458" s="98"/>
      <c r="R458" s="98"/>
      <c r="S458" s="98"/>
    </row>
    <row r="459" spans="1:19" x14ac:dyDescent="0.25">
      <c r="A459" t="s">
        <v>98</v>
      </c>
      <c r="D459" s="98"/>
      <c r="E459" s="98"/>
      <c r="F459" s="98"/>
      <c r="G459" s="98">
        <f>SUM(G452:G458)</f>
        <v>0</v>
      </c>
      <c r="H459" s="98">
        <f>SUM(H452:H458)</f>
        <v>0</v>
      </c>
      <c r="I459" s="98">
        <f>SUM(I452:I458)</f>
        <v>0</v>
      </c>
      <c r="J459" s="98">
        <f>SUM(G459:I459)</f>
        <v>0</v>
      </c>
      <c r="K459" s="98"/>
      <c r="L459" s="98"/>
      <c r="M459" s="98"/>
      <c r="N459" s="98"/>
      <c r="O459" s="98"/>
      <c r="P459" s="98"/>
      <c r="Q459" s="98"/>
      <c r="R459" s="98"/>
      <c r="S459" s="98"/>
    </row>
    <row r="460" spans="1:19" x14ac:dyDescent="0.25">
      <c r="A460" t="s">
        <v>102</v>
      </c>
      <c r="B460" t="s">
        <v>103</v>
      </c>
      <c r="D460" s="98"/>
      <c r="E460" s="98"/>
      <c r="F460" s="98"/>
      <c r="G460" s="98">
        <f>VLOOKUP($A452,LossChart!$A$3:$AB$105,14,0)</f>
        <v>566.99029469458014</v>
      </c>
      <c r="H460" s="98">
        <f>VLOOKUP($A452,LossChart!$A$3:$AB$105,15,0)</f>
        <v>80</v>
      </c>
      <c r="I460" s="98">
        <f>VLOOKUP($A452,LossChart!$A$3:$AB$105,16,0)</f>
        <v>477.30407413615825</v>
      </c>
      <c r="J460" s="98">
        <f>VLOOKUP($A452,LossChart!$A$3:$AB$105,17,0)</f>
        <v>1124.2943688307384</v>
      </c>
      <c r="K460" s="98"/>
      <c r="L460" s="98"/>
      <c r="M460" s="98"/>
      <c r="N460" s="98"/>
      <c r="O460" s="98"/>
      <c r="P460" s="98"/>
      <c r="Q460" s="98"/>
      <c r="R460" s="98"/>
      <c r="S460" s="98"/>
    </row>
    <row r="461" spans="1:19" x14ac:dyDescent="0.25">
      <c r="A461" t="s">
        <v>104</v>
      </c>
      <c r="D461" s="98"/>
      <c r="E461" s="98"/>
      <c r="F461" s="98"/>
      <c r="G461" s="98">
        <f>G460-G459</f>
        <v>566.99029469458014</v>
      </c>
      <c r="H461" s="98">
        <f>H460-H459</f>
        <v>80</v>
      </c>
      <c r="I461" s="98">
        <f>I460-I459</f>
        <v>477.30407413615825</v>
      </c>
      <c r="J461" s="98">
        <f>J460-J459</f>
        <v>1124.2943688307384</v>
      </c>
      <c r="K461" s="98"/>
      <c r="L461" s="98"/>
      <c r="M461" s="98"/>
      <c r="N461" s="98"/>
      <c r="O461" s="98"/>
      <c r="P461" s="98"/>
      <c r="Q461" s="98"/>
      <c r="R461" s="98"/>
      <c r="S461" s="98"/>
    </row>
    <row r="463" spans="1:19" ht="60" x14ac:dyDescent="0.25">
      <c r="A463" s="21" t="s">
        <v>63</v>
      </c>
      <c r="B463" s="21" t="s">
        <v>93</v>
      </c>
      <c r="C463" s="21" t="s">
        <v>94</v>
      </c>
      <c r="D463" s="92" t="str">
        <f>FoodDB!$C$1</f>
        <v>Fat
(g)</v>
      </c>
      <c r="E463" s="92" t="str">
        <f>FoodDB!$D$1</f>
        <v xml:space="preserve"> Carbs
(g)</v>
      </c>
      <c r="F463" s="92" t="str">
        <f>FoodDB!$E$1</f>
        <v>Protein
(g)</v>
      </c>
      <c r="G463" s="92" t="str">
        <f>FoodDB!$F$1</f>
        <v>Fat
(Cal)</v>
      </c>
      <c r="H463" s="92" t="str">
        <f>FoodDB!$G$1</f>
        <v>Carb
(Cal)</v>
      </c>
      <c r="I463" s="92" t="str">
        <f>FoodDB!$H$1</f>
        <v>Protein
(Cal)</v>
      </c>
      <c r="J463" s="92" t="str">
        <f>FoodDB!$I$1</f>
        <v>Total
Calories</v>
      </c>
      <c r="K463" s="92"/>
      <c r="L463" s="92" t="s">
        <v>110</v>
      </c>
      <c r="M463" s="92" t="s">
        <v>111</v>
      </c>
      <c r="N463" s="92" t="s">
        <v>112</v>
      </c>
      <c r="O463" s="92" t="s">
        <v>113</v>
      </c>
      <c r="P463" s="92" t="s">
        <v>118</v>
      </c>
      <c r="Q463" s="92" t="s">
        <v>119</v>
      </c>
      <c r="R463" s="92" t="s">
        <v>120</v>
      </c>
      <c r="S463" s="92" t="s">
        <v>121</v>
      </c>
    </row>
    <row r="464" spans="1:19" x14ac:dyDescent="0.25">
      <c r="A464" s="93">
        <f>A452+1</f>
        <v>43032</v>
      </c>
      <c r="B464" s="94" t="s">
        <v>108</v>
      </c>
      <c r="C464" s="95">
        <v>1</v>
      </c>
      <c r="D464" s="98">
        <f>$C464*VLOOKUP($B464,FoodDB!$A$2:$I$1016,3,0)</f>
        <v>0</v>
      </c>
      <c r="E464" s="98">
        <f>$C464*VLOOKUP($B464,FoodDB!$A$2:$I$1016,4,0)</f>
        <v>0</v>
      </c>
      <c r="F464" s="98">
        <f>$C464*VLOOKUP($B464,FoodDB!$A$2:$I$1016,5,0)</f>
        <v>0</v>
      </c>
      <c r="G464" s="98">
        <f>$C464*VLOOKUP($B464,FoodDB!$A$2:$I$1016,6,0)</f>
        <v>0</v>
      </c>
      <c r="H464" s="98">
        <f>$C464*VLOOKUP($B464,FoodDB!$A$2:$I$1016,7,0)</f>
        <v>0</v>
      </c>
      <c r="I464" s="98">
        <f>$C464*VLOOKUP($B464,FoodDB!$A$2:$I$1016,8,0)</f>
        <v>0</v>
      </c>
      <c r="J464" s="98">
        <f>$C464*VLOOKUP($B464,FoodDB!$A$2:$I$1016,9,0)</f>
        <v>0</v>
      </c>
      <c r="K464" s="98"/>
      <c r="L464" s="98">
        <f>SUM(G464:G470)</f>
        <v>0</v>
      </c>
      <c r="M464" s="98">
        <f>SUM(H464:H470)</f>
        <v>0</v>
      </c>
      <c r="N464" s="98">
        <f>SUM(I464:I470)</f>
        <v>0</v>
      </c>
      <c r="O464" s="98">
        <f>SUM(L464:N464)</f>
        <v>0</v>
      </c>
      <c r="P464" s="98">
        <f>VLOOKUP($A464,LossChart!$A$3:$AB$105,14,0)-L464</f>
        <v>573.47082815078511</v>
      </c>
      <c r="Q464" s="98">
        <f>VLOOKUP($A464,LossChart!$A$3:$AB$105,15,0)-M464</f>
        <v>80</v>
      </c>
      <c r="R464" s="98">
        <f>VLOOKUP($A464,LossChart!$A$3:$AB$105,16,0)-N464</f>
        <v>477.30407413615825</v>
      </c>
      <c r="S464" s="98">
        <f>VLOOKUP($A464,LossChart!$A$3:$AB$105,17,0)-O464</f>
        <v>1130.7749022869434</v>
      </c>
    </row>
    <row r="465" spans="1:19" x14ac:dyDescent="0.25">
      <c r="B465" s="94" t="s">
        <v>108</v>
      </c>
      <c r="C465" s="95">
        <v>1</v>
      </c>
      <c r="D465" s="98">
        <f>$C465*VLOOKUP($B465,FoodDB!$A$2:$I$1016,3,0)</f>
        <v>0</v>
      </c>
      <c r="E465" s="98">
        <f>$C465*VLOOKUP($B465,FoodDB!$A$2:$I$1016,4,0)</f>
        <v>0</v>
      </c>
      <c r="F465" s="98">
        <f>$C465*VLOOKUP($B465,FoodDB!$A$2:$I$1016,5,0)</f>
        <v>0</v>
      </c>
      <c r="G465" s="98">
        <f>$C465*VLOOKUP($B465,FoodDB!$A$2:$I$1016,6,0)</f>
        <v>0</v>
      </c>
      <c r="H465" s="98">
        <f>$C465*VLOOKUP($B465,FoodDB!$A$2:$I$1016,7,0)</f>
        <v>0</v>
      </c>
      <c r="I465" s="98">
        <f>$C465*VLOOKUP($B465,FoodDB!$A$2:$I$1016,8,0)</f>
        <v>0</v>
      </c>
      <c r="J465" s="98">
        <f>$C465*VLOOKUP($B465,FoodDB!$A$2:$I$1016,9,0)</f>
        <v>0</v>
      </c>
      <c r="K465" s="98"/>
      <c r="L465" s="98"/>
      <c r="M465" s="98"/>
      <c r="N465" s="98"/>
      <c r="O465" s="98"/>
      <c r="P465" s="98"/>
      <c r="Q465" s="98"/>
      <c r="R465" s="98"/>
      <c r="S465" s="98"/>
    </row>
    <row r="466" spans="1:19" x14ac:dyDescent="0.25">
      <c r="B466" s="94" t="s">
        <v>108</v>
      </c>
      <c r="C466" s="95">
        <v>1</v>
      </c>
      <c r="D466" s="98">
        <f>$C466*VLOOKUP($B466,FoodDB!$A$2:$I$1016,3,0)</f>
        <v>0</v>
      </c>
      <c r="E466" s="98">
        <f>$C466*VLOOKUP($B466,FoodDB!$A$2:$I$1016,4,0)</f>
        <v>0</v>
      </c>
      <c r="F466" s="98">
        <f>$C466*VLOOKUP($B466,FoodDB!$A$2:$I$1016,5,0)</f>
        <v>0</v>
      </c>
      <c r="G466" s="98">
        <f>$C466*VLOOKUP($B466,FoodDB!$A$2:$I$1016,6,0)</f>
        <v>0</v>
      </c>
      <c r="H466" s="98">
        <f>$C466*VLOOKUP($B466,FoodDB!$A$2:$I$1016,7,0)</f>
        <v>0</v>
      </c>
      <c r="I466" s="98">
        <f>$C466*VLOOKUP($B466,FoodDB!$A$2:$I$1016,8,0)</f>
        <v>0</v>
      </c>
      <c r="J466" s="98">
        <f>$C466*VLOOKUP($B466,FoodDB!$A$2:$I$1016,9,0)</f>
        <v>0</v>
      </c>
      <c r="K466" s="98"/>
      <c r="L466" s="98"/>
      <c r="M466" s="98"/>
      <c r="N466" s="98"/>
      <c r="O466" s="98"/>
      <c r="P466" s="98"/>
      <c r="Q466" s="98"/>
      <c r="R466" s="98"/>
      <c r="S466" s="98"/>
    </row>
    <row r="467" spans="1:19" x14ac:dyDescent="0.25">
      <c r="B467" s="94" t="s">
        <v>108</v>
      </c>
      <c r="C467" s="95">
        <v>1</v>
      </c>
      <c r="D467" s="98">
        <f>$C467*VLOOKUP($B467,FoodDB!$A$2:$I$1016,3,0)</f>
        <v>0</v>
      </c>
      <c r="E467" s="98">
        <f>$C467*VLOOKUP($B467,FoodDB!$A$2:$I$1016,4,0)</f>
        <v>0</v>
      </c>
      <c r="F467" s="98">
        <f>$C467*VLOOKUP($B467,FoodDB!$A$2:$I$1016,5,0)</f>
        <v>0</v>
      </c>
      <c r="G467" s="98">
        <f>$C467*VLOOKUP($B467,FoodDB!$A$2:$I$1016,6,0)</f>
        <v>0</v>
      </c>
      <c r="H467" s="98">
        <f>$C467*VLOOKUP($B467,FoodDB!$A$2:$I$1016,7,0)</f>
        <v>0</v>
      </c>
      <c r="I467" s="98">
        <f>$C467*VLOOKUP($B467,FoodDB!$A$2:$I$1016,8,0)</f>
        <v>0</v>
      </c>
      <c r="J467" s="98">
        <f>$C467*VLOOKUP($B467,FoodDB!$A$2:$I$1016,9,0)</f>
        <v>0</v>
      </c>
      <c r="K467" s="98"/>
      <c r="L467" s="98"/>
      <c r="M467" s="98"/>
      <c r="N467" s="98"/>
      <c r="O467" s="98"/>
      <c r="P467" s="98"/>
      <c r="Q467" s="98"/>
      <c r="R467" s="98"/>
      <c r="S467" s="98"/>
    </row>
    <row r="468" spans="1:19" x14ac:dyDescent="0.25">
      <c r="B468" s="94" t="s">
        <v>108</v>
      </c>
      <c r="C468" s="95">
        <v>1</v>
      </c>
      <c r="D468" s="98">
        <f>$C468*VLOOKUP($B468,FoodDB!$A$2:$I$1016,3,0)</f>
        <v>0</v>
      </c>
      <c r="E468" s="98">
        <f>$C468*VLOOKUP($B468,FoodDB!$A$2:$I$1016,4,0)</f>
        <v>0</v>
      </c>
      <c r="F468" s="98">
        <f>$C468*VLOOKUP($B468,FoodDB!$A$2:$I$1016,5,0)</f>
        <v>0</v>
      </c>
      <c r="G468" s="98">
        <f>$C468*VLOOKUP($B468,FoodDB!$A$2:$I$1016,6,0)</f>
        <v>0</v>
      </c>
      <c r="H468" s="98">
        <f>$C468*VLOOKUP($B468,FoodDB!$A$2:$I$1016,7,0)</f>
        <v>0</v>
      </c>
      <c r="I468" s="98">
        <f>$C468*VLOOKUP($B468,FoodDB!$A$2:$I$1016,8,0)</f>
        <v>0</v>
      </c>
      <c r="J468" s="98">
        <f>$C468*VLOOKUP($B468,FoodDB!$A$2:$I$1016,9,0)</f>
        <v>0</v>
      </c>
      <c r="K468" s="98"/>
      <c r="L468" s="98"/>
      <c r="M468" s="98"/>
      <c r="N468" s="98"/>
      <c r="O468" s="98"/>
      <c r="P468" s="98"/>
      <c r="Q468" s="98"/>
      <c r="R468" s="98"/>
      <c r="S468" s="98"/>
    </row>
    <row r="469" spans="1:19" x14ac:dyDescent="0.25">
      <c r="B469" s="94" t="s">
        <v>108</v>
      </c>
      <c r="C469" s="95">
        <v>1</v>
      </c>
      <c r="D469" s="98">
        <f>$C469*VLOOKUP($B469,FoodDB!$A$2:$I$1016,3,0)</f>
        <v>0</v>
      </c>
      <c r="E469" s="98">
        <f>$C469*VLOOKUP($B469,FoodDB!$A$2:$I$1016,4,0)</f>
        <v>0</v>
      </c>
      <c r="F469" s="98">
        <f>$C469*VLOOKUP($B469,FoodDB!$A$2:$I$1016,5,0)</f>
        <v>0</v>
      </c>
      <c r="G469" s="98">
        <f>$C469*VLOOKUP($B469,FoodDB!$A$2:$I$1016,6,0)</f>
        <v>0</v>
      </c>
      <c r="H469" s="98">
        <f>$C469*VLOOKUP($B469,FoodDB!$A$2:$I$1016,7,0)</f>
        <v>0</v>
      </c>
      <c r="I469" s="98">
        <f>$C469*VLOOKUP($B469,FoodDB!$A$2:$I$1016,8,0)</f>
        <v>0</v>
      </c>
      <c r="J469" s="98">
        <f>$C469*VLOOKUP($B469,FoodDB!$A$2:$I$1016,9,0)</f>
        <v>0</v>
      </c>
      <c r="K469" s="98"/>
      <c r="L469" s="98"/>
      <c r="M469" s="98"/>
      <c r="N469" s="98"/>
      <c r="O469" s="98"/>
      <c r="P469" s="98"/>
      <c r="Q469" s="98"/>
      <c r="R469" s="98"/>
      <c r="S469" s="98"/>
    </row>
    <row r="470" spans="1:19" x14ac:dyDescent="0.25">
      <c r="B470" s="94" t="s">
        <v>108</v>
      </c>
      <c r="C470" s="95">
        <v>1</v>
      </c>
      <c r="D470" s="98">
        <f>$C470*VLOOKUP($B470,FoodDB!$A$2:$I$1016,3,0)</f>
        <v>0</v>
      </c>
      <c r="E470" s="98">
        <f>$C470*VLOOKUP($B470,FoodDB!$A$2:$I$1016,4,0)</f>
        <v>0</v>
      </c>
      <c r="F470" s="98">
        <f>$C470*VLOOKUP($B470,FoodDB!$A$2:$I$1016,5,0)</f>
        <v>0</v>
      </c>
      <c r="G470" s="98">
        <f>$C470*VLOOKUP($B470,FoodDB!$A$2:$I$1016,6,0)</f>
        <v>0</v>
      </c>
      <c r="H470" s="98">
        <f>$C470*VLOOKUP($B470,FoodDB!$A$2:$I$1016,7,0)</f>
        <v>0</v>
      </c>
      <c r="I470" s="98">
        <f>$C470*VLOOKUP($B470,FoodDB!$A$2:$I$1016,8,0)</f>
        <v>0</v>
      </c>
      <c r="J470" s="98">
        <f>$C470*VLOOKUP($B470,FoodDB!$A$2:$I$1016,9,0)</f>
        <v>0</v>
      </c>
      <c r="K470" s="98"/>
      <c r="L470" s="98"/>
      <c r="M470" s="98"/>
      <c r="N470" s="98"/>
      <c r="O470" s="98"/>
      <c r="P470" s="98"/>
      <c r="Q470" s="98"/>
      <c r="R470" s="98"/>
      <c r="S470" s="98"/>
    </row>
    <row r="471" spans="1:19" x14ac:dyDescent="0.25">
      <c r="A471" t="s">
        <v>98</v>
      </c>
      <c r="D471" s="98"/>
      <c r="E471" s="98"/>
      <c r="F471" s="98"/>
      <c r="G471" s="98">
        <f>SUM(G464:G470)</f>
        <v>0</v>
      </c>
      <c r="H471" s="98">
        <f>SUM(H464:H470)</f>
        <v>0</v>
      </c>
      <c r="I471" s="98">
        <f>SUM(I464:I470)</f>
        <v>0</v>
      </c>
      <c r="J471" s="98">
        <f>SUM(G471:I471)</f>
        <v>0</v>
      </c>
      <c r="K471" s="98"/>
      <c r="L471" s="98"/>
      <c r="M471" s="98"/>
      <c r="N471" s="98"/>
      <c r="O471" s="98"/>
      <c r="P471" s="98"/>
      <c r="Q471" s="98"/>
      <c r="R471" s="98"/>
      <c r="S471" s="98"/>
    </row>
    <row r="472" spans="1:19" x14ac:dyDescent="0.25">
      <c r="A472" t="s">
        <v>102</v>
      </c>
      <c r="B472" t="s">
        <v>103</v>
      </c>
      <c r="D472" s="98"/>
      <c r="E472" s="98"/>
      <c r="F472" s="98"/>
      <c r="G472" s="98">
        <f>VLOOKUP($A464,LossChart!$A$3:$AB$105,14,0)</f>
        <v>573.47082815078511</v>
      </c>
      <c r="H472" s="98">
        <f>VLOOKUP($A464,LossChart!$A$3:$AB$105,15,0)</f>
        <v>80</v>
      </c>
      <c r="I472" s="98">
        <f>VLOOKUP($A464,LossChart!$A$3:$AB$105,16,0)</f>
        <v>477.30407413615825</v>
      </c>
      <c r="J472" s="98">
        <f>VLOOKUP($A464,LossChart!$A$3:$AB$105,17,0)</f>
        <v>1130.7749022869434</v>
      </c>
      <c r="K472" s="98"/>
      <c r="L472" s="98"/>
      <c r="M472" s="98"/>
      <c r="N472" s="98"/>
      <c r="O472" s="98"/>
      <c r="P472" s="98"/>
      <c r="Q472" s="98"/>
      <c r="R472" s="98"/>
      <c r="S472" s="98"/>
    </row>
    <row r="473" spans="1:19" x14ac:dyDescent="0.25">
      <c r="A473" t="s">
        <v>104</v>
      </c>
      <c r="D473" s="98"/>
      <c r="E473" s="98"/>
      <c r="F473" s="98"/>
      <c r="G473" s="98">
        <f>G472-G471</f>
        <v>573.47082815078511</v>
      </c>
      <c r="H473" s="98">
        <f>H472-H471</f>
        <v>80</v>
      </c>
      <c r="I473" s="98">
        <f>I472-I471</f>
        <v>477.30407413615825</v>
      </c>
      <c r="J473" s="98">
        <f>J472-J471</f>
        <v>1130.7749022869434</v>
      </c>
      <c r="K473" s="98"/>
      <c r="L473" s="98"/>
      <c r="M473" s="98"/>
      <c r="N473" s="98"/>
      <c r="O473" s="98"/>
      <c r="P473" s="98"/>
      <c r="Q473" s="98"/>
      <c r="R473" s="98"/>
      <c r="S473" s="98"/>
    </row>
    <row r="475" spans="1:19" ht="60" x14ac:dyDescent="0.25">
      <c r="A475" s="21" t="s">
        <v>63</v>
      </c>
      <c r="B475" s="21" t="s">
        <v>93</v>
      </c>
      <c r="C475" s="21" t="s">
        <v>94</v>
      </c>
      <c r="D475" s="92" t="str">
        <f>FoodDB!$C$1</f>
        <v>Fat
(g)</v>
      </c>
      <c r="E475" s="92" t="str">
        <f>FoodDB!$D$1</f>
        <v xml:space="preserve"> Carbs
(g)</v>
      </c>
      <c r="F475" s="92" t="str">
        <f>FoodDB!$E$1</f>
        <v>Protein
(g)</v>
      </c>
      <c r="G475" s="92" t="str">
        <f>FoodDB!$F$1</f>
        <v>Fat
(Cal)</v>
      </c>
      <c r="H475" s="92" t="str">
        <f>FoodDB!$G$1</f>
        <v>Carb
(Cal)</v>
      </c>
      <c r="I475" s="92" t="str">
        <f>FoodDB!$H$1</f>
        <v>Protein
(Cal)</v>
      </c>
      <c r="J475" s="92" t="str">
        <f>FoodDB!$I$1</f>
        <v>Total
Calories</v>
      </c>
      <c r="K475" s="92"/>
      <c r="L475" s="92" t="s">
        <v>110</v>
      </c>
      <c r="M475" s="92" t="s">
        <v>111</v>
      </c>
      <c r="N475" s="92" t="s">
        <v>112</v>
      </c>
      <c r="O475" s="92" t="s">
        <v>113</v>
      </c>
      <c r="P475" s="92" t="s">
        <v>118</v>
      </c>
      <c r="Q475" s="92" t="s">
        <v>119</v>
      </c>
      <c r="R475" s="92" t="s">
        <v>120</v>
      </c>
      <c r="S475" s="92" t="s">
        <v>121</v>
      </c>
    </row>
    <row r="476" spans="1:19" x14ac:dyDescent="0.25">
      <c r="A476" s="93">
        <f>A464+1</f>
        <v>43033</v>
      </c>
      <c r="B476" s="94" t="s">
        <v>108</v>
      </c>
      <c r="C476" s="95">
        <v>1</v>
      </c>
      <c r="D476" s="98">
        <f>$C476*VLOOKUP($B476,FoodDB!$A$2:$I$1016,3,0)</f>
        <v>0</v>
      </c>
      <c r="E476" s="98">
        <f>$C476*VLOOKUP($B476,FoodDB!$A$2:$I$1016,4,0)</f>
        <v>0</v>
      </c>
      <c r="F476" s="98">
        <f>$C476*VLOOKUP($B476,FoodDB!$A$2:$I$1016,5,0)</f>
        <v>0</v>
      </c>
      <c r="G476" s="98">
        <f>$C476*VLOOKUP($B476,FoodDB!$A$2:$I$1016,6,0)</f>
        <v>0</v>
      </c>
      <c r="H476" s="98">
        <f>$C476*VLOOKUP($B476,FoodDB!$A$2:$I$1016,7,0)</f>
        <v>0</v>
      </c>
      <c r="I476" s="98">
        <f>$C476*VLOOKUP($B476,FoodDB!$A$2:$I$1016,8,0)</f>
        <v>0</v>
      </c>
      <c r="J476" s="98">
        <f>$C476*VLOOKUP($B476,FoodDB!$A$2:$I$1016,9,0)</f>
        <v>0</v>
      </c>
      <c r="K476" s="98"/>
      <c r="L476" s="98">
        <f>SUM(G476:G482)</f>
        <v>0</v>
      </c>
      <c r="M476" s="98">
        <f>SUM(H476:H482)</f>
        <v>0</v>
      </c>
      <c r="N476" s="98">
        <f>SUM(I476:I482)</f>
        <v>0</v>
      </c>
      <c r="O476" s="98">
        <f>SUM(L476:N476)</f>
        <v>0</v>
      </c>
      <c r="P476" s="98">
        <f>VLOOKUP($A476,LossChart!$A$3:$AB$105,14,0)-L476</f>
        <v>579.89396259637851</v>
      </c>
      <c r="Q476" s="98">
        <f>VLOOKUP($A476,LossChart!$A$3:$AB$105,15,0)-M476</f>
        <v>80</v>
      </c>
      <c r="R476" s="98">
        <f>VLOOKUP($A476,LossChart!$A$3:$AB$105,16,0)-N476</f>
        <v>477.30407413615825</v>
      </c>
      <c r="S476" s="98">
        <f>VLOOKUP($A476,LossChart!$A$3:$AB$105,17,0)-O476</f>
        <v>1137.1980367325368</v>
      </c>
    </row>
    <row r="477" spans="1:19" x14ac:dyDescent="0.25">
      <c r="B477" s="94" t="s">
        <v>108</v>
      </c>
      <c r="C477" s="95">
        <v>1</v>
      </c>
      <c r="D477" s="98">
        <f>$C477*VLOOKUP($B477,FoodDB!$A$2:$I$1016,3,0)</f>
        <v>0</v>
      </c>
      <c r="E477" s="98">
        <f>$C477*VLOOKUP($B477,FoodDB!$A$2:$I$1016,4,0)</f>
        <v>0</v>
      </c>
      <c r="F477" s="98">
        <f>$C477*VLOOKUP($B477,FoodDB!$A$2:$I$1016,5,0)</f>
        <v>0</v>
      </c>
      <c r="G477" s="98">
        <f>$C477*VLOOKUP($B477,FoodDB!$A$2:$I$1016,6,0)</f>
        <v>0</v>
      </c>
      <c r="H477" s="98">
        <f>$C477*VLOOKUP($B477,FoodDB!$A$2:$I$1016,7,0)</f>
        <v>0</v>
      </c>
      <c r="I477" s="98">
        <f>$C477*VLOOKUP($B477,FoodDB!$A$2:$I$1016,8,0)</f>
        <v>0</v>
      </c>
      <c r="J477" s="98">
        <f>$C477*VLOOKUP($B477,FoodDB!$A$2:$I$1016,9,0)</f>
        <v>0</v>
      </c>
      <c r="K477" s="98"/>
      <c r="L477" s="98"/>
      <c r="M477" s="98"/>
      <c r="N477" s="98"/>
      <c r="O477" s="98"/>
      <c r="P477" s="98"/>
      <c r="Q477" s="98"/>
      <c r="R477" s="98"/>
      <c r="S477" s="98"/>
    </row>
    <row r="478" spans="1:19" x14ac:dyDescent="0.25">
      <c r="B478" s="94" t="s">
        <v>108</v>
      </c>
      <c r="C478" s="95">
        <v>1</v>
      </c>
      <c r="D478" s="98">
        <f>$C478*VLOOKUP($B478,FoodDB!$A$2:$I$1016,3,0)</f>
        <v>0</v>
      </c>
      <c r="E478" s="98">
        <f>$C478*VLOOKUP($B478,FoodDB!$A$2:$I$1016,4,0)</f>
        <v>0</v>
      </c>
      <c r="F478" s="98">
        <f>$C478*VLOOKUP($B478,FoodDB!$A$2:$I$1016,5,0)</f>
        <v>0</v>
      </c>
      <c r="G478" s="98">
        <f>$C478*VLOOKUP($B478,FoodDB!$A$2:$I$1016,6,0)</f>
        <v>0</v>
      </c>
      <c r="H478" s="98">
        <f>$C478*VLOOKUP($B478,FoodDB!$A$2:$I$1016,7,0)</f>
        <v>0</v>
      </c>
      <c r="I478" s="98">
        <f>$C478*VLOOKUP($B478,FoodDB!$A$2:$I$1016,8,0)</f>
        <v>0</v>
      </c>
      <c r="J478" s="98">
        <f>$C478*VLOOKUP($B478,FoodDB!$A$2:$I$1016,9,0)</f>
        <v>0</v>
      </c>
      <c r="K478" s="98"/>
      <c r="L478" s="98"/>
      <c r="M478" s="98"/>
      <c r="N478" s="98"/>
      <c r="O478" s="98"/>
      <c r="P478" s="98"/>
      <c r="Q478" s="98"/>
      <c r="R478" s="98"/>
      <c r="S478" s="98"/>
    </row>
    <row r="479" spans="1:19" x14ac:dyDescent="0.25">
      <c r="B479" s="94" t="s">
        <v>108</v>
      </c>
      <c r="C479" s="95">
        <v>1</v>
      </c>
      <c r="D479" s="98">
        <f>$C479*VLOOKUP($B479,FoodDB!$A$2:$I$1016,3,0)</f>
        <v>0</v>
      </c>
      <c r="E479" s="98">
        <f>$C479*VLOOKUP($B479,FoodDB!$A$2:$I$1016,4,0)</f>
        <v>0</v>
      </c>
      <c r="F479" s="98">
        <f>$C479*VLOOKUP($B479,FoodDB!$A$2:$I$1016,5,0)</f>
        <v>0</v>
      </c>
      <c r="G479" s="98">
        <f>$C479*VLOOKUP($B479,FoodDB!$A$2:$I$1016,6,0)</f>
        <v>0</v>
      </c>
      <c r="H479" s="98">
        <f>$C479*VLOOKUP($B479,FoodDB!$A$2:$I$1016,7,0)</f>
        <v>0</v>
      </c>
      <c r="I479" s="98">
        <f>$C479*VLOOKUP($B479,FoodDB!$A$2:$I$1016,8,0)</f>
        <v>0</v>
      </c>
      <c r="J479" s="98">
        <f>$C479*VLOOKUP($B479,FoodDB!$A$2:$I$1016,9,0)</f>
        <v>0</v>
      </c>
      <c r="K479" s="98"/>
      <c r="L479" s="98"/>
      <c r="M479" s="98"/>
      <c r="N479" s="98"/>
      <c r="O479" s="98"/>
      <c r="P479" s="98"/>
      <c r="Q479" s="98"/>
      <c r="R479" s="98"/>
      <c r="S479" s="98"/>
    </row>
    <row r="480" spans="1:19" x14ac:dyDescent="0.25">
      <c r="B480" s="94" t="s">
        <v>108</v>
      </c>
      <c r="C480" s="95">
        <v>1</v>
      </c>
      <c r="D480" s="98">
        <f>$C480*VLOOKUP($B480,FoodDB!$A$2:$I$1016,3,0)</f>
        <v>0</v>
      </c>
      <c r="E480" s="98">
        <f>$C480*VLOOKUP($B480,FoodDB!$A$2:$I$1016,4,0)</f>
        <v>0</v>
      </c>
      <c r="F480" s="98">
        <f>$C480*VLOOKUP($B480,FoodDB!$A$2:$I$1016,5,0)</f>
        <v>0</v>
      </c>
      <c r="G480" s="98">
        <f>$C480*VLOOKUP($B480,FoodDB!$A$2:$I$1016,6,0)</f>
        <v>0</v>
      </c>
      <c r="H480" s="98">
        <f>$C480*VLOOKUP($B480,FoodDB!$A$2:$I$1016,7,0)</f>
        <v>0</v>
      </c>
      <c r="I480" s="98">
        <f>$C480*VLOOKUP($B480,FoodDB!$A$2:$I$1016,8,0)</f>
        <v>0</v>
      </c>
      <c r="J480" s="98">
        <f>$C480*VLOOKUP($B480,FoodDB!$A$2:$I$1016,9,0)</f>
        <v>0</v>
      </c>
      <c r="K480" s="98"/>
      <c r="L480" s="98"/>
      <c r="M480" s="98"/>
      <c r="N480" s="98"/>
      <c r="O480" s="98"/>
      <c r="P480" s="98"/>
      <c r="Q480" s="98"/>
      <c r="R480" s="98"/>
      <c r="S480" s="98"/>
    </row>
    <row r="481" spans="1:19" x14ac:dyDescent="0.25">
      <c r="B481" s="94" t="s">
        <v>108</v>
      </c>
      <c r="C481" s="95">
        <v>1</v>
      </c>
      <c r="D481" s="98">
        <f>$C481*VLOOKUP($B481,FoodDB!$A$2:$I$1016,3,0)</f>
        <v>0</v>
      </c>
      <c r="E481" s="98">
        <f>$C481*VLOOKUP($B481,FoodDB!$A$2:$I$1016,4,0)</f>
        <v>0</v>
      </c>
      <c r="F481" s="98">
        <f>$C481*VLOOKUP($B481,FoodDB!$A$2:$I$1016,5,0)</f>
        <v>0</v>
      </c>
      <c r="G481" s="98">
        <f>$C481*VLOOKUP($B481,FoodDB!$A$2:$I$1016,6,0)</f>
        <v>0</v>
      </c>
      <c r="H481" s="98">
        <f>$C481*VLOOKUP($B481,FoodDB!$A$2:$I$1016,7,0)</f>
        <v>0</v>
      </c>
      <c r="I481" s="98">
        <f>$C481*VLOOKUP($B481,FoodDB!$A$2:$I$1016,8,0)</f>
        <v>0</v>
      </c>
      <c r="J481" s="98">
        <f>$C481*VLOOKUP($B481,FoodDB!$A$2:$I$1016,9,0)</f>
        <v>0</v>
      </c>
      <c r="K481" s="98"/>
      <c r="L481" s="98"/>
      <c r="M481" s="98"/>
      <c r="N481" s="98"/>
      <c r="O481" s="98"/>
      <c r="P481" s="98"/>
      <c r="Q481" s="98"/>
      <c r="R481" s="98"/>
      <c r="S481" s="98"/>
    </row>
    <row r="482" spans="1:19" x14ac:dyDescent="0.25">
      <c r="B482" s="94" t="s">
        <v>108</v>
      </c>
      <c r="C482" s="95">
        <v>1</v>
      </c>
      <c r="D482" s="98">
        <f>$C482*VLOOKUP($B482,FoodDB!$A$2:$I$1016,3,0)</f>
        <v>0</v>
      </c>
      <c r="E482" s="98">
        <f>$C482*VLOOKUP($B482,FoodDB!$A$2:$I$1016,4,0)</f>
        <v>0</v>
      </c>
      <c r="F482" s="98">
        <f>$C482*VLOOKUP($B482,FoodDB!$A$2:$I$1016,5,0)</f>
        <v>0</v>
      </c>
      <c r="G482" s="98">
        <f>$C482*VLOOKUP($B482,FoodDB!$A$2:$I$1016,6,0)</f>
        <v>0</v>
      </c>
      <c r="H482" s="98">
        <f>$C482*VLOOKUP($B482,FoodDB!$A$2:$I$1016,7,0)</f>
        <v>0</v>
      </c>
      <c r="I482" s="98">
        <f>$C482*VLOOKUP($B482,FoodDB!$A$2:$I$1016,8,0)</f>
        <v>0</v>
      </c>
      <c r="J482" s="98">
        <f>$C482*VLOOKUP($B482,FoodDB!$A$2:$I$1016,9,0)</f>
        <v>0</v>
      </c>
      <c r="K482" s="98"/>
      <c r="L482" s="98"/>
      <c r="M482" s="98"/>
      <c r="N482" s="98"/>
      <c r="O482" s="98"/>
      <c r="P482" s="98"/>
      <c r="Q482" s="98"/>
      <c r="R482" s="98"/>
      <c r="S482" s="98"/>
    </row>
    <row r="483" spans="1:19" x14ac:dyDescent="0.25">
      <c r="A483" t="s">
        <v>98</v>
      </c>
      <c r="D483" s="98"/>
      <c r="E483" s="98"/>
      <c r="F483" s="98"/>
      <c r="G483" s="98">
        <f>SUM(G476:G482)</f>
        <v>0</v>
      </c>
      <c r="H483" s="98">
        <f>SUM(H476:H482)</f>
        <v>0</v>
      </c>
      <c r="I483" s="98">
        <f>SUM(I476:I482)</f>
        <v>0</v>
      </c>
      <c r="J483" s="98">
        <f>SUM(G483:I483)</f>
        <v>0</v>
      </c>
      <c r="K483" s="98"/>
      <c r="L483" s="98"/>
      <c r="M483" s="98"/>
      <c r="N483" s="98"/>
      <c r="O483" s="98"/>
      <c r="P483" s="98"/>
      <c r="Q483" s="98"/>
      <c r="R483" s="98"/>
      <c r="S483" s="98"/>
    </row>
    <row r="484" spans="1:19" x14ac:dyDescent="0.25">
      <c r="A484" t="s">
        <v>102</v>
      </c>
      <c r="B484" t="s">
        <v>103</v>
      </c>
      <c r="D484" s="98"/>
      <c r="E484" s="98"/>
      <c r="F484" s="98"/>
      <c r="G484" s="98">
        <f>VLOOKUP($A476,LossChart!$A$3:$AB$105,14,0)</f>
        <v>579.89396259637851</v>
      </c>
      <c r="H484" s="98">
        <f>VLOOKUP($A476,LossChart!$A$3:$AB$105,15,0)</f>
        <v>80</v>
      </c>
      <c r="I484" s="98">
        <f>VLOOKUP($A476,LossChart!$A$3:$AB$105,16,0)</f>
        <v>477.30407413615825</v>
      </c>
      <c r="J484" s="98">
        <f>VLOOKUP($A476,LossChart!$A$3:$AB$105,17,0)</f>
        <v>1137.1980367325368</v>
      </c>
      <c r="K484" s="98"/>
      <c r="L484" s="98"/>
      <c r="M484" s="98"/>
      <c r="N484" s="98"/>
      <c r="O484" s="98"/>
      <c r="P484" s="98"/>
      <c r="Q484" s="98"/>
      <c r="R484" s="98"/>
      <c r="S484" s="98"/>
    </row>
    <row r="485" spans="1:19" x14ac:dyDescent="0.25">
      <c r="A485" t="s">
        <v>104</v>
      </c>
      <c r="D485" s="98"/>
      <c r="E485" s="98"/>
      <c r="F485" s="98"/>
      <c r="G485" s="98">
        <f>G484-G483</f>
        <v>579.89396259637851</v>
      </c>
      <c r="H485" s="98">
        <f>H484-H483</f>
        <v>80</v>
      </c>
      <c r="I485" s="98">
        <f>I484-I483</f>
        <v>477.30407413615825</v>
      </c>
      <c r="J485" s="98">
        <f>J484-J483</f>
        <v>1137.1980367325368</v>
      </c>
      <c r="K485" s="98"/>
      <c r="L485" s="98"/>
      <c r="M485" s="98"/>
      <c r="N485" s="98"/>
      <c r="O485" s="98"/>
      <c r="P485" s="98"/>
      <c r="Q485" s="98"/>
      <c r="R485" s="98"/>
      <c r="S485" s="98"/>
    </row>
    <row r="487" spans="1:19" ht="60" x14ac:dyDescent="0.25">
      <c r="A487" s="21" t="s">
        <v>63</v>
      </c>
      <c r="B487" s="21" t="s">
        <v>93</v>
      </c>
      <c r="C487" s="21" t="s">
        <v>94</v>
      </c>
      <c r="D487" s="92" t="str">
        <f>FoodDB!$C$1</f>
        <v>Fat
(g)</v>
      </c>
      <c r="E487" s="92" t="str">
        <f>FoodDB!$D$1</f>
        <v xml:space="preserve"> Carbs
(g)</v>
      </c>
      <c r="F487" s="92" t="str">
        <f>FoodDB!$E$1</f>
        <v>Protein
(g)</v>
      </c>
      <c r="G487" s="92" t="str">
        <f>FoodDB!$F$1</f>
        <v>Fat
(Cal)</v>
      </c>
      <c r="H487" s="92" t="str">
        <f>FoodDB!$G$1</f>
        <v>Carb
(Cal)</v>
      </c>
      <c r="I487" s="92" t="str">
        <f>FoodDB!$H$1</f>
        <v>Protein
(Cal)</v>
      </c>
      <c r="J487" s="92" t="str">
        <f>FoodDB!$I$1</f>
        <v>Total
Calories</v>
      </c>
      <c r="K487" s="92"/>
      <c r="L487" s="92" t="s">
        <v>110</v>
      </c>
      <c r="M487" s="92" t="s">
        <v>111</v>
      </c>
      <c r="N487" s="92" t="s">
        <v>112</v>
      </c>
      <c r="O487" s="92" t="s">
        <v>113</v>
      </c>
      <c r="P487" s="92" t="s">
        <v>118</v>
      </c>
      <c r="Q487" s="92" t="s">
        <v>119</v>
      </c>
      <c r="R487" s="92" t="s">
        <v>120</v>
      </c>
      <c r="S487" s="92" t="s">
        <v>121</v>
      </c>
    </row>
    <row r="488" spans="1:19" x14ac:dyDescent="0.25">
      <c r="A488" s="93">
        <f>A476+1</f>
        <v>43034</v>
      </c>
      <c r="B488" s="94" t="s">
        <v>108</v>
      </c>
      <c r="C488" s="95">
        <v>1</v>
      </c>
      <c r="D488" s="98">
        <f>$C488*VLOOKUP($B488,FoodDB!$A$2:$I$1016,3,0)</f>
        <v>0</v>
      </c>
      <c r="E488" s="98">
        <f>$C488*VLOOKUP($B488,FoodDB!$A$2:$I$1016,4,0)</f>
        <v>0</v>
      </c>
      <c r="F488" s="98">
        <f>$C488*VLOOKUP($B488,FoodDB!$A$2:$I$1016,5,0)</f>
        <v>0</v>
      </c>
      <c r="G488" s="98">
        <f>$C488*VLOOKUP($B488,FoodDB!$A$2:$I$1016,6,0)</f>
        <v>0</v>
      </c>
      <c r="H488" s="98">
        <f>$C488*VLOOKUP($B488,FoodDB!$A$2:$I$1016,7,0)</f>
        <v>0</v>
      </c>
      <c r="I488" s="98">
        <f>$C488*VLOOKUP($B488,FoodDB!$A$2:$I$1016,8,0)</f>
        <v>0</v>
      </c>
      <c r="J488" s="98">
        <f>$C488*VLOOKUP($B488,FoodDB!$A$2:$I$1016,9,0)</f>
        <v>0</v>
      </c>
      <c r="K488" s="98"/>
      <c r="L488" s="98">
        <f>SUM(G488:G494)</f>
        <v>0</v>
      </c>
      <c r="M488" s="98">
        <f>SUM(H488:H494)</f>
        <v>0</v>
      </c>
      <c r="N488" s="98">
        <f>SUM(I488:I494)</f>
        <v>0</v>
      </c>
      <c r="O488" s="98">
        <f>SUM(L488:N488)</f>
        <v>0</v>
      </c>
      <c r="P488" s="98">
        <f>VLOOKUP($A488,LossChart!$A$3:$AB$105,14,0)-L488</f>
        <v>586.26020642259618</v>
      </c>
      <c r="Q488" s="98">
        <f>VLOOKUP($A488,LossChart!$A$3:$AB$105,15,0)-M488</f>
        <v>80</v>
      </c>
      <c r="R488" s="98">
        <f>VLOOKUP($A488,LossChart!$A$3:$AB$105,16,0)-N488</f>
        <v>477.30407413615825</v>
      </c>
      <c r="S488" s="98">
        <f>VLOOKUP($A488,LossChart!$A$3:$AB$105,17,0)-O488</f>
        <v>1143.5642805587545</v>
      </c>
    </row>
    <row r="489" spans="1:19" x14ac:dyDescent="0.25">
      <c r="B489" s="94" t="s">
        <v>108</v>
      </c>
      <c r="C489" s="95">
        <v>1</v>
      </c>
      <c r="D489" s="98">
        <f>$C489*VLOOKUP($B489,FoodDB!$A$2:$I$1016,3,0)</f>
        <v>0</v>
      </c>
      <c r="E489" s="98">
        <f>$C489*VLOOKUP($B489,FoodDB!$A$2:$I$1016,4,0)</f>
        <v>0</v>
      </c>
      <c r="F489" s="98">
        <f>$C489*VLOOKUP($B489,FoodDB!$A$2:$I$1016,5,0)</f>
        <v>0</v>
      </c>
      <c r="G489" s="98">
        <f>$C489*VLOOKUP($B489,FoodDB!$A$2:$I$1016,6,0)</f>
        <v>0</v>
      </c>
      <c r="H489" s="98">
        <f>$C489*VLOOKUP($B489,FoodDB!$A$2:$I$1016,7,0)</f>
        <v>0</v>
      </c>
      <c r="I489" s="98">
        <f>$C489*VLOOKUP($B489,FoodDB!$A$2:$I$1016,8,0)</f>
        <v>0</v>
      </c>
      <c r="J489" s="98">
        <f>$C489*VLOOKUP($B489,FoodDB!$A$2:$I$1016,9,0)</f>
        <v>0</v>
      </c>
      <c r="K489" s="98"/>
      <c r="L489" s="98"/>
      <c r="M489" s="98"/>
      <c r="N489" s="98"/>
      <c r="O489" s="98"/>
      <c r="P489" s="98"/>
      <c r="Q489" s="98"/>
      <c r="R489" s="98"/>
      <c r="S489" s="98"/>
    </row>
    <row r="490" spans="1:19" x14ac:dyDescent="0.25">
      <c r="B490" s="94" t="s">
        <v>108</v>
      </c>
      <c r="C490" s="95">
        <v>1</v>
      </c>
      <c r="D490" s="98">
        <f>$C490*VLOOKUP($B490,FoodDB!$A$2:$I$1016,3,0)</f>
        <v>0</v>
      </c>
      <c r="E490" s="98">
        <f>$C490*VLOOKUP($B490,FoodDB!$A$2:$I$1016,4,0)</f>
        <v>0</v>
      </c>
      <c r="F490" s="98">
        <f>$C490*VLOOKUP($B490,FoodDB!$A$2:$I$1016,5,0)</f>
        <v>0</v>
      </c>
      <c r="G490" s="98">
        <f>$C490*VLOOKUP($B490,FoodDB!$A$2:$I$1016,6,0)</f>
        <v>0</v>
      </c>
      <c r="H490" s="98">
        <f>$C490*VLOOKUP($B490,FoodDB!$A$2:$I$1016,7,0)</f>
        <v>0</v>
      </c>
      <c r="I490" s="98">
        <f>$C490*VLOOKUP($B490,FoodDB!$A$2:$I$1016,8,0)</f>
        <v>0</v>
      </c>
      <c r="J490" s="98">
        <f>$C490*VLOOKUP($B490,FoodDB!$A$2:$I$1016,9,0)</f>
        <v>0</v>
      </c>
      <c r="K490" s="98"/>
      <c r="L490" s="98"/>
      <c r="M490" s="98"/>
      <c r="N490" s="98"/>
      <c r="O490" s="98"/>
      <c r="P490" s="98"/>
      <c r="Q490" s="98"/>
      <c r="R490" s="98"/>
      <c r="S490" s="98"/>
    </row>
    <row r="491" spans="1:19" x14ac:dyDescent="0.25">
      <c r="B491" s="94" t="s">
        <v>108</v>
      </c>
      <c r="C491" s="95">
        <v>1</v>
      </c>
      <c r="D491" s="98">
        <f>$C491*VLOOKUP($B491,FoodDB!$A$2:$I$1016,3,0)</f>
        <v>0</v>
      </c>
      <c r="E491" s="98">
        <f>$C491*VLOOKUP($B491,FoodDB!$A$2:$I$1016,4,0)</f>
        <v>0</v>
      </c>
      <c r="F491" s="98">
        <f>$C491*VLOOKUP($B491,FoodDB!$A$2:$I$1016,5,0)</f>
        <v>0</v>
      </c>
      <c r="G491" s="98">
        <f>$C491*VLOOKUP($B491,FoodDB!$A$2:$I$1016,6,0)</f>
        <v>0</v>
      </c>
      <c r="H491" s="98">
        <f>$C491*VLOOKUP($B491,FoodDB!$A$2:$I$1016,7,0)</f>
        <v>0</v>
      </c>
      <c r="I491" s="98">
        <f>$C491*VLOOKUP($B491,FoodDB!$A$2:$I$1016,8,0)</f>
        <v>0</v>
      </c>
      <c r="J491" s="98">
        <f>$C491*VLOOKUP($B491,FoodDB!$A$2:$I$1016,9,0)</f>
        <v>0</v>
      </c>
      <c r="K491" s="98"/>
      <c r="L491" s="98"/>
      <c r="M491" s="98"/>
      <c r="N491" s="98"/>
      <c r="O491" s="98"/>
      <c r="P491" s="98"/>
      <c r="Q491" s="98"/>
      <c r="R491" s="98"/>
      <c r="S491" s="98"/>
    </row>
    <row r="492" spans="1:19" x14ac:dyDescent="0.25">
      <c r="B492" s="94" t="s">
        <v>108</v>
      </c>
      <c r="C492" s="95">
        <v>1</v>
      </c>
      <c r="D492" s="98">
        <f>$C492*VLOOKUP($B492,FoodDB!$A$2:$I$1016,3,0)</f>
        <v>0</v>
      </c>
      <c r="E492" s="98">
        <f>$C492*VLOOKUP($B492,FoodDB!$A$2:$I$1016,4,0)</f>
        <v>0</v>
      </c>
      <c r="F492" s="98">
        <f>$C492*VLOOKUP($B492,FoodDB!$A$2:$I$1016,5,0)</f>
        <v>0</v>
      </c>
      <c r="G492" s="98">
        <f>$C492*VLOOKUP($B492,FoodDB!$A$2:$I$1016,6,0)</f>
        <v>0</v>
      </c>
      <c r="H492" s="98">
        <f>$C492*VLOOKUP($B492,FoodDB!$A$2:$I$1016,7,0)</f>
        <v>0</v>
      </c>
      <c r="I492" s="98">
        <f>$C492*VLOOKUP($B492,FoodDB!$A$2:$I$1016,8,0)</f>
        <v>0</v>
      </c>
      <c r="J492" s="98">
        <f>$C492*VLOOKUP($B492,FoodDB!$A$2:$I$1016,9,0)</f>
        <v>0</v>
      </c>
      <c r="K492" s="98"/>
      <c r="L492" s="98"/>
      <c r="M492" s="98"/>
      <c r="N492" s="98"/>
      <c r="O492" s="98"/>
      <c r="P492" s="98"/>
      <c r="Q492" s="98"/>
      <c r="R492" s="98"/>
      <c r="S492" s="98"/>
    </row>
    <row r="493" spans="1:19" x14ac:dyDescent="0.25">
      <c r="B493" s="94" t="s">
        <v>108</v>
      </c>
      <c r="C493" s="95">
        <v>1</v>
      </c>
      <c r="D493" s="98">
        <f>$C493*VLOOKUP($B493,FoodDB!$A$2:$I$1016,3,0)</f>
        <v>0</v>
      </c>
      <c r="E493" s="98">
        <f>$C493*VLOOKUP($B493,FoodDB!$A$2:$I$1016,4,0)</f>
        <v>0</v>
      </c>
      <c r="F493" s="98">
        <f>$C493*VLOOKUP($B493,FoodDB!$A$2:$I$1016,5,0)</f>
        <v>0</v>
      </c>
      <c r="G493" s="98">
        <f>$C493*VLOOKUP($B493,FoodDB!$A$2:$I$1016,6,0)</f>
        <v>0</v>
      </c>
      <c r="H493" s="98">
        <f>$C493*VLOOKUP($B493,FoodDB!$A$2:$I$1016,7,0)</f>
        <v>0</v>
      </c>
      <c r="I493" s="98">
        <f>$C493*VLOOKUP($B493,FoodDB!$A$2:$I$1016,8,0)</f>
        <v>0</v>
      </c>
      <c r="J493" s="98">
        <f>$C493*VLOOKUP($B493,FoodDB!$A$2:$I$1016,9,0)</f>
        <v>0</v>
      </c>
      <c r="K493" s="98"/>
      <c r="L493" s="98"/>
      <c r="M493" s="98"/>
      <c r="N493" s="98"/>
      <c r="O493" s="98"/>
      <c r="P493" s="98"/>
      <c r="Q493" s="98"/>
      <c r="R493" s="98"/>
      <c r="S493" s="98"/>
    </row>
    <row r="494" spans="1:19" x14ac:dyDescent="0.25">
      <c r="B494" s="94" t="s">
        <v>108</v>
      </c>
      <c r="C494" s="95">
        <v>1</v>
      </c>
      <c r="D494" s="98">
        <f>$C494*VLOOKUP($B494,FoodDB!$A$2:$I$1016,3,0)</f>
        <v>0</v>
      </c>
      <c r="E494" s="98">
        <f>$C494*VLOOKUP($B494,FoodDB!$A$2:$I$1016,4,0)</f>
        <v>0</v>
      </c>
      <c r="F494" s="98">
        <f>$C494*VLOOKUP($B494,FoodDB!$A$2:$I$1016,5,0)</f>
        <v>0</v>
      </c>
      <c r="G494" s="98">
        <f>$C494*VLOOKUP($B494,FoodDB!$A$2:$I$1016,6,0)</f>
        <v>0</v>
      </c>
      <c r="H494" s="98">
        <f>$C494*VLOOKUP($B494,FoodDB!$A$2:$I$1016,7,0)</f>
        <v>0</v>
      </c>
      <c r="I494" s="98">
        <f>$C494*VLOOKUP($B494,FoodDB!$A$2:$I$1016,8,0)</f>
        <v>0</v>
      </c>
      <c r="J494" s="98">
        <f>$C494*VLOOKUP($B494,FoodDB!$A$2:$I$1016,9,0)</f>
        <v>0</v>
      </c>
      <c r="K494" s="98"/>
      <c r="L494" s="98"/>
      <c r="M494" s="98"/>
      <c r="N494" s="98"/>
      <c r="O494" s="98"/>
      <c r="P494" s="98"/>
      <c r="Q494" s="98"/>
      <c r="R494" s="98"/>
      <c r="S494" s="98"/>
    </row>
    <row r="495" spans="1:19" x14ac:dyDescent="0.25">
      <c r="A495" t="s">
        <v>98</v>
      </c>
      <c r="D495" s="98"/>
      <c r="E495" s="98"/>
      <c r="F495" s="98"/>
      <c r="G495" s="98">
        <f>SUM(G488:G494)</f>
        <v>0</v>
      </c>
      <c r="H495" s="98">
        <f>SUM(H488:H494)</f>
        <v>0</v>
      </c>
      <c r="I495" s="98">
        <f>SUM(I488:I494)</f>
        <v>0</v>
      </c>
      <c r="J495" s="98">
        <f>SUM(G495:I495)</f>
        <v>0</v>
      </c>
      <c r="K495" s="98"/>
      <c r="L495" s="98"/>
      <c r="M495" s="98"/>
      <c r="N495" s="98"/>
      <c r="O495" s="98"/>
      <c r="P495" s="98"/>
      <c r="Q495" s="98"/>
      <c r="R495" s="98"/>
      <c r="S495" s="98"/>
    </row>
    <row r="496" spans="1:19" x14ac:dyDescent="0.25">
      <c r="A496" t="s">
        <v>102</v>
      </c>
      <c r="B496" t="s">
        <v>103</v>
      </c>
      <c r="D496" s="98"/>
      <c r="E496" s="98"/>
      <c r="F496" s="98"/>
      <c r="G496" s="98">
        <f>VLOOKUP($A488,LossChart!$A$3:$AB$105,14,0)</f>
        <v>586.26020642259618</v>
      </c>
      <c r="H496" s="98">
        <f>VLOOKUP($A488,LossChart!$A$3:$AB$105,15,0)</f>
        <v>80</v>
      </c>
      <c r="I496" s="98">
        <f>VLOOKUP($A488,LossChart!$A$3:$AB$105,16,0)</f>
        <v>477.30407413615825</v>
      </c>
      <c r="J496" s="98">
        <f>VLOOKUP($A488,LossChart!$A$3:$AB$105,17,0)</f>
        <v>1143.5642805587545</v>
      </c>
      <c r="K496" s="98"/>
      <c r="L496" s="98"/>
      <c r="M496" s="98"/>
      <c r="N496" s="98"/>
      <c r="O496" s="98"/>
      <c r="P496" s="98"/>
      <c r="Q496" s="98"/>
      <c r="R496" s="98"/>
      <c r="S496" s="98"/>
    </row>
    <row r="497" spans="1:19" x14ac:dyDescent="0.25">
      <c r="A497" t="s">
        <v>104</v>
      </c>
      <c r="D497" s="98"/>
      <c r="E497" s="98"/>
      <c r="F497" s="98"/>
      <c r="G497" s="98">
        <f>G496-G495</f>
        <v>586.26020642259618</v>
      </c>
      <c r="H497" s="98">
        <f>H496-H495</f>
        <v>80</v>
      </c>
      <c r="I497" s="98">
        <f>I496-I495</f>
        <v>477.30407413615825</v>
      </c>
      <c r="J497" s="98">
        <f>J496-J495</f>
        <v>1143.5642805587545</v>
      </c>
      <c r="K497" s="98"/>
      <c r="L497" s="98"/>
      <c r="M497" s="98"/>
      <c r="N497" s="98"/>
      <c r="O497" s="98"/>
      <c r="P497" s="98"/>
      <c r="Q497" s="98"/>
      <c r="R497" s="98"/>
      <c r="S497" s="98"/>
    </row>
    <row r="499" spans="1:19" ht="60" x14ac:dyDescent="0.25">
      <c r="A499" s="21" t="s">
        <v>63</v>
      </c>
      <c r="B499" s="21" t="s">
        <v>93</v>
      </c>
      <c r="C499" s="21" t="s">
        <v>94</v>
      </c>
      <c r="D499" s="92" t="str">
        <f>FoodDB!$C$1</f>
        <v>Fat
(g)</v>
      </c>
      <c r="E499" s="92" t="str">
        <f>FoodDB!$D$1</f>
        <v xml:space="preserve"> Carbs
(g)</v>
      </c>
      <c r="F499" s="92" t="str">
        <f>FoodDB!$E$1</f>
        <v>Protein
(g)</v>
      </c>
      <c r="G499" s="92" t="str">
        <f>FoodDB!$F$1</f>
        <v>Fat
(Cal)</v>
      </c>
      <c r="H499" s="92" t="str">
        <f>FoodDB!$G$1</f>
        <v>Carb
(Cal)</v>
      </c>
      <c r="I499" s="92" t="str">
        <f>FoodDB!$H$1</f>
        <v>Protein
(Cal)</v>
      </c>
      <c r="J499" s="92" t="str">
        <f>FoodDB!$I$1</f>
        <v>Total
Calories</v>
      </c>
      <c r="K499" s="92"/>
      <c r="L499" s="92" t="s">
        <v>110</v>
      </c>
      <c r="M499" s="92" t="s">
        <v>111</v>
      </c>
      <c r="N499" s="92" t="s">
        <v>112</v>
      </c>
      <c r="O499" s="92" t="s">
        <v>113</v>
      </c>
      <c r="P499" s="92" t="s">
        <v>118</v>
      </c>
      <c r="Q499" s="92" t="s">
        <v>119</v>
      </c>
      <c r="R499" s="92" t="s">
        <v>120</v>
      </c>
      <c r="S499" s="92" t="s">
        <v>121</v>
      </c>
    </row>
    <row r="500" spans="1:19" x14ac:dyDescent="0.25">
      <c r="A500" s="93">
        <f>A488+1</f>
        <v>43035</v>
      </c>
      <c r="B500" s="94" t="s">
        <v>108</v>
      </c>
      <c r="C500" s="95">
        <v>1</v>
      </c>
      <c r="D500" s="98">
        <f>$C500*VLOOKUP($B500,FoodDB!$A$2:$I$1016,3,0)</f>
        <v>0</v>
      </c>
      <c r="E500" s="98">
        <f>$C500*VLOOKUP($B500,FoodDB!$A$2:$I$1016,4,0)</f>
        <v>0</v>
      </c>
      <c r="F500" s="98">
        <f>$C500*VLOOKUP($B500,FoodDB!$A$2:$I$1016,5,0)</f>
        <v>0</v>
      </c>
      <c r="G500" s="98">
        <f>$C500*VLOOKUP($B500,FoodDB!$A$2:$I$1016,6,0)</f>
        <v>0</v>
      </c>
      <c r="H500" s="98">
        <f>$C500*VLOOKUP($B500,FoodDB!$A$2:$I$1016,7,0)</f>
        <v>0</v>
      </c>
      <c r="I500" s="98">
        <f>$C500*VLOOKUP($B500,FoodDB!$A$2:$I$1016,8,0)</f>
        <v>0</v>
      </c>
      <c r="J500" s="98">
        <f>$C500*VLOOKUP($B500,FoodDB!$A$2:$I$1016,9,0)</f>
        <v>0</v>
      </c>
      <c r="K500" s="98"/>
      <c r="L500" s="98">
        <f>SUM(G500:G506)</f>
        <v>0</v>
      </c>
      <c r="M500" s="98">
        <f>SUM(H500:H506)</f>
        <v>0</v>
      </c>
      <c r="N500" s="98">
        <f>SUM(I500:I506)</f>
        <v>0</v>
      </c>
      <c r="O500" s="98">
        <f>SUM(L500:N500)</f>
        <v>0</v>
      </c>
      <c r="P500" s="98">
        <f>VLOOKUP($A500,LossChart!$A$3:$AB$105,14,0)-L500</f>
        <v>592.57006351778205</v>
      </c>
      <c r="Q500" s="98">
        <f>VLOOKUP($A500,LossChart!$A$3:$AB$105,15,0)-M500</f>
        <v>80</v>
      </c>
      <c r="R500" s="98">
        <f>VLOOKUP($A500,LossChart!$A$3:$AB$105,16,0)-N500</f>
        <v>477.30407413615825</v>
      </c>
      <c r="S500" s="98">
        <f>VLOOKUP($A500,LossChart!$A$3:$AB$105,17,0)-O500</f>
        <v>1149.8741376539404</v>
      </c>
    </row>
    <row r="501" spans="1:19" x14ac:dyDescent="0.25">
      <c r="B501" s="94" t="s">
        <v>108</v>
      </c>
      <c r="C501" s="95">
        <v>1</v>
      </c>
      <c r="D501" s="98">
        <f>$C501*VLOOKUP($B501,FoodDB!$A$2:$I$1016,3,0)</f>
        <v>0</v>
      </c>
      <c r="E501" s="98">
        <f>$C501*VLOOKUP($B501,FoodDB!$A$2:$I$1016,4,0)</f>
        <v>0</v>
      </c>
      <c r="F501" s="98">
        <f>$C501*VLOOKUP($B501,FoodDB!$A$2:$I$1016,5,0)</f>
        <v>0</v>
      </c>
      <c r="G501" s="98">
        <f>$C501*VLOOKUP($B501,FoodDB!$A$2:$I$1016,6,0)</f>
        <v>0</v>
      </c>
      <c r="H501" s="98">
        <f>$C501*VLOOKUP($B501,FoodDB!$A$2:$I$1016,7,0)</f>
        <v>0</v>
      </c>
      <c r="I501" s="98">
        <f>$C501*VLOOKUP($B501,FoodDB!$A$2:$I$1016,8,0)</f>
        <v>0</v>
      </c>
      <c r="J501" s="98">
        <f>$C501*VLOOKUP($B501,FoodDB!$A$2:$I$1016,9,0)</f>
        <v>0</v>
      </c>
      <c r="K501" s="98"/>
      <c r="L501" s="98"/>
      <c r="M501" s="98"/>
      <c r="N501" s="98"/>
      <c r="O501" s="98"/>
      <c r="P501" s="98"/>
      <c r="Q501" s="98"/>
      <c r="R501" s="98"/>
      <c r="S501" s="98"/>
    </row>
    <row r="502" spans="1:19" x14ac:dyDescent="0.25">
      <c r="B502" s="94" t="s">
        <v>108</v>
      </c>
      <c r="C502" s="95">
        <v>1</v>
      </c>
      <c r="D502" s="98">
        <f>$C502*VLOOKUP($B502,FoodDB!$A$2:$I$1016,3,0)</f>
        <v>0</v>
      </c>
      <c r="E502" s="98">
        <f>$C502*VLOOKUP($B502,FoodDB!$A$2:$I$1016,4,0)</f>
        <v>0</v>
      </c>
      <c r="F502" s="98">
        <f>$C502*VLOOKUP($B502,FoodDB!$A$2:$I$1016,5,0)</f>
        <v>0</v>
      </c>
      <c r="G502" s="98">
        <f>$C502*VLOOKUP($B502,FoodDB!$A$2:$I$1016,6,0)</f>
        <v>0</v>
      </c>
      <c r="H502" s="98">
        <f>$C502*VLOOKUP($B502,FoodDB!$A$2:$I$1016,7,0)</f>
        <v>0</v>
      </c>
      <c r="I502" s="98">
        <f>$C502*VLOOKUP($B502,FoodDB!$A$2:$I$1016,8,0)</f>
        <v>0</v>
      </c>
      <c r="J502" s="98">
        <f>$C502*VLOOKUP($B502,FoodDB!$A$2:$I$1016,9,0)</f>
        <v>0</v>
      </c>
      <c r="K502" s="98"/>
      <c r="L502" s="98"/>
      <c r="M502" s="98"/>
      <c r="N502" s="98"/>
      <c r="O502" s="98"/>
      <c r="P502" s="98"/>
      <c r="Q502" s="98"/>
      <c r="R502" s="98"/>
      <c r="S502" s="98"/>
    </row>
    <row r="503" spans="1:19" x14ac:dyDescent="0.25">
      <c r="B503" s="94" t="s">
        <v>108</v>
      </c>
      <c r="C503" s="95">
        <v>1</v>
      </c>
      <c r="D503" s="98">
        <f>$C503*VLOOKUP($B503,FoodDB!$A$2:$I$1016,3,0)</f>
        <v>0</v>
      </c>
      <c r="E503" s="98">
        <f>$C503*VLOOKUP($B503,FoodDB!$A$2:$I$1016,4,0)</f>
        <v>0</v>
      </c>
      <c r="F503" s="98">
        <f>$C503*VLOOKUP($B503,FoodDB!$A$2:$I$1016,5,0)</f>
        <v>0</v>
      </c>
      <c r="G503" s="98">
        <f>$C503*VLOOKUP($B503,FoodDB!$A$2:$I$1016,6,0)</f>
        <v>0</v>
      </c>
      <c r="H503" s="98">
        <f>$C503*VLOOKUP($B503,FoodDB!$A$2:$I$1016,7,0)</f>
        <v>0</v>
      </c>
      <c r="I503" s="98">
        <f>$C503*VLOOKUP($B503,FoodDB!$A$2:$I$1016,8,0)</f>
        <v>0</v>
      </c>
      <c r="J503" s="98">
        <f>$C503*VLOOKUP($B503,FoodDB!$A$2:$I$1016,9,0)</f>
        <v>0</v>
      </c>
      <c r="K503" s="98"/>
      <c r="L503" s="98"/>
      <c r="M503" s="98"/>
      <c r="N503" s="98"/>
      <c r="O503" s="98"/>
      <c r="P503" s="98"/>
      <c r="Q503" s="98"/>
      <c r="R503" s="98"/>
      <c r="S503" s="98"/>
    </row>
    <row r="504" spans="1:19" x14ac:dyDescent="0.25">
      <c r="B504" s="94" t="s">
        <v>108</v>
      </c>
      <c r="C504" s="95">
        <v>1</v>
      </c>
      <c r="D504" s="98">
        <f>$C504*VLOOKUP($B504,FoodDB!$A$2:$I$1016,3,0)</f>
        <v>0</v>
      </c>
      <c r="E504" s="98">
        <f>$C504*VLOOKUP($B504,FoodDB!$A$2:$I$1016,4,0)</f>
        <v>0</v>
      </c>
      <c r="F504" s="98">
        <f>$C504*VLOOKUP($B504,FoodDB!$A$2:$I$1016,5,0)</f>
        <v>0</v>
      </c>
      <c r="G504" s="98">
        <f>$C504*VLOOKUP($B504,FoodDB!$A$2:$I$1016,6,0)</f>
        <v>0</v>
      </c>
      <c r="H504" s="98">
        <f>$C504*VLOOKUP($B504,FoodDB!$A$2:$I$1016,7,0)</f>
        <v>0</v>
      </c>
      <c r="I504" s="98">
        <f>$C504*VLOOKUP($B504,FoodDB!$A$2:$I$1016,8,0)</f>
        <v>0</v>
      </c>
      <c r="J504" s="98">
        <f>$C504*VLOOKUP($B504,FoodDB!$A$2:$I$1016,9,0)</f>
        <v>0</v>
      </c>
      <c r="K504" s="98"/>
      <c r="L504" s="98"/>
      <c r="M504" s="98"/>
      <c r="N504" s="98"/>
      <c r="O504" s="98"/>
      <c r="P504" s="98"/>
      <c r="Q504" s="98"/>
      <c r="R504" s="98"/>
      <c r="S504" s="98"/>
    </row>
    <row r="505" spans="1:19" x14ac:dyDescent="0.25">
      <c r="B505" s="94" t="s">
        <v>108</v>
      </c>
      <c r="C505" s="95">
        <v>1</v>
      </c>
      <c r="D505" s="98">
        <f>$C505*VLOOKUP($B505,FoodDB!$A$2:$I$1016,3,0)</f>
        <v>0</v>
      </c>
      <c r="E505" s="98">
        <f>$C505*VLOOKUP($B505,FoodDB!$A$2:$I$1016,4,0)</f>
        <v>0</v>
      </c>
      <c r="F505" s="98">
        <f>$C505*VLOOKUP($B505,FoodDB!$A$2:$I$1016,5,0)</f>
        <v>0</v>
      </c>
      <c r="G505" s="98">
        <f>$C505*VLOOKUP($B505,FoodDB!$A$2:$I$1016,6,0)</f>
        <v>0</v>
      </c>
      <c r="H505" s="98">
        <f>$C505*VLOOKUP($B505,FoodDB!$A$2:$I$1016,7,0)</f>
        <v>0</v>
      </c>
      <c r="I505" s="98">
        <f>$C505*VLOOKUP($B505,FoodDB!$A$2:$I$1016,8,0)</f>
        <v>0</v>
      </c>
      <c r="J505" s="98">
        <f>$C505*VLOOKUP($B505,FoodDB!$A$2:$I$1016,9,0)</f>
        <v>0</v>
      </c>
      <c r="K505" s="98"/>
      <c r="L505" s="98"/>
      <c r="M505" s="98"/>
      <c r="N505" s="98"/>
      <c r="O505" s="98"/>
      <c r="P505" s="98"/>
      <c r="Q505" s="98"/>
      <c r="R505" s="98"/>
      <c r="S505" s="98"/>
    </row>
    <row r="506" spans="1:19" x14ac:dyDescent="0.25">
      <c r="B506" s="94" t="s">
        <v>108</v>
      </c>
      <c r="C506" s="95">
        <v>1</v>
      </c>
      <c r="D506" s="98">
        <f>$C506*VLOOKUP($B506,FoodDB!$A$2:$I$1016,3,0)</f>
        <v>0</v>
      </c>
      <c r="E506" s="98">
        <f>$C506*VLOOKUP($B506,FoodDB!$A$2:$I$1016,4,0)</f>
        <v>0</v>
      </c>
      <c r="F506" s="98">
        <f>$C506*VLOOKUP($B506,FoodDB!$A$2:$I$1016,5,0)</f>
        <v>0</v>
      </c>
      <c r="G506" s="98">
        <f>$C506*VLOOKUP($B506,FoodDB!$A$2:$I$1016,6,0)</f>
        <v>0</v>
      </c>
      <c r="H506" s="98">
        <f>$C506*VLOOKUP($B506,FoodDB!$A$2:$I$1016,7,0)</f>
        <v>0</v>
      </c>
      <c r="I506" s="98">
        <f>$C506*VLOOKUP($B506,FoodDB!$A$2:$I$1016,8,0)</f>
        <v>0</v>
      </c>
      <c r="J506" s="98">
        <f>$C506*VLOOKUP($B506,FoodDB!$A$2:$I$1016,9,0)</f>
        <v>0</v>
      </c>
      <c r="K506" s="98"/>
      <c r="L506" s="98"/>
      <c r="M506" s="98"/>
      <c r="N506" s="98"/>
      <c r="O506" s="98"/>
      <c r="P506" s="98"/>
      <c r="Q506" s="98"/>
      <c r="R506" s="98"/>
      <c r="S506" s="98"/>
    </row>
    <row r="507" spans="1:19" x14ac:dyDescent="0.25">
      <c r="A507" t="s">
        <v>98</v>
      </c>
      <c r="D507" s="98"/>
      <c r="E507" s="98"/>
      <c r="F507" s="98"/>
      <c r="G507" s="98">
        <f>SUM(G500:G506)</f>
        <v>0</v>
      </c>
      <c r="H507" s="98">
        <f>SUM(H500:H506)</f>
        <v>0</v>
      </c>
      <c r="I507" s="98">
        <f>SUM(I500:I506)</f>
        <v>0</v>
      </c>
      <c r="J507" s="98">
        <f>SUM(G507:I507)</f>
        <v>0</v>
      </c>
      <c r="K507" s="98"/>
      <c r="L507" s="98"/>
      <c r="M507" s="98"/>
      <c r="N507" s="98"/>
      <c r="O507" s="98"/>
      <c r="P507" s="98"/>
      <c r="Q507" s="98"/>
      <c r="R507" s="98"/>
      <c r="S507" s="98"/>
    </row>
    <row r="508" spans="1:19" x14ac:dyDescent="0.25">
      <c r="A508" t="s">
        <v>102</v>
      </c>
      <c r="B508" t="s">
        <v>103</v>
      </c>
      <c r="D508" s="98"/>
      <c r="E508" s="98"/>
      <c r="F508" s="98"/>
      <c r="G508" s="98">
        <f>VLOOKUP($A500,LossChart!$A$3:$AB$105,14,0)</f>
        <v>592.57006351778205</v>
      </c>
      <c r="H508" s="98">
        <f>VLOOKUP($A500,LossChart!$A$3:$AB$105,15,0)</f>
        <v>80</v>
      </c>
      <c r="I508" s="98">
        <f>VLOOKUP($A500,LossChart!$A$3:$AB$105,16,0)</f>
        <v>477.30407413615825</v>
      </c>
      <c r="J508" s="98">
        <f>VLOOKUP($A500,LossChart!$A$3:$AB$105,17,0)</f>
        <v>1149.8741376539404</v>
      </c>
      <c r="K508" s="98"/>
      <c r="L508" s="98"/>
      <c r="M508" s="98"/>
      <c r="N508" s="98"/>
      <c r="O508" s="98"/>
      <c r="P508" s="98"/>
      <c r="Q508" s="98"/>
      <c r="R508" s="98"/>
      <c r="S508" s="98"/>
    </row>
    <row r="509" spans="1:19" x14ac:dyDescent="0.25">
      <c r="A509" t="s">
        <v>104</v>
      </c>
      <c r="D509" s="98"/>
      <c r="E509" s="98"/>
      <c r="F509" s="98"/>
      <c r="G509" s="98">
        <f>G508-G507</f>
        <v>592.57006351778205</v>
      </c>
      <c r="H509" s="98">
        <f>H508-H507</f>
        <v>80</v>
      </c>
      <c r="I509" s="98">
        <f>I508-I507</f>
        <v>477.30407413615825</v>
      </c>
      <c r="J509" s="98">
        <f>J508-J507</f>
        <v>1149.8741376539404</v>
      </c>
      <c r="K509" s="98"/>
      <c r="L509" s="98"/>
      <c r="M509" s="98"/>
      <c r="N509" s="98"/>
      <c r="O509" s="98"/>
      <c r="P509" s="98"/>
      <c r="Q509" s="98"/>
      <c r="R509" s="98"/>
      <c r="S509" s="98"/>
    </row>
    <row r="511" spans="1:19" ht="60" x14ac:dyDescent="0.25">
      <c r="A511" s="21" t="s">
        <v>63</v>
      </c>
      <c r="B511" s="21" t="s">
        <v>93</v>
      </c>
      <c r="C511" s="21" t="s">
        <v>94</v>
      </c>
      <c r="D511" s="92" t="str">
        <f>FoodDB!$C$1</f>
        <v>Fat
(g)</v>
      </c>
      <c r="E511" s="92" t="str">
        <f>FoodDB!$D$1</f>
        <v xml:space="preserve"> Carbs
(g)</v>
      </c>
      <c r="F511" s="92" t="str">
        <f>FoodDB!$E$1</f>
        <v>Protein
(g)</v>
      </c>
      <c r="G511" s="92" t="str">
        <f>FoodDB!$F$1</f>
        <v>Fat
(Cal)</v>
      </c>
      <c r="H511" s="92" t="str">
        <f>FoodDB!$G$1</f>
        <v>Carb
(Cal)</v>
      </c>
      <c r="I511" s="92" t="str">
        <f>FoodDB!$H$1</f>
        <v>Protein
(Cal)</v>
      </c>
      <c r="J511" s="92" t="str">
        <f>FoodDB!$I$1</f>
        <v>Total
Calories</v>
      </c>
      <c r="K511" s="92"/>
      <c r="L511" s="92" t="s">
        <v>110</v>
      </c>
      <c r="M511" s="92" t="s">
        <v>111</v>
      </c>
      <c r="N511" s="92" t="s">
        <v>112</v>
      </c>
      <c r="O511" s="92" t="s">
        <v>113</v>
      </c>
      <c r="P511" s="92" t="s">
        <v>118</v>
      </c>
      <c r="Q511" s="92" t="s">
        <v>119</v>
      </c>
      <c r="R511" s="92" t="s">
        <v>120</v>
      </c>
      <c r="S511" s="92" t="s">
        <v>121</v>
      </c>
    </row>
    <row r="512" spans="1:19" x14ac:dyDescent="0.25">
      <c r="A512" s="93">
        <f>A500+1</f>
        <v>43036</v>
      </c>
      <c r="B512" s="94" t="s">
        <v>108</v>
      </c>
      <c r="C512" s="95">
        <v>1</v>
      </c>
      <c r="D512" s="98">
        <f>$C512*VLOOKUP($B512,FoodDB!$A$2:$I$1016,3,0)</f>
        <v>0</v>
      </c>
      <c r="E512" s="98">
        <f>$C512*VLOOKUP($B512,FoodDB!$A$2:$I$1016,4,0)</f>
        <v>0</v>
      </c>
      <c r="F512" s="98">
        <f>$C512*VLOOKUP($B512,FoodDB!$A$2:$I$1016,5,0)</f>
        <v>0</v>
      </c>
      <c r="G512" s="98">
        <f>$C512*VLOOKUP($B512,FoodDB!$A$2:$I$1016,6,0)</f>
        <v>0</v>
      </c>
      <c r="H512" s="98">
        <f>$C512*VLOOKUP($B512,FoodDB!$A$2:$I$1016,7,0)</f>
        <v>0</v>
      </c>
      <c r="I512" s="98">
        <f>$C512*VLOOKUP($B512,FoodDB!$A$2:$I$1016,8,0)</f>
        <v>0</v>
      </c>
      <c r="J512" s="98">
        <f>$C512*VLOOKUP($B512,FoodDB!$A$2:$I$1016,9,0)</f>
        <v>0</v>
      </c>
      <c r="K512" s="98"/>
      <c r="L512" s="98">
        <f>SUM(G512:G518)</f>
        <v>0</v>
      </c>
      <c r="M512" s="98">
        <f>SUM(H512:H518)</f>
        <v>0</v>
      </c>
      <c r="N512" s="98">
        <f>SUM(I512:I518)</f>
        <v>0</v>
      </c>
      <c r="O512" s="98">
        <f>SUM(L512:N512)</f>
        <v>0</v>
      </c>
      <c r="P512" s="98">
        <f>VLOOKUP($A512,LossChart!$A$3:$AB$105,14,0)-L512</f>
        <v>598.8240333072672</v>
      </c>
      <c r="Q512" s="98">
        <f>VLOOKUP($A512,LossChart!$A$3:$AB$105,15,0)-M512</f>
        <v>80</v>
      </c>
      <c r="R512" s="98">
        <f>VLOOKUP($A512,LossChart!$A$3:$AB$105,16,0)-N512</f>
        <v>477.30407413615825</v>
      </c>
      <c r="S512" s="98">
        <f>VLOOKUP($A512,LossChart!$A$3:$AB$105,17,0)-O512</f>
        <v>1156.1281074434255</v>
      </c>
    </row>
    <row r="513" spans="1:19" x14ac:dyDescent="0.25">
      <c r="B513" s="94" t="s">
        <v>108</v>
      </c>
      <c r="C513" s="95">
        <v>1</v>
      </c>
      <c r="D513" s="98">
        <f>$C513*VLOOKUP($B513,FoodDB!$A$2:$I$1016,3,0)</f>
        <v>0</v>
      </c>
      <c r="E513" s="98">
        <f>$C513*VLOOKUP($B513,FoodDB!$A$2:$I$1016,4,0)</f>
        <v>0</v>
      </c>
      <c r="F513" s="98">
        <f>$C513*VLOOKUP($B513,FoodDB!$A$2:$I$1016,5,0)</f>
        <v>0</v>
      </c>
      <c r="G513" s="98">
        <f>$C513*VLOOKUP($B513,FoodDB!$A$2:$I$1016,6,0)</f>
        <v>0</v>
      </c>
      <c r="H513" s="98">
        <f>$C513*VLOOKUP($B513,FoodDB!$A$2:$I$1016,7,0)</f>
        <v>0</v>
      </c>
      <c r="I513" s="98">
        <f>$C513*VLOOKUP($B513,FoodDB!$A$2:$I$1016,8,0)</f>
        <v>0</v>
      </c>
      <c r="J513" s="98">
        <f>$C513*VLOOKUP($B513,FoodDB!$A$2:$I$1016,9,0)</f>
        <v>0</v>
      </c>
      <c r="K513" s="98"/>
      <c r="L513" s="98"/>
      <c r="M513" s="98"/>
      <c r="N513" s="98"/>
      <c r="O513" s="98"/>
      <c r="P513" s="98"/>
      <c r="Q513" s="98"/>
      <c r="R513" s="98"/>
      <c r="S513" s="98"/>
    </row>
    <row r="514" spans="1:19" x14ac:dyDescent="0.25">
      <c r="B514" s="94" t="s">
        <v>108</v>
      </c>
      <c r="C514" s="95">
        <v>1</v>
      </c>
      <c r="D514" s="98">
        <f>$C514*VLOOKUP($B514,FoodDB!$A$2:$I$1016,3,0)</f>
        <v>0</v>
      </c>
      <c r="E514" s="98">
        <f>$C514*VLOOKUP($B514,FoodDB!$A$2:$I$1016,4,0)</f>
        <v>0</v>
      </c>
      <c r="F514" s="98">
        <f>$C514*VLOOKUP($B514,FoodDB!$A$2:$I$1016,5,0)</f>
        <v>0</v>
      </c>
      <c r="G514" s="98">
        <f>$C514*VLOOKUP($B514,FoodDB!$A$2:$I$1016,6,0)</f>
        <v>0</v>
      </c>
      <c r="H514" s="98">
        <f>$C514*VLOOKUP($B514,FoodDB!$A$2:$I$1016,7,0)</f>
        <v>0</v>
      </c>
      <c r="I514" s="98">
        <f>$C514*VLOOKUP($B514,FoodDB!$A$2:$I$1016,8,0)</f>
        <v>0</v>
      </c>
      <c r="J514" s="98">
        <f>$C514*VLOOKUP($B514,FoodDB!$A$2:$I$1016,9,0)</f>
        <v>0</v>
      </c>
      <c r="K514" s="98"/>
      <c r="L514" s="98"/>
      <c r="M514" s="98"/>
      <c r="N514" s="98"/>
      <c r="O514" s="98"/>
      <c r="P514" s="98"/>
      <c r="Q514" s="98"/>
      <c r="R514" s="98"/>
      <c r="S514" s="98"/>
    </row>
    <row r="515" spans="1:19" x14ac:dyDescent="0.25">
      <c r="B515" s="94" t="s">
        <v>108</v>
      </c>
      <c r="C515" s="95">
        <v>1</v>
      </c>
      <c r="D515" s="98">
        <f>$C515*VLOOKUP($B515,FoodDB!$A$2:$I$1016,3,0)</f>
        <v>0</v>
      </c>
      <c r="E515" s="98">
        <f>$C515*VLOOKUP($B515,FoodDB!$A$2:$I$1016,4,0)</f>
        <v>0</v>
      </c>
      <c r="F515" s="98">
        <f>$C515*VLOOKUP($B515,FoodDB!$A$2:$I$1016,5,0)</f>
        <v>0</v>
      </c>
      <c r="G515" s="98">
        <f>$C515*VLOOKUP($B515,FoodDB!$A$2:$I$1016,6,0)</f>
        <v>0</v>
      </c>
      <c r="H515" s="98">
        <f>$C515*VLOOKUP($B515,FoodDB!$A$2:$I$1016,7,0)</f>
        <v>0</v>
      </c>
      <c r="I515" s="98">
        <f>$C515*VLOOKUP($B515,FoodDB!$A$2:$I$1016,8,0)</f>
        <v>0</v>
      </c>
      <c r="J515" s="98">
        <f>$C515*VLOOKUP($B515,FoodDB!$A$2:$I$1016,9,0)</f>
        <v>0</v>
      </c>
      <c r="K515" s="98"/>
      <c r="L515" s="98"/>
      <c r="M515" s="98"/>
      <c r="N515" s="98"/>
      <c r="O515" s="98"/>
      <c r="P515" s="98"/>
      <c r="Q515" s="98"/>
      <c r="R515" s="98"/>
      <c r="S515" s="98"/>
    </row>
    <row r="516" spans="1:19" x14ac:dyDescent="0.25">
      <c r="B516" s="94" t="s">
        <v>108</v>
      </c>
      <c r="C516" s="95">
        <v>1</v>
      </c>
      <c r="D516" s="98">
        <f>$C516*VLOOKUP($B516,FoodDB!$A$2:$I$1016,3,0)</f>
        <v>0</v>
      </c>
      <c r="E516" s="98">
        <f>$C516*VLOOKUP($B516,FoodDB!$A$2:$I$1016,4,0)</f>
        <v>0</v>
      </c>
      <c r="F516" s="98">
        <f>$C516*VLOOKUP($B516,FoodDB!$A$2:$I$1016,5,0)</f>
        <v>0</v>
      </c>
      <c r="G516" s="98">
        <f>$C516*VLOOKUP($B516,FoodDB!$A$2:$I$1016,6,0)</f>
        <v>0</v>
      </c>
      <c r="H516" s="98">
        <f>$C516*VLOOKUP($B516,FoodDB!$A$2:$I$1016,7,0)</f>
        <v>0</v>
      </c>
      <c r="I516" s="98">
        <f>$C516*VLOOKUP($B516,FoodDB!$A$2:$I$1016,8,0)</f>
        <v>0</v>
      </c>
      <c r="J516" s="98">
        <f>$C516*VLOOKUP($B516,FoodDB!$A$2:$I$1016,9,0)</f>
        <v>0</v>
      </c>
      <c r="K516" s="98"/>
      <c r="L516" s="98"/>
      <c r="M516" s="98"/>
      <c r="N516" s="98"/>
      <c r="O516" s="98"/>
      <c r="P516" s="98"/>
      <c r="Q516" s="98"/>
      <c r="R516" s="98"/>
      <c r="S516" s="98"/>
    </row>
    <row r="517" spans="1:19" x14ac:dyDescent="0.25">
      <c r="B517" s="94" t="s">
        <v>108</v>
      </c>
      <c r="C517" s="95">
        <v>1</v>
      </c>
      <c r="D517" s="98">
        <f>$C517*VLOOKUP($B517,FoodDB!$A$2:$I$1016,3,0)</f>
        <v>0</v>
      </c>
      <c r="E517" s="98">
        <f>$C517*VLOOKUP($B517,FoodDB!$A$2:$I$1016,4,0)</f>
        <v>0</v>
      </c>
      <c r="F517" s="98">
        <f>$C517*VLOOKUP($B517,FoodDB!$A$2:$I$1016,5,0)</f>
        <v>0</v>
      </c>
      <c r="G517" s="98">
        <f>$C517*VLOOKUP($B517,FoodDB!$A$2:$I$1016,6,0)</f>
        <v>0</v>
      </c>
      <c r="H517" s="98">
        <f>$C517*VLOOKUP($B517,FoodDB!$A$2:$I$1016,7,0)</f>
        <v>0</v>
      </c>
      <c r="I517" s="98">
        <f>$C517*VLOOKUP($B517,FoodDB!$A$2:$I$1016,8,0)</f>
        <v>0</v>
      </c>
      <c r="J517" s="98">
        <f>$C517*VLOOKUP($B517,FoodDB!$A$2:$I$1016,9,0)</f>
        <v>0</v>
      </c>
      <c r="K517" s="98"/>
      <c r="L517" s="98"/>
      <c r="M517" s="98"/>
      <c r="N517" s="98"/>
      <c r="O517" s="98"/>
      <c r="P517" s="98"/>
      <c r="Q517" s="98"/>
      <c r="R517" s="98"/>
      <c r="S517" s="98"/>
    </row>
    <row r="518" spans="1:19" x14ac:dyDescent="0.25">
      <c r="B518" s="94" t="s">
        <v>108</v>
      </c>
      <c r="C518" s="95">
        <v>1</v>
      </c>
      <c r="D518" s="98">
        <f>$C518*VLOOKUP($B518,FoodDB!$A$2:$I$1016,3,0)</f>
        <v>0</v>
      </c>
      <c r="E518" s="98">
        <f>$C518*VLOOKUP($B518,FoodDB!$A$2:$I$1016,4,0)</f>
        <v>0</v>
      </c>
      <c r="F518" s="98">
        <f>$C518*VLOOKUP($B518,FoodDB!$A$2:$I$1016,5,0)</f>
        <v>0</v>
      </c>
      <c r="G518" s="98">
        <f>$C518*VLOOKUP($B518,FoodDB!$A$2:$I$1016,6,0)</f>
        <v>0</v>
      </c>
      <c r="H518" s="98">
        <f>$C518*VLOOKUP($B518,FoodDB!$A$2:$I$1016,7,0)</f>
        <v>0</v>
      </c>
      <c r="I518" s="98">
        <f>$C518*VLOOKUP($B518,FoodDB!$A$2:$I$1016,8,0)</f>
        <v>0</v>
      </c>
      <c r="J518" s="98">
        <f>$C518*VLOOKUP($B518,FoodDB!$A$2:$I$1016,9,0)</f>
        <v>0</v>
      </c>
      <c r="K518" s="98"/>
      <c r="L518" s="98"/>
      <c r="M518" s="98"/>
      <c r="N518" s="98"/>
      <c r="O518" s="98"/>
      <c r="P518" s="98"/>
      <c r="Q518" s="98"/>
      <c r="R518" s="98"/>
      <c r="S518" s="98"/>
    </row>
    <row r="519" spans="1:19" x14ac:dyDescent="0.25">
      <c r="A519" t="s">
        <v>98</v>
      </c>
      <c r="D519" s="98"/>
      <c r="E519" s="98"/>
      <c r="F519" s="98"/>
      <c r="G519" s="98">
        <f>SUM(G512:G518)</f>
        <v>0</v>
      </c>
      <c r="H519" s="98">
        <f>SUM(H512:H518)</f>
        <v>0</v>
      </c>
      <c r="I519" s="98">
        <f>SUM(I512:I518)</f>
        <v>0</v>
      </c>
      <c r="J519" s="98">
        <f>SUM(G519:I519)</f>
        <v>0</v>
      </c>
      <c r="K519" s="98"/>
      <c r="L519" s="98"/>
      <c r="M519" s="98"/>
      <c r="N519" s="98"/>
      <c r="O519" s="98"/>
      <c r="P519" s="98"/>
      <c r="Q519" s="98"/>
      <c r="R519" s="98"/>
      <c r="S519" s="98"/>
    </row>
    <row r="520" spans="1:19" x14ac:dyDescent="0.25">
      <c r="A520" t="s">
        <v>102</v>
      </c>
      <c r="B520" t="s">
        <v>103</v>
      </c>
      <c r="D520" s="98"/>
      <c r="E520" s="98"/>
      <c r="F520" s="98"/>
      <c r="G520" s="98">
        <f>VLOOKUP($A512,LossChart!$A$3:$AB$105,14,0)</f>
        <v>598.8240333072672</v>
      </c>
      <c r="H520" s="98">
        <f>VLOOKUP($A512,LossChart!$A$3:$AB$105,15,0)</f>
        <v>80</v>
      </c>
      <c r="I520" s="98">
        <f>VLOOKUP($A512,LossChart!$A$3:$AB$105,16,0)</f>
        <v>477.30407413615825</v>
      </c>
      <c r="J520" s="98">
        <f>VLOOKUP($A512,LossChart!$A$3:$AB$105,17,0)</f>
        <v>1156.1281074434255</v>
      </c>
      <c r="K520" s="98"/>
      <c r="L520" s="98"/>
      <c r="M520" s="98"/>
      <c r="N520" s="98"/>
      <c r="O520" s="98"/>
      <c r="P520" s="98"/>
      <c r="Q520" s="98"/>
      <c r="R520" s="98"/>
      <c r="S520" s="98"/>
    </row>
    <row r="521" spans="1:19" x14ac:dyDescent="0.25">
      <c r="A521" t="s">
        <v>104</v>
      </c>
      <c r="D521" s="98"/>
      <c r="E521" s="98"/>
      <c r="F521" s="98"/>
      <c r="G521" s="98">
        <f>G520-G519</f>
        <v>598.8240333072672</v>
      </c>
      <c r="H521" s="98">
        <f>H520-H519</f>
        <v>80</v>
      </c>
      <c r="I521" s="98">
        <f>I520-I519</f>
        <v>477.30407413615825</v>
      </c>
      <c r="J521" s="98">
        <f>J520-J519</f>
        <v>1156.1281074434255</v>
      </c>
      <c r="K521" s="98"/>
      <c r="L521" s="98"/>
      <c r="M521" s="98"/>
      <c r="N521" s="98"/>
      <c r="O521" s="98"/>
      <c r="P521" s="98"/>
      <c r="Q521" s="98"/>
      <c r="R521" s="98"/>
      <c r="S521" s="98"/>
    </row>
    <row r="523" spans="1:19" ht="60" x14ac:dyDescent="0.25">
      <c r="A523" s="21" t="s">
        <v>63</v>
      </c>
      <c r="B523" s="21" t="s">
        <v>93</v>
      </c>
      <c r="C523" s="21" t="s">
        <v>94</v>
      </c>
      <c r="D523" s="92" t="str">
        <f>FoodDB!$C$1</f>
        <v>Fat
(g)</v>
      </c>
      <c r="E523" s="92" t="str">
        <f>FoodDB!$D$1</f>
        <v xml:space="preserve"> Carbs
(g)</v>
      </c>
      <c r="F523" s="92" t="str">
        <f>FoodDB!$E$1</f>
        <v>Protein
(g)</v>
      </c>
      <c r="G523" s="92" t="str">
        <f>FoodDB!$F$1</f>
        <v>Fat
(Cal)</v>
      </c>
      <c r="H523" s="92" t="str">
        <f>FoodDB!$G$1</f>
        <v>Carb
(Cal)</v>
      </c>
      <c r="I523" s="92" t="str">
        <f>FoodDB!$H$1</f>
        <v>Protein
(Cal)</v>
      </c>
      <c r="J523" s="92" t="str">
        <f>FoodDB!$I$1</f>
        <v>Total
Calories</v>
      </c>
      <c r="K523" s="92"/>
      <c r="L523" s="92" t="s">
        <v>110</v>
      </c>
      <c r="M523" s="92" t="s">
        <v>111</v>
      </c>
      <c r="N523" s="92" t="s">
        <v>112</v>
      </c>
      <c r="O523" s="92" t="s">
        <v>113</v>
      </c>
      <c r="P523" s="92" t="s">
        <v>118</v>
      </c>
      <c r="Q523" s="92" t="s">
        <v>119</v>
      </c>
      <c r="R523" s="92" t="s">
        <v>120</v>
      </c>
      <c r="S523" s="92" t="s">
        <v>121</v>
      </c>
    </row>
    <row r="524" spans="1:19" x14ac:dyDescent="0.25">
      <c r="A524" s="93">
        <f>A512+1</f>
        <v>43037</v>
      </c>
      <c r="B524" s="94" t="s">
        <v>108</v>
      </c>
      <c r="C524" s="95">
        <v>1</v>
      </c>
      <c r="D524" s="98">
        <f>$C524*VLOOKUP($B524,FoodDB!$A$2:$I$1016,3,0)</f>
        <v>0</v>
      </c>
      <c r="E524" s="98">
        <f>$C524*VLOOKUP($B524,FoodDB!$A$2:$I$1016,4,0)</f>
        <v>0</v>
      </c>
      <c r="F524" s="98">
        <f>$C524*VLOOKUP($B524,FoodDB!$A$2:$I$1016,5,0)</f>
        <v>0</v>
      </c>
      <c r="G524" s="98">
        <f>$C524*VLOOKUP($B524,FoodDB!$A$2:$I$1016,6,0)</f>
        <v>0</v>
      </c>
      <c r="H524" s="98">
        <f>$C524*VLOOKUP($B524,FoodDB!$A$2:$I$1016,7,0)</f>
        <v>0</v>
      </c>
      <c r="I524" s="98">
        <f>$C524*VLOOKUP($B524,FoodDB!$A$2:$I$1016,8,0)</f>
        <v>0</v>
      </c>
      <c r="J524" s="98">
        <f>$C524*VLOOKUP($B524,FoodDB!$A$2:$I$1016,9,0)</f>
        <v>0</v>
      </c>
      <c r="K524" s="98"/>
      <c r="L524" s="98">
        <f>SUM(G524:G530)</f>
        <v>0</v>
      </c>
      <c r="M524" s="98">
        <f>SUM(H524:H530)</f>
        <v>0</v>
      </c>
      <c r="N524" s="98">
        <f>SUM(I524:I530)</f>
        <v>0</v>
      </c>
      <c r="O524" s="98">
        <f>SUM(L524:N524)</f>
        <v>0</v>
      </c>
      <c r="P524" s="98">
        <f>VLOOKUP($A524,LossChart!$A$3:$AB$105,14,0)-L524</f>
        <v>605.02261079290247</v>
      </c>
      <c r="Q524" s="98">
        <f>VLOOKUP($A524,LossChart!$A$3:$AB$105,15,0)-M524</f>
        <v>80</v>
      </c>
      <c r="R524" s="98">
        <f>VLOOKUP($A524,LossChart!$A$3:$AB$105,16,0)-N524</f>
        <v>477.30407413615825</v>
      </c>
      <c r="S524" s="98">
        <f>VLOOKUP($A524,LossChart!$A$3:$AB$105,17,0)-O524</f>
        <v>1162.3266849290608</v>
      </c>
    </row>
    <row r="525" spans="1:19" x14ac:dyDescent="0.25">
      <c r="B525" s="94" t="s">
        <v>108</v>
      </c>
      <c r="C525" s="95">
        <v>1</v>
      </c>
      <c r="D525" s="98">
        <f>$C525*VLOOKUP($B525,FoodDB!$A$2:$I$1016,3,0)</f>
        <v>0</v>
      </c>
      <c r="E525" s="98">
        <f>$C525*VLOOKUP($B525,FoodDB!$A$2:$I$1016,4,0)</f>
        <v>0</v>
      </c>
      <c r="F525" s="98">
        <f>$C525*VLOOKUP($B525,FoodDB!$A$2:$I$1016,5,0)</f>
        <v>0</v>
      </c>
      <c r="G525" s="98">
        <f>$C525*VLOOKUP($B525,FoodDB!$A$2:$I$1016,6,0)</f>
        <v>0</v>
      </c>
      <c r="H525" s="98">
        <f>$C525*VLOOKUP($B525,FoodDB!$A$2:$I$1016,7,0)</f>
        <v>0</v>
      </c>
      <c r="I525" s="98">
        <f>$C525*VLOOKUP($B525,FoodDB!$A$2:$I$1016,8,0)</f>
        <v>0</v>
      </c>
      <c r="J525" s="98">
        <f>$C525*VLOOKUP($B525,FoodDB!$A$2:$I$1016,9,0)</f>
        <v>0</v>
      </c>
      <c r="K525" s="98"/>
      <c r="L525" s="98"/>
      <c r="M525" s="98"/>
      <c r="N525" s="98"/>
      <c r="O525" s="98"/>
      <c r="P525" s="98"/>
      <c r="Q525" s="98"/>
      <c r="R525" s="98"/>
      <c r="S525" s="98"/>
    </row>
    <row r="526" spans="1:19" x14ac:dyDescent="0.25">
      <c r="B526" s="94" t="s">
        <v>108</v>
      </c>
      <c r="C526" s="95">
        <v>1</v>
      </c>
      <c r="D526" s="98">
        <f>$C526*VLOOKUP($B526,FoodDB!$A$2:$I$1016,3,0)</f>
        <v>0</v>
      </c>
      <c r="E526" s="98">
        <f>$C526*VLOOKUP($B526,FoodDB!$A$2:$I$1016,4,0)</f>
        <v>0</v>
      </c>
      <c r="F526" s="98">
        <f>$C526*VLOOKUP($B526,FoodDB!$A$2:$I$1016,5,0)</f>
        <v>0</v>
      </c>
      <c r="G526" s="98">
        <f>$C526*VLOOKUP($B526,FoodDB!$A$2:$I$1016,6,0)</f>
        <v>0</v>
      </c>
      <c r="H526" s="98">
        <f>$C526*VLOOKUP($B526,FoodDB!$A$2:$I$1016,7,0)</f>
        <v>0</v>
      </c>
      <c r="I526" s="98">
        <f>$C526*VLOOKUP($B526,FoodDB!$A$2:$I$1016,8,0)</f>
        <v>0</v>
      </c>
      <c r="J526" s="98">
        <f>$C526*VLOOKUP($B526,FoodDB!$A$2:$I$1016,9,0)</f>
        <v>0</v>
      </c>
      <c r="K526" s="98"/>
      <c r="L526" s="98"/>
      <c r="M526" s="98"/>
      <c r="N526" s="98"/>
      <c r="O526" s="98"/>
      <c r="P526" s="98"/>
      <c r="Q526" s="98"/>
      <c r="R526" s="98"/>
      <c r="S526" s="98"/>
    </row>
    <row r="527" spans="1:19" x14ac:dyDescent="0.25">
      <c r="B527" s="94" t="s">
        <v>108</v>
      </c>
      <c r="C527" s="95">
        <v>1</v>
      </c>
      <c r="D527" s="98">
        <f>$C527*VLOOKUP($B527,FoodDB!$A$2:$I$1016,3,0)</f>
        <v>0</v>
      </c>
      <c r="E527" s="98">
        <f>$C527*VLOOKUP($B527,FoodDB!$A$2:$I$1016,4,0)</f>
        <v>0</v>
      </c>
      <c r="F527" s="98">
        <f>$C527*VLOOKUP($B527,FoodDB!$A$2:$I$1016,5,0)</f>
        <v>0</v>
      </c>
      <c r="G527" s="98">
        <f>$C527*VLOOKUP($B527,FoodDB!$A$2:$I$1016,6,0)</f>
        <v>0</v>
      </c>
      <c r="H527" s="98">
        <f>$C527*VLOOKUP($B527,FoodDB!$A$2:$I$1016,7,0)</f>
        <v>0</v>
      </c>
      <c r="I527" s="98">
        <f>$C527*VLOOKUP($B527,FoodDB!$A$2:$I$1016,8,0)</f>
        <v>0</v>
      </c>
      <c r="J527" s="98">
        <f>$C527*VLOOKUP($B527,FoodDB!$A$2:$I$1016,9,0)</f>
        <v>0</v>
      </c>
      <c r="K527" s="98"/>
      <c r="L527" s="98"/>
      <c r="M527" s="98"/>
      <c r="N527" s="98"/>
      <c r="O527" s="98"/>
      <c r="P527" s="98"/>
      <c r="Q527" s="98"/>
      <c r="R527" s="98"/>
      <c r="S527" s="98"/>
    </row>
    <row r="528" spans="1:19" x14ac:dyDescent="0.25">
      <c r="B528" s="94" t="s">
        <v>108</v>
      </c>
      <c r="C528" s="95">
        <v>1</v>
      </c>
      <c r="D528" s="98">
        <f>$C528*VLOOKUP($B528,FoodDB!$A$2:$I$1016,3,0)</f>
        <v>0</v>
      </c>
      <c r="E528" s="98">
        <f>$C528*VLOOKUP($B528,FoodDB!$A$2:$I$1016,4,0)</f>
        <v>0</v>
      </c>
      <c r="F528" s="98">
        <f>$C528*VLOOKUP($B528,FoodDB!$A$2:$I$1016,5,0)</f>
        <v>0</v>
      </c>
      <c r="G528" s="98">
        <f>$C528*VLOOKUP($B528,FoodDB!$A$2:$I$1016,6,0)</f>
        <v>0</v>
      </c>
      <c r="H528" s="98">
        <f>$C528*VLOOKUP($B528,FoodDB!$A$2:$I$1016,7,0)</f>
        <v>0</v>
      </c>
      <c r="I528" s="98">
        <f>$C528*VLOOKUP($B528,FoodDB!$A$2:$I$1016,8,0)</f>
        <v>0</v>
      </c>
      <c r="J528" s="98">
        <f>$C528*VLOOKUP($B528,FoodDB!$A$2:$I$1016,9,0)</f>
        <v>0</v>
      </c>
      <c r="K528" s="98"/>
      <c r="L528" s="98"/>
      <c r="M528" s="98"/>
      <c r="N528" s="98"/>
      <c r="O528" s="98"/>
      <c r="P528" s="98"/>
      <c r="Q528" s="98"/>
      <c r="R528" s="98"/>
      <c r="S528" s="98"/>
    </row>
    <row r="529" spans="1:19" x14ac:dyDescent="0.25">
      <c r="B529" s="94" t="s">
        <v>108</v>
      </c>
      <c r="C529" s="95">
        <v>1</v>
      </c>
      <c r="D529" s="98">
        <f>$C529*VLOOKUP($B529,FoodDB!$A$2:$I$1016,3,0)</f>
        <v>0</v>
      </c>
      <c r="E529" s="98">
        <f>$C529*VLOOKUP($B529,FoodDB!$A$2:$I$1016,4,0)</f>
        <v>0</v>
      </c>
      <c r="F529" s="98">
        <f>$C529*VLOOKUP($B529,FoodDB!$A$2:$I$1016,5,0)</f>
        <v>0</v>
      </c>
      <c r="G529" s="98">
        <f>$C529*VLOOKUP($B529,FoodDB!$A$2:$I$1016,6,0)</f>
        <v>0</v>
      </c>
      <c r="H529" s="98">
        <f>$C529*VLOOKUP($B529,FoodDB!$A$2:$I$1016,7,0)</f>
        <v>0</v>
      </c>
      <c r="I529" s="98">
        <f>$C529*VLOOKUP($B529,FoodDB!$A$2:$I$1016,8,0)</f>
        <v>0</v>
      </c>
      <c r="J529" s="98">
        <f>$C529*VLOOKUP($B529,FoodDB!$A$2:$I$1016,9,0)</f>
        <v>0</v>
      </c>
      <c r="K529" s="98"/>
      <c r="L529" s="98"/>
      <c r="M529" s="98"/>
      <c r="N529" s="98"/>
      <c r="O529" s="98"/>
      <c r="P529" s="98"/>
      <c r="Q529" s="98"/>
      <c r="R529" s="98"/>
      <c r="S529" s="98"/>
    </row>
    <row r="530" spans="1:19" x14ac:dyDescent="0.25">
      <c r="B530" s="94" t="s">
        <v>108</v>
      </c>
      <c r="C530" s="95">
        <v>1</v>
      </c>
      <c r="D530" s="98">
        <f>$C530*VLOOKUP($B530,FoodDB!$A$2:$I$1016,3,0)</f>
        <v>0</v>
      </c>
      <c r="E530" s="98">
        <f>$C530*VLOOKUP($B530,FoodDB!$A$2:$I$1016,4,0)</f>
        <v>0</v>
      </c>
      <c r="F530" s="98">
        <f>$C530*VLOOKUP($B530,FoodDB!$A$2:$I$1016,5,0)</f>
        <v>0</v>
      </c>
      <c r="G530" s="98">
        <f>$C530*VLOOKUP($B530,FoodDB!$A$2:$I$1016,6,0)</f>
        <v>0</v>
      </c>
      <c r="H530" s="98">
        <f>$C530*VLOOKUP($B530,FoodDB!$A$2:$I$1016,7,0)</f>
        <v>0</v>
      </c>
      <c r="I530" s="98">
        <f>$C530*VLOOKUP($B530,FoodDB!$A$2:$I$1016,8,0)</f>
        <v>0</v>
      </c>
      <c r="J530" s="98">
        <f>$C530*VLOOKUP($B530,FoodDB!$A$2:$I$1016,9,0)</f>
        <v>0</v>
      </c>
      <c r="K530" s="98"/>
      <c r="L530" s="98"/>
      <c r="M530" s="98"/>
      <c r="N530" s="98"/>
      <c r="O530" s="98"/>
      <c r="P530" s="98"/>
      <c r="Q530" s="98"/>
      <c r="R530" s="98"/>
      <c r="S530" s="98"/>
    </row>
    <row r="531" spans="1:19" x14ac:dyDescent="0.25">
      <c r="A531" t="s">
        <v>98</v>
      </c>
      <c r="D531" s="98"/>
      <c r="E531" s="98"/>
      <c r="F531" s="98"/>
      <c r="G531" s="98">
        <f>SUM(G524:G530)</f>
        <v>0</v>
      </c>
      <c r="H531" s="98">
        <f>SUM(H524:H530)</f>
        <v>0</v>
      </c>
      <c r="I531" s="98">
        <f>SUM(I524:I530)</f>
        <v>0</v>
      </c>
      <c r="J531" s="98">
        <f>SUM(G531:I531)</f>
        <v>0</v>
      </c>
      <c r="K531" s="98"/>
      <c r="L531" s="98"/>
      <c r="M531" s="98"/>
      <c r="N531" s="98"/>
      <c r="O531" s="98"/>
      <c r="P531" s="98"/>
      <c r="Q531" s="98"/>
      <c r="R531" s="98"/>
      <c r="S531" s="98"/>
    </row>
    <row r="532" spans="1:19" x14ac:dyDescent="0.25">
      <c r="A532" t="s">
        <v>102</v>
      </c>
      <c r="B532" t="s">
        <v>103</v>
      </c>
      <c r="D532" s="98"/>
      <c r="E532" s="98"/>
      <c r="F532" s="98"/>
      <c r="G532" s="98">
        <f>VLOOKUP($A524,LossChart!$A$3:$AB$105,14,0)</f>
        <v>605.02261079290247</v>
      </c>
      <c r="H532" s="98">
        <f>VLOOKUP($A524,LossChart!$A$3:$AB$105,15,0)</f>
        <v>80</v>
      </c>
      <c r="I532" s="98">
        <f>VLOOKUP($A524,LossChart!$A$3:$AB$105,16,0)</f>
        <v>477.30407413615825</v>
      </c>
      <c r="J532" s="98">
        <f>VLOOKUP($A524,LossChart!$A$3:$AB$105,17,0)</f>
        <v>1162.3266849290608</v>
      </c>
      <c r="K532" s="98"/>
      <c r="L532" s="98"/>
      <c r="M532" s="98"/>
      <c r="N532" s="98"/>
      <c r="O532" s="98"/>
      <c r="P532" s="98"/>
      <c r="Q532" s="98"/>
      <c r="R532" s="98"/>
      <c r="S532" s="98"/>
    </row>
    <row r="533" spans="1:19" x14ac:dyDescent="0.25">
      <c r="A533" t="s">
        <v>104</v>
      </c>
      <c r="D533" s="98"/>
      <c r="E533" s="98"/>
      <c r="F533" s="98"/>
      <c r="G533" s="98">
        <f>G532-G531</f>
        <v>605.02261079290247</v>
      </c>
      <c r="H533" s="98">
        <f>H532-H531</f>
        <v>80</v>
      </c>
      <c r="I533" s="98">
        <f>I532-I531</f>
        <v>477.30407413615825</v>
      </c>
      <c r="J533" s="98">
        <f>J532-J531</f>
        <v>1162.3266849290608</v>
      </c>
      <c r="K533" s="98"/>
      <c r="L533" s="98"/>
      <c r="M533" s="98"/>
      <c r="N533" s="98"/>
      <c r="O533" s="98"/>
      <c r="P533" s="98"/>
      <c r="Q533" s="98"/>
      <c r="R533" s="98"/>
      <c r="S533" s="98"/>
    </row>
    <row r="535" spans="1:19" ht="60" x14ac:dyDescent="0.25">
      <c r="A535" s="21" t="s">
        <v>63</v>
      </c>
      <c r="B535" s="21" t="s">
        <v>93</v>
      </c>
      <c r="C535" s="21" t="s">
        <v>94</v>
      </c>
      <c r="D535" s="92" t="str">
        <f>FoodDB!$C$1</f>
        <v>Fat
(g)</v>
      </c>
      <c r="E535" s="92" t="str">
        <f>FoodDB!$D$1</f>
        <v xml:space="preserve"> Carbs
(g)</v>
      </c>
      <c r="F535" s="92" t="str">
        <f>FoodDB!$E$1</f>
        <v>Protein
(g)</v>
      </c>
      <c r="G535" s="92" t="str">
        <f>FoodDB!$F$1</f>
        <v>Fat
(Cal)</v>
      </c>
      <c r="H535" s="92" t="str">
        <f>FoodDB!$G$1</f>
        <v>Carb
(Cal)</v>
      </c>
      <c r="I535" s="92" t="str">
        <f>FoodDB!$H$1</f>
        <v>Protein
(Cal)</v>
      </c>
      <c r="J535" s="92" t="str">
        <f>FoodDB!$I$1</f>
        <v>Total
Calories</v>
      </c>
      <c r="K535" s="92"/>
      <c r="L535" s="92" t="s">
        <v>110</v>
      </c>
      <c r="M535" s="92" t="s">
        <v>111</v>
      </c>
      <c r="N535" s="92" t="s">
        <v>112</v>
      </c>
      <c r="O535" s="92" t="s">
        <v>113</v>
      </c>
      <c r="P535" s="92" t="s">
        <v>118</v>
      </c>
      <c r="Q535" s="92" t="s">
        <v>119</v>
      </c>
      <c r="R535" s="92" t="s">
        <v>120</v>
      </c>
      <c r="S535" s="92" t="s">
        <v>121</v>
      </c>
    </row>
    <row r="536" spans="1:19" x14ac:dyDescent="0.25">
      <c r="A536" s="93">
        <f>A524+1</f>
        <v>43038</v>
      </c>
      <c r="B536" s="94" t="s">
        <v>108</v>
      </c>
      <c r="C536" s="95">
        <v>1</v>
      </c>
      <c r="D536" s="98">
        <f>$C536*VLOOKUP($B536,FoodDB!$A$2:$I$1016,3,0)</f>
        <v>0</v>
      </c>
      <c r="E536" s="98">
        <f>$C536*VLOOKUP($B536,FoodDB!$A$2:$I$1016,4,0)</f>
        <v>0</v>
      </c>
      <c r="F536" s="98">
        <f>$C536*VLOOKUP($B536,FoodDB!$A$2:$I$1016,5,0)</f>
        <v>0</v>
      </c>
      <c r="G536" s="98">
        <f>$C536*VLOOKUP($B536,FoodDB!$A$2:$I$1016,6,0)</f>
        <v>0</v>
      </c>
      <c r="H536" s="98">
        <f>$C536*VLOOKUP($B536,FoodDB!$A$2:$I$1016,7,0)</f>
        <v>0</v>
      </c>
      <c r="I536" s="98">
        <f>$C536*VLOOKUP($B536,FoodDB!$A$2:$I$1016,8,0)</f>
        <v>0</v>
      </c>
      <c r="J536" s="98">
        <f>$C536*VLOOKUP($B536,FoodDB!$A$2:$I$1016,9,0)</f>
        <v>0</v>
      </c>
      <c r="K536" s="98"/>
      <c r="L536" s="98">
        <f>SUM(G536:G542)</f>
        <v>0</v>
      </c>
      <c r="M536" s="98">
        <f>SUM(H536:H542)</f>
        <v>0</v>
      </c>
      <c r="N536" s="98">
        <f>SUM(I536:I542)</f>
        <v>0</v>
      </c>
      <c r="O536" s="98">
        <f>SUM(L536:N536)</f>
        <v>0</v>
      </c>
      <c r="P536" s="98">
        <f>VLOOKUP($A536,LossChart!$A$3:$AB$105,14,0)-L536</f>
        <v>611.1662865922367</v>
      </c>
      <c r="Q536" s="98">
        <f>VLOOKUP($A536,LossChart!$A$3:$AB$105,15,0)-M536</f>
        <v>80</v>
      </c>
      <c r="R536" s="98">
        <f>VLOOKUP($A536,LossChart!$A$3:$AB$105,16,0)-N536</f>
        <v>477.30407413615825</v>
      </c>
      <c r="S536" s="98">
        <f>VLOOKUP($A536,LossChart!$A$3:$AB$105,17,0)-O536</f>
        <v>1168.470360728395</v>
      </c>
    </row>
    <row r="537" spans="1:19" x14ac:dyDescent="0.25">
      <c r="B537" s="94" t="s">
        <v>108</v>
      </c>
      <c r="C537" s="95">
        <v>1</v>
      </c>
      <c r="D537" s="98">
        <f>$C537*VLOOKUP($B537,FoodDB!$A$2:$I$1016,3,0)</f>
        <v>0</v>
      </c>
      <c r="E537" s="98">
        <f>$C537*VLOOKUP($B537,FoodDB!$A$2:$I$1016,4,0)</f>
        <v>0</v>
      </c>
      <c r="F537" s="98">
        <f>$C537*VLOOKUP($B537,FoodDB!$A$2:$I$1016,5,0)</f>
        <v>0</v>
      </c>
      <c r="G537" s="98">
        <f>$C537*VLOOKUP($B537,FoodDB!$A$2:$I$1016,6,0)</f>
        <v>0</v>
      </c>
      <c r="H537" s="98">
        <f>$C537*VLOOKUP($B537,FoodDB!$A$2:$I$1016,7,0)</f>
        <v>0</v>
      </c>
      <c r="I537" s="98">
        <f>$C537*VLOOKUP($B537,FoodDB!$A$2:$I$1016,8,0)</f>
        <v>0</v>
      </c>
      <c r="J537" s="98">
        <f>$C537*VLOOKUP($B537,FoodDB!$A$2:$I$1016,9,0)</f>
        <v>0</v>
      </c>
      <c r="K537" s="98"/>
      <c r="L537" s="98"/>
      <c r="M537" s="98"/>
      <c r="N537" s="98"/>
      <c r="O537" s="98"/>
      <c r="P537" s="98"/>
      <c r="Q537" s="98"/>
      <c r="R537" s="98"/>
      <c r="S537" s="98"/>
    </row>
    <row r="538" spans="1:19" x14ac:dyDescent="0.25">
      <c r="B538" s="94" t="s">
        <v>108</v>
      </c>
      <c r="C538" s="95">
        <v>1</v>
      </c>
      <c r="D538" s="98">
        <f>$C538*VLOOKUP($B538,FoodDB!$A$2:$I$1016,3,0)</f>
        <v>0</v>
      </c>
      <c r="E538" s="98">
        <f>$C538*VLOOKUP($B538,FoodDB!$A$2:$I$1016,4,0)</f>
        <v>0</v>
      </c>
      <c r="F538" s="98">
        <f>$C538*VLOOKUP($B538,FoodDB!$A$2:$I$1016,5,0)</f>
        <v>0</v>
      </c>
      <c r="G538" s="98">
        <f>$C538*VLOOKUP($B538,FoodDB!$A$2:$I$1016,6,0)</f>
        <v>0</v>
      </c>
      <c r="H538" s="98">
        <f>$C538*VLOOKUP($B538,FoodDB!$A$2:$I$1016,7,0)</f>
        <v>0</v>
      </c>
      <c r="I538" s="98">
        <f>$C538*VLOOKUP($B538,FoodDB!$A$2:$I$1016,8,0)</f>
        <v>0</v>
      </c>
      <c r="J538" s="98">
        <f>$C538*VLOOKUP($B538,FoodDB!$A$2:$I$1016,9,0)</f>
        <v>0</v>
      </c>
      <c r="K538" s="98"/>
      <c r="L538" s="98"/>
      <c r="M538" s="98"/>
      <c r="N538" s="98"/>
      <c r="O538" s="98"/>
      <c r="P538" s="98"/>
      <c r="Q538" s="98"/>
      <c r="R538" s="98"/>
      <c r="S538" s="98"/>
    </row>
    <row r="539" spans="1:19" x14ac:dyDescent="0.25">
      <c r="B539" s="94" t="s">
        <v>108</v>
      </c>
      <c r="C539" s="95">
        <v>1</v>
      </c>
      <c r="D539" s="98">
        <f>$C539*VLOOKUP($B539,FoodDB!$A$2:$I$1016,3,0)</f>
        <v>0</v>
      </c>
      <c r="E539" s="98">
        <f>$C539*VLOOKUP($B539,FoodDB!$A$2:$I$1016,4,0)</f>
        <v>0</v>
      </c>
      <c r="F539" s="98">
        <f>$C539*VLOOKUP($B539,FoodDB!$A$2:$I$1016,5,0)</f>
        <v>0</v>
      </c>
      <c r="G539" s="98">
        <f>$C539*VLOOKUP($B539,FoodDB!$A$2:$I$1016,6,0)</f>
        <v>0</v>
      </c>
      <c r="H539" s="98">
        <f>$C539*VLOOKUP($B539,FoodDB!$A$2:$I$1016,7,0)</f>
        <v>0</v>
      </c>
      <c r="I539" s="98">
        <f>$C539*VLOOKUP($B539,FoodDB!$A$2:$I$1016,8,0)</f>
        <v>0</v>
      </c>
      <c r="J539" s="98">
        <f>$C539*VLOOKUP($B539,FoodDB!$A$2:$I$1016,9,0)</f>
        <v>0</v>
      </c>
      <c r="K539" s="98"/>
      <c r="L539" s="98"/>
      <c r="M539" s="98"/>
      <c r="N539" s="98"/>
      <c r="O539" s="98"/>
      <c r="P539" s="98"/>
      <c r="Q539" s="98"/>
      <c r="R539" s="98"/>
      <c r="S539" s="98"/>
    </row>
    <row r="540" spans="1:19" x14ac:dyDescent="0.25">
      <c r="B540" s="94" t="s">
        <v>108</v>
      </c>
      <c r="C540" s="95">
        <v>1</v>
      </c>
      <c r="D540" s="98">
        <f>$C540*VLOOKUP($B540,FoodDB!$A$2:$I$1016,3,0)</f>
        <v>0</v>
      </c>
      <c r="E540" s="98">
        <f>$C540*VLOOKUP($B540,FoodDB!$A$2:$I$1016,4,0)</f>
        <v>0</v>
      </c>
      <c r="F540" s="98">
        <f>$C540*VLOOKUP($B540,FoodDB!$A$2:$I$1016,5,0)</f>
        <v>0</v>
      </c>
      <c r="G540" s="98">
        <f>$C540*VLOOKUP($B540,FoodDB!$A$2:$I$1016,6,0)</f>
        <v>0</v>
      </c>
      <c r="H540" s="98">
        <f>$C540*VLOOKUP($B540,FoodDB!$A$2:$I$1016,7,0)</f>
        <v>0</v>
      </c>
      <c r="I540" s="98">
        <f>$C540*VLOOKUP($B540,FoodDB!$A$2:$I$1016,8,0)</f>
        <v>0</v>
      </c>
      <c r="J540" s="98">
        <f>$C540*VLOOKUP($B540,FoodDB!$A$2:$I$1016,9,0)</f>
        <v>0</v>
      </c>
      <c r="K540" s="98"/>
      <c r="L540" s="98"/>
      <c r="M540" s="98"/>
      <c r="N540" s="98"/>
      <c r="O540" s="98"/>
      <c r="P540" s="98"/>
      <c r="Q540" s="98"/>
      <c r="R540" s="98"/>
      <c r="S540" s="98"/>
    </row>
    <row r="541" spans="1:19" x14ac:dyDescent="0.25">
      <c r="B541" s="94" t="s">
        <v>108</v>
      </c>
      <c r="C541" s="95">
        <v>1</v>
      </c>
      <c r="D541" s="98">
        <f>$C541*VLOOKUP($B541,FoodDB!$A$2:$I$1016,3,0)</f>
        <v>0</v>
      </c>
      <c r="E541" s="98">
        <f>$C541*VLOOKUP($B541,FoodDB!$A$2:$I$1016,4,0)</f>
        <v>0</v>
      </c>
      <c r="F541" s="98">
        <f>$C541*VLOOKUP($B541,FoodDB!$A$2:$I$1016,5,0)</f>
        <v>0</v>
      </c>
      <c r="G541" s="98">
        <f>$C541*VLOOKUP($B541,FoodDB!$A$2:$I$1016,6,0)</f>
        <v>0</v>
      </c>
      <c r="H541" s="98">
        <f>$C541*VLOOKUP($B541,FoodDB!$A$2:$I$1016,7,0)</f>
        <v>0</v>
      </c>
      <c r="I541" s="98">
        <f>$C541*VLOOKUP($B541,FoodDB!$A$2:$I$1016,8,0)</f>
        <v>0</v>
      </c>
      <c r="J541" s="98">
        <f>$C541*VLOOKUP($B541,FoodDB!$A$2:$I$1016,9,0)</f>
        <v>0</v>
      </c>
      <c r="K541" s="98"/>
      <c r="L541" s="98"/>
      <c r="M541" s="98"/>
      <c r="N541" s="98"/>
      <c r="O541" s="98"/>
      <c r="P541" s="98"/>
      <c r="Q541" s="98"/>
      <c r="R541" s="98"/>
      <c r="S541" s="98"/>
    </row>
    <row r="542" spans="1:19" x14ac:dyDescent="0.25">
      <c r="B542" s="94" t="s">
        <v>108</v>
      </c>
      <c r="C542" s="95">
        <v>1</v>
      </c>
      <c r="D542" s="98">
        <f>$C542*VLOOKUP($B542,FoodDB!$A$2:$I$1016,3,0)</f>
        <v>0</v>
      </c>
      <c r="E542" s="98">
        <f>$C542*VLOOKUP($B542,FoodDB!$A$2:$I$1016,4,0)</f>
        <v>0</v>
      </c>
      <c r="F542" s="98">
        <f>$C542*VLOOKUP($B542,FoodDB!$A$2:$I$1016,5,0)</f>
        <v>0</v>
      </c>
      <c r="G542" s="98">
        <f>$C542*VLOOKUP($B542,FoodDB!$A$2:$I$1016,6,0)</f>
        <v>0</v>
      </c>
      <c r="H542" s="98">
        <f>$C542*VLOOKUP($B542,FoodDB!$A$2:$I$1016,7,0)</f>
        <v>0</v>
      </c>
      <c r="I542" s="98">
        <f>$C542*VLOOKUP($B542,FoodDB!$A$2:$I$1016,8,0)</f>
        <v>0</v>
      </c>
      <c r="J542" s="98">
        <f>$C542*VLOOKUP($B542,FoodDB!$A$2:$I$1016,9,0)</f>
        <v>0</v>
      </c>
      <c r="K542" s="98"/>
      <c r="L542" s="98"/>
      <c r="M542" s="98"/>
      <c r="N542" s="98"/>
      <c r="O542" s="98"/>
      <c r="P542" s="98"/>
      <c r="Q542" s="98"/>
      <c r="R542" s="98"/>
      <c r="S542" s="98"/>
    </row>
    <row r="543" spans="1:19" x14ac:dyDescent="0.25">
      <c r="A543" t="s">
        <v>98</v>
      </c>
      <c r="D543" s="98"/>
      <c r="E543" s="98"/>
      <c r="F543" s="98"/>
      <c r="G543" s="98">
        <f>SUM(G536:G542)</f>
        <v>0</v>
      </c>
      <c r="H543" s="98">
        <f>SUM(H536:H542)</f>
        <v>0</v>
      </c>
      <c r="I543" s="98">
        <f>SUM(I536:I542)</f>
        <v>0</v>
      </c>
      <c r="J543" s="98">
        <f>SUM(G543:I543)</f>
        <v>0</v>
      </c>
      <c r="K543" s="98"/>
      <c r="L543" s="98"/>
      <c r="M543" s="98"/>
      <c r="N543" s="98"/>
      <c r="O543" s="98"/>
      <c r="P543" s="98"/>
      <c r="Q543" s="98"/>
      <c r="R543" s="98"/>
      <c r="S543" s="98"/>
    </row>
    <row r="544" spans="1:19" x14ac:dyDescent="0.25">
      <c r="A544" t="s">
        <v>102</v>
      </c>
      <c r="B544" t="s">
        <v>103</v>
      </c>
      <c r="D544" s="98"/>
      <c r="E544" s="98"/>
      <c r="F544" s="98"/>
      <c r="G544" s="98">
        <f>VLOOKUP($A536,LossChart!$A$3:$AB$105,14,0)</f>
        <v>611.1662865922367</v>
      </c>
      <c r="H544" s="98">
        <f>VLOOKUP($A536,LossChart!$A$3:$AB$105,15,0)</f>
        <v>80</v>
      </c>
      <c r="I544" s="98">
        <f>VLOOKUP($A536,LossChart!$A$3:$AB$105,16,0)</f>
        <v>477.30407413615825</v>
      </c>
      <c r="J544" s="98">
        <f>VLOOKUP($A536,LossChart!$A$3:$AB$105,17,0)</f>
        <v>1168.470360728395</v>
      </c>
      <c r="K544" s="98"/>
      <c r="L544" s="98"/>
      <c r="M544" s="98"/>
      <c r="N544" s="98"/>
      <c r="O544" s="98"/>
      <c r="P544" s="98"/>
      <c r="Q544" s="98"/>
      <c r="R544" s="98"/>
      <c r="S544" s="98"/>
    </row>
    <row r="545" spans="1:19" x14ac:dyDescent="0.25">
      <c r="A545" t="s">
        <v>104</v>
      </c>
      <c r="D545" s="98"/>
      <c r="E545" s="98"/>
      <c r="F545" s="98"/>
      <c r="G545" s="98">
        <f>G544-G543</f>
        <v>611.1662865922367</v>
      </c>
      <c r="H545" s="98">
        <f>H544-H543</f>
        <v>80</v>
      </c>
      <c r="I545" s="98">
        <f>I544-I543</f>
        <v>477.30407413615825</v>
      </c>
      <c r="J545" s="98">
        <f>J544-J543</f>
        <v>1168.470360728395</v>
      </c>
      <c r="K545" s="98"/>
      <c r="L545" s="98"/>
      <c r="M545" s="98"/>
      <c r="N545" s="98"/>
      <c r="O545" s="98"/>
      <c r="P545" s="98"/>
      <c r="Q545" s="98"/>
      <c r="R545" s="98"/>
      <c r="S545" s="98"/>
    </row>
    <row r="547" spans="1:19" ht="60" x14ac:dyDescent="0.25">
      <c r="A547" s="21" t="s">
        <v>63</v>
      </c>
      <c r="B547" s="21" t="s">
        <v>93</v>
      </c>
      <c r="C547" s="21" t="s">
        <v>94</v>
      </c>
      <c r="D547" s="92" t="str">
        <f>FoodDB!$C$1</f>
        <v>Fat
(g)</v>
      </c>
      <c r="E547" s="92" t="str">
        <f>FoodDB!$D$1</f>
        <v xml:space="preserve"> Carbs
(g)</v>
      </c>
      <c r="F547" s="92" t="str">
        <f>FoodDB!$E$1</f>
        <v>Protein
(g)</v>
      </c>
      <c r="G547" s="92" t="str">
        <f>FoodDB!$F$1</f>
        <v>Fat
(Cal)</v>
      </c>
      <c r="H547" s="92" t="str">
        <f>FoodDB!$G$1</f>
        <v>Carb
(Cal)</v>
      </c>
      <c r="I547" s="92" t="str">
        <f>FoodDB!$H$1</f>
        <v>Protein
(Cal)</v>
      </c>
      <c r="J547" s="92" t="str">
        <f>FoodDB!$I$1</f>
        <v>Total
Calories</v>
      </c>
      <c r="K547" s="92"/>
      <c r="L547" s="92" t="s">
        <v>110</v>
      </c>
      <c r="M547" s="92" t="s">
        <v>111</v>
      </c>
      <c r="N547" s="92" t="s">
        <v>112</v>
      </c>
      <c r="O547" s="92" t="s">
        <v>113</v>
      </c>
      <c r="P547" s="92" t="s">
        <v>118</v>
      </c>
      <c r="Q547" s="92" t="s">
        <v>119</v>
      </c>
      <c r="R547" s="92" t="s">
        <v>120</v>
      </c>
      <c r="S547" s="92" t="s">
        <v>121</v>
      </c>
    </row>
    <row r="548" spans="1:19" x14ac:dyDescent="0.25">
      <c r="A548" s="93">
        <f>A536+1</f>
        <v>43039</v>
      </c>
      <c r="B548" s="94" t="s">
        <v>108</v>
      </c>
      <c r="C548" s="95">
        <v>1</v>
      </c>
      <c r="D548" s="98">
        <f>$C548*VLOOKUP($B548,FoodDB!$A$2:$I$1016,3,0)</f>
        <v>0</v>
      </c>
      <c r="E548" s="98">
        <f>$C548*VLOOKUP($B548,FoodDB!$A$2:$I$1016,4,0)</f>
        <v>0</v>
      </c>
      <c r="F548" s="98">
        <f>$C548*VLOOKUP($B548,FoodDB!$A$2:$I$1016,5,0)</f>
        <v>0</v>
      </c>
      <c r="G548" s="98">
        <f>$C548*VLOOKUP($B548,FoodDB!$A$2:$I$1016,6,0)</f>
        <v>0</v>
      </c>
      <c r="H548" s="98">
        <f>$C548*VLOOKUP($B548,FoodDB!$A$2:$I$1016,7,0)</f>
        <v>0</v>
      </c>
      <c r="I548" s="98">
        <f>$C548*VLOOKUP($B548,FoodDB!$A$2:$I$1016,8,0)</f>
        <v>0</v>
      </c>
      <c r="J548" s="98">
        <f>$C548*VLOOKUP($B548,FoodDB!$A$2:$I$1016,9,0)</f>
        <v>0</v>
      </c>
      <c r="K548" s="98"/>
      <c r="L548" s="98">
        <f>SUM(G548:G554)</f>
        <v>0</v>
      </c>
      <c r="M548" s="98">
        <f>SUM(H548:H554)</f>
        <v>0</v>
      </c>
      <c r="N548" s="98">
        <f>SUM(I548:I554)</f>
        <v>0</v>
      </c>
      <c r="O548" s="98">
        <f>SUM(L548:N548)</f>
        <v>0</v>
      </c>
      <c r="P548" s="98">
        <f>VLOOKUP($A548,LossChart!$A$3:$AB$105,14,0)-L548</f>
        <v>617.25554697734833</v>
      </c>
      <c r="Q548" s="98">
        <f>VLOOKUP($A548,LossChart!$A$3:$AB$105,15,0)-M548</f>
        <v>80</v>
      </c>
      <c r="R548" s="98">
        <f>VLOOKUP($A548,LossChart!$A$3:$AB$105,16,0)-N548</f>
        <v>477.30407413615825</v>
      </c>
      <c r="S548" s="98">
        <f>VLOOKUP($A548,LossChart!$A$3:$AB$105,17,0)-O548</f>
        <v>1174.5596211135066</v>
      </c>
    </row>
    <row r="549" spans="1:19" x14ac:dyDescent="0.25">
      <c r="B549" s="94" t="s">
        <v>108</v>
      </c>
      <c r="C549" s="95">
        <v>1</v>
      </c>
      <c r="D549" s="98">
        <f>$C549*VLOOKUP($B549,FoodDB!$A$2:$I$1016,3,0)</f>
        <v>0</v>
      </c>
      <c r="E549" s="98">
        <f>$C549*VLOOKUP($B549,FoodDB!$A$2:$I$1016,4,0)</f>
        <v>0</v>
      </c>
      <c r="F549" s="98">
        <f>$C549*VLOOKUP($B549,FoodDB!$A$2:$I$1016,5,0)</f>
        <v>0</v>
      </c>
      <c r="G549" s="98">
        <f>$C549*VLOOKUP($B549,FoodDB!$A$2:$I$1016,6,0)</f>
        <v>0</v>
      </c>
      <c r="H549" s="98">
        <f>$C549*VLOOKUP($B549,FoodDB!$A$2:$I$1016,7,0)</f>
        <v>0</v>
      </c>
      <c r="I549" s="98">
        <f>$C549*VLOOKUP($B549,FoodDB!$A$2:$I$1016,8,0)</f>
        <v>0</v>
      </c>
      <c r="J549" s="98">
        <f>$C549*VLOOKUP($B549,FoodDB!$A$2:$I$1016,9,0)</f>
        <v>0</v>
      </c>
      <c r="K549" s="98"/>
      <c r="L549" s="98"/>
      <c r="M549" s="98"/>
      <c r="N549" s="98"/>
      <c r="O549" s="98"/>
      <c r="P549" s="98"/>
      <c r="Q549" s="98"/>
      <c r="R549" s="98"/>
      <c r="S549" s="98"/>
    </row>
    <row r="550" spans="1:19" x14ac:dyDescent="0.25">
      <c r="B550" s="94" t="s">
        <v>108</v>
      </c>
      <c r="C550" s="95">
        <v>1</v>
      </c>
      <c r="D550" s="98">
        <f>$C550*VLOOKUP($B550,FoodDB!$A$2:$I$1016,3,0)</f>
        <v>0</v>
      </c>
      <c r="E550" s="98">
        <f>$C550*VLOOKUP($B550,FoodDB!$A$2:$I$1016,4,0)</f>
        <v>0</v>
      </c>
      <c r="F550" s="98">
        <f>$C550*VLOOKUP($B550,FoodDB!$A$2:$I$1016,5,0)</f>
        <v>0</v>
      </c>
      <c r="G550" s="98">
        <f>$C550*VLOOKUP($B550,FoodDB!$A$2:$I$1016,6,0)</f>
        <v>0</v>
      </c>
      <c r="H550" s="98">
        <f>$C550*VLOOKUP($B550,FoodDB!$A$2:$I$1016,7,0)</f>
        <v>0</v>
      </c>
      <c r="I550" s="98">
        <f>$C550*VLOOKUP($B550,FoodDB!$A$2:$I$1016,8,0)</f>
        <v>0</v>
      </c>
      <c r="J550" s="98">
        <f>$C550*VLOOKUP($B550,FoodDB!$A$2:$I$1016,9,0)</f>
        <v>0</v>
      </c>
      <c r="K550" s="98"/>
      <c r="L550" s="98"/>
      <c r="M550" s="98"/>
      <c r="N550" s="98"/>
      <c r="O550" s="98"/>
      <c r="P550" s="98"/>
      <c r="Q550" s="98"/>
      <c r="R550" s="98"/>
      <c r="S550" s="98"/>
    </row>
    <row r="551" spans="1:19" x14ac:dyDescent="0.25">
      <c r="B551" s="94" t="s">
        <v>108</v>
      </c>
      <c r="C551" s="95">
        <v>1</v>
      </c>
      <c r="D551" s="98">
        <f>$C551*VLOOKUP($B551,FoodDB!$A$2:$I$1016,3,0)</f>
        <v>0</v>
      </c>
      <c r="E551" s="98">
        <f>$C551*VLOOKUP($B551,FoodDB!$A$2:$I$1016,4,0)</f>
        <v>0</v>
      </c>
      <c r="F551" s="98">
        <f>$C551*VLOOKUP($B551,FoodDB!$A$2:$I$1016,5,0)</f>
        <v>0</v>
      </c>
      <c r="G551" s="98">
        <f>$C551*VLOOKUP($B551,FoodDB!$A$2:$I$1016,6,0)</f>
        <v>0</v>
      </c>
      <c r="H551" s="98">
        <f>$C551*VLOOKUP($B551,FoodDB!$A$2:$I$1016,7,0)</f>
        <v>0</v>
      </c>
      <c r="I551" s="98">
        <f>$C551*VLOOKUP($B551,FoodDB!$A$2:$I$1016,8,0)</f>
        <v>0</v>
      </c>
      <c r="J551" s="98">
        <f>$C551*VLOOKUP($B551,FoodDB!$A$2:$I$1016,9,0)</f>
        <v>0</v>
      </c>
      <c r="K551" s="98"/>
      <c r="L551" s="98"/>
      <c r="M551" s="98"/>
      <c r="N551" s="98"/>
      <c r="O551" s="98"/>
      <c r="P551" s="98"/>
      <c r="Q551" s="98"/>
      <c r="R551" s="98"/>
      <c r="S551" s="98"/>
    </row>
    <row r="552" spans="1:19" x14ac:dyDescent="0.25">
      <c r="B552" s="94" t="s">
        <v>108</v>
      </c>
      <c r="C552" s="95">
        <v>1</v>
      </c>
      <c r="D552" s="98">
        <f>$C552*VLOOKUP($B552,FoodDB!$A$2:$I$1016,3,0)</f>
        <v>0</v>
      </c>
      <c r="E552" s="98">
        <f>$C552*VLOOKUP($B552,FoodDB!$A$2:$I$1016,4,0)</f>
        <v>0</v>
      </c>
      <c r="F552" s="98">
        <f>$C552*VLOOKUP($B552,FoodDB!$A$2:$I$1016,5,0)</f>
        <v>0</v>
      </c>
      <c r="G552" s="98">
        <f>$C552*VLOOKUP($B552,FoodDB!$A$2:$I$1016,6,0)</f>
        <v>0</v>
      </c>
      <c r="H552" s="98">
        <f>$C552*VLOOKUP($B552,FoodDB!$A$2:$I$1016,7,0)</f>
        <v>0</v>
      </c>
      <c r="I552" s="98">
        <f>$C552*VLOOKUP($B552,FoodDB!$A$2:$I$1016,8,0)</f>
        <v>0</v>
      </c>
      <c r="J552" s="98">
        <f>$C552*VLOOKUP($B552,FoodDB!$A$2:$I$1016,9,0)</f>
        <v>0</v>
      </c>
      <c r="K552" s="98"/>
      <c r="L552" s="98"/>
      <c r="M552" s="98"/>
      <c r="N552" s="98"/>
      <c r="O552" s="98"/>
      <c r="P552" s="98"/>
      <c r="Q552" s="98"/>
      <c r="R552" s="98"/>
      <c r="S552" s="98"/>
    </row>
    <row r="553" spans="1:19" x14ac:dyDescent="0.25">
      <c r="B553" s="94" t="s">
        <v>108</v>
      </c>
      <c r="C553" s="95">
        <v>1</v>
      </c>
      <c r="D553" s="98">
        <f>$C553*VLOOKUP($B553,FoodDB!$A$2:$I$1016,3,0)</f>
        <v>0</v>
      </c>
      <c r="E553" s="98">
        <f>$C553*VLOOKUP($B553,FoodDB!$A$2:$I$1016,4,0)</f>
        <v>0</v>
      </c>
      <c r="F553" s="98">
        <f>$C553*VLOOKUP($B553,FoodDB!$A$2:$I$1016,5,0)</f>
        <v>0</v>
      </c>
      <c r="G553" s="98">
        <f>$C553*VLOOKUP($B553,FoodDB!$A$2:$I$1016,6,0)</f>
        <v>0</v>
      </c>
      <c r="H553" s="98">
        <f>$C553*VLOOKUP($B553,FoodDB!$A$2:$I$1016,7,0)</f>
        <v>0</v>
      </c>
      <c r="I553" s="98">
        <f>$C553*VLOOKUP($B553,FoodDB!$A$2:$I$1016,8,0)</f>
        <v>0</v>
      </c>
      <c r="J553" s="98">
        <f>$C553*VLOOKUP($B553,FoodDB!$A$2:$I$1016,9,0)</f>
        <v>0</v>
      </c>
      <c r="K553" s="98"/>
      <c r="L553" s="98"/>
      <c r="M553" s="98"/>
      <c r="N553" s="98"/>
      <c r="O553" s="98"/>
      <c r="P553" s="98"/>
      <c r="Q553" s="98"/>
      <c r="R553" s="98"/>
      <c r="S553" s="98"/>
    </row>
    <row r="554" spans="1:19" x14ac:dyDescent="0.25">
      <c r="B554" s="94" t="s">
        <v>108</v>
      </c>
      <c r="C554" s="95">
        <v>1</v>
      </c>
      <c r="D554" s="98">
        <f>$C554*VLOOKUP($B554,FoodDB!$A$2:$I$1016,3,0)</f>
        <v>0</v>
      </c>
      <c r="E554" s="98">
        <f>$C554*VLOOKUP($B554,FoodDB!$A$2:$I$1016,4,0)</f>
        <v>0</v>
      </c>
      <c r="F554" s="98">
        <f>$C554*VLOOKUP($B554,FoodDB!$A$2:$I$1016,5,0)</f>
        <v>0</v>
      </c>
      <c r="G554" s="98">
        <f>$C554*VLOOKUP($B554,FoodDB!$A$2:$I$1016,6,0)</f>
        <v>0</v>
      </c>
      <c r="H554" s="98">
        <f>$C554*VLOOKUP($B554,FoodDB!$A$2:$I$1016,7,0)</f>
        <v>0</v>
      </c>
      <c r="I554" s="98">
        <f>$C554*VLOOKUP($B554,FoodDB!$A$2:$I$1016,8,0)</f>
        <v>0</v>
      </c>
      <c r="J554" s="98">
        <f>$C554*VLOOKUP($B554,FoodDB!$A$2:$I$1016,9,0)</f>
        <v>0</v>
      </c>
      <c r="K554" s="98"/>
      <c r="L554" s="98"/>
      <c r="M554" s="98"/>
      <c r="N554" s="98"/>
      <c r="O554" s="98"/>
      <c r="P554" s="98"/>
      <c r="Q554" s="98"/>
      <c r="R554" s="98"/>
      <c r="S554" s="98"/>
    </row>
    <row r="555" spans="1:19" x14ac:dyDescent="0.25">
      <c r="A555" t="s">
        <v>98</v>
      </c>
      <c r="D555" s="98"/>
      <c r="E555" s="98"/>
      <c r="F555" s="98"/>
      <c r="G555" s="98">
        <f>SUM(G548:G554)</f>
        <v>0</v>
      </c>
      <c r="H555" s="98">
        <f>SUM(H548:H554)</f>
        <v>0</v>
      </c>
      <c r="I555" s="98">
        <f>SUM(I548:I554)</f>
        <v>0</v>
      </c>
      <c r="J555" s="98">
        <f>SUM(G555:I555)</f>
        <v>0</v>
      </c>
      <c r="K555" s="98"/>
      <c r="L555" s="98"/>
      <c r="M555" s="98"/>
      <c r="N555" s="98"/>
      <c r="O555" s="98"/>
      <c r="P555" s="98"/>
      <c r="Q555" s="98"/>
      <c r="R555" s="98"/>
      <c r="S555" s="98"/>
    </row>
    <row r="556" spans="1:19" x14ac:dyDescent="0.25">
      <c r="A556" t="s">
        <v>102</v>
      </c>
      <c r="B556" t="s">
        <v>103</v>
      </c>
      <c r="D556" s="98"/>
      <c r="E556" s="98"/>
      <c r="F556" s="98"/>
      <c r="G556" s="98">
        <f>VLOOKUP($A548,LossChart!$A$3:$AB$105,14,0)</f>
        <v>617.25554697734833</v>
      </c>
      <c r="H556" s="98">
        <f>VLOOKUP($A548,LossChart!$A$3:$AB$105,15,0)</f>
        <v>80</v>
      </c>
      <c r="I556" s="98">
        <f>VLOOKUP($A548,LossChart!$A$3:$AB$105,16,0)</f>
        <v>477.30407413615825</v>
      </c>
      <c r="J556" s="98">
        <f>VLOOKUP($A548,LossChart!$A$3:$AB$105,17,0)</f>
        <v>1174.5596211135066</v>
      </c>
      <c r="K556" s="98"/>
      <c r="L556" s="98"/>
      <c r="M556" s="98"/>
      <c r="N556" s="98"/>
      <c r="O556" s="98"/>
      <c r="P556" s="98"/>
      <c r="Q556" s="98"/>
      <c r="R556" s="98"/>
      <c r="S556" s="98"/>
    </row>
    <row r="557" spans="1:19" x14ac:dyDescent="0.25">
      <c r="A557" t="s">
        <v>104</v>
      </c>
      <c r="D557" s="98"/>
      <c r="E557" s="98"/>
      <c r="F557" s="98"/>
      <c r="G557" s="98">
        <f>G556-G555</f>
        <v>617.25554697734833</v>
      </c>
      <c r="H557" s="98">
        <f>H556-H555</f>
        <v>80</v>
      </c>
      <c r="I557" s="98">
        <f>I556-I555</f>
        <v>477.30407413615825</v>
      </c>
      <c r="J557" s="98">
        <f>J556-J555</f>
        <v>1174.5596211135066</v>
      </c>
      <c r="K557" s="98"/>
      <c r="L557" s="98"/>
      <c r="M557" s="98"/>
      <c r="N557" s="98"/>
      <c r="O557" s="98"/>
      <c r="P557" s="98"/>
      <c r="Q557" s="98"/>
      <c r="R557" s="98"/>
      <c r="S557" s="98"/>
    </row>
    <row r="559" spans="1:19" ht="60" x14ac:dyDescent="0.25">
      <c r="A559" s="21" t="s">
        <v>63</v>
      </c>
      <c r="B559" s="21" t="s">
        <v>93</v>
      </c>
      <c r="C559" s="21" t="s">
        <v>94</v>
      </c>
      <c r="D559" s="92" t="str">
        <f>FoodDB!$C$1</f>
        <v>Fat
(g)</v>
      </c>
      <c r="E559" s="92" t="str">
        <f>FoodDB!$D$1</f>
        <v xml:space="preserve"> Carbs
(g)</v>
      </c>
      <c r="F559" s="92" t="str">
        <f>FoodDB!$E$1</f>
        <v>Protein
(g)</v>
      </c>
      <c r="G559" s="92" t="str">
        <f>FoodDB!$F$1</f>
        <v>Fat
(Cal)</v>
      </c>
      <c r="H559" s="92" t="str">
        <f>FoodDB!$G$1</f>
        <v>Carb
(Cal)</v>
      </c>
      <c r="I559" s="92" t="str">
        <f>FoodDB!$H$1</f>
        <v>Protein
(Cal)</v>
      </c>
      <c r="J559" s="92" t="str">
        <f>FoodDB!$I$1</f>
        <v>Total
Calories</v>
      </c>
      <c r="K559" s="92"/>
      <c r="L559" s="92" t="s">
        <v>110</v>
      </c>
      <c r="M559" s="92" t="s">
        <v>111</v>
      </c>
      <c r="N559" s="92" t="s">
        <v>112</v>
      </c>
      <c r="O559" s="92" t="s">
        <v>113</v>
      </c>
      <c r="P559" s="92" t="s">
        <v>118</v>
      </c>
      <c r="Q559" s="92" t="s">
        <v>119</v>
      </c>
      <c r="R559" s="92" t="s">
        <v>120</v>
      </c>
      <c r="S559" s="92" t="s">
        <v>121</v>
      </c>
    </row>
    <row r="560" spans="1:19" x14ac:dyDescent="0.25">
      <c r="A560" s="93">
        <f>A548+1</f>
        <v>43040</v>
      </c>
      <c r="B560" s="94" t="s">
        <v>108</v>
      </c>
      <c r="C560" s="95">
        <v>1</v>
      </c>
      <c r="D560" s="98">
        <f>$C560*VLOOKUP($B560,FoodDB!$A$2:$I$1016,3,0)</f>
        <v>0</v>
      </c>
      <c r="E560" s="98">
        <f>$C560*VLOOKUP($B560,FoodDB!$A$2:$I$1016,4,0)</f>
        <v>0</v>
      </c>
      <c r="F560" s="98">
        <f>$C560*VLOOKUP($B560,FoodDB!$A$2:$I$1016,5,0)</f>
        <v>0</v>
      </c>
      <c r="G560" s="98">
        <f>$C560*VLOOKUP($B560,FoodDB!$A$2:$I$1016,6,0)</f>
        <v>0</v>
      </c>
      <c r="H560" s="98">
        <f>$C560*VLOOKUP($B560,FoodDB!$A$2:$I$1016,7,0)</f>
        <v>0</v>
      </c>
      <c r="I560" s="98">
        <f>$C560*VLOOKUP($B560,FoodDB!$A$2:$I$1016,8,0)</f>
        <v>0</v>
      </c>
      <c r="J560" s="98">
        <f>$C560*VLOOKUP($B560,FoodDB!$A$2:$I$1016,9,0)</f>
        <v>0</v>
      </c>
      <c r="K560" s="98"/>
      <c r="L560" s="98">
        <f>SUM(G560:G566)</f>
        <v>0</v>
      </c>
      <c r="M560" s="98">
        <f>SUM(H560:H566)</f>
        <v>0</v>
      </c>
      <c r="N560" s="98">
        <f>SUM(I560:I566)</f>
        <v>0</v>
      </c>
      <c r="O560" s="98">
        <f>SUM(L560:N560)</f>
        <v>0</v>
      </c>
      <c r="P560" s="98">
        <f>VLOOKUP($A560,LossChart!$A$3:$AB$105,14,0)-L560</f>
        <v>623.29087391333451</v>
      </c>
      <c r="Q560" s="98">
        <f>VLOOKUP($A560,LossChart!$A$3:$AB$105,15,0)-M560</f>
        <v>80</v>
      </c>
      <c r="R560" s="98">
        <f>VLOOKUP($A560,LossChart!$A$3:$AB$105,16,0)-N560</f>
        <v>477.30407413615825</v>
      </c>
      <c r="S560" s="98">
        <f>VLOOKUP($A560,LossChart!$A$3:$AB$105,17,0)-O560</f>
        <v>1180.5949480494928</v>
      </c>
    </row>
    <row r="561" spans="1:19" x14ac:dyDescent="0.25">
      <c r="B561" s="94" t="s">
        <v>108</v>
      </c>
      <c r="C561" s="95">
        <v>1</v>
      </c>
      <c r="D561" s="98">
        <f>$C561*VLOOKUP($B561,FoodDB!$A$2:$I$1016,3,0)</f>
        <v>0</v>
      </c>
      <c r="E561" s="98">
        <f>$C561*VLOOKUP($B561,FoodDB!$A$2:$I$1016,4,0)</f>
        <v>0</v>
      </c>
      <c r="F561" s="98">
        <f>$C561*VLOOKUP($B561,FoodDB!$A$2:$I$1016,5,0)</f>
        <v>0</v>
      </c>
      <c r="G561" s="98">
        <f>$C561*VLOOKUP($B561,FoodDB!$A$2:$I$1016,6,0)</f>
        <v>0</v>
      </c>
      <c r="H561" s="98">
        <f>$C561*VLOOKUP($B561,FoodDB!$A$2:$I$1016,7,0)</f>
        <v>0</v>
      </c>
      <c r="I561" s="98">
        <f>$C561*VLOOKUP($B561,FoodDB!$A$2:$I$1016,8,0)</f>
        <v>0</v>
      </c>
      <c r="J561" s="98">
        <f>$C561*VLOOKUP($B561,FoodDB!$A$2:$I$1016,9,0)</f>
        <v>0</v>
      </c>
      <c r="K561" s="98"/>
      <c r="L561" s="98"/>
      <c r="M561" s="98"/>
      <c r="N561" s="98"/>
      <c r="O561" s="98"/>
      <c r="P561" s="98"/>
      <c r="Q561" s="98"/>
      <c r="R561" s="98"/>
      <c r="S561" s="98"/>
    </row>
    <row r="562" spans="1:19" x14ac:dyDescent="0.25">
      <c r="B562" s="94" t="s">
        <v>108</v>
      </c>
      <c r="C562" s="95">
        <v>1</v>
      </c>
      <c r="D562" s="98">
        <f>$C562*VLOOKUP($B562,FoodDB!$A$2:$I$1016,3,0)</f>
        <v>0</v>
      </c>
      <c r="E562" s="98">
        <f>$C562*VLOOKUP($B562,FoodDB!$A$2:$I$1016,4,0)</f>
        <v>0</v>
      </c>
      <c r="F562" s="98">
        <f>$C562*VLOOKUP($B562,FoodDB!$A$2:$I$1016,5,0)</f>
        <v>0</v>
      </c>
      <c r="G562" s="98">
        <f>$C562*VLOOKUP($B562,FoodDB!$A$2:$I$1016,6,0)</f>
        <v>0</v>
      </c>
      <c r="H562" s="98">
        <f>$C562*VLOOKUP($B562,FoodDB!$A$2:$I$1016,7,0)</f>
        <v>0</v>
      </c>
      <c r="I562" s="98">
        <f>$C562*VLOOKUP($B562,FoodDB!$A$2:$I$1016,8,0)</f>
        <v>0</v>
      </c>
      <c r="J562" s="98">
        <f>$C562*VLOOKUP($B562,FoodDB!$A$2:$I$1016,9,0)</f>
        <v>0</v>
      </c>
      <c r="K562" s="98"/>
      <c r="L562" s="98"/>
      <c r="M562" s="98"/>
      <c r="N562" s="98"/>
      <c r="O562" s="98"/>
      <c r="P562" s="98"/>
      <c r="Q562" s="98"/>
      <c r="R562" s="98"/>
      <c r="S562" s="98"/>
    </row>
    <row r="563" spans="1:19" x14ac:dyDescent="0.25">
      <c r="B563" s="94" t="s">
        <v>108</v>
      </c>
      <c r="C563" s="95">
        <v>1</v>
      </c>
      <c r="D563" s="98">
        <f>$C563*VLOOKUP($B563,FoodDB!$A$2:$I$1016,3,0)</f>
        <v>0</v>
      </c>
      <c r="E563" s="98">
        <f>$C563*VLOOKUP($B563,FoodDB!$A$2:$I$1016,4,0)</f>
        <v>0</v>
      </c>
      <c r="F563" s="98">
        <f>$C563*VLOOKUP($B563,FoodDB!$A$2:$I$1016,5,0)</f>
        <v>0</v>
      </c>
      <c r="G563" s="98">
        <f>$C563*VLOOKUP($B563,FoodDB!$A$2:$I$1016,6,0)</f>
        <v>0</v>
      </c>
      <c r="H563" s="98">
        <f>$C563*VLOOKUP($B563,FoodDB!$A$2:$I$1016,7,0)</f>
        <v>0</v>
      </c>
      <c r="I563" s="98">
        <f>$C563*VLOOKUP($B563,FoodDB!$A$2:$I$1016,8,0)</f>
        <v>0</v>
      </c>
      <c r="J563" s="98">
        <f>$C563*VLOOKUP($B563,FoodDB!$A$2:$I$1016,9,0)</f>
        <v>0</v>
      </c>
      <c r="K563" s="98"/>
      <c r="L563" s="98"/>
      <c r="M563" s="98"/>
      <c r="N563" s="98"/>
      <c r="O563" s="98"/>
      <c r="P563" s="98"/>
      <c r="Q563" s="98"/>
      <c r="R563" s="98"/>
      <c r="S563" s="98"/>
    </row>
    <row r="564" spans="1:19" x14ac:dyDescent="0.25">
      <c r="B564" s="94" t="s">
        <v>108</v>
      </c>
      <c r="C564" s="95">
        <v>1</v>
      </c>
      <c r="D564" s="98">
        <f>$C564*VLOOKUP($B564,FoodDB!$A$2:$I$1016,3,0)</f>
        <v>0</v>
      </c>
      <c r="E564" s="98">
        <f>$C564*VLOOKUP($B564,FoodDB!$A$2:$I$1016,4,0)</f>
        <v>0</v>
      </c>
      <c r="F564" s="98">
        <f>$C564*VLOOKUP($B564,FoodDB!$A$2:$I$1016,5,0)</f>
        <v>0</v>
      </c>
      <c r="G564" s="98">
        <f>$C564*VLOOKUP($B564,FoodDB!$A$2:$I$1016,6,0)</f>
        <v>0</v>
      </c>
      <c r="H564" s="98">
        <f>$C564*VLOOKUP($B564,FoodDB!$A$2:$I$1016,7,0)</f>
        <v>0</v>
      </c>
      <c r="I564" s="98">
        <f>$C564*VLOOKUP($B564,FoodDB!$A$2:$I$1016,8,0)</f>
        <v>0</v>
      </c>
      <c r="J564" s="98">
        <f>$C564*VLOOKUP($B564,FoodDB!$A$2:$I$1016,9,0)</f>
        <v>0</v>
      </c>
      <c r="K564" s="98"/>
      <c r="L564" s="98"/>
      <c r="M564" s="98"/>
      <c r="N564" s="98"/>
      <c r="O564" s="98"/>
      <c r="P564" s="98"/>
      <c r="Q564" s="98"/>
      <c r="R564" s="98"/>
      <c r="S564" s="98"/>
    </row>
    <row r="565" spans="1:19" x14ac:dyDescent="0.25">
      <c r="B565" s="94" t="s">
        <v>108</v>
      </c>
      <c r="C565" s="95">
        <v>1</v>
      </c>
      <c r="D565" s="98">
        <f>$C565*VLOOKUP($B565,FoodDB!$A$2:$I$1016,3,0)</f>
        <v>0</v>
      </c>
      <c r="E565" s="98">
        <f>$C565*VLOOKUP($B565,FoodDB!$A$2:$I$1016,4,0)</f>
        <v>0</v>
      </c>
      <c r="F565" s="98">
        <f>$C565*VLOOKUP($B565,FoodDB!$A$2:$I$1016,5,0)</f>
        <v>0</v>
      </c>
      <c r="G565" s="98">
        <f>$C565*VLOOKUP($B565,FoodDB!$A$2:$I$1016,6,0)</f>
        <v>0</v>
      </c>
      <c r="H565" s="98">
        <f>$C565*VLOOKUP($B565,FoodDB!$A$2:$I$1016,7,0)</f>
        <v>0</v>
      </c>
      <c r="I565" s="98">
        <f>$C565*VLOOKUP($B565,FoodDB!$A$2:$I$1016,8,0)</f>
        <v>0</v>
      </c>
      <c r="J565" s="98">
        <f>$C565*VLOOKUP($B565,FoodDB!$A$2:$I$1016,9,0)</f>
        <v>0</v>
      </c>
      <c r="K565" s="98"/>
      <c r="L565" s="98"/>
      <c r="M565" s="98"/>
      <c r="N565" s="98"/>
      <c r="O565" s="98"/>
      <c r="P565" s="98"/>
      <c r="Q565" s="98"/>
      <c r="R565" s="98"/>
      <c r="S565" s="98"/>
    </row>
    <row r="566" spans="1:19" x14ac:dyDescent="0.25">
      <c r="B566" s="94" t="s">
        <v>108</v>
      </c>
      <c r="C566" s="95">
        <v>1</v>
      </c>
      <c r="D566" s="98">
        <f>$C566*VLOOKUP($B566,FoodDB!$A$2:$I$1016,3,0)</f>
        <v>0</v>
      </c>
      <c r="E566" s="98">
        <f>$C566*VLOOKUP($B566,FoodDB!$A$2:$I$1016,4,0)</f>
        <v>0</v>
      </c>
      <c r="F566" s="98">
        <f>$C566*VLOOKUP($B566,FoodDB!$A$2:$I$1016,5,0)</f>
        <v>0</v>
      </c>
      <c r="G566" s="98">
        <f>$C566*VLOOKUP($B566,FoodDB!$A$2:$I$1016,6,0)</f>
        <v>0</v>
      </c>
      <c r="H566" s="98">
        <f>$C566*VLOOKUP($B566,FoodDB!$A$2:$I$1016,7,0)</f>
        <v>0</v>
      </c>
      <c r="I566" s="98">
        <f>$C566*VLOOKUP($B566,FoodDB!$A$2:$I$1016,8,0)</f>
        <v>0</v>
      </c>
      <c r="J566" s="98">
        <f>$C566*VLOOKUP($B566,FoodDB!$A$2:$I$1016,9,0)</f>
        <v>0</v>
      </c>
      <c r="K566" s="98"/>
      <c r="L566" s="98"/>
      <c r="M566" s="98"/>
      <c r="N566" s="98"/>
      <c r="O566" s="98"/>
      <c r="P566" s="98"/>
      <c r="Q566" s="98"/>
      <c r="R566" s="98"/>
      <c r="S566" s="98"/>
    </row>
    <row r="567" spans="1:19" x14ac:dyDescent="0.25">
      <c r="A567" t="s">
        <v>98</v>
      </c>
      <c r="D567" s="98"/>
      <c r="E567" s="98"/>
      <c r="F567" s="98"/>
      <c r="G567" s="98">
        <f>SUM(G560:G566)</f>
        <v>0</v>
      </c>
      <c r="H567" s="98">
        <f>SUM(H560:H566)</f>
        <v>0</v>
      </c>
      <c r="I567" s="98">
        <f>SUM(I560:I566)</f>
        <v>0</v>
      </c>
      <c r="J567" s="98">
        <f>SUM(G567:I567)</f>
        <v>0</v>
      </c>
      <c r="K567" s="98"/>
      <c r="L567" s="98"/>
      <c r="M567" s="98"/>
      <c r="N567" s="98"/>
      <c r="O567" s="98"/>
      <c r="P567" s="98"/>
      <c r="Q567" s="98"/>
      <c r="R567" s="98"/>
      <c r="S567" s="98"/>
    </row>
    <row r="568" spans="1:19" x14ac:dyDescent="0.25">
      <c r="A568" t="s">
        <v>102</v>
      </c>
      <c r="B568" t="s">
        <v>103</v>
      </c>
      <c r="D568" s="98"/>
      <c r="E568" s="98"/>
      <c r="F568" s="98"/>
      <c r="G568" s="98">
        <f>VLOOKUP($A560,LossChart!$A$3:$AB$105,14,0)</f>
        <v>623.29087391333451</v>
      </c>
      <c r="H568" s="98">
        <f>VLOOKUP($A560,LossChart!$A$3:$AB$105,15,0)</f>
        <v>80</v>
      </c>
      <c r="I568" s="98">
        <f>VLOOKUP($A560,LossChart!$A$3:$AB$105,16,0)</f>
        <v>477.30407413615825</v>
      </c>
      <c r="J568" s="98">
        <f>VLOOKUP($A560,LossChart!$A$3:$AB$105,17,0)</f>
        <v>1180.5949480494928</v>
      </c>
      <c r="K568" s="98"/>
      <c r="L568" s="98"/>
      <c r="M568" s="98"/>
      <c r="N568" s="98"/>
      <c r="O568" s="98"/>
      <c r="P568" s="98"/>
      <c r="Q568" s="98"/>
      <c r="R568" s="98"/>
      <c r="S568" s="98"/>
    </row>
    <row r="569" spans="1:19" x14ac:dyDescent="0.25">
      <c r="A569" t="s">
        <v>104</v>
      </c>
      <c r="D569" s="98"/>
      <c r="E569" s="98"/>
      <c r="F569" s="98"/>
      <c r="G569" s="98">
        <f>G568-G567</f>
        <v>623.29087391333451</v>
      </c>
      <c r="H569" s="98">
        <f>H568-H567</f>
        <v>80</v>
      </c>
      <c r="I569" s="98">
        <f>I568-I567</f>
        <v>477.30407413615825</v>
      </c>
      <c r="J569" s="98">
        <f>J568-J567</f>
        <v>1180.5949480494928</v>
      </c>
      <c r="K569" s="98"/>
      <c r="L569" s="98"/>
      <c r="M569" s="98"/>
      <c r="N569" s="98"/>
      <c r="O569" s="98"/>
      <c r="P569" s="98"/>
      <c r="Q569" s="98"/>
      <c r="R569" s="98"/>
      <c r="S569" s="98"/>
    </row>
    <row r="571" spans="1:19" ht="60" x14ac:dyDescent="0.25">
      <c r="A571" s="21" t="s">
        <v>63</v>
      </c>
      <c r="B571" s="21" t="s">
        <v>93</v>
      </c>
      <c r="C571" s="21" t="s">
        <v>94</v>
      </c>
      <c r="D571" s="92" t="str">
        <f>FoodDB!$C$1</f>
        <v>Fat
(g)</v>
      </c>
      <c r="E571" s="92" t="str">
        <f>FoodDB!$D$1</f>
        <v xml:space="preserve"> Carbs
(g)</v>
      </c>
      <c r="F571" s="92" t="str">
        <f>FoodDB!$E$1</f>
        <v>Protein
(g)</v>
      </c>
      <c r="G571" s="92" t="str">
        <f>FoodDB!$F$1</f>
        <v>Fat
(Cal)</v>
      </c>
      <c r="H571" s="92" t="str">
        <f>FoodDB!$G$1</f>
        <v>Carb
(Cal)</v>
      </c>
      <c r="I571" s="92" t="str">
        <f>FoodDB!$H$1</f>
        <v>Protein
(Cal)</v>
      </c>
      <c r="J571" s="92" t="str">
        <f>FoodDB!$I$1</f>
        <v>Total
Calories</v>
      </c>
      <c r="K571" s="92"/>
      <c r="L571" s="92" t="s">
        <v>110</v>
      </c>
      <c r="M571" s="92" t="s">
        <v>111</v>
      </c>
      <c r="N571" s="92" t="s">
        <v>112</v>
      </c>
      <c r="O571" s="92" t="s">
        <v>113</v>
      </c>
      <c r="P571" s="92" t="s">
        <v>118</v>
      </c>
      <c r="Q571" s="92" t="s">
        <v>119</v>
      </c>
      <c r="R571" s="92" t="s">
        <v>120</v>
      </c>
      <c r="S571" s="92" t="s">
        <v>121</v>
      </c>
    </row>
    <row r="572" spans="1:19" x14ac:dyDescent="0.25">
      <c r="A572" s="93">
        <f>A560+1</f>
        <v>43041</v>
      </c>
      <c r="B572" s="94" t="s">
        <v>108</v>
      </c>
      <c r="C572" s="95">
        <v>1</v>
      </c>
      <c r="D572" s="98">
        <f>$C572*VLOOKUP($B572,FoodDB!$A$2:$I$1016,3,0)</f>
        <v>0</v>
      </c>
      <c r="E572" s="98">
        <f>$C572*VLOOKUP($B572,FoodDB!$A$2:$I$1016,4,0)</f>
        <v>0</v>
      </c>
      <c r="F572" s="98">
        <f>$C572*VLOOKUP($B572,FoodDB!$A$2:$I$1016,5,0)</f>
        <v>0</v>
      </c>
      <c r="G572" s="98">
        <f>$C572*VLOOKUP($B572,FoodDB!$A$2:$I$1016,6,0)</f>
        <v>0</v>
      </c>
      <c r="H572" s="98">
        <f>$C572*VLOOKUP($B572,FoodDB!$A$2:$I$1016,7,0)</f>
        <v>0</v>
      </c>
      <c r="I572" s="98">
        <f>$C572*VLOOKUP($B572,FoodDB!$A$2:$I$1016,8,0)</f>
        <v>0</v>
      </c>
      <c r="J572" s="98">
        <f>$C572*VLOOKUP($B572,FoodDB!$A$2:$I$1016,9,0)</f>
        <v>0</v>
      </c>
      <c r="K572" s="98"/>
      <c r="L572" s="98">
        <f>SUM(G572:G578)</f>
        <v>0</v>
      </c>
      <c r="M572" s="98">
        <f>SUM(H572:H578)</f>
        <v>0</v>
      </c>
      <c r="N572" s="98">
        <f>SUM(I572:I578)</f>
        <v>0</v>
      </c>
      <c r="O572" s="98">
        <f>SUM(L572:N572)</f>
        <v>0</v>
      </c>
      <c r="P572" s="98">
        <f>VLOOKUP($A572,LossChart!$A$3:$AB$105,14,0)-L572</f>
        <v>629.27274509645918</v>
      </c>
      <c r="Q572" s="98">
        <f>VLOOKUP($A572,LossChart!$A$3:$AB$105,15,0)-M572</f>
        <v>80</v>
      </c>
      <c r="R572" s="98">
        <f>VLOOKUP($A572,LossChart!$A$3:$AB$105,16,0)-N572</f>
        <v>477.30407413615825</v>
      </c>
      <c r="S572" s="98">
        <f>VLOOKUP($A572,LossChart!$A$3:$AB$105,17,0)-O572</f>
        <v>1186.5768192326175</v>
      </c>
    </row>
    <row r="573" spans="1:19" x14ac:dyDescent="0.25">
      <c r="B573" s="94" t="s">
        <v>108</v>
      </c>
      <c r="C573" s="95">
        <v>1</v>
      </c>
      <c r="D573" s="98">
        <f>$C573*VLOOKUP($B573,FoodDB!$A$2:$I$1016,3,0)</f>
        <v>0</v>
      </c>
      <c r="E573" s="98">
        <f>$C573*VLOOKUP($B573,FoodDB!$A$2:$I$1016,4,0)</f>
        <v>0</v>
      </c>
      <c r="F573" s="98">
        <f>$C573*VLOOKUP($B573,FoodDB!$A$2:$I$1016,5,0)</f>
        <v>0</v>
      </c>
      <c r="G573" s="98">
        <f>$C573*VLOOKUP($B573,FoodDB!$A$2:$I$1016,6,0)</f>
        <v>0</v>
      </c>
      <c r="H573" s="98">
        <f>$C573*VLOOKUP($B573,FoodDB!$A$2:$I$1016,7,0)</f>
        <v>0</v>
      </c>
      <c r="I573" s="98">
        <f>$C573*VLOOKUP($B573,FoodDB!$A$2:$I$1016,8,0)</f>
        <v>0</v>
      </c>
      <c r="J573" s="98">
        <f>$C573*VLOOKUP($B573,FoodDB!$A$2:$I$1016,9,0)</f>
        <v>0</v>
      </c>
      <c r="K573" s="98"/>
      <c r="L573" s="98"/>
      <c r="M573" s="98"/>
      <c r="N573" s="98"/>
      <c r="O573" s="98"/>
      <c r="P573" s="98"/>
      <c r="Q573" s="98"/>
      <c r="R573" s="98"/>
      <c r="S573" s="98"/>
    </row>
    <row r="574" spans="1:19" x14ac:dyDescent="0.25">
      <c r="B574" s="94" t="s">
        <v>108</v>
      </c>
      <c r="C574" s="95">
        <v>1</v>
      </c>
      <c r="D574" s="98">
        <f>$C574*VLOOKUP($B574,FoodDB!$A$2:$I$1016,3,0)</f>
        <v>0</v>
      </c>
      <c r="E574" s="98">
        <f>$C574*VLOOKUP($B574,FoodDB!$A$2:$I$1016,4,0)</f>
        <v>0</v>
      </c>
      <c r="F574" s="98">
        <f>$C574*VLOOKUP($B574,FoodDB!$A$2:$I$1016,5,0)</f>
        <v>0</v>
      </c>
      <c r="G574" s="98">
        <f>$C574*VLOOKUP($B574,FoodDB!$A$2:$I$1016,6,0)</f>
        <v>0</v>
      </c>
      <c r="H574" s="98">
        <f>$C574*VLOOKUP($B574,FoodDB!$A$2:$I$1016,7,0)</f>
        <v>0</v>
      </c>
      <c r="I574" s="98">
        <f>$C574*VLOOKUP($B574,FoodDB!$A$2:$I$1016,8,0)</f>
        <v>0</v>
      </c>
      <c r="J574" s="98">
        <f>$C574*VLOOKUP($B574,FoodDB!$A$2:$I$1016,9,0)</f>
        <v>0</v>
      </c>
      <c r="K574" s="98"/>
      <c r="L574" s="98"/>
      <c r="M574" s="98"/>
      <c r="N574" s="98"/>
      <c r="O574" s="98"/>
      <c r="P574" s="98"/>
      <c r="Q574" s="98"/>
      <c r="R574" s="98"/>
      <c r="S574" s="98"/>
    </row>
    <row r="575" spans="1:19" x14ac:dyDescent="0.25">
      <c r="B575" s="94" t="s">
        <v>108</v>
      </c>
      <c r="C575" s="95">
        <v>1</v>
      </c>
      <c r="D575" s="98">
        <f>$C575*VLOOKUP($B575,FoodDB!$A$2:$I$1016,3,0)</f>
        <v>0</v>
      </c>
      <c r="E575" s="98">
        <f>$C575*VLOOKUP($B575,FoodDB!$A$2:$I$1016,4,0)</f>
        <v>0</v>
      </c>
      <c r="F575" s="98">
        <f>$C575*VLOOKUP($B575,FoodDB!$A$2:$I$1016,5,0)</f>
        <v>0</v>
      </c>
      <c r="G575" s="98">
        <f>$C575*VLOOKUP($B575,FoodDB!$A$2:$I$1016,6,0)</f>
        <v>0</v>
      </c>
      <c r="H575" s="98">
        <f>$C575*VLOOKUP($B575,FoodDB!$A$2:$I$1016,7,0)</f>
        <v>0</v>
      </c>
      <c r="I575" s="98">
        <f>$C575*VLOOKUP($B575,FoodDB!$A$2:$I$1016,8,0)</f>
        <v>0</v>
      </c>
      <c r="J575" s="98">
        <f>$C575*VLOOKUP($B575,FoodDB!$A$2:$I$1016,9,0)</f>
        <v>0</v>
      </c>
      <c r="K575" s="98"/>
      <c r="L575" s="98"/>
      <c r="M575" s="98"/>
      <c r="N575" s="98"/>
      <c r="O575" s="98"/>
      <c r="P575" s="98"/>
      <c r="Q575" s="98"/>
      <c r="R575" s="98"/>
      <c r="S575" s="98"/>
    </row>
    <row r="576" spans="1:19" x14ac:dyDescent="0.25">
      <c r="B576" s="94" t="s">
        <v>108</v>
      </c>
      <c r="C576" s="95">
        <v>1</v>
      </c>
      <c r="D576" s="98">
        <f>$C576*VLOOKUP($B576,FoodDB!$A$2:$I$1016,3,0)</f>
        <v>0</v>
      </c>
      <c r="E576" s="98">
        <f>$C576*VLOOKUP($B576,FoodDB!$A$2:$I$1016,4,0)</f>
        <v>0</v>
      </c>
      <c r="F576" s="98">
        <f>$C576*VLOOKUP($B576,FoodDB!$A$2:$I$1016,5,0)</f>
        <v>0</v>
      </c>
      <c r="G576" s="98">
        <f>$C576*VLOOKUP($B576,FoodDB!$A$2:$I$1016,6,0)</f>
        <v>0</v>
      </c>
      <c r="H576" s="98">
        <f>$C576*VLOOKUP($B576,FoodDB!$A$2:$I$1016,7,0)</f>
        <v>0</v>
      </c>
      <c r="I576" s="98">
        <f>$C576*VLOOKUP($B576,FoodDB!$A$2:$I$1016,8,0)</f>
        <v>0</v>
      </c>
      <c r="J576" s="98">
        <f>$C576*VLOOKUP($B576,FoodDB!$A$2:$I$1016,9,0)</f>
        <v>0</v>
      </c>
      <c r="K576" s="98"/>
      <c r="L576" s="98"/>
      <c r="M576" s="98"/>
      <c r="N576" s="98"/>
      <c r="O576" s="98"/>
      <c r="P576" s="98"/>
      <c r="Q576" s="98"/>
      <c r="R576" s="98"/>
      <c r="S576" s="98"/>
    </row>
    <row r="577" spans="1:19" x14ac:dyDescent="0.25">
      <c r="B577" s="94" t="s">
        <v>108</v>
      </c>
      <c r="C577" s="95">
        <v>1</v>
      </c>
      <c r="D577" s="98">
        <f>$C577*VLOOKUP($B577,FoodDB!$A$2:$I$1016,3,0)</f>
        <v>0</v>
      </c>
      <c r="E577" s="98">
        <f>$C577*VLOOKUP($B577,FoodDB!$A$2:$I$1016,4,0)</f>
        <v>0</v>
      </c>
      <c r="F577" s="98">
        <f>$C577*VLOOKUP($B577,FoodDB!$A$2:$I$1016,5,0)</f>
        <v>0</v>
      </c>
      <c r="G577" s="98">
        <f>$C577*VLOOKUP($B577,FoodDB!$A$2:$I$1016,6,0)</f>
        <v>0</v>
      </c>
      <c r="H577" s="98">
        <f>$C577*VLOOKUP($B577,FoodDB!$A$2:$I$1016,7,0)</f>
        <v>0</v>
      </c>
      <c r="I577" s="98">
        <f>$C577*VLOOKUP($B577,FoodDB!$A$2:$I$1016,8,0)</f>
        <v>0</v>
      </c>
      <c r="J577" s="98">
        <f>$C577*VLOOKUP($B577,FoodDB!$A$2:$I$1016,9,0)</f>
        <v>0</v>
      </c>
      <c r="K577" s="98"/>
      <c r="L577" s="98"/>
      <c r="M577" s="98"/>
      <c r="N577" s="98"/>
      <c r="O577" s="98"/>
      <c r="P577" s="98"/>
      <c r="Q577" s="98"/>
      <c r="R577" s="98"/>
      <c r="S577" s="98"/>
    </row>
    <row r="578" spans="1:19" x14ac:dyDescent="0.25">
      <c r="B578" s="94" t="s">
        <v>108</v>
      </c>
      <c r="C578" s="95">
        <v>1</v>
      </c>
      <c r="D578" s="98">
        <f>$C578*VLOOKUP($B578,FoodDB!$A$2:$I$1016,3,0)</f>
        <v>0</v>
      </c>
      <c r="E578" s="98">
        <f>$C578*VLOOKUP($B578,FoodDB!$A$2:$I$1016,4,0)</f>
        <v>0</v>
      </c>
      <c r="F578" s="98">
        <f>$C578*VLOOKUP($B578,FoodDB!$A$2:$I$1016,5,0)</f>
        <v>0</v>
      </c>
      <c r="G578" s="98">
        <f>$C578*VLOOKUP($B578,FoodDB!$A$2:$I$1016,6,0)</f>
        <v>0</v>
      </c>
      <c r="H578" s="98">
        <f>$C578*VLOOKUP($B578,FoodDB!$A$2:$I$1016,7,0)</f>
        <v>0</v>
      </c>
      <c r="I578" s="98">
        <f>$C578*VLOOKUP($B578,FoodDB!$A$2:$I$1016,8,0)</f>
        <v>0</v>
      </c>
      <c r="J578" s="98">
        <f>$C578*VLOOKUP($B578,FoodDB!$A$2:$I$1016,9,0)</f>
        <v>0</v>
      </c>
      <c r="K578" s="98"/>
      <c r="L578" s="98"/>
      <c r="M578" s="98"/>
      <c r="N578" s="98"/>
      <c r="O578" s="98"/>
      <c r="P578" s="98"/>
      <c r="Q578" s="98"/>
      <c r="R578" s="98"/>
      <c r="S578" s="98"/>
    </row>
    <row r="579" spans="1:19" x14ac:dyDescent="0.25">
      <c r="A579" t="s">
        <v>98</v>
      </c>
      <c r="D579" s="98"/>
      <c r="E579" s="98"/>
      <c r="F579" s="98"/>
      <c r="G579" s="98">
        <f>SUM(G572:G578)</f>
        <v>0</v>
      </c>
      <c r="H579" s="98">
        <f>SUM(H572:H578)</f>
        <v>0</v>
      </c>
      <c r="I579" s="98">
        <f>SUM(I572:I578)</f>
        <v>0</v>
      </c>
      <c r="J579" s="98">
        <f>SUM(G579:I579)</f>
        <v>0</v>
      </c>
      <c r="K579" s="98"/>
      <c r="L579" s="98"/>
      <c r="M579" s="98"/>
      <c r="N579" s="98"/>
      <c r="O579" s="98"/>
      <c r="P579" s="98"/>
      <c r="Q579" s="98"/>
      <c r="R579" s="98"/>
      <c r="S579" s="98"/>
    </row>
    <row r="580" spans="1:19" x14ac:dyDescent="0.25">
      <c r="A580" t="s">
        <v>102</v>
      </c>
      <c r="B580" t="s">
        <v>103</v>
      </c>
      <c r="D580" s="98"/>
      <c r="E580" s="98"/>
      <c r="F580" s="98"/>
      <c r="G580" s="98">
        <f>VLOOKUP($A572,LossChart!$A$3:$AB$105,14,0)</f>
        <v>629.27274509645918</v>
      </c>
      <c r="H580" s="98">
        <f>VLOOKUP($A572,LossChart!$A$3:$AB$105,15,0)</f>
        <v>80</v>
      </c>
      <c r="I580" s="98">
        <f>VLOOKUP($A572,LossChart!$A$3:$AB$105,16,0)</f>
        <v>477.30407413615825</v>
      </c>
      <c r="J580" s="98">
        <f>VLOOKUP($A572,LossChart!$A$3:$AB$105,17,0)</f>
        <v>1186.5768192326175</v>
      </c>
      <c r="K580" s="98"/>
      <c r="L580" s="98"/>
      <c r="M580" s="98"/>
      <c r="N580" s="98"/>
      <c r="O580" s="98"/>
      <c r="P580" s="98"/>
      <c r="Q580" s="98"/>
      <c r="R580" s="98"/>
      <c r="S580" s="98"/>
    </row>
    <row r="581" spans="1:19" x14ac:dyDescent="0.25">
      <c r="A581" t="s">
        <v>104</v>
      </c>
      <c r="D581" s="98"/>
      <c r="E581" s="98"/>
      <c r="F581" s="98"/>
      <c r="G581" s="98">
        <f>G580-G579</f>
        <v>629.27274509645918</v>
      </c>
      <c r="H581" s="98">
        <f>H580-H579</f>
        <v>80</v>
      </c>
      <c r="I581" s="98">
        <f>I580-I579</f>
        <v>477.30407413615825</v>
      </c>
      <c r="J581" s="98">
        <f>J580-J579</f>
        <v>1186.5768192326175</v>
      </c>
      <c r="K581" s="98"/>
      <c r="L581" s="98"/>
      <c r="M581" s="98"/>
      <c r="N581" s="98"/>
      <c r="O581" s="98"/>
      <c r="P581" s="98"/>
      <c r="Q581" s="98"/>
      <c r="R581" s="98"/>
      <c r="S581" s="98"/>
    </row>
    <row r="583" spans="1:19" ht="60" x14ac:dyDescent="0.25">
      <c r="A583" s="21" t="s">
        <v>63</v>
      </c>
      <c r="B583" s="21" t="s">
        <v>93</v>
      </c>
      <c r="C583" s="21" t="s">
        <v>94</v>
      </c>
      <c r="D583" s="92" t="str">
        <f>FoodDB!$C$1</f>
        <v>Fat
(g)</v>
      </c>
      <c r="E583" s="92" t="str">
        <f>FoodDB!$D$1</f>
        <v xml:space="preserve"> Carbs
(g)</v>
      </c>
      <c r="F583" s="92" t="str">
        <f>FoodDB!$E$1</f>
        <v>Protein
(g)</v>
      </c>
      <c r="G583" s="92" t="str">
        <f>FoodDB!$F$1</f>
        <v>Fat
(Cal)</v>
      </c>
      <c r="H583" s="92" t="str">
        <f>FoodDB!$G$1</f>
        <v>Carb
(Cal)</v>
      </c>
      <c r="I583" s="92" t="str">
        <f>FoodDB!$H$1</f>
        <v>Protein
(Cal)</v>
      </c>
      <c r="J583" s="92" t="str">
        <f>FoodDB!$I$1</f>
        <v>Total
Calories</v>
      </c>
      <c r="K583" s="92"/>
      <c r="L583" s="92" t="s">
        <v>110</v>
      </c>
      <c r="M583" s="92" t="s">
        <v>111</v>
      </c>
      <c r="N583" s="92" t="s">
        <v>112</v>
      </c>
      <c r="O583" s="92" t="s">
        <v>113</v>
      </c>
      <c r="P583" s="92" t="s">
        <v>118</v>
      </c>
      <c r="Q583" s="92" t="s">
        <v>119</v>
      </c>
      <c r="R583" s="92" t="s">
        <v>120</v>
      </c>
      <c r="S583" s="92" t="s">
        <v>121</v>
      </c>
    </row>
    <row r="584" spans="1:19" x14ac:dyDescent="0.25">
      <c r="A584" s="93">
        <f>A572+1</f>
        <v>43042</v>
      </c>
      <c r="B584" s="94" t="s">
        <v>108</v>
      </c>
      <c r="C584" s="95">
        <v>1</v>
      </c>
      <c r="D584" s="98">
        <f>$C584*VLOOKUP($B584,FoodDB!$A$2:$I$1016,3,0)</f>
        <v>0</v>
      </c>
      <c r="E584" s="98">
        <f>$C584*VLOOKUP($B584,FoodDB!$A$2:$I$1016,4,0)</f>
        <v>0</v>
      </c>
      <c r="F584" s="98">
        <f>$C584*VLOOKUP($B584,FoodDB!$A$2:$I$1016,5,0)</f>
        <v>0</v>
      </c>
      <c r="G584" s="98">
        <f>$C584*VLOOKUP($B584,FoodDB!$A$2:$I$1016,6,0)</f>
        <v>0</v>
      </c>
      <c r="H584" s="98">
        <f>$C584*VLOOKUP($B584,FoodDB!$A$2:$I$1016,7,0)</f>
        <v>0</v>
      </c>
      <c r="I584" s="98">
        <f>$C584*VLOOKUP($B584,FoodDB!$A$2:$I$1016,8,0)</f>
        <v>0</v>
      </c>
      <c r="J584" s="98">
        <f>$C584*VLOOKUP($B584,FoodDB!$A$2:$I$1016,9,0)</f>
        <v>0</v>
      </c>
      <c r="K584" s="98"/>
      <c r="L584" s="98">
        <f>SUM(G584:G590)</f>
        <v>0</v>
      </c>
      <c r="M584" s="98">
        <f>SUM(H584:H590)</f>
        <v>0</v>
      </c>
      <c r="N584" s="98">
        <f>SUM(I584:I590)</f>
        <v>0</v>
      </c>
      <c r="O584" s="98">
        <f>SUM(L584:N584)</f>
        <v>0</v>
      </c>
      <c r="P584" s="98">
        <f>VLOOKUP($A584,LossChart!$A$3:$AB$105,14,0)-L584</f>
        <v>635.20163399196213</v>
      </c>
      <c r="Q584" s="98">
        <f>VLOOKUP($A584,LossChart!$A$3:$AB$105,15,0)-M584</f>
        <v>80</v>
      </c>
      <c r="R584" s="98">
        <f>VLOOKUP($A584,LossChart!$A$3:$AB$105,16,0)-N584</f>
        <v>477.30407413615825</v>
      </c>
      <c r="S584" s="98">
        <f>VLOOKUP($A584,LossChart!$A$3:$AB$105,17,0)-O584</f>
        <v>1192.5057081281204</v>
      </c>
    </row>
    <row r="585" spans="1:19" x14ac:dyDescent="0.25">
      <c r="B585" s="94" t="s">
        <v>108</v>
      </c>
      <c r="C585" s="95">
        <v>1</v>
      </c>
      <c r="D585" s="98">
        <f>$C585*VLOOKUP($B585,FoodDB!$A$2:$I$1016,3,0)</f>
        <v>0</v>
      </c>
      <c r="E585" s="98">
        <f>$C585*VLOOKUP($B585,FoodDB!$A$2:$I$1016,4,0)</f>
        <v>0</v>
      </c>
      <c r="F585" s="98">
        <f>$C585*VLOOKUP($B585,FoodDB!$A$2:$I$1016,5,0)</f>
        <v>0</v>
      </c>
      <c r="G585" s="98">
        <f>$C585*VLOOKUP($B585,FoodDB!$A$2:$I$1016,6,0)</f>
        <v>0</v>
      </c>
      <c r="H585" s="98">
        <f>$C585*VLOOKUP($B585,FoodDB!$A$2:$I$1016,7,0)</f>
        <v>0</v>
      </c>
      <c r="I585" s="98">
        <f>$C585*VLOOKUP($B585,FoodDB!$A$2:$I$1016,8,0)</f>
        <v>0</v>
      </c>
      <c r="J585" s="98">
        <f>$C585*VLOOKUP($B585,FoodDB!$A$2:$I$1016,9,0)</f>
        <v>0</v>
      </c>
      <c r="K585" s="98"/>
      <c r="L585" s="98"/>
      <c r="M585" s="98"/>
      <c r="N585" s="98"/>
      <c r="O585" s="98"/>
      <c r="P585" s="98"/>
      <c r="Q585" s="98"/>
      <c r="R585" s="98"/>
      <c r="S585" s="98"/>
    </row>
    <row r="586" spans="1:19" x14ac:dyDescent="0.25">
      <c r="B586" s="94" t="s">
        <v>108</v>
      </c>
      <c r="C586" s="95">
        <v>1</v>
      </c>
      <c r="D586" s="98">
        <f>$C586*VLOOKUP($B586,FoodDB!$A$2:$I$1016,3,0)</f>
        <v>0</v>
      </c>
      <c r="E586" s="98">
        <f>$C586*VLOOKUP($B586,FoodDB!$A$2:$I$1016,4,0)</f>
        <v>0</v>
      </c>
      <c r="F586" s="98">
        <f>$C586*VLOOKUP($B586,FoodDB!$A$2:$I$1016,5,0)</f>
        <v>0</v>
      </c>
      <c r="G586" s="98">
        <f>$C586*VLOOKUP($B586,FoodDB!$A$2:$I$1016,6,0)</f>
        <v>0</v>
      </c>
      <c r="H586" s="98">
        <f>$C586*VLOOKUP($B586,FoodDB!$A$2:$I$1016,7,0)</f>
        <v>0</v>
      </c>
      <c r="I586" s="98">
        <f>$C586*VLOOKUP($B586,FoodDB!$A$2:$I$1016,8,0)</f>
        <v>0</v>
      </c>
      <c r="J586" s="98">
        <f>$C586*VLOOKUP($B586,FoodDB!$A$2:$I$1016,9,0)</f>
        <v>0</v>
      </c>
      <c r="K586" s="98"/>
      <c r="L586" s="98"/>
      <c r="M586" s="98"/>
      <c r="N586" s="98"/>
      <c r="O586" s="98"/>
      <c r="P586" s="98"/>
      <c r="Q586" s="98"/>
      <c r="R586" s="98"/>
      <c r="S586" s="98"/>
    </row>
    <row r="587" spans="1:19" x14ac:dyDescent="0.25">
      <c r="B587" s="94" t="s">
        <v>108</v>
      </c>
      <c r="C587" s="95">
        <v>1</v>
      </c>
      <c r="D587" s="98">
        <f>$C587*VLOOKUP($B587,FoodDB!$A$2:$I$1016,3,0)</f>
        <v>0</v>
      </c>
      <c r="E587" s="98">
        <f>$C587*VLOOKUP($B587,FoodDB!$A$2:$I$1016,4,0)</f>
        <v>0</v>
      </c>
      <c r="F587" s="98">
        <f>$C587*VLOOKUP($B587,FoodDB!$A$2:$I$1016,5,0)</f>
        <v>0</v>
      </c>
      <c r="G587" s="98">
        <f>$C587*VLOOKUP($B587,FoodDB!$A$2:$I$1016,6,0)</f>
        <v>0</v>
      </c>
      <c r="H587" s="98">
        <f>$C587*VLOOKUP($B587,FoodDB!$A$2:$I$1016,7,0)</f>
        <v>0</v>
      </c>
      <c r="I587" s="98">
        <f>$C587*VLOOKUP($B587,FoodDB!$A$2:$I$1016,8,0)</f>
        <v>0</v>
      </c>
      <c r="J587" s="98">
        <f>$C587*VLOOKUP($B587,FoodDB!$A$2:$I$1016,9,0)</f>
        <v>0</v>
      </c>
      <c r="K587" s="98"/>
      <c r="L587" s="98"/>
      <c r="M587" s="98"/>
      <c r="N587" s="98"/>
      <c r="O587" s="98"/>
      <c r="P587" s="98"/>
      <c r="Q587" s="98"/>
      <c r="R587" s="98"/>
      <c r="S587" s="98"/>
    </row>
    <row r="588" spans="1:19" x14ac:dyDescent="0.25">
      <c r="B588" s="94" t="s">
        <v>108</v>
      </c>
      <c r="C588" s="95">
        <v>1</v>
      </c>
      <c r="D588" s="98">
        <f>$C588*VLOOKUP($B588,FoodDB!$A$2:$I$1016,3,0)</f>
        <v>0</v>
      </c>
      <c r="E588" s="98">
        <f>$C588*VLOOKUP($B588,FoodDB!$A$2:$I$1016,4,0)</f>
        <v>0</v>
      </c>
      <c r="F588" s="98">
        <f>$C588*VLOOKUP($B588,FoodDB!$A$2:$I$1016,5,0)</f>
        <v>0</v>
      </c>
      <c r="G588" s="98">
        <f>$C588*VLOOKUP($B588,FoodDB!$A$2:$I$1016,6,0)</f>
        <v>0</v>
      </c>
      <c r="H588" s="98">
        <f>$C588*VLOOKUP($B588,FoodDB!$A$2:$I$1016,7,0)</f>
        <v>0</v>
      </c>
      <c r="I588" s="98">
        <f>$C588*VLOOKUP($B588,FoodDB!$A$2:$I$1016,8,0)</f>
        <v>0</v>
      </c>
      <c r="J588" s="98">
        <f>$C588*VLOOKUP($B588,FoodDB!$A$2:$I$1016,9,0)</f>
        <v>0</v>
      </c>
      <c r="K588" s="98"/>
      <c r="L588" s="98"/>
      <c r="M588" s="98"/>
      <c r="N588" s="98"/>
      <c r="O588" s="98"/>
      <c r="P588" s="98"/>
      <c r="Q588" s="98"/>
      <c r="R588" s="98"/>
      <c r="S588" s="98"/>
    </row>
    <row r="589" spans="1:19" x14ac:dyDescent="0.25">
      <c r="B589" s="94" t="s">
        <v>108</v>
      </c>
      <c r="C589" s="95">
        <v>1</v>
      </c>
      <c r="D589" s="98">
        <f>$C589*VLOOKUP($B589,FoodDB!$A$2:$I$1016,3,0)</f>
        <v>0</v>
      </c>
      <c r="E589" s="98">
        <f>$C589*VLOOKUP($B589,FoodDB!$A$2:$I$1016,4,0)</f>
        <v>0</v>
      </c>
      <c r="F589" s="98">
        <f>$C589*VLOOKUP($B589,FoodDB!$A$2:$I$1016,5,0)</f>
        <v>0</v>
      </c>
      <c r="G589" s="98">
        <f>$C589*VLOOKUP($B589,FoodDB!$A$2:$I$1016,6,0)</f>
        <v>0</v>
      </c>
      <c r="H589" s="98">
        <f>$C589*VLOOKUP($B589,FoodDB!$A$2:$I$1016,7,0)</f>
        <v>0</v>
      </c>
      <c r="I589" s="98">
        <f>$C589*VLOOKUP($B589,FoodDB!$A$2:$I$1016,8,0)</f>
        <v>0</v>
      </c>
      <c r="J589" s="98">
        <f>$C589*VLOOKUP($B589,FoodDB!$A$2:$I$1016,9,0)</f>
        <v>0</v>
      </c>
      <c r="K589" s="98"/>
      <c r="L589" s="98"/>
      <c r="M589" s="98"/>
      <c r="N589" s="98"/>
      <c r="O589" s="98"/>
      <c r="P589" s="98"/>
      <c r="Q589" s="98"/>
      <c r="R589" s="98"/>
      <c r="S589" s="98"/>
    </row>
    <row r="590" spans="1:19" x14ac:dyDescent="0.25">
      <c r="B590" s="94" t="s">
        <v>108</v>
      </c>
      <c r="C590" s="95">
        <v>1</v>
      </c>
      <c r="D590" s="98">
        <f>$C590*VLOOKUP($B590,FoodDB!$A$2:$I$1016,3,0)</f>
        <v>0</v>
      </c>
      <c r="E590" s="98">
        <f>$C590*VLOOKUP($B590,FoodDB!$A$2:$I$1016,4,0)</f>
        <v>0</v>
      </c>
      <c r="F590" s="98">
        <f>$C590*VLOOKUP($B590,FoodDB!$A$2:$I$1016,5,0)</f>
        <v>0</v>
      </c>
      <c r="G590" s="98">
        <f>$C590*VLOOKUP($B590,FoodDB!$A$2:$I$1016,6,0)</f>
        <v>0</v>
      </c>
      <c r="H590" s="98">
        <f>$C590*VLOOKUP($B590,FoodDB!$A$2:$I$1016,7,0)</f>
        <v>0</v>
      </c>
      <c r="I590" s="98">
        <f>$C590*VLOOKUP($B590,FoodDB!$A$2:$I$1016,8,0)</f>
        <v>0</v>
      </c>
      <c r="J590" s="98">
        <f>$C590*VLOOKUP($B590,FoodDB!$A$2:$I$1016,9,0)</f>
        <v>0</v>
      </c>
      <c r="K590" s="98"/>
      <c r="L590" s="98"/>
      <c r="M590" s="98"/>
      <c r="N590" s="98"/>
      <c r="O590" s="98"/>
      <c r="P590" s="98"/>
      <c r="Q590" s="98"/>
      <c r="R590" s="98"/>
      <c r="S590" s="98"/>
    </row>
    <row r="591" spans="1:19" x14ac:dyDescent="0.25">
      <c r="A591" t="s">
        <v>98</v>
      </c>
      <c r="D591" s="98"/>
      <c r="E591" s="98"/>
      <c r="F591" s="98"/>
      <c r="G591" s="98">
        <f>SUM(G584:G590)</f>
        <v>0</v>
      </c>
      <c r="H591" s="98">
        <f>SUM(H584:H590)</f>
        <v>0</v>
      </c>
      <c r="I591" s="98">
        <f>SUM(I584:I590)</f>
        <v>0</v>
      </c>
      <c r="J591" s="98">
        <f>SUM(G591:I591)</f>
        <v>0</v>
      </c>
      <c r="K591" s="98"/>
      <c r="L591" s="98"/>
      <c r="M591" s="98"/>
      <c r="N591" s="98"/>
      <c r="O591" s="98"/>
      <c r="P591" s="98"/>
      <c r="Q591" s="98"/>
      <c r="R591" s="98"/>
      <c r="S591" s="98"/>
    </row>
    <row r="592" spans="1:19" x14ac:dyDescent="0.25">
      <c r="A592" t="s">
        <v>102</v>
      </c>
      <c r="B592" t="s">
        <v>103</v>
      </c>
      <c r="D592" s="98"/>
      <c r="E592" s="98"/>
      <c r="F592" s="98"/>
      <c r="G592" s="98">
        <f>VLOOKUP($A584,LossChart!$A$3:$AB$105,14,0)</f>
        <v>635.20163399196213</v>
      </c>
      <c r="H592" s="98">
        <f>VLOOKUP($A584,LossChart!$A$3:$AB$105,15,0)</f>
        <v>80</v>
      </c>
      <c r="I592" s="98">
        <f>VLOOKUP($A584,LossChart!$A$3:$AB$105,16,0)</f>
        <v>477.30407413615825</v>
      </c>
      <c r="J592" s="98">
        <f>VLOOKUP($A584,LossChart!$A$3:$AB$105,17,0)</f>
        <v>1192.5057081281204</v>
      </c>
      <c r="K592" s="98"/>
      <c r="L592" s="98"/>
      <c r="M592" s="98"/>
      <c r="N592" s="98"/>
      <c r="O592" s="98"/>
      <c r="P592" s="98"/>
      <c r="Q592" s="98"/>
      <c r="R592" s="98"/>
      <c r="S592" s="98"/>
    </row>
    <row r="593" spans="1:19" x14ac:dyDescent="0.25">
      <c r="A593" t="s">
        <v>104</v>
      </c>
      <c r="D593" s="98"/>
      <c r="E593" s="98"/>
      <c r="F593" s="98"/>
      <c r="G593" s="98">
        <f>G592-G591</f>
        <v>635.20163399196213</v>
      </c>
      <c r="H593" s="98">
        <f>H592-H591</f>
        <v>80</v>
      </c>
      <c r="I593" s="98">
        <f>I592-I591</f>
        <v>477.30407413615825</v>
      </c>
      <c r="J593" s="98">
        <f>J592-J591</f>
        <v>1192.5057081281204</v>
      </c>
      <c r="K593" s="98"/>
      <c r="L593" s="98"/>
      <c r="M593" s="98"/>
      <c r="N593" s="98"/>
      <c r="O593" s="98"/>
      <c r="P593" s="98"/>
      <c r="Q593" s="98"/>
      <c r="R593" s="98"/>
      <c r="S593" s="98"/>
    </row>
    <row r="595" spans="1:19" ht="60" x14ac:dyDescent="0.25">
      <c r="A595" s="21" t="s">
        <v>63</v>
      </c>
      <c r="B595" s="21" t="s">
        <v>93</v>
      </c>
      <c r="C595" s="21" t="s">
        <v>94</v>
      </c>
      <c r="D595" s="92" t="str">
        <f>FoodDB!$C$1</f>
        <v>Fat
(g)</v>
      </c>
      <c r="E595" s="92" t="str">
        <f>FoodDB!$D$1</f>
        <v xml:space="preserve"> Carbs
(g)</v>
      </c>
      <c r="F595" s="92" t="str">
        <f>FoodDB!$E$1</f>
        <v>Protein
(g)</v>
      </c>
      <c r="G595" s="92" t="str">
        <f>FoodDB!$F$1</f>
        <v>Fat
(Cal)</v>
      </c>
      <c r="H595" s="92" t="str">
        <f>FoodDB!$G$1</f>
        <v>Carb
(Cal)</v>
      </c>
      <c r="I595" s="92" t="str">
        <f>FoodDB!$H$1</f>
        <v>Protein
(Cal)</v>
      </c>
      <c r="J595" s="92" t="str">
        <f>FoodDB!$I$1</f>
        <v>Total
Calories</v>
      </c>
      <c r="K595" s="92"/>
      <c r="L595" s="92" t="s">
        <v>110</v>
      </c>
      <c r="M595" s="92" t="s">
        <v>111</v>
      </c>
      <c r="N595" s="92" t="s">
        <v>112</v>
      </c>
      <c r="O595" s="92" t="s">
        <v>113</v>
      </c>
      <c r="P595" s="92" t="s">
        <v>118</v>
      </c>
      <c r="Q595" s="92" t="s">
        <v>119</v>
      </c>
      <c r="R595" s="92" t="s">
        <v>120</v>
      </c>
      <c r="S595" s="92" t="s">
        <v>121</v>
      </c>
    </row>
    <row r="596" spans="1:19" x14ac:dyDescent="0.25">
      <c r="A596" s="93">
        <f>A584+1</f>
        <v>43043</v>
      </c>
      <c r="B596" s="94" t="s">
        <v>108</v>
      </c>
      <c r="C596" s="95">
        <v>1</v>
      </c>
      <c r="D596" s="98">
        <f>$C596*VLOOKUP($B596,FoodDB!$A$2:$I$1016,3,0)</f>
        <v>0</v>
      </c>
      <c r="E596" s="98">
        <f>$C596*VLOOKUP($B596,FoodDB!$A$2:$I$1016,4,0)</f>
        <v>0</v>
      </c>
      <c r="F596" s="98">
        <f>$C596*VLOOKUP($B596,FoodDB!$A$2:$I$1016,5,0)</f>
        <v>0</v>
      </c>
      <c r="G596" s="98">
        <f>$C596*VLOOKUP($B596,FoodDB!$A$2:$I$1016,6,0)</f>
        <v>0</v>
      </c>
      <c r="H596" s="98">
        <f>$C596*VLOOKUP($B596,FoodDB!$A$2:$I$1016,7,0)</f>
        <v>0</v>
      </c>
      <c r="I596" s="98">
        <f>$C596*VLOOKUP($B596,FoodDB!$A$2:$I$1016,8,0)</f>
        <v>0</v>
      </c>
      <c r="J596" s="98">
        <f>$C596*VLOOKUP($B596,FoodDB!$A$2:$I$1016,9,0)</f>
        <v>0</v>
      </c>
      <c r="K596" s="98"/>
      <c r="L596" s="98">
        <f>SUM(G596:G602)</f>
        <v>0</v>
      </c>
      <c r="M596" s="98">
        <f>SUM(H596:H602)</f>
        <v>0</v>
      </c>
      <c r="N596" s="98">
        <f>SUM(I596:I602)</f>
        <v>0</v>
      </c>
      <c r="O596" s="98">
        <f>SUM(L596:N596)</f>
        <v>0</v>
      </c>
      <c r="P596" s="98">
        <f>VLOOKUP($A596,LossChart!$A$3:$AB$105,14,0)-L596</f>
        <v>641.07800987153337</v>
      </c>
      <c r="Q596" s="98">
        <f>VLOOKUP($A596,LossChart!$A$3:$AB$105,15,0)-M596</f>
        <v>80</v>
      </c>
      <c r="R596" s="98">
        <f>VLOOKUP($A596,LossChart!$A$3:$AB$105,16,0)-N596</f>
        <v>477.30407413615825</v>
      </c>
      <c r="S596" s="98">
        <f>VLOOKUP($A596,LossChart!$A$3:$AB$105,17,0)-O596</f>
        <v>1198.3820840076917</v>
      </c>
    </row>
    <row r="597" spans="1:19" x14ac:dyDescent="0.25">
      <c r="B597" s="94" t="s">
        <v>108</v>
      </c>
      <c r="C597" s="95">
        <v>1</v>
      </c>
      <c r="D597" s="98">
        <f>$C597*VLOOKUP($B597,FoodDB!$A$2:$I$1016,3,0)</f>
        <v>0</v>
      </c>
      <c r="E597" s="98">
        <f>$C597*VLOOKUP($B597,FoodDB!$A$2:$I$1016,4,0)</f>
        <v>0</v>
      </c>
      <c r="F597" s="98">
        <f>$C597*VLOOKUP($B597,FoodDB!$A$2:$I$1016,5,0)</f>
        <v>0</v>
      </c>
      <c r="G597" s="98">
        <f>$C597*VLOOKUP($B597,FoodDB!$A$2:$I$1016,6,0)</f>
        <v>0</v>
      </c>
      <c r="H597" s="98">
        <f>$C597*VLOOKUP($B597,FoodDB!$A$2:$I$1016,7,0)</f>
        <v>0</v>
      </c>
      <c r="I597" s="98">
        <f>$C597*VLOOKUP($B597,FoodDB!$A$2:$I$1016,8,0)</f>
        <v>0</v>
      </c>
      <c r="J597" s="98">
        <f>$C597*VLOOKUP($B597,FoodDB!$A$2:$I$1016,9,0)</f>
        <v>0</v>
      </c>
      <c r="K597" s="98"/>
      <c r="L597" s="98"/>
      <c r="M597" s="98"/>
      <c r="N597" s="98"/>
      <c r="O597" s="98"/>
      <c r="P597" s="98"/>
      <c r="Q597" s="98"/>
      <c r="R597" s="98"/>
      <c r="S597" s="98"/>
    </row>
    <row r="598" spans="1:19" x14ac:dyDescent="0.25">
      <c r="B598" s="94" t="s">
        <v>108</v>
      </c>
      <c r="C598" s="95">
        <v>1</v>
      </c>
      <c r="D598" s="98">
        <f>$C598*VLOOKUP($B598,FoodDB!$A$2:$I$1016,3,0)</f>
        <v>0</v>
      </c>
      <c r="E598" s="98">
        <f>$C598*VLOOKUP($B598,FoodDB!$A$2:$I$1016,4,0)</f>
        <v>0</v>
      </c>
      <c r="F598" s="98">
        <f>$C598*VLOOKUP($B598,FoodDB!$A$2:$I$1016,5,0)</f>
        <v>0</v>
      </c>
      <c r="G598" s="98">
        <f>$C598*VLOOKUP($B598,FoodDB!$A$2:$I$1016,6,0)</f>
        <v>0</v>
      </c>
      <c r="H598" s="98">
        <f>$C598*VLOOKUP($B598,FoodDB!$A$2:$I$1016,7,0)</f>
        <v>0</v>
      </c>
      <c r="I598" s="98">
        <f>$C598*VLOOKUP($B598,FoodDB!$A$2:$I$1016,8,0)</f>
        <v>0</v>
      </c>
      <c r="J598" s="98">
        <f>$C598*VLOOKUP($B598,FoodDB!$A$2:$I$1016,9,0)</f>
        <v>0</v>
      </c>
      <c r="K598" s="98"/>
      <c r="L598" s="98"/>
      <c r="M598" s="98"/>
      <c r="N598" s="98"/>
      <c r="O598" s="98"/>
      <c r="P598" s="98"/>
      <c r="Q598" s="98"/>
      <c r="R598" s="98"/>
      <c r="S598" s="98"/>
    </row>
    <row r="599" spans="1:19" x14ac:dyDescent="0.25">
      <c r="B599" s="94" t="s">
        <v>108</v>
      </c>
      <c r="C599" s="95">
        <v>1</v>
      </c>
      <c r="D599" s="98">
        <f>$C599*VLOOKUP($B599,FoodDB!$A$2:$I$1016,3,0)</f>
        <v>0</v>
      </c>
      <c r="E599" s="98">
        <f>$C599*VLOOKUP($B599,FoodDB!$A$2:$I$1016,4,0)</f>
        <v>0</v>
      </c>
      <c r="F599" s="98">
        <f>$C599*VLOOKUP($B599,FoodDB!$A$2:$I$1016,5,0)</f>
        <v>0</v>
      </c>
      <c r="G599" s="98">
        <f>$C599*VLOOKUP($B599,FoodDB!$A$2:$I$1016,6,0)</f>
        <v>0</v>
      </c>
      <c r="H599" s="98">
        <f>$C599*VLOOKUP($B599,FoodDB!$A$2:$I$1016,7,0)</f>
        <v>0</v>
      </c>
      <c r="I599" s="98">
        <f>$C599*VLOOKUP($B599,FoodDB!$A$2:$I$1016,8,0)</f>
        <v>0</v>
      </c>
      <c r="J599" s="98">
        <f>$C599*VLOOKUP($B599,FoodDB!$A$2:$I$1016,9,0)</f>
        <v>0</v>
      </c>
      <c r="K599" s="98"/>
      <c r="L599" s="98"/>
      <c r="M599" s="98"/>
      <c r="N599" s="98"/>
      <c r="O599" s="98"/>
      <c r="P599" s="98"/>
      <c r="Q599" s="98"/>
      <c r="R599" s="98"/>
      <c r="S599" s="98"/>
    </row>
    <row r="600" spans="1:19" x14ac:dyDescent="0.25">
      <c r="B600" s="94" t="s">
        <v>108</v>
      </c>
      <c r="C600" s="95">
        <v>1</v>
      </c>
      <c r="D600" s="98">
        <f>$C600*VLOOKUP($B600,FoodDB!$A$2:$I$1016,3,0)</f>
        <v>0</v>
      </c>
      <c r="E600" s="98">
        <f>$C600*VLOOKUP($B600,FoodDB!$A$2:$I$1016,4,0)</f>
        <v>0</v>
      </c>
      <c r="F600" s="98">
        <f>$C600*VLOOKUP($B600,FoodDB!$A$2:$I$1016,5,0)</f>
        <v>0</v>
      </c>
      <c r="G600" s="98">
        <f>$C600*VLOOKUP($B600,FoodDB!$A$2:$I$1016,6,0)</f>
        <v>0</v>
      </c>
      <c r="H600" s="98">
        <f>$C600*VLOOKUP($B600,FoodDB!$A$2:$I$1016,7,0)</f>
        <v>0</v>
      </c>
      <c r="I600" s="98">
        <f>$C600*VLOOKUP($B600,FoodDB!$A$2:$I$1016,8,0)</f>
        <v>0</v>
      </c>
      <c r="J600" s="98">
        <f>$C600*VLOOKUP($B600,FoodDB!$A$2:$I$1016,9,0)</f>
        <v>0</v>
      </c>
      <c r="K600" s="98"/>
      <c r="L600" s="98"/>
      <c r="M600" s="98"/>
      <c r="N600" s="98"/>
      <c r="O600" s="98"/>
      <c r="P600" s="98"/>
      <c r="Q600" s="98"/>
      <c r="R600" s="98"/>
      <c r="S600" s="98"/>
    </row>
    <row r="601" spans="1:19" x14ac:dyDescent="0.25">
      <c r="B601" s="94" t="s">
        <v>108</v>
      </c>
      <c r="C601" s="95">
        <v>1</v>
      </c>
      <c r="D601" s="98">
        <f>$C601*VLOOKUP($B601,FoodDB!$A$2:$I$1016,3,0)</f>
        <v>0</v>
      </c>
      <c r="E601" s="98">
        <f>$C601*VLOOKUP($B601,FoodDB!$A$2:$I$1016,4,0)</f>
        <v>0</v>
      </c>
      <c r="F601" s="98">
        <f>$C601*VLOOKUP($B601,FoodDB!$A$2:$I$1016,5,0)</f>
        <v>0</v>
      </c>
      <c r="G601" s="98">
        <f>$C601*VLOOKUP($B601,FoodDB!$A$2:$I$1016,6,0)</f>
        <v>0</v>
      </c>
      <c r="H601" s="98">
        <f>$C601*VLOOKUP($B601,FoodDB!$A$2:$I$1016,7,0)</f>
        <v>0</v>
      </c>
      <c r="I601" s="98">
        <f>$C601*VLOOKUP($B601,FoodDB!$A$2:$I$1016,8,0)</f>
        <v>0</v>
      </c>
      <c r="J601" s="98">
        <f>$C601*VLOOKUP($B601,FoodDB!$A$2:$I$1016,9,0)</f>
        <v>0</v>
      </c>
      <c r="K601" s="98"/>
      <c r="L601" s="98"/>
      <c r="M601" s="98"/>
      <c r="N601" s="98"/>
      <c r="O601" s="98"/>
      <c r="P601" s="98"/>
      <c r="Q601" s="98"/>
      <c r="R601" s="98"/>
      <c r="S601" s="98"/>
    </row>
    <row r="602" spans="1:19" x14ac:dyDescent="0.25">
      <c r="B602" s="94" t="s">
        <v>108</v>
      </c>
      <c r="C602" s="95">
        <v>1</v>
      </c>
      <c r="D602" s="98">
        <f>$C602*VLOOKUP($B602,FoodDB!$A$2:$I$1016,3,0)</f>
        <v>0</v>
      </c>
      <c r="E602" s="98">
        <f>$C602*VLOOKUP($B602,FoodDB!$A$2:$I$1016,4,0)</f>
        <v>0</v>
      </c>
      <c r="F602" s="98">
        <f>$C602*VLOOKUP($B602,FoodDB!$A$2:$I$1016,5,0)</f>
        <v>0</v>
      </c>
      <c r="G602" s="98">
        <f>$C602*VLOOKUP($B602,FoodDB!$A$2:$I$1016,6,0)</f>
        <v>0</v>
      </c>
      <c r="H602" s="98">
        <f>$C602*VLOOKUP($B602,FoodDB!$A$2:$I$1016,7,0)</f>
        <v>0</v>
      </c>
      <c r="I602" s="98">
        <f>$C602*VLOOKUP($B602,FoodDB!$A$2:$I$1016,8,0)</f>
        <v>0</v>
      </c>
      <c r="J602" s="98">
        <f>$C602*VLOOKUP($B602,FoodDB!$A$2:$I$1016,9,0)</f>
        <v>0</v>
      </c>
      <c r="K602" s="98"/>
      <c r="L602" s="98"/>
      <c r="M602" s="98"/>
      <c r="N602" s="98"/>
      <c r="O602" s="98"/>
      <c r="P602" s="98"/>
      <c r="Q602" s="98"/>
      <c r="R602" s="98"/>
      <c r="S602" s="98"/>
    </row>
    <row r="603" spans="1:19" x14ac:dyDescent="0.25">
      <c r="A603" t="s">
        <v>98</v>
      </c>
      <c r="D603" s="98"/>
      <c r="E603" s="98"/>
      <c r="F603" s="98"/>
      <c r="G603" s="98">
        <f>SUM(G596:G602)</f>
        <v>0</v>
      </c>
      <c r="H603" s="98">
        <f>SUM(H596:H602)</f>
        <v>0</v>
      </c>
      <c r="I603" s="98">
        <f>SUM(I596:I602)</f>
        <v>0</v>
      </c>
      <c r="J603" s="98">
        <f>SUM(G603:I603)</f>
        <v>0</v>
      </c>
      <c r="K603" s="98"/>
      <c r="L603" s="98"/>
      <c r="M603" s="98"/>
      <c r="N603" s="98"/>
      <c r="O603" s="98"/>
      <c r="P603" s="98"/>
      <c r="Q603" s="98"/>
      <c r="R603" s="98"/>
      <c r="S603" s="98"/>
    </row>
    <row r="604" spans="1:19" x14ac:dyDescent="0.25">
      <c r="A604" t="s">
        <v>102</v>
      </c>
      <c r="B604" t="s">
        <v>103</v>
      </c>
      <c r="D604" s="98"/>
      <c r="E604" s="98"/>
      <c r="F604" s="98"/>
      <c r="G604" s="98">
        <f>VLOOKUP($A596,LossChart!$A$3:$AB$105,14,0)</f>
        <v>641.07800987153337</v>
      </c>
      <c r="H604" s="98">
        <f>VLOOKUP($A596,LossChart!$A$3:$AB$105,15,0)</f>
        <v>80</v>
      </c>
      <c r="I604" s="98">
        <f>VLOOKUP($A596,LossChart!$A$3:$AB$105,16,0)</f>
        <v>477.30407413615825</v>
      </c>
      <c r="J604" s="98">
        <f>VLOOKUP($A596,LossChart!$A$3:$AB$105,17,0)</f>
        <v>1198.3820840076917</v>
      </c>
      <c r="K604" s="98"/>
      <c r="L604" s="98"/>
      <c r="M604" s="98"/>
      <c r="N604" s="98"/>
      <c r="O604" s="98"/>
      <c r="P604" s="98"/>
      <c r="Q604" s="98"/>
      <c r="R604" s="98"/>
      <c r="S604" s="98"/>
    </row>
    <row r="605" spans="1:19" x14ac:dyDescent="0.25">
      <c r="A605" t="s">
        <v>104</v>
      </c>
      <c r="D605" s="98"/>
      <c r="E605" s="98"/>
      <c r="F605" s="98"/>
      <c r="G605" s="98">
        <f>G604-G603</f>
        <v>641.07800987153337</v>
      </c>
      <c r="H605" s="98">
        <f>H604-H603</f>
        <v>80</v>
      </c>
      <c r="I605" s="98">
        <f>I604-I603</f>
        <v>477.30407413615825</v>
      </c>
      <c r="J605" s="98">
        <f>J604-J603</f>
        <v>1198.3820840076917</v>
      </c>
      <c r="K605" s="98"/>
      <c r="L605" s="98"/>
      <c r="M605" s="98"/>
      <c r="N605" s="98"/>
      <c r="O605" s="98"/>
      <c r="P605" s="98"/>
      <c r="Q605" s="98"/>
      <c r="R605" s="98"/>
      <c r="S605" s="98"/>
    </row>
    <row r="607" spans="1:19" ht="60" x14ac:dyDescent="0.25">
      <c r="A607" s="21" t="s">
        <v>63</v>
      </c>
      <c r="B607" s="21" t="s">
        <v>93</v>
      </c>
      <c r="C607" s="21" t="s">
        <v>94</v>
      </c>
      <c r="D607" s="92" t="str">
        <f>FoodDB!$C$1</f>
        <v>Fat
(g)</v>
      </c>
      <c r="E607" s="92" t="str">
        <f>FoodDB!$D$1</f>
        <v xml:space="preserve"> Carbs
(g)</v>
      </c>
      <c r="F607" s="92" t="str">
        <f>FoodDB!$E$1</f>
        <v>Protein
(g)</v>
      </c>
      <c r="G607" s="92" t="str">
        <f>FoodDB!$F$1</f>
        <v>Fat
(Cal)</v>
      </c>
      <c r="H607" s="92" t="str">
        <f>FoodDB!$G$1</f>
        <v>Carb
(Cal)</v>
      </c>
      <c r="I607" s="92" t="str">
        <f>FoodDB!$H$1</f>
        <v>Protein
(Cal)</v>
      </c>
      <c r="J607" s="92" t="str">
        <f>FoodDB!$I$1</f>
        <v>Total
Calories</v>
      </c>
      <c r="K607" s="92"/>
      <c r="L607" s="92" t="s">
        <v>110</v>
      </c>
      <c r="M607" s="92" t="s">
        <v>111</v>
      </c>
      <c r="N607" s="92" t="s">
        <v>112</v>
      </c>
      <c r="O607" s="92" t="s">
        <v>113</v>
      </c>
      <c r="P607" s="92" t="s">
        <v>118</v>
      </c>
      <c r="Q607" s="92" t="s">
        <v>119</v>
      </c>
      <c r="R607" s="92" t="s">
        <v>120</v>
      </c>
      <c r="S607" s="92" t="s">
        <v>121</v>
      </c>
    </row>
    <row r="608" spans="1:19" x14ac:dyDescent="0.25">
      <c r="A608" s="93">
        <f>A596+1</f>
        <v>43044</v>
      </c>
      <c r="B608" s="94" t="s">
        <v>108</v>
      </c>
      <c r="C608" s="95">
        <v>1</v>
      </c>
      <c r="D608" s="98">
        <f>$C608*VLOOKUP($B608,FoodDB!$A$2:$I$1016,3,0)</f>
        <v>0</v>
      </c>
      <c r="E608" s="98">
        <f>$C608*VLOOKUP($B608,FoodDB!$A$2:$I$1016,4,0)</f>
        <v>0</v>
      </c>
      <c r="F608" s="98">
        <f>$C608*VLOOKUP($B608,FoodDB!$A$2:$I$1016,5,0)</f>
        <v>0</v>
      </c>
      <c r="G608" s="98">
        <f>$C608*VLOOKUP($B608,FoodDB!$A$2:$I$1016,6,0)</f>
        <v>0</v>
      </c>
      <c r="H608" s="98">
        <f>$C608*VLOOKUP($B608,FoodDB!$A$2:$I$1016,7,0)</f>
        <v>0</v>
      </c>
      <c r="I608" s="98">
        <f>$C608*VLOOKUP($B608,FoodDB!$A$2:$I$1016,8,0)</f>
        <v>0</v>
      </c>
      <c r="J608" s="98">
        <f>$C608*VLOOKUP($B608,FoodDB!$A$2:$I$1016,9,0)</f>
        <v>0</v>
      </c>
      <c r="K608" s="98"/>
      <c r="L608" s="98">
        <f>SUM(G608:G614)</f>
        <v>0</v>
      </c>
      <c r="M608" s="98">
        <f>SUM(H608:H614)</f>
        <v>0</v>
      </c>
      <c r="N608" s="98">
        <f>SUM(I608:I614)</f>
        <v>0</v>
      </c>
      <c r="O608" s="98">
        <f>SUM(L608:N608)</f>
        <v>0</v>
      </c>
      <c r="P608" s="98">
        <f>VLOOKUP($A608,LossChart!$A$3:$AB$105,14,0)-L608</f>
        <v>646.90233785045689</v>
      </c>
      <c r="Q608" s="98">
        <f>VLOOKUP($A608,LossChart!$A$3:$AB$105,15,0)-M608</f>
        <v>80</v>
      </c>
      <c r="R608" s="98">
        <f>VLOOKUP($A608,LossChart!$A$3:$AB$105,16,0)-N608</f>
        <v>477.30407413615825</v>
      </c>
      <c r="S608" s="98">
        <f>VLOOKUP($A608,LossChart!$A$3:$AB$105,17,0)-O608</f>
        <v>1204.2064119866152</v>
      </c>
    </row>
    <row r="609" spans="1:19" x14ac:dyDescent="0.25">
      <c r="B609" s="94" t="s">
        <v>108</v>
      </c>
      <c r="C609" s="95">
        <v>1</v>
      </c>
      <c r="D609" s="98">
        <f>$C609*VLOOKUP($B609,FoodDB!$A$2:$I$1016,3,0)</f>
        <v>0</v>
      </c>
      <c r="E609" s="98">
        <f>$C609*VLOOKUP($B609,FoodDB!$A$2:$I$1016,4,0)</f>
        <v>0</v>
      </c>
      <c r="F609" s="98">
        <f>$C609*VLOOKUP($B609,FoodDB!$A$2:$I$1016,5,0)</f>
        <v>0</v>
      </c>
      <c r="G609" s="98">
        <f>$C609*VLOOKUP($B609,FoodDB!$A$2:$I$1016,6,0)</f>
        <v>0</v>
      </c>
      <c r="H609" s="98">
        <f>$C609*VLOOKUP($B609,FoodDB!$A$2:$I$1016,7,0)</f>
        <v>0</v>
      </c>
      <c r="I609" s="98">
        <f>$C609*VLOOKUP($B609,FoodDB!$A$2:$I$1016,8,0)</f>
        <v>0</v>
      </c>
      <c r="J609" s="98">
        <f>$C609*VLOOKUP($B609,FoodDB!$A$2:$I$1016,9,0)</f>
        <v>0</v>
      </c>
      <c r="K609" s="98"/>
      <c r="L609" s="98"/>
      <c r="M609" s="98"/>
      <c r="N609" s="98"/>
      <c r="O609" s="98"/>
      <c r="P609" s="98"/>
      <c r="Q609" s="98"/>
      <c r="R609" s="98"/>
      <c r="S609" s="98"/>
    </row>
    <row r="610" spans="1:19" x14ac:dyDescent="0.25">
      <c r="B610" s="94" t="s">
        <v>108</v>
      </c>
      <c r="C610" s="95">
        <v>1</v>
      </c>
      <c r="D610" s="98">
        <f>$C610*VLOOKUP($B610,FoodDB!$A$2:$I$1016,3,0)</f>
        <v>0</v>
      </c>
      <c r="E610" s="98">
        <f>$C610*VLOOKUP($B610,FoodDB!$A$2:$I$1016,4,0)</f>
        <v>0</v>
      </c>
      <c r="F610" s="98">
        <f>$C610*VLOOKUP($B610,FoodDB!$A$2:$I$1016,5,0)</f>
        <v>0</v>
      </c>
      <c r="G610" s="98">
        <f>$C610*VLOOKUP($B610,FoodDB!$A$2:$I$1016,6,0)</f>
        <v>0</v>
      </c>
      <c r="H610" s="98">
        <f>$C610*VLOOKUP($B610,FoodDB!$A$2:$I$1016,7,0)</f>
        <v>0</v>
      </c>
      <c r="I610" s="98">
        <f>$C610*VLOOKUP($B610,FoodDB!$A$2:$I$1016,8,0)</f>
        <v>0</v>
      </c>
      <c r="J610" s="98">
        <f>$C610*VLOOKUP($B610,FoodDB!$A$2:$I$1016,9,0)</f>
        <v>0</v>
      </c>
      <c r="K610" s="98"/>
      <c r="L610" s="98"/>
      <c r="M610" s="98"/>
      <c r="N610" s="98"/>
      <c r="O610" s="98"/>
      <c r="P610" s="98"/>
      <c r="Q610" s="98"/>
      <c r="R610" s="98"/>
      <c r="S610" s="98"/>
    </row>
    <row r="611" spans="1:19" x14ac:dyDescent="0.25">
      <c r="B611" s="94" t="s">
        <v>108</v>
      </c>
      <c r="C611" s="95">
        <v>1</v>
      </c>
      <c r="D611" s="98">
        <f>$C611*VLOOKUP($B611,FoodDB!$A$2:$I$1016,3,0)</f>
        <v>0</v>
      </c>
      <c r="E611" s="98">
        <f>$C611*VLOOKUP($B611,FoodDB!$A$2:$I$1016,4,0)</f>
        <v>0</v>
      </c>
      <c r="F611" s="98">
        <f>$C611*VLOOKUP($B611,FoodDB!$A$2:$I$1016,5,0)</f>
        <v>0</v>
      </c>
      <c r="G611" s="98">
        <f>$C611*VLOOKUP($B611,FoodDB!$A$2:$I$1016,6,0)</f>
        <v>0</v>
      </c>
      <c r="H611" s="98">
        <f>$C611*VLOOKUP($B611,FoodDB!$A$2:$I$1016,7,0)</f>
        <v>0</v>
      </c>
      <c r="I611" s="98">
        <f>$C611*VLOOKUP($B611,FoodDB!$A$2:$I$1016,8,0)</f>
        <v>0</v>
      </c>
      <c r="J611" s="98">
        <f>$C611*VLOOKUP($B611,FoodDB!$A$2:$I$1016,9,0)</f>
        <v>0</v>
      </c>
      <c r="K611" s="98"/>
      <c r="L611" s="98"/>
      <c r="M611" s="98"/>
      <c r="N611" s="98"/>
      <c r="O611" s="98"/>
      <c r="P611" s="98"/>
      <c r="Q611" s="98"/>
      <c r="R611" s="98"/>
      <c r="S611" s="98"/>
    </row>
    <row r="612" spans="1:19" x14ac:dyDescent="0.25">
      <c r="B612" s="94" t="s">
        <v>108</v>
      </c>
      <c r="C612" s="95">
        <v>1</v>
      </c>
      <c r="D612" s="98">
        <f>$C612*VLOOKUP($B612,FoodDB!$A$2:$I$1016,3,0)</f>
        <v>0</v>
      </c>
      <c r="E612" s="98">
        <f>$C612*VLOOKUP($B612,FoodDB!$A$2:$I$1016,4,0)</f>
        <v>0</v>
      </c>
      <c r="F612" s="98">
        <f>$C612*VLOOKUP($B612,FoodDB!$A$2:$I$1016,5,0)</f>
        <v>0</v>
      </c>
      <c r="G612" s="98">
        <f>$C612*VLOOKUP($B612,FoodDB!$A$2:$I$1016,6,0)</f>
        <v>0</v>
      </c>
      <c r="H612" s="98">
        <f>$C612*VLOOKUP($B612,FoodDB!$A$2:$I$1016,7,0)</f>
        <v>0</v>
      </c>
      <c r="I612" s="98">
        <f>$C612*VLOOKUP($B612,FoodDB!$A$2:$I$1016,8,0)</f>
        <v>0</v>
      </c>
      <c r="J612" s="98">
        <f>$C612*VLOOKUP($B612,FoodDB!$A$2:$I$1016,9,0)</f>
        <v>0</v>
      </c>
      <c r="K612" s="98"/>
      <c r="L612" s="98"/>
      <c r="M612" s="98"/>
      <c r="N612" s="98"/>
      <c r="O612" s="98"/>
      <c r="P612" s="98"/>
      <c r="Q612" s="98"/>
      <c r="R612" s="98"/>
      <c r="S612" s="98"/>
    </row>
    <row r="613" spans="1:19" x14ac:dyDescent="0.25">
      <c r="B613" s="94" t="s">
        <v>108</v>
      </c>
      <c r="C613" s="95">
        <v>1</v>
      </c>
      <c r="D613" s="98">
        <f>$C613*VLOOKUP($B613,FoodDB!$A$2:$I$1016,3,0)</f>
        <v>0</v>
      </c>
      <c r="E613" s="98">
        <f>$C613*VLOOKUP($B613,FoodDB!$A$2:$I$1016,4,0)</f>
        <v>0</v>
      </c>
      <c r="F613" s="98">
        <f>$C613*VLOOKUP($B613,FoodDB!$A$2:$I$1016,5,0)</f>
        <v>0</v>
      </c>
      <c r="G613" s="98">
        <f>$C613*VLOOKUP($B613,FoodDB!$A$2:$I$1016,6,0)</f>
        <v>0</v>
      </c>
      <c r="H613" s="98">
        <f>$C613*VLOOKUP($B613,FoodDB!$A$2:$I$1016,7,0)</f>
        <v>0</v>
      </c>
      <c r="I613" s="98">
        <f>$C613*VLOOKUP($B613,FoodDB!$A$2:$I$1016,8,0)</f>
        <v>0</v>
      </c>
      <c r="J613" s="98">
        <f>$C613*VLOOKUP($B613,FoodDB!$A$2:$I$1016,9,0)</f>
        <v>0</v>
      </c>
      <c r="K613" s="98"/>
      <c r="L613" s="98"/>
      <c r="M613" s="98"/>
      <c r="N613" s="98"/>
      <c r="O613" s="98"/>
      <c r="P613" s="98"/>
      <c r="Q613" s="98"/>
      <c r="R613" s="98"/>
      <c r="S613" s="98"/>
    </row>
    <row r="614" spans="1:19" x14ac:dyDescent="0.25">
      <c r="B614" s="94" t="s">
        <v>108</v>
      </c>
      <c r="C614" s="95">
        <v>1</v>
      </c>
      <c r="D614" s="98">
        <f>$C614*VLOOKUP($B614,FoodDB!$A$2:$I$1016,3,0)</f>
        <v>0</v>
      </c>
      <c r="E614" s="98">
        <f>$C614*VLOOKUP($B614,FoodDB!$A$2:$I$1016,4,0)</f>
        <v>0</v>
      </c>
      <c r="F614" s="98">
        <f>$C614*VLOOKUP($B614,FoodDB!$A$2:$I$1016,5,0)</f>
        <v>0</v>
      </c>
      <c r="G614" s="98">
        <f>$C614*VLOOKUP($B614,FoodDB!$A$2:$I$1016,6,0)</f>
        <v>0</v>
      </c>
      <c r="H614" s="98">
        <f>$C614*VLOOKUP($B614,FoodDB!$A$2:$I$1016,7,0)</f>
        <v>0</v>
      </c>
      <c r="I614" s="98">
        <f>$C614*VLOOKUP($B614,FoodDB!$A$2:$I$1016,8,0)</f>
        <v>0</v>
      </c>
      <c r="J614" s="98">
        <f>$C614*VLOOKUP($B614,FoodDB!$A$2:$I$1016,9,0)</f>
        <v>0</v>
      </c>
      <c r="K614" s="98"/>
      <c r="L614" s="98"/>
      <c r="M614" s="98"/>
      <c r="N614" s="98"/>
      <c r="O614" s="98"/>
      <c r="P614" s="98"/>
      <c r="Q614" s="98"/>
      <c r="R614" s="98"/>
      <c r="S614" s="98"/>
    </row>
    <row r="615" spans="1:19" x14ac:dyDescent="0.25">
      <c r="A615" t="s">
        <v>98</v>
      </c>
      <c r="D615" s="98"/>
      <c r="E615" s="98"/>
      <c r="F615" s="98"/>
      <c r="G615" s="98">
        <f>SUM(G608:G614)</f>
        <v>0</v>
      </c>
      <c r="H615" s="98">
        <f>SUM(H608:H614)</f>
        <v>0</v>
      </c>
      <c r="I615" s="98">
        <f>SUM(I608:I614)</f>
        <v>0</v>
      </c>
      <c r="J615" s="98">
        <f>SUM(G615:I615)</f>
        <v>0</v>
      </c>
      <c r="K615" s="98"/>
      <c r="L615" s="98"/>
      <c r="M615" s="98"/>
      <c r="N615" s="98"/>
      <c r="O615" s="98"/>
      <c r="P615" s="98"/>
      <c r="Q615" s="98"/>
      <c r="R615" s="98"/>
      <c r="S615" s="98"/>
    </row>
    <row r="616" spans="1:19" x14ac:dyDescent="0.25">
      <c r="A616" t="s">
        <v>102</v>
      </c>
      <c r="B616" t="s">
        <v>103</v>
      </c>
      <c r="D616" s="98"/>
      <c r="E616" s="98"/>
      <c r="F616" s="98"/>
      <c r="G616" s="98">
        <f>VLOOKUP($A608,LossChart!$A$3:$AB$105,14,0)</f>
        <v>646.90233785045689</v>
      </c>
      <c r="H616" s="98">
        <f>VLOOKUP($A608,LossChart!$A$3:$AB$105,15,0)</f>
        <v>80</v>
      </c>
      <c r="I616" s="98">
        <f>VLOOKUP($A608,LossChart!$A$3:$AB$105,16,0)</f>
        <v>477.30407413615825</v>
      </c>
      <c r="J616" s="98">
        <f>VLOOKUP($A608,LossChart!$A$3:$AB$105,17,0)</f>
        <v>1204.2064119866152</v>
      </c>
      <c r="K616" s="98"/>
      <c r="L616" s="98"/>
      <c r="M616" s="98"/>
      <c r="N616" s="98"/>
      <c r="O616" s="98"/>
      <c r="P616" s="98"/>
      <c r="Q616" s="98"/>
      <c r="R616" s="98"/>
      <c r="S616" s="98"/>
    </row>
    <row r="617" spans="1:19" x14ac:dyDescent="0.25">
      <c r="A617" t="s">
        <v>104</v>
      </c>
      <c r="D617" s="98"/>
      <c r="E617" s="98"/>
      <c r="F617" s="98"/>
      <c r="G617" s="98">
        <f>G616-G615</f>
        <v>646.90233785045689</v>
      </c>
      <c r="H617" s="98">
        <f>H616-H615</f>
        <v>80</v>
      </c>
      <c r="I617" s="98">
        <f>I616-I615</f>
        <v>477.30407413615825</v>
      </c>
      <c r="J617" s="98">
        <f>J616-J615</f>
        <v>1204.2064119866152</v>
      </c>
      <c r="K617" s="98"/>
      <c r="L617" s="98"/>
      <c r="M617" s="98"/>
      <c r="N617" s="98"/>
      <c r="O617" s="98"/>
      <c r="P617" s="98"/>
      <c r="Q617" s="98"/>
      <c r="R617" s="98"/>
      <c r="S617" s="98"/>
    </row>
    <row r="619" spans="1:19" ht="60" x14ac:dyDescent="0.25">
      <c r="A619" s="21" t="s">
        <v>63</v>
      </c>
      <c r="B619" s="21" t="s">
        <v>93</v>
      </c>
      <c r="C619" s="21" t="s">
        <v>94</v>
      </c>
      <c r="D619" s="92" t="str">
        <f>FoodDB!$C$1</f>
        <v>Fat
(g)</v>
      </c>
      <c r="E619" s="92" t="str">
        <f>FoodDB!$D$1</f>
        <v xml:space="preserve"> Carbs
(g)</v>
      </c>
      <c r="F619" s="92" t="str">
        <f>FoodDB!$E$1</f>
        <v>Protein
(g)</v>
      </c>
      <c r="G619" s="92" t="str">
        <f>FoodDB!$F$1</f>
        <v>Fat
(Cal)</v>
      </c>
      <c r="H619" s="92" t="str">
        <f>FoodDB!$G$1</f>
        <v>Carb
(Cal)</v>
      </c>
      <c r="I619" s="92" t="str">
        <f>FoodDB!$H$1</f>
        <v>Protein
(Cal)</v>
      </c>
      <c r="J619" s="92" t="str">
        <f>FoodDB!$I$1</f>
        <v>Total
Calories</v>
      </c>
      <c r="K619" s="92"/>
      <c r="L619" s="92" t="s">
        <v>110</v>
      </c>
      <c r="M619" s="92" t="s">
        <v>111</v>
      </c>
      <c r="N619" s="92" t="s">
        <v>112</v>
      </c>
      <c r="O619" s="92" t="s">
        <v>113</v>
      </c>
      <c r="P619" s="92" t="s">
        <v>118</v>
      </c>
      <c r="Q619" s="92" t="s">
        <v>119</v>
      </c>
      <c r="R619" s="92" t="s">
        <v>120</v>
      </c>
      <c r="S619" s="92" t="s">
        <v>121</v>
      </c>
    </row>
    <row r="620" spans="1:19" x14ac:dyDescent="0.25">
      <c r="A620" s="93">
        <f>A608+1</f>
        <v>43045</v>
      </c>
      <c r="B620" s="94" t="s">
        <v>108</v>
      </c>
      <c r="C620" s="95">
        <v>1</v>
      </c>
      <c r="D620" s="98">
        <f>$C620*VLOOKUP($B620,FoodDB!$A$2:$I$1016,3,0)</f>
        <v>0</v>
      </c>
      <c r="E620" s="98">
        <f>$C620*VLOOKUP($B620,FoodDB!$A$2:$I$1016,4,0)</f>
        <v>0</v>
      </c>
      <c r="F620" s="98">
        <f>$C620*VLOOKUP($B620,FoodDB!$A$2:$I$1016,5,0)</f>
        <v>0</v>
      </c>
      <c r="G620" s="98">
        <f>$C620*VLOOKUP($B620,FoodDB!$A$2:$I$1016,6,0)</f>
        <v>0</v>
      </c>
      <c r="H620" s="98">
        <f>$C620*VLOOKUP($B620,FoodDB!$A$2:$I$1016,7,0)</f>
        <v>0</v>
      </c>
      <c r="I620" s="98">
        <f>$C620*VLOOKUP($B620,FoodDB!$A$2:$I$1016,8,0)</f>
        <v>0</v>
      </c>
      <c r="J620" s="98">
        <f>$C620*VLOOKUP($B620,FoodDB!$A$2:$I$1016,9,0)</f>
        <v>0</v>
      </c>
      <c r="K620" s="98"/>
      <c r="L620" s="98">
        <f>SUM(G620:G626)</f>
        <v>0</v>
      </c>
      <c r="M620" s="98">
        <f>SUM(H620:H626)</f>
        <v>0</v>
      </c>
      <c r="N620" s="98">
        <f>SUM(I620:I626)</f>
        <v>0</v>
      </c>
      <c r="O620" s="98">
        <f>SUM(L620:N620)</f>
        <v>0</v>
      </c>
      <c r="P620" s="98">
        <f>VLOOKUP($A620,LossChart!$A$3:$AB$105,14,0)-L620</f>
        <v>652.67507892442427</v>
      </c>
      <c r="Q620" s="98">
        <f>VLOOKUP($A620,LossChart!$A$3:$AB$105,15,0)-M620</f>
        <v>80</v>
      </c>
      <c r="R620" s="98">
        <f>VLOOKUP($A620,LossChart!$A$3:$AB$105,16,0)-N620</f>
        <v>477.30407413615825</v>
      </c>
      <c r="S620" s="98">
        <f>VLOOKUP($A620,LossChart!$A$3:$AB$105,17,0)-O620</f>
        <v>1209.9791530605826</v>
      </c>
    </row>
    <row r="621" spans="1:19" x14ac:dyDescent="0.25">
      <c r="B621" s="94" t="s">
        <v>108</v>
      </c>
      <c r="C621" s="95">
        <v>1</v>
      </c>
      <c r="D621" s="98">
        <f>$C621*VLOOKUP($B621,FoodDB!$A$2:$I$1016,3,0)</f>
        <v>0</v>
      </c>
      <c r="E621" s="98">
        <f>$C621*VLOOKUP($B621,FoodDB!$A$2:$I$1016,4,0)</f>
        <v>0</v>
      </c>
      <c r="F621" s="98">
        <f>$C621*VLOOKUP($B621,FoodDB!$A$2:$I$1016,5,0)</f>
        <v>0</v>
      </c>
      <c r="G621" s="98">
        <f>$C621*VLOOKUP($B621,FoodDB!$A$2:$I$1016,6,0)</f>
        <v>0</v>
      </c>
      <c r="H621" s="98">
        <f>$C621*VLOOKUP($B621,FoodDB!$A$2:$I$1016,7,0)</f>
        <v>0</v>
      </c>
      <c r="I621" s="98">
        <f>$C621*VLOOKUP($B621,FoodDB!$A$2:$I$1016,8,0)</f>
        <v>0</v>
      </c>
      <c r="J621" s="98">
        <f>$C621*VLOOKUP($B621,FoodDB!$A$2:$I$1016,9,0)</f>
        <v>0</v>
      </c>
      <c r="K621" s="98"/>
      <c r="L621" s="98"/>
      <c r="M621" s="98"/>
      <c r="N621" s="98"/>
      <c r="O621" s="98"/>
      <c r="P621" s="98"/>
      <c r="Q621" s="98"/>
      <c r="R621" s="98"/>
      <c r="S621" s="98"/>
    </row>
    <row r="622" spans="1:19" x14ac:dyDescent="0.25">
      <c r="B622" s="94" t="s">
        <v>108</v>
      </c>
      <c r="C622" s="95">
        <v>1</v>
      </c>
      <c r="D622" s="98">
        <f>$C622*VLOOKUP($B622,FoodDB!$A$2:$I$1016,3,0)</f>
        <v>0</v>
      </c>
      <c r="E622" s="98">
        <f>$C622*VLOOKUP($B622,FoodDB!$A$2:$I$1016,4,0)</f>
        <v>0</v>
      </c>
      <c r="F622" s="98">
        <f>$C622*VLOOKUP($B622,FoodDB!$A$2:$I$1016,5,0)</f>
        <v>0</v>
      </c>
      <c r="G622" s="98">
        <f>$C622*VLOOKUP($B622,FoodDB!$A$2:$I$1016,6,0)</f>
        <v>0</v>
      </c>
      <c r="H622" s="98">
        <f>$C622*VLOOKUP($B622,FoodDB!$A$2:$I$1016,7,0)</f>
        <v>0</v>
      </c>
      <c r="I622" s="98">
        <f>$C622*VLOOKUP($B622,FoodDB!$A$2:$I$1016,8,0)</f>
        <v>0</v>
      </c>
      <c r="J622" s="98">
        <f>$C622*VLOOKUP($B622,FoodDB!$A$2:$I$1016,9,0)</f>
        <v>0</v>
      </c>
      <c r="K622" s="98"/>
      <c r="L622" s="98"/>
      <c r="M622" s="98"/>
      <c r="N622" s="98"/>
      <c r="O622" s="98"/>
      <c r="P622" s="98"/>
      <c r="Q622" s="98"/>
      <c r="R622" s="98"/>
      <c r="S622" s="98"/>
    </row>
    <row r="623" spans="1:19" x14ac:dyDescent="0.25">
      <c r="B623" s="94" t="s">
        <v>108</v>
      </c>
      <c r="C623" s="95">
        <v>1</v>
      </c>
      <c r="D623" s="98">
        <f>$C623*VLOOKUP($B623,FoodDB!$A$2:$I$1016,3,0)</f>
        <v>0</v>
      </c>
      <c r="E623" s="98">
        <f>$C623*VLOOKUP($B623,FoodDB!$A$2:$I$1016,4,0)</f>
        <v>0</v>
      </c>
      <c r="F623" s="98">
        <f>$C623*VLOOKUP($B623,FoodDB!$A$2:$I$1016,5,0)</f>
        <v>0</v>
      </c>
      <c r="G623" s="98">
        <f>$C623*VLOOKUP($B623,FoodDB!$A$2:$I$1016,6,0)</f>
        <v>0</v>
      </c>
      <c r="H623" s="98">
        <f>$C623*VLOOKUP($B623,FoodDB!$A$2:$I$1016,7,0)</f>
        <v>0</v>
      </c>
      <c r="I623" s="98">
        <f>$C623*VLOOKUP($B623,FoodDB!$A$2:$I$1016,8,0)</f>
        <v>0</v>
      </c>
      <c r="J623" s="98">
        <f>$C623*VLOOKUP($B623,FoodDB!$A$2:$I$1016,9,0)</f>
        <v>0</v>
      </c>
      <c r="K623" s="98"/>
      <c r="L623" s="98"/>
      <c r="M623" s="98"/>
      <c r="N623" s="98"/>
      <c r="O623" s="98"/>
      <c r="P623" s="98"/>
      <c r="Q623" s="98"/>
      <c r="R623" s="98"/>
      <c r="S623" s="98"/>
    </row>
    <row r="624" spans="1:19" x14ac:dyDescent="0.25">
      <c r="B624" s="94" t="s">
        <v>108</v>
      </c>
      <c r="C624" s="95">
        <v>1</v>
      </c>
      <c r="D624" s="98">
        <f>$C624*VLOOKUP($B624,FoodDB!$A$2:$I$1016,3,0)</f>
        <v>0</v>
      </c>
      <c r="E624" s="98">
        <f>$C624*VLOOKUP($B624,FoodDB!$A$2:$I$1016,4,0)</f>
        <v>0</v>
      </c>
      <c r="F624" s="98">
        <f>$C624*VLOOKUP($B624,FoodDB!$A$2:$I$1016,5,0)</f>
        <v>0</v>
      </c>
      <c r="G624" s="98">
        <f>$C624*VLOOKUP($B624,FoodDB!$A$2:$I$1016,6,0)</f>
        <v>0</v>
      </c>
      <c r="H624" s="98">
        <f>$C624*VLOOKUP($B624,FoodDB!$A$2:$I$1016,7,0)</f>
        <v>0</v>
      </c>
      <c r="I624" s="98">
        <f>$C624*VLOOKUP($B624,FoodDB!$A$2:$I$1016,8,0)</f>
        <v>0</v>
      </c>
      <c r="J624" s="98">
        <f>$C624*VLOOKUP($B624,FoodDB!$A$2:$I$1016,9,0)</f>
        <v>0</v>
      </c>
      <c r="K624" s="98"/>
      <c r="L624" s="98"/>
      <c r="M624" s="98"/>
      <c r="N624" s="98"/>
      <c r="O624" s="98"/>
      <c r="P624" s="98"/>
      <c r="Q624" s="98"/>
      <c r="R624" s="98"/>
      <c r="S624" s="98"/>
    </row>
    <row r="625" spans="1:19" x14ac:dyDescent="0.25">
      <c r="B625" s="94" t="s">
        <v>108</v>
      </c>
      <c r="C625" s="95">
        <v>1</v>
      </c>
      <c r="D625" s="98">
        <f>$C625*VLOOKUP($B625,FoodDB!$A$2:$I$1016,3,0)</f>
        <v>0</v>
      </c>
      <c r="E625" s="98">
        <f>$C625*VLOOKUP($B625,FoodDB!$A$2:$I$1016,4,0)</f>
        <v>0</v>
      </c>
      <c r="F625" s="98">
        <f>$C625*VLOOKUP($B625,FoodDB!$A$2:$I$1016,5,0)</f>
        <v>0</v>
      </c>
      <c r="G625" s="98">
        <f>$C625*VLOOKUP($B625,FoodDB!$A$2:$I$1016,6,0)</f>
        <v>0</v>
      </c>
      <c r="H625" s="98">
        <f>$C625*VLOOKUP($B625,FoodDB!$A$2:$I$1016,7,0)</f>
        <v>0</v>
      </c>
      <c r="I625" s="98">
        <f>$C625*VLOOKUP($B625,FoodDB!$A$2:$I$1016,8,0)</f>
        <v>0</v>
      </c>
      <c r="J625" s="98">
        <f>$C625*VLOOKUP($B625,FoodDB!$A$2:$I$1016,9,0)</f>
        <v>0</v>
      </c>
      <c r="K625" s="98"/>
      <c r="L625" s="98"/>
      <c r="M625" s="98"/>
      <c r="N625" s="98"/>
      <c r="O625" s="98"/>
      <c r="P625" s="98"/>
      <c r="Q625" s="98"/>
      <c r="R625" s="98"/>
      <c r="S625" s="98"/>
    </row>
    <row r="626" spans="1:19" x14ac:dyDescent="0.25">
      <c r="B626" s="94" t="s">
        <v>108</v>
      </c>
      <c r="C626" s="95">
        <v>1</v>
      </c>
      <c r="D626" s="98">
        <f>$C626*VLOOKUP($B626,FoodDB!$A$2:$I$1016,3,0)</f>
        <v>0</v>
      </c>
      <c r="E626" s="98">
        <f>$C626*VLOOKUP($B626,FoodDB!$A$2:$I$1016,4,0)</f>
        <v>0</v>
      </c>
      <c r="F626" s="98">
        <f>$C626*VLOOKUP($B626,FoodDB!$A$2:$I$1016,5,0)</f>
        <v>0</v>
      </c>
      <c r="G626" s="98">
        <f>$C626*VLOOKUP($B626,FoodDB!$A$2:$I$1016,6,0)</f>
        <v>0</v>
      </c>
      <c r="H626" s="98">
        <f>$C626*VLOOKUP($B626,FoodDB!$A$2:$I$1016,7,0)</f>
        <v>0</v>
      </c>
      <c r="I626" s="98">
        <f>$C626*VLOOKUP($B626,FoodDB!$A$2:$I$1016,8,0)</f>
        <v>0</v>
      </c>
      <c r="J626" s="98">
        <f>$C626*VLOOKUP($B626,FoodDB!$A$2:$I$1016,9,0)</f>
        <v>0</v>
      </c>
      <c r="K626" s="98"/>
      <c r="L626" s="98"/>
      <c r="M626" s="98"/>
      <c r="N626" s="98"/>
      <c r="O626" s="98"/>
      <c r="P626" s="98"/>
      <c r="Q626" s="98"/>
      <c r="R626" s="98"/>
      <c r="S626" s="98"/>
    </row>
    <row r="627" spans="1:19" x14ac:dyDescent="0.25">
      <c r="A627" t="s">
        <v>98</v>
      </c>
      <c r="D627" s="98"/>
      <c r="E627" s="98"/>
      <c r="F627" s="98"/>
      <c r="G627" s="98">
        <f>SUM(G620:G626)</f>
        <v>0</v>
      </c>
      <c r="H627" s="98">
        <f>SUM(H620:H626)</f>
        <v>0</v>
      </c>
      <c r="I627" s="98">
        <f>SUM(I620:I626)</f>
        <v>0</v>
      </c>
      <c r="J627" s="98">
        <f>SUM(G627:I627)</f>
        <v>0</v>
      </c>
      <c r="K627" s="98"/>
      <c r="L627" s="98"/>
      <c r="M627" s="98"/>
      <c r="N627" s="98"/>
      <c r="O627" s="98"/>
      <c r="P627" s="98"/>
      <c r="Q627" s="98"/>
      <c r="R627" s="98"/>
      <c r="S627" s="98"/>
    </row>
    <row r="628" spans="1:19" x14ac:dyDescent="0.25">
      <c r="A628" t="s">
        <v>102</v>
      </c>
      <c r="B628" t="s">
        <v>103</v>
      </c>
      <c r="D628" s="98"/>
      <c r="E628" s="98"/>
      <c r="F628" s="98"/>
      <c r="G628" s="98">
        <f>VLOOKUP($A620,LossChart!$A$3:$AB$105,14,0)</f>
        <v>652.67507892442427</v>
      </c>
      <c r="H628" s="98">
        <f>VLOOKUP($A620,LossChart!$A$3:$AB$105,15,0)</f>
        <v>80</v>
      </c>
      <c r="I628" s="98">
        <f>VLOOKUP($A620,LossChart!$A$3:$AB$105,16,0)</f>
        <v>477.30407413615825</v>
      </c>
      <c r="J628" s="98">
        <f>VLOOKUP($A620,LossChart!$A$3:$AB$105,17,0)</f>
        <v>1209.9791530605826</v>
      </c>
      <c r="K628" s="98"/>
      <c r="L628" s="98"/>
      <c r="M628" s="98"/>
      <c r="N628" s="98"/>
      <c r="O628" s="98"/>
      <c r="P628" s="98"/>
      <c r="Q628" s="98"/>
      <c r="R628" s="98"/>
      <c r="S628" s="98"/>
    </row>
    <row r="629" spans="1:19" x14ac:dyDescent="0.25">
      <c r="A629" t="s">
        <v>104</v>
      </c>
      <c r="D629" s="98"/>
      <c r="E629" s="98"/>
      <c r="F629" s="98"/>
      <c r="G629" s="98">
        <f>G628-G627</f>
        <v>652.67507892442427</v>
      </c>
      <c r="H629" s="98">
        <f>H628-H627</f>
        <v>80</v>
      </c>
      <c r="I629" s="98">
        <f>I628-I627</f>
        <v>477.30407413615825</v>
      </c>
      <c r="J629" s="98">
        <f>J628-J627</f>
        <v>1209.9791530605826</v>
      </c>
      <c r="K629" s="98"/>
      <c r="L629" s="98"/>
      <c r="M629" s="98"/>
      <c r="N629" s="98"/>
      <c r="O629" s="98"/>
      <c r="P629" s="98"/>
      <c r="Q629" s="98"/>
      <c r="R629" s="98"/>
      <c r="S629" s="98"/>
    </row>
    <row r="631" spans="1:19" ht="60" x14ac:dyDescent="0.25">
      <c r="A631" s="21" t="s">
        <v>63</v>
      </c>
      <c r="B631" s="21" t="s">
        <v>93</v>
      </c>
      <c r="C631" s="21" t="s">
        <v>94</v>
      </c>
      <c r="D631" s="92" t="str">
        <f>FoodDB!$C$1</f>
        <v>Fat
(g)</v>
      </c>
      <c r="E631" s="92" t="str">
        <f>FoodDB!$D$1</f>
        <v xml:space="preserve"> Carbs
(g)</v>
      </c>
      <c r="F631" s="92" t="str">
        <f>FoodDB!$E$1</f>
        <v>Protein
(g)</v>
      </c>
      <c r="G631" s="92" t="str">
        <f>FoodDB!$F$1</f>
        <v>Fat
(Cal)</v>
      </c>
      <c r="H631" s="92" t="str">
        <f>FoodDB!$G$1</f>
        <v>Carb
(Cal)</v>
      </c>
      <c r="I631" s="92" t="str">
        <f>FoodDB!$H$1</f>
        <v>Protein
(Cal)</v>
      </c>
      <c r="J631" s="92" t="str">
        <f>FoodDB!$I$1</f>
        <v>Total
Calories</v>
      </c>
      <c r="K631" s="92"/>
      <c r="L631" s="92" t="s">
        <v>110</v>
      </c>
      <c r="M631" s="92" t="s">
        <v>111</v>
      </c>
      <c r="N631" s="92" t="s">
        <v>112</v>
      </c>
      <c r="O631" s="92" t="s">
        <v>113</v>
      </c>
      <c r="P631" s="92" t="s">
        <v>118</v>
      </c>
      <c r="Q631" s="92" t="s">
        <v>119</v>
      </c>
      <c r="R631" s="92" t="s">
        <v>120</v>
      </c>
      <c r="S631" s="92" t="s">
        <v>121</v>
      </c>
    </row>
    <row r="632" spans="1:19" x14ac:dyDescent="0.25">
      <c r="A632" s="93">
        <f>A620+1</f>
        <v>43046</v>
      </c>
      <c r="B632" s="94" t="s">
        <v>108</v>
      </c>
      <c r="C632" s="95">
        <v>1</v>
      </c>
      <c r="D632" s="98">
        <f>$C632*VLOOKUP($B632,FoodDB!$A$2:$I$1016,3,0)</f>
        <v>0</v>
      </c>
      <c r="E632" s="98">
        <f>$C632*VLOOKUP($B632,FoodDB!$A$2:$I$1016,4,0)</f>
        <v>0</v>
      </c>
      <c r="F632" s="98">
        <f>$C632*VLOOKUP($B632,FoodDB!$A$2:$I$1016,5,0)</f>
        <v>0</v>
      </c>
      <c r="G632" s="98">
        <f>$C632*VLOOKUP($B632,FoodDB!$A$2:$I$1016,6,0)</f>
        <v>0</v>
      </c>
      <c r="H632" s="98">
        <f>$C632*VLOOKUP($B632,FoodDB!$A$2:$I$1016,7,0)</f>
        <v>0</v>
      </c>
      <c r="I632" s="98">
        <f>$C632*VLOOKUP($B632,FoodDB!$A$2:$I$1016,8,0)</f>
        <v>0</v>
      </c>
      <c r="J632" s="98">
        <f>$C632*VLOOKUP($B632,FoodDB!$A$2:$I$1016,9,0)</f>
        <v>0</v>
      </c>
      <c r="K632" s="98"/>
      <c r="L632" s="98">
        <f>SUM(G632:G638)</f>
        <v>0</v>
      </c>
      <c r="M632" s="98">
        <f>SUM(H632:H638)</f>
        <v>0</v>
      </c>
      <c r="N632" s="98">
        <f>SUM(I632:I638)</f>
        <v>0</v>
      </c>
      <c r="O632" s="98">
        <f>SUM(L632:N632)</f>
        <v>0</v>
      </c>
      <c r="P632" s="98">
        <f>VLOOKUP($A632,LossChart!$A$3:$AB$105,14,0)-L632</f>
        <v>658.39669000602225</v>
      </c>
      <c r="Q632" s="98">
        <f>VLOOKUP($A632,LossChart!$A$3:$AB$105,15,0)-M632</f>
        <v>80</v>
      </c>
      <c r="R632" s="98">
        <f>VLOOKUP($A632,LossChart!$A$3:$AB$105,16,0)-N632</f>
        <v>477.30407413615825</v>
      </c>
      <c r="S632" s="98">
        <f>VLOOKUP($A632,LossChart!$A$3:$AB$105,17,0)-O632</f>
        <v>1215.7007641421806</v>
      </c>
    </row>
    <row r="633" spans="1:19" x14ac:dyDescent="0.25">
      <c r="B633" s="94" t="s">
        <v>108</v>
      </c>
      <c r="C633" s="95">
        <v>1</v>
      </c>
      <c r="D633" s="98">
        <f>$C633*VLOOKUP($B633,FoodDB!$A$2:$I$1016,3,0)</f>
        <v>0</v>
      </c>
      <c r="E633" s="98">
        <f>$C633*VLOOKUP($B633,FoodDB!$A$2:$I$1016,4,0)</f>
        <v>0</v>
      </c>
      <c r="F633" s="98">
        <f>$C633*VLOOKUP($B633,FoodDB!$A$2:$I$1016,5,0)</f>
        <v>0</v>
      </c>
      <c r="G633" s="98">
        <f>$C633*VLOOKUP($B633,FoodDB!$A$2:$I$1016,6,0)</f>
        <v>0</v>
      </c>
      <c r="H633" s="98">
        <f>$C633*VLOOKUP($B633,FoodDB!$A$2:$I$1016,7,0)</f>
        <v>0</v>
      </c>
      <c r="I633" s="98">
        <f>$C633*VLOOKUP($B633,FoodDB!$A$2:$I$1016,8,0)</f>
        <v>0</v>
      </c>
      <c r="J633" s="98">
        <f>$C633*VLOOKUP($B633,FoodDB!$A$2:$I$1016,9,0)</f>
        <v>0</v>
      </c>
      <c r="K633" s="98"/>
      <c r="L633" s="98"/>
      <c r="M633" s="98"/>
      <c r="N633" s="98"/>
      <c r="O633" s="98"/>
      <c r="P633" s="98"/>
      <c r="Q633" s="98"/>
      <c r="R633" s="98"/>
      <c r="S633" s="98"/>
    </row>
    <row r="634" spans="1:19" x14ac:dyDescent="0.25">
      <c r="B634" s="94" t="s">
        <v>108</v>
      </c>
      <c r="C634" s="95">
        <v>1</v>
      </c>
      <c r="D634" s="98">
        <f>$C634*VLOOKUP($B634,FoodDB!$A$2:$I$1016,3,0)</f>
        <v>0</v>
      </c>
      <c r="E634" s="98">
        <f>$C634*VLOOKUP($B634,FoodDB!$A$2:$I$1016,4,0)</f>
        <v>0</v>
      </c>
      <c r="F634" s="98">
        <f>$C634*VLOOKUP($B634,FoodDB!$A$2:$I$1016,5,0)</f>
        <v>0</v>
      </c>
      <c r="G634" s="98">
        <f>$C634*VLOOKUP($B634,FoodDB!$A$2:$I$1016,6,0)</f>
        <v>0</v>
      </c>
      <c r="H634" s="98">
        <f>$C634*VLOOKUP($B634,FoodDB!$A$2:$I$1016,7,0)</f>
        <v>0</v>
      </c>
      <c r="I634" s="98">
        <f>$C634*VLOOKUP($B634,FoodDB!$A$2:$I$1016,8,0)</f>
        <v>0</v>
      </c>
      <c r="J634" s="98">
        <f>$C634*VLOOKUP($B634,FoodDB!$A$2:$I$1016,9,0)</f>
        <v>0</v>
      </c>
      <c r="K634" s="98"/>
      <c r="L634" s="98"/>
      <c r="M634" s="98"/>
      <c r="N634" s="98"/>
      <c r="O634" s="98"/>
      <c r="P634" s="98"/>
      <c r="Q634" s="98"/>
      <c r="R634" s="98"/>
      <c r="S634" s="98"/>
    </row>
    <row r="635" spans="1:19" x14ac:dyDescent="0.25">
      <c r="B635" s="94" t="s">
        <v>108</v>
      </c>
      <c r="C635" s="95">
        <v>1</v>
      </c>
      <c r="D635" s="98">
        <f>$C635*VLOOKUP($B635,FoodDB!$A$2:$I$1016,3,0)</f>
        <v>0</v>
      </c>
      <c r="E635" s="98">
        <f>$C635*VLOOKUP($B635,FoodDB!$A$2:$I$1016,4,0)</f>
        <v>0</v>
      </c>
      <c r="F635" s="98">
        <f>$C635*VLOOKUP($B635,FoodDB!$A$2:$I$1016,5,0)</f>
        <v>0</v>
      </c>
      <c r="G635" s="98">
        <f>$C635*VLOOKUP($B635,FoodDB!$A$2:$I$1016,6,0)</f>
        <v>0</v>
      </c>
      <c r="H635" s="98">
        <f>$C635*VLOOKUP($B635,FoodDB!$A$2:$I$1016,7,0)</f>
        <v>0</v>
      </c>
      <c r="I635" s="98">
        <f>$C635*VLOOKUP($B635,FoodDB!$A$2:$I$1016,8,0)</f>
        <v>0</v>
      </c>
      <c r="J635" s="98">
        <f>$C635*VLOOKUP($B635,FoodDB!$A$2:$I$1016,9,0)</f>
        <v>0</v>
      </c>
      <c r="K635" s="98"/>
      <c r="L635" s="98"/>
      <c r="M635" s="98"/>
      <c r="N635" s="98"/>
      <c r="O635" s="98"/>
      <c r="P635" s="98"/>
      <c r="Q635" s="98"/>
      <c r="R635" s="98"/>
      <c r="S635" s="98"/>
    </row>
    <row r="636" spans="1:19" x14ac:dyDescent="0.25">
      <c r="B636" s="94" t="s">
        <v>108</v>
      </c>
      <c r="C636" s="95">
        <v>1</v>
      </c>
      <c r="D636" s="98">
        <f>$C636*VLOOKUP($B636,FoodDB!$A$2:$I$1016,3,0)</f>
        <v>0</v>
      </c>
      <c r="E636" s="98">
        <f>$C636*VLOOKUP($B636,FoodDB!$A$2:$I$1016,4,0)</f>
        <v>0</v>
      </c>
      <c r="F636" s="98">
        <f>$C636*VLOOKUP($B636,FoodDB!$A$2:$I$1016,5,0)</f>
        <v>0</v>
      </c>
      <c r="G636" s="98">
        <f>$C636*VLOOKUP($B636,FoodDB!$A$2:$I$1016,6,0)</f>
        <v>0</v>
      </c>
      <c r="H636" s="98">
        <f>$C636*VLOOKUP($B636,FoodDB!$A$2:$I$1016,7,0)</f>
        <v>0</v>
      </c>
      <c r="I636" s="98">
        <f>$C636*VLOOKUP($B636,FoodDB!$A$2:$I$1016,8,0)</f>
        <v>0</v>
      </c>
      <c r="J636" s="98">
        <f>$C636*VLOOKUP($B636,FoodDB!$A$2:$I$1016,9,0)</f>
        <v>0</v>
      </c>
      <c r="K636" s="98"/>
      <c r="L636" s="98"/>
      <c r="M636" s="98"/>
      <c r="N636" s="98"/>
      <c r="O636" s="98"/>
      <c r="P636" s="98"/>
      <c r="Q636" s="98"/>
      <c r="R636" s="98"/>
      <c r="S636" s="98"/>
    </row>
    <row r="637" spans="1:19" x14ac:dyDescent="0.25">
      <c r="B637" s="94" t="s">
        <v>108</v>
      </c>
      <c r="C637" s="95">
        <v>1</v>
      </c>
      <c r="D637" s="98">
        <f>$C637*VLOOKUP($B637,FoodDB!$A$2:$I$1016,3,0)</f>
        <v>0</v>
      </c>
      <c r="E637" s="98">
        <f>$C637*VLOOKUP($B637,FoodDB!$A$2:$I$1016,4,0)</f>
        <v>0</v>
      </c>
      <c r="F637" s="98">
        <f>$C637*VLOOKUP($B637,FoodDB!$A$2:$I$1016,5,0)</f>
        <v>0</v>
      </c>
      <c r="G637" s="98">
        <f>$C637*VLOOKUP($B637,FoodDB!$A$2:$I$1016,6,0)</f>
        <v>0</v>
      </c>
      <c r="H637" s="98">
        <f>$C637*VLOOKUP($B637,FoodDB!$A$2:$I$1016,7,0)</f>
        <v>0</v>
      </c>
      <c r="I637" s="98">
        <f>$C637*VLOOKUP($B637,FoodDB!$A$2:$I$1016,8,0)</f>
        <v>0</v>
      </c>
      <c r="J637" s="98">
        <f>$C637*VLOOKUP($B637,FoodDB!$A$2:$I$1016,9,0)</f>
        <v>0</v>
      </c>
      <c r="K637" s="98"/>
      <c r="L637" s="98"/>
      <c r="M637" s="98"/>
      <c r="N637" s="98"/>
      <c r="O637" s="98"/>
      <c r="P637" s="98"/>
      <c r="Q637" s="98"/>
      <c r="R637" s="98"/>
      <c r="S637" s="98"/>
    </row>
    <row r="638" spans="1:19" x14ac:dyDescent="0.25">
      <c r="B638" s="94" t="s">
        <v>108</v>
      </c>
      <c r="C638" s="95">
        <v>1</v>
      </c>
      <c r="D638" s="98">
        <f>$C638*VLOOKUP($B638,FoodDB!$A$2:$I$1016,3,0)</f>
        <v>0</v>
      </c>
      <c r="E638" s="98">
        <f>$C638*VLOOKUP($B638,FoodDB!$A$2:$I$1016,4,0)</f>
        <v>0</v>
      </c>
      <c r="F638" s="98">
        <f>$C638*VLOOKUP($B638,FoodDB!$A$2:$I$1016,5,0)</f>
        <v>0</v>
      </c>
      <c r="G638" s="98">
        <f>$C638*VLOOKUP($B638,FoodDB!$A$2:$I$1016,6,0)</f>
        <v>0</v>
      </c>
      <c r="H638" s="98">
        <f>$C638*VLOOKUP($B638,FoodDB!$A$2:$I$1016,7,0)</f>
        <v>0</v>
      </c>
      <c r="I638" s="98">
        <f>$C638*VLOOKUP($B638,FoodDB!$A$2:$I$1016,8,0)</f>
        <v>0</v>
      </c>
      <c r="J638" s="98">
        <f>$C638*VLOOKUP($B638,FoodDB!$A$2:$I$1016,9,0)</f>
        <v>0</v>
      </c>
      <c r="K638" s="98"/>
      <c r="L638" s="98"/>
      <c r="M638" s="98"/>
      <c r="N638" s="98"/>
      <c r="O638" s="98"/>
      <c r="P638" s="98"/>
      <c r="Q638" s="98"/>
      <c r="R638" s="98"/>
      <c r="S638" s="98"/>
    </row>
    <row r="639" spans="1:19" x14ac:dyDescent="0.25">
      <c r="A639" t="s">
        <v>98</v>
      </c>
      <c r="D639" s="98"/>
      <c r="E639" s="98"/>
      <c r="F639" s="98"/>
      <c r="G639" s="98">
        <f>SUM(G632:G638)</f>
        <v>0</v>
      </c>
      <c r="H639" s="98">
        <f>SUM(H632:H638)</f>
        <v>0</v>
      </c>
      <c r="I639" s="98">
        <f>SUM(I632:I638)</f>
        <v>0</v>
      </c>
      <c r="J639" s="98">
        <f>SUM(G639:I639)</f>
        <v>0</v>
      </c>
      <c r="K639" s="98"/>
      <c r="L639" s="98"/>
      <c r="M639" s="98"/>
      <c r="N639" s="98"/>
      <c r="O639" s="98"/>
      <c r="P639" s="98"/>
      <c r="Q639" s="98"/>
      <c r="R639" s="98"/>
      <c r="S639" s="98"/>
    </row>
    <row r="640" spans="1:19" x14ac:dyDescent="0.25">
      <c r="A640" t="s">
        <v>102</v>
      </c>
      <c r="B640" t="s">
        <v>103</v>
      </c>
      <c r="D640" s="98"/>
      <c r="E640" s="98"/>
      <c r="F640" s="98"/>
      <c r="G640" s="98">
        <f>VLOOKUP($A632,LossChart!$A$3:$AB$105,14,0)</f>
        <v>658.39669000602225</v>
      </c>
      <c r="H640" s="98">
        <f>VLOOKUP($A632,LossChart!$A$3:$AB$105,15,0)</f>
        <v>80</v>
      </c>
      <c r="I640" s="98">
        <f>VLOOKUP($A632,LossChart!$A$3:$AB$105,16,0)</f>
        <v>477.30407413615825</v>
      </c>
      <c r="J640" s="98">
        <f>VLOOKUP($A632,LossChart!$A$3:$AB$105,17,0)</f>
        <v>1215.7007641421806</v>
      </c>
      <c r="K640" s="98"/>
      <c r="L640" s="98"/>
      <c r="M640" s="98"/>
      <c r="N640" s="98"/>
      <c r="O640" s="98"/>
      <c r="P640" s="98"/>
      <c r="Q640" s="98"/>
      <c r="R640" s="98"/>
      <c r="S640" s="98"/>
    </row>
    <row r="641" spans="1:19" x14ac:dyDescent="0.25">
      <c r="A641" t="s">
        <v>104</v>
      </c>
      <c r="D641" s="98"/>
      <c r="E641" s="98"/>
      <c r="F641" s="98"/>
      <c r="G641" s="98">
        <f>G640-G639</f>
        <v>658.39669000602225</v>
      </c>
      <c r="H641" s="98">
        <f>H640-H639</f>
        <v>80</v>
      </c>
      <c r="I641" s="98">
        <f>I640-I639</f>
        <v>477.30407413615825</v>
      </c>
      <c r="J641" s="98">
        <f>J640-J639</f>
        <v>1215.7007641421806</v>
      </c>
      <c r="K641" s="98"/>
      <c r="L641" s="98"/>
      <c r="M641" s="98"/>
      <c r="N641" s="98"/>
      <c r="O641" s="98"/>
      <c r="P641" s="98"/>
      <c r="Q641" s="98"/>
      <c r="R641" s="98"/>
      <c r="S641" s="98"/>
    </row>
    <row r="643" spans="1:19" ht="60" x14ac:dyDescent="0.25">
      <c r="A643" s="21" t="s">
        <v>63</v>
      </c>
      <c r="B643" s="21" t="s">
        <v>93</v>
      </c>
      <c r="C643" s="21" t="s">
        <v>94</v>
      </c>
      <c r="D643" s="92" t="str">
        <f>FoodDB!$C$1</f>
        <v>Fat
(g)</v>
      </c>
      <c r="E643" s="92" t="str">
        <f>FoodDB!$D$1</f>
        <v xml:space="preserve"> Carbs
(g)</v>
      </c>
      <c r="F643" s="92" t="str">
        <f>FoodDB!$E$1</f>
        <v>Protein
(g)</v>
      </c>
      <c r="G643" s="92" t="str">
        <f>FoodDB!$F$1</f>
        <v>Fat
(Cal)</v>
      </c>
      <c r="H643" s="92" t="str">
        <f>FoodDB!$G$1</f>
        <v>Carb
(Cal)</v>
      </c>
      <c r="I643" s="92" t="str">
        <f>FoodDB!$H$1</f>
        <v>Protein
(Cal)</v>
      </c>
      <c r="J643" s="92" t="str">
        <f>FoodDB!$I$1</f>
        <v>Total
Calories</v>
      </c>
      <c r="K643" s="92"/>
      <c r="L643" s="92" t="s">
        <v>110</v>
      </c>
      <c r="M643" s="92" t="s">
        <v>111</v>
      </c>
      <c r="N643" s="92" t="s">
        <v>112</v>
      </c>
      <c r="O643" s="92" t="s">
        <v>113</v>
      </c>
      <c r="P643" s="92" t="s">
        <v>118</v>
      </c>
      <c r="Q643" s="92" t="s">
        <v>119</v>
      </c>
      <c r="R643" s="92" t="s">
        <v>120</v>
      </c>
      <c r="S643" s="92" t="s">
        <v>121</v>
      </c>
    </row>
    <row r="644" spans="1:19" x14ac:dyDescent="0.25">
      <c r="A644" s="93">
        <f>A632+1</f>
        <v>43047</v>
      </c>
      <c r="B644" s="94" t="s">
        <v>108</v>
      </c>
      <c r="C644" s="95">
        <v>1</v>
      </c>
      <c r="D644" s="98">
        <f>$C644*VLOOKUP($B644,FoodDB!$A$2:$I$1016,3,0)</f>
        <v>0</v>
      </c>
      <c r="E644" s="98">
        <f>$C644*VLOOKUP($B644,FoodDB!$A$2:$I$1016,4,0)</f>
        <v>0</v>
      </c>
      <c r="F644" s="98">
        <f>$C644*VLOOKUP($B644,FoodDB!$A$2:$I$1016,5,0)</f>
        <v>0</v>
      </c>
      <c r="G644" s="98">
        <f>$C644*VLOOKUP($B644,FoodDB!$A$2:$I$1016,6,0)</f>
        <v>0</v>
      </c>
      <c r="H644" s="98">
        <f>$C644*VLOOKUP($B644,FoodDB!$A$2:$I$1016,7,0)</f>
        <v>0</v>
      </c>
      <c r="I644" s="98">
        <f>$C644*VLOOKUP($B644,FoodDB!$A$2:$I$1016,8,0)</f>
        <v>0</v>
      </c>
      <c r="J644" s="98">
        <f>$C644*VLOOKUP($B644,FoodDB!$A$2:$I$1016,9,0)</f>
        <v>0</v>
      </c>
      <c r="K644" s="98"/>
      <c r="L644" s="98">
        <f>SUM(G644:G650)</f>
        <v>0</v>
      </c>
      <c r="M644" s="98">
        <f>SUM(H644:H650)</f>
        <v>0</v>
      </c>
      <c r="N644" s="98">
        <f>SUM(I644:I650)</f>
        <v>0</v>
      </c>
      <c r="O644" s="98">
        <f>SUM(L644:N644)</f>
        <v>0</v>
      </c>
      <c r="P644" s="98">
        <f>VLOOKUP($A644,LossChart!$A$3:$AB$105,14,0)-L644</f>
        <v>664.06762396089744</v>
      </c>
      <c r="Q644" s="98">
        <f>VLOOKUP($A644,LossChart!$A$3:$AB$105,15,0)-M644</f>
        <v>80</v>
      </c>
      <c r="R644" s="98">
        <f>VLOOKUP($A644,LossChart!$A$3:$AB$105,16,0)-N644</f>
        <v>477.30407413615825</v>
      </c>
      <c r="S644" s="98">
        <f>VLOOKUP($A644,LossChart!$A$3:$AB$105,17,0)-O644</f>
        <v>1221.3716980970557</v>
      </c>
    </row>
    <row r="645" spans="1:19" x14ac:dyDescent="0.25">
      <c r="B645" s="94" t="s">
        <v>108</v>
      </c>
      <c r="C645" s="95">
        <v>1</v>
      </c>
      <c r="D645" s="98">
        <f>$C645*VLOOKUP($B645,FoodDB!$A$2:$I$1016,3,0)</f>
        <v>0</v>
      </c>
      <c r="E645" s="98">
        <f>$C645*VLOOKUP($B645,FoodDB!$A$2:$I$1016,4,0)</f>
        <v>0</v>
      </c>
      <c r="F645" s="98">
        <f>$C645*VLOOKUP($B645,FoodDB!$A$2:$I$1016,5,0)</f>
        <v>0</v>
      </c>
      <c r="G645" s="98">
        <f>$C645*VLOOKUP($B645,FoodDB!$A$2:$I$1016,6,0)</f>
        <v>0</v>
      </c>
      <c r="H645" s="98">
        <f>$C645*VLOOKUP($B645,FoodDB!$A$2:$I$1016,7,0)</f>
        <v>0</v>
      </c>
      <c r="I645" s="98">
        <f>$C645*VLOOKUP($B645,FoodDB!$A$2:$I$1016,8,0)</f>
        <v>0</v>
      </c>
      <c r="J645" s="98">
        <f>$C645*VLOOKUP($B645,FoodDB!$A$2:$I$1016,9,0)</f>
        <v>0</v>
      </c>
      <c r="K645" s="98"/>
      <c r="L645" s="98"/>
      <c r="M645" s="98"/>
      <c r="N645" s="98"/>
      <c r="O645" s="98"/>
      <c r="P645" s="98"/>
      <c r="Q645" s="98"/>
      <c r="R645" s="98"/>
      <c r="S645" s="98"/>
    </row>
    <row r="646" spans="1:19" x14ac:dyDescent="0.25">
      <c r="B646" s="94" t="s">
        <v>108</v>
      </c>
      <c r="C646" s="95">
        <v>1</v>
      </c>
      <c r="D646" s="98">
        <f>$C646*VLOOKUP($B646,FoodDB!$A$2:$I$1016,3,0)</f>
        <v>0</v>
      </c>
      <c r="E646" s="98">
        <f>$C646*VLOOKUP($B646,FoodDB!$A$2:$I$1016,4,0)</f>
        <v>0</v>
      </c>
      <c r="F646" s="98">
        <f>$C646*VLOOKUP($B646,FoodDB!$A$2:$I$1016,5,0)</f>
        <v>0</v>
      </c>
      <c r="G646" s="98">
        <f>$C646*VLOOKUP($B646,FoodDB!$A$2:$I$1016,6,0)</f>
        <v>0</v>
      </c>
      <c r="H646" s="98">
        <f>$C646*VLOOKUP($B646,FoodDB!$A$2:$I$1016,7,0)</f>
        <v>0</v>
      </c>
      <c r="I646" s="98">
        <f>$C646*VLOOKUP($B646,FoodDB!$A$2:$I$1016,8,0)</f>
        <v>0</v>
      </c>
      <c r="J646" s="98">
        <f>$C646*VLOOKUP($B646,FoodDB!$A$2:$I$1016,9,0)</f>
        <v>0</v>
      </c>
      <c r="K646" s="98"/>
      <c r="L646" s="98"/>
      <c r="M646" s="98"/>
      <c r="N646" s="98"/>
      <c r="O646" s="98"/>
      <c r="P646" s="98"/>
      <c r="Q646" s="98"/>
      <c r="R646" s="98"/>
      <c r="S646" s="98"/>
    </row>
    <row r="647" spans="1:19" x14ac:dyDescent="0.25">
      <c r="B647" s="94" t="s">
        <v>108</v>
      </c>
      <c r="C647" s="95">
        <v>1</v>
      </c>
      <c r="D647" s="98">
        <f>$C647*VLOOKUP($B647,FoodDB!$A$2:$I$1016,3,0)</f>
        <v>0</v>
      </c>
      <c r="E647" s="98">
        <f>$C647*VLOOKUP($B647,FoodDB!$A$2:$I$1016,4,0)</f>
        <v>0</v>
      </c>
      <c r="F647" s="98">
        <f>$C647*VLOOKUP($B647,FoodDB!$A$2:$I$1016,5,0)</f>
        <v>0</v>
      </c>
      <c r="G647" s="98">
        <f>$C647*VLOOKUP($B647,FoodDB!$A$2:$I$1016,6,0)</f>
        <v>0</v>
      </c>
      <c r="H647" s="98">
        <f>$C647*VLOOKUP($B647,FoodDB!$A$2:$I$1016,7,0)</f>
        <v>0</v>
      </c>
      <c r="I647" s="98">
        <f>$C647*VLOOKUP($B647,FoodDB!$A$2:$I$1016,8,0)</f>
        <v>0</v>
      </c>
      <c r="J647" s="98">
        <f>$C647*VLOOKUP($B647,FoodDB!$A$2:$I$1016,9,0)</f>
        <v>0</v>
      </c>
      <c r="K647" s="98"/>
      <c r="L647" s="98"/>
      <c r="M647" s="98"/>
      <c r="N647" s="98"/>
      <c r="O647" s="98"/>
      <c r="P647" s="98"/>
      <c r="Q647" s="98"/>
      <c r="R647" s="98"/>
      <c r="S647" s="98"/>
    </row>
    <row r="648" spans="1:19" x14ac:dyDescent="0.25">
      <c r="B648" s="94" t="s">
        <v>108</v>
      </c>
      <c r="C648" s="95">
        <v>1</v>
      </c>
      <c r="D648" s="98">
        <f>$C648*VLOOKUP($B648,FoodDB!$A$2:$I$1016,3,0)</f>
        <v>0</v>
      </c>
      <c r="E648" s="98">
        <f>$C648*VLOOKUP($B648,FoodDB!$A$2:$I$1016,4,0)</f>
        <v>0</v>
      </c>
      <c r="F648" s="98">
        <f>$C648*VLOOKUP($B648,FoodDB!$A$2:$I$1016,5,0)</f>
        <v>0</v>
      </c>
      <c r="G648" s="98">
        <f>$C648*VLOOKUP($B648,FoodDB!$A$2:$I$1016,6,0)</f>
        <v>0</v>
      </c>
      <c r="H648" s="98">
        <f>$C648*VLOOKUP($B648,FoodDB!$A$2:$I$1016,7,0)</f>
        <v>0</v>
      </c>
      <c r="I648" s="98">
        <f>$C648*VLOOKUP($B648,FoodDB!$A$2:$I$1016,8,0)</f>
        <v>0</v>
      </c>
      <c r="J648" s="98">
        <f>$C648*VLOOKUP($B648,FoodDB!$A$2:$I$1016,9,0)</f>
        <v>0</v>
      </c>
      <c r="K648" s="98"/>
      <c r="L648" s="98"/>
      <c r="M648" s="98"/>
      <c r="N648" s="98"/>
      <c r="O648" s="98"/>
      <c r="P648" s="98"/>
      <c r="Q648" s="98"/>
      <c r="R648" s="98"/>
      <c r="S648" s="98"/>
    </row>
    <row r="649" spans="1:19" x14ac:dyDescent="0.25">
      <c r="B649" s="94" t="s">
        <v>108</v>
      </c>
      <c r="C649" s="95">
        <v>1</v>
      </c>
      <c r="D649" s="98">
        <f>$C649*VLOOKUP($B649,FoodDB!$A$2:$I$1016,3,0)</f>
        <v>0</v>
      </c>
      <c r="E649" s="98">
        <f>$C649*VLOOKUP($B649,FoodDB!$A$2:$I$1016,4,0)</f>
        <v>0</v>
      </c>
      <c r="F649" s="98">
        <f>$C649*VLOOKUP($B649,FoodDB!$A$2:$I$1016,5,0)</f>
        <v>0</v>
      </c>
      <c r="G649" s="98">
        <f>$C649*VLOOKUP($B649,FoodDB!$A$2:$I$1016,6,0)</f>
        <v>0</v>
      </c>
      <c r="H649" s="98">
        <f>$C649*VLOOKUP($B649,FoodDB!$A$2:$I$1016,7,0)</f>
        <v>0</v>
      </c>
      <c r="I649" s="98">
        <f>$C649*VLOOKUP($B649,FoodDB!$A$2:$I$1016,8,0)</f>
        <v>0</v>
      </c>
      <c r="J649" s="98">
        <f>$C649*VLOOKUP($B649,FoodDB!$A$2:$I$1016,9,0)</f>
        <v>0</v>
      </c>
      <c r="K649" s="98"/>
      <c r="L649" s="98"/>
      <c r="M649" s="98"/>
      <c r="N649" s="98"/>
      <c r="O649" s="98"/>
      <c r="P649" s="98"/>
      <c r="Q649" s="98"/>
      <c r="R649" s="98"/>
      <c r="S649" s="98"/>
    </row>
    <row r="650" spans="1:19" x14ac:dyDescent="0.25">
      <c r="B650" s="94" t="s">
        <v>108</v>
      </c>
      <c r="C650" s="95">
        <v>1</v>
      </c>
      <c r="D650" s="98">
        <f>$C650*VLOOKUP($B650,FoodDB!$A$2:$I$1016,3,0)</f>
        <v>0</v>
      </c>
      <c r="E650" s="98">
        <f>$C650*VLOOKUP($B650,FoodDB!$A$2:$I$1016,4,0)</f>
        <v>0</v>
      </c>
      <c r="F650" s="98">
        <f>$C650*VLOOKUP($B650,FoodDB!$A$2:$I$1016,5,0)</f>
        <v>0</v>
      </c>
      <c r="G650" s="98">
        <f>$C650*VLOOKUP($B650,FoodDB!$A$2:$I$1016,6,0)</f>
        <v>0</v>
      </c>
      <c r="H650" s="98">
        <f>$C650*VLOOKUP($B650,FoodDB!$A$2:$I$1016,7,0)</f>
        <v>0</v>
      </c>
      <c r="I650" s="98">
        <f>$C650*VLOOKUP($B650,FoodDB!$A$2:$I$1016,8,0)</f>
        <v>0</v>
      </c>
      <c r="J650" s="98">
        <f>$C650*VLOOKUP($B650,FoodDB!$A$2:$I$1016,9,0)</f>
        <v>0</v>
      </c>
      <c r="K650" s="98"/>
      <c r="L650" s="98"/>
      <c r="M650" s="98"/>
      <c r="N650" s="98"/>
      <c r="O650" s="98"/>
      <c r="P650" s="98"/>
      <c r="Q650" s="98"/>
      <c r="R650" s="98"/>
      <c r="S650" s="98"/>
    </row>
    <row r="651" spans="1:19" x14ac:dyDescent="0.25">
      <c r="A651" t="s">
        <v>98</v>
      </c>
      <c r="D651" s="98"/>
      <c r="E651" s="98"/>
      <c r="F651" s="98"/>
      <c r="G651" s="98">
        <f>SUM(G644:G650)</f>
        <v>0</v>
      </c>
      <c r="H651" s="98">
        <f>SUM(H644:H650)</f>
        <v>0</v>
      </c>
      <c r="I651" s="98">
        <f>SUM(I644:I650)</f>
        <v>0</v>
      </c>
      <c r="J651" s="98">
        <f>SUM(G651:I651)</f>
        <v>0</v>
      </c>
      <c r="K651" s="98"/>
      <c r="L651" s="98"/>
      <c r="M651" s="98"/>
      <c r="N651" s="98"/>
      <c r="O651" s="98"/>
      <c r="P651" s="98"/>
      <c r="Q651" s="98"/>
      <c r="R651" s="98"/>
      <c r="S651" s="98"/>
    </row>
    <row r="652" spans="1:19" x14ac:dyDescent="0.25">
      <c r="A652" t="s">
        <v>102</v>
      </c>
      <c r="B652" t="s">
        <v>103</v>
      </c>
      <c r="D652" s="98"/>
      <c r="E652" s="98"/>
      <c r="F652" s="98"/>
      <c r="G652" s="98">
        <f>VLOOKUP($A644,LossChart!$A$3:$AB$105,14,0)</f>
        <v>664.06762396089744</v>
      </c>
      <c r="H652" s="98">
        <f>VLOOKUP($A644,LossChart!$A$3:$AB$105,15,0)</f>
        <v>80</v>
      </c>
      <c r="I652" s="98">
        <f>VLOOKUP($A644,LossChart!$A$3:$AB$105,16,0)</f>
        <v>477.30407413615825</v>
      </c>
      <c r="J652" s="98">
        <f>VLOOKUP($A644,LossChart!$A$3:$AB$105,17,0)</f>
        <v>1221.3716980970557</v>
      </c>
      <c r="K652" s="98"/>
      <c r="L652" s="98"/>
      <c r="M652" s="98"/>
      <c r="N652" s="98"/>
      <c r="O652" s="98"/>
      <c r="P652" s="98"/>
      <c r="Q652" s="98"/>
      <c r="R652" s="98"/>
      <c r="S652" s="98"/>
    </row>
    <row r="653" spans="1:19" x14ac:dyDescent="0.25">
      <c r="A653" t="s">
        <v>104</v>
      </c>
      <c r="D653" s="98"/>
      <c r="E653" s="98"/>
      <c r="F653" s="98"/>
      <c r="G653" s="98">
        <f>G652-G651</f>
        <v>664.06762396089744</v>
      </c>
      <c r="H653" s="98">
        <f>H652-H651</f>
        <v>80</v>
      </c>
      <c r="I653" s="98">
        <f>I652-I651</f>
        <v>477.30407413615825</v>
      </c>
      <c r="J653" s="98">
        <f>J652-J651</f>
        <v>1221.3716980970557</v>
      </c>
      <c r="K653" s="98"/>
      <c r="L653" s="98"/>
      <c r="M653" s="98"/>
      <c r="N653" s="98"/>
      <c r="O653" s="98"/>
      <c r="P653" s="98"/>
      <c r="Q653" s="98"/>
      <c r="R653" s="98"/>
      <c r="S653" s="98"/>
    </row>
    <row r="655" spans="1:19" ht="60" x14ac:dyDescent="0.25">
      <c r="A655" s="21" t="s">
        <v>63</v>
      </c>
      <c r="B655" s="21" t="s">
        <v>93</v>
      </c>
      <c r="C655" s="21" t="s">
        <v>94</v>
      </c>
      <c r="D655" s="92" t="str">
        <f>FoodDB!$C$1</f>
        <v>Fat
(g)</v>
      </c>
      <c r="E655" s="92" t="str">
        <f>FoodDB!$D$1</f>
        <v xml:space="preserve"> Carbs
(g)</v>
      </c>
      <c r="F655" s="92" t="str">
        <f>FoodDB!$E$1</f>
        <v>Protein
(g)</v>
      </c>
      <c r="G655" s="92" t="str">
        <f>FoodDB!$F$1</f>
        <v>Fat
(Cal)</v>
      </c>
      <c r="H655" s="92" t="str">
        <f>FoodDB!$G$1</f>
        <v>Carb
(Cal)</v>
      </c>
      <c r="I655" s="92" t="str">
        <f>FoodDB!$H$1</f>
        <v>Protein
(Cal)</v>
      </c>
      <c r="J655" s="92" t="str">
        <f>FoodDB!$I$1</f>
        <v>Total
Calories</v>
      </c>
      <c r="K655" s="92"/>
      <c r="L655" s="92" t="s">
        <v>110</v>
      </c>
      <c r="M655" s="92" t="s">
        <v>111</v>
      </c>
      <c r="N655" s="92" t="s">
        <v>112</v>
      </c>
      <c r="O655" s="92" t="s">
        <v>113</v>
      </c>
      <c r="P655" s="92" t="s">
        <v>118</v>
      </c>
      <c r="Q655" s="92" t="s">
        <v>119</v>
      </c>
      <c r="R655" s="92" t="s">
        <v>120</v>
      </c>
      <c r="S655" s="92" t="s">
        <v>121</v>
      </c>
    </row>
    <row r="656" spans="1:19" x14ac:dyDescent="0.25">
      <c r="A656" s="93">
        <f>A644+1</f>
        <v>43048</v>
      </c>
      <c r="B656" s="94" t="s">
        <v>108</v>
      </c>
      <c r="C656" s="95">
        <v>1</v>
      </c>
      <c r="D656" s="98">
        <f>$C656*VLOOKUP($B656,FoodDB!$A$2:$I$1016,3,0)</f>
        <v>0</v>
      </c>
      <c r="E656" s="98">
        <f>$C656*VLOOKUP($B656,FoodDB!$A$2:$I$1016,4,0)</f>
        <v>0</v>
      </c>
      <c r="F656" s="98">
        <f>$C656*VLOOKUP($B656,FoodDB!$A$2:$I$1016,5,0)</f>
        <v>0</v>
      </c>
      <c r="G656" s="98">
        <f>$C656*VLOOKUP($B656,FoodDB!$A$2:$I$1016,6,0)</f>
        <v>0</v>
      </c>
      <c r="H656" s="98">
        <f>$C656*VLOOKUP($B656,FoodDB!$A$2:$I$1016,7,0)</f>
        <v>0</v>
      </c>
      <c r="I656" s="98">
        <f>$C656*VLOOKUP($B656,FoodDB!$A$2:$I$1016,8,0)</f>
        <v>0</v>
      </c>
      <c r="J656" s="98">
        <f>$C656*VLOOKUP($B656,FoodDB!$A$2:$I$1016,9,0)</f>
        <v>0</v>
      </c>
      <c r="K656" s="98"/>
      <c r="L656" s="98">
        <f>SUM(G656:G662)</f>
        <v>0</v>
      </c>
      <c r="M656" s="98">
        <f>SUM(H656:H662)</f>
        <v>0</v>
      </c>
      <c r="N656" s="98">
        <f>SUM(I656:I662)</f>
        <v>0</v>
      </c>
      <c r="O656" s="98">
        <f>SUM(L656:N656)</f>
        <v>0</v>
      </c>
      <c r="P656" s="98">
        <f>VLOOKUP($A656,LossChart!$A$3:$AB$105,14,0)-L656</f>
        <v>669.68832964360126</v>
      </c>
      <c r="Q656" s="98">
        <f>VLOOKUP($A656,LossChart!$A$3:$AB$105,15,0)-M656</f>
        <v>80</v>
      </c>
      <c r="R656" s="98">
        <f>VLOOKUP($A656,LossChart!$A$3:$AB$105,16,0)-N656</f>
        <v>477.30407413615825</v>
      </c>
      <c r="S656" s="98">
        <f>VLOOKUP($A656,LossChart!$A$3:$AB$105,17,0)-O656</f>
        <v>1226.9924037797596</v>
      </c>
    </row>
    <row r="657" spans="1:19" x14ac:dyDescent="0.25">
      <c r="B657" s="94" t="s">
        <v>108</v>
      </c>
      <c r="C657" s="95">
        <v>1</v>
      </c>
      <c r="D657" s="98">
        <f>$C657*VLOOKUP($B657,FoodDB!$A$2:$I$1016,3,0)</f>
        <v>0</v>
      </c>
      <c r="E657" s="98">
        <f>$C657*VLOOKUP($B657,FoodDB!$A$2:$I$1016,4,0)</f>
        <v>0</v>
      </c>
      <c r="F657" s="98">
        <f>$C657*VLOOKUP($B657,FoodDB!$A$2:$I$1016,5,0)</f>
        <v>0</v>
      </c>
      <c r="G657" s="98">
        <f>$C657*VLOOKUP($B657,FoodDB!$A$2:$I$1016,6,0)</f>
        <v>0</v>
      </c>
      <c r="H657" s="98">
        <f>$C657*VLOOKUP($B657,FoodDB!$A$2:$I$1016,7,0)</f>
        <v>0</v>
      </c>
      <c r="I657" s="98">
        <f>$C657*VLOOKUP($B657,FoodDB!$A$2:$I$1016,8,0)</f>
        <v>0</v>
      </c>
      <c r="J657" s="98">
        <f>$C657*VLOOKUP($B657,FoodDB!$A$2:$I$1016,9,0)</f>
        <v>0</v>
      </c>
      <c r="K657" s="98"/>
      <c r="L657" s="98"/>
      <c r="M657" s="98"/>
      <c r="N657" s="98"/>
      <c r="O657" s="98"/>
      <c r="P657" s="98"/>
      <c r="Q657" s="98"/>
      <c r="R657" s="98"/>
      <c r="S657" s="98"/>
    </row>
    <row r="658" spans="1:19" x14ac:dyDescent="0.25">
      <c r="B658" s="94" t="s">
        <v>108</v>
      </c>
      <c r="C658" s="95">
        <v>1</v>
      </c>
      <c r="D658" s="98">
        <f>$C658*VLOOKUP($B658,FoodDB!$A$2:$I$1016,3,0)</f>
        <v>0</v>
      </c>
      <c r="E658" s="98">
        <f>$C658*VLOOKUP($B658,FoodDB!$A$2:$I$1016,4,0)</f>
        <v>0</v>
      </c>
      <c r="F658" s="98">
        <f>$C658*VLOOKUP($B658,FoodDB!$A$2:$I$1016,5,0)</f>
        <v>0</v>
      </c>
      <c r="G658" s="98">
        <f>$C658*VLOOKUP($B658,FoodDB!$A$2:$I$1016,6,0)</f>
        <v>0</v>
      </c>
      <c r="H658" s="98">
        <f>$C658*VLOOKUP($B658,FoodDB!$A$2:$I$1016,7,0)</f>
        <v>0</v>
      </c>
      <c r="I658" s="98">
        <f>$C658*VLOOKUP($B658,FoodDB!$A$2:$I$1016,8,0)</f>
        <v>0</v>
      </c>
      <c r="J658" s="98">
        <f>$C658*VLOOKUP($B658,FoodDB!$A$2:$I$1016,9,0)</f>
        <v>0</v>
      </c>
      <c r="K658" s="98"/>
      <c r="L658" s="98"/>
      <c r="M658" s="98"/>
      <c r="N658" s="98"/>
      <c r="O658" s="98"/>
      <c r="P658" s="98"/>
      <c r="Q658" s="98"/>
      <c r="R658" s="98"/>
      <c r="S658" s="98"/>
    </row>
    <row r="659" spans="1:19" x14ac:dyDescent="0.25">
      <c r="B659" s="94" t="s">
        <v>108</v>
      </c>
      <c r="C659" s="95">
        <v>1</v>
      </c>
      <c r="D659" s="98">
        <f>$C659*VLOOKUP($B659,FoodDB!$A$2:$I$1016,3,0)</f>
        <v>0</v>
      </c>
      <c r="E659" s="98">
        <f>$C659*VLOOKUP($B659,FoodDB!$A$2:$I$1016,4,0)</f>
        <v>0</v>
      </c>
      <c r="F659" s="98">
        <f>$C659*VLOOKUP($B659,FoodDB!$A$2:$I$1016,5,0)</f>
        <v>0</v>
      </c>
      <c r="G659" s="98">
        <f>$C659*VLOOKUP($B659,FoodDB!$A$2:$I$1016,6,0)</f>
        <v>0</v>
      </c>
      <c r="H659" s="98">
        <f>$C659*VLOOKUP($B659,FoodDB!$A$2:$I$1016,7,0)</f>
        <v>0</v>
      </c>
      <c r="I659" s="98">
        <f>$C659*VLOOKUP($B659,FoodDB!$A$2:$I$1016,8,0)</f>
        <v>0</v>
      </c>
      <c r="J659" s="98">
        <f>$C659*VLOOKUP($B659,FoodDB!$A$2:$I$1016,9,0)</f>
        <v>0</v>
      </c>
      <c r="K659" s="98"/>
      <c r="L659" s="98"/>
      <c r="M659" s="98"/>
      <c r="N659" s="98"/>
      <c r="O659" s="98"/>
      <c r="P659" s="98"/>
      <c r="Q659" s="98"/>
      <c r="R659" s="98"/>
      <c r="S659" s="98"/>
    </row>
    <row r="660" spans="1:19" x14ac:dyDescent="0.25">
      <c r="B660" s="94" t="s">
        <v>108</v>
      </c>
      <c r="C660" s="95">
        <v>1</v>
      </c>
      <c r="D660" s="98">
        <f>$C660*VLOOKUP($B660,FoodDB!$A$2:$I$1016,3,0)</f>
        <v>0</v>
      </c>
      <c r="E660" s="98">
        <f>$C660*VLOOKUP($B660,FoodDB!$A$2:$I$1016,4,0)</f>
        <v>0</v>
      </c>
      <c r="F660" s="98">
        <f>$C660*VLOOKUP($B660,FoodDB!$A$2:$I$1016,5,0)</f>
        <v>0</v>
      </c>
      <c r="G660" s="98">
        <f>$C660*VLOOKUP($B660,FoodDB!$A$2:$I$1016,6,0)</f>
        <v>0</v>
      </c>
      <c r="H660" s="98">
        <f>$C660*VLOOKUP($B660,FoodDB!$A$2:$I$1016,7,0)</f>
        <v>0</v>
      </c>
      <c r="I660" s="98">
        <f>$C660*VLOOKUP($B660,FoodDB!$A$2:$I$1016,8,0)</f>
        <v>0</v>
      </c>
      <c r="J660" s="98">
        <f>$C660*VLOOKUP($B660,FoodDB!$A$2:$I$1016,9,0)</f>
        <v>0</v>
      </c>
      <c r="K660" s="98"/>
      <c r="L660" s="98"/>
      <c r="M660" s="98"/>
      <c r="N660" s="98"/>
      <c r="O660" s="98"/>
      <c r="P660" s="98"/>
      <c r="Q660" s="98"/>
      <c r="R660" s="98"/>
      <c r="S660" s="98"/>
    </row>
    <row r="661" spans="1:19" x14ac:dyDescent="0.25">
      <c r="B661" s="94" t="s">
        <v>108</v>
      </c>
      <c r="C661" s="95">
        <v>1</v>
      </c>
      <c r="D661" s="98">
        <f>$C661*VLOOKUP($B661,FoodDB!$A$2:$I$1016,3,0)</f>
        <v>0</v>
      </c>
      <c r="E661" s="98">
        <f>$C661*VLOOKUP($B661,FoodDB!$A$2:$I$1016,4,0)</f>
        <v>0</v>
      </c>
      <c r="F661" s="98">
        <f>$C661*VLOOKUP($B661,FoodDB!$A$2:$I$1016,5,0)</f>
        <v>0</v>
      </c>
      <c r="G661" s="98">
        <f>$C661*VLOOKUP($B661,FoodDB!$A$2:$I$1016,6,0)</f>
        <v>0</v>
      </c>
      <c r="H661" s="98">
        <f>$C661*VLOOKUP($B661,FoodDB!$A$2:$I$1016,7,0)</f>
        <v>0</v>
      </c>
      <c r="I661" s="98">
        <f>$C661*VLOOKUP($B661,FoodDB!$A$2:$I$1016,8,0)</f>
        <v>0</v>
      </c>
      <c r="J661" s="98">
        <f>$C661*VLOOKUP($B661,FoodDB!$A$2:$I$1016,9,0)</f>
        <v>0</v>
      </c>
      <c r="K661" s="98"/>
      <c r="L661" s="98"/>
      <c r="M661" s="98"/>
      <c r="N661" s="98"/>
      <c r="O661" s="98"/>
      <c r="P661" s="98"/>
      <c r="Q661" s="98"/>
      <c r="R661" s="98"/>
      <c r="S661" s="98"/>
    </row>
    <row r="662" spans="1:19" x14ac:dyDescent="0.25">
      <c r="B662" s="94" t="s">
        <v>108</v>
      </c>
      <c r="C662" s="95">
        <v>1</v>
      </c>
      <c r="D662" s="98">
        <f>$C662*VLOOKUP($B662,FoodDB!$A$2:$I$1016,3,0)</f>
        <v>0</v>
      </c>
      <c r="E662" s="98">
        <f>$C662*VLOOKUP($B662,FoodDB!$A$2:$I$1016,4,0)</f>
        <v>0</v>
      </c>
      <c r="F662" s="98">
        <f>$C662*VLOOKUP($B662,FoodDB!$A$2:$I$1016,5,0)</f>
        <v>0</v>
      </c>
      <c r="G662" s="98">
        <f>$C662*VLOOKUP($B662,FoodDB!$A$2:$I$1016,6,0)</f>
        <v>0</v>
      </c>
      <c r="H662" s="98">
        <f>$C662*VLOOKUP($B662,FoodDB!$A$2:$I$1016,7,0)</f>
        <v>0</v>
      </c>
      <c r="I662" s="98">
        <f>$C662*VLOOKUP($B662,FoodDB!$A$2:$I$1016,8,0)</f>
        <v>0</v>
      </c>
      <c r="J662" s="98">
        <f>$C662*VLOOKUP($B662,FoodDB!$A$2:$I$1016,9,0)</f>
        <v>0</v>
      </c>
      <c r="K662" s="98"/>
      <c r="L662" s="98"/>
      <c r="M662" s="98"/>
      <c r="N662" s="98"/>
      <c r="O662" s="98"/>
      <c r="P662" s="98"/>
      <c r="Q662" s="98"/>
      <c r="R662" s="98"/>
      <c r="S662" s="98"/>
    </row>
    <row r="663" spans="1:19" x14ac:dyDescent="0.25">
      <c r="A663" t="s">
        <v>98</v>
      </c>
      <c r="D663" s="98"/>
      <c r="E663" s="98"/>
      <c r="F663" s="98"/>
      <c r="G663" s="98">
        <f>SUM(G656:G662)</f>
        <v>0</v>
      </c>
      <c r="H663" s="98">
        <f>SUM(H656:H662)</f>
        <v>0</v>
      </c>
      <c r="I663" s="98">
        <f>SUM(I656:I662)</f>
        <v>0</v>
      </c>
      <c r="J663" s="98">
        <f>SUM(G663:I663)</f>
        <v>0</v>
      </c>
      <c r="K663" s="98"/>
      <c r="L663" s="98"/>
      <c r="M663" s="98"/>
      <c r="N663" s="98"/>
      <c r="O663" s="98"/>
      <c r="P663" s="98"/>
      <c r="Q663" s="98"/>
      <c r="R663" s="98"/>
      <c r="S663" s="98"/>
    </row>
    <row r="664" spans="1:19" x14ac:dyDescent="0.25">
      <c r="A664" t="s">
        <v>102</v>
      </c>
      <c r="B664" t="s">
        <v>103</v>
      </c>
      <c r="D664" s="98"/>
      <c r="E664" s="98"/>
      <c r="F664" s="98"/>
      <c r="G664" s="98">
        <f>VLOOKUP($A656,LossChart!$A$3:$AB$105,14,0)</f>
        <v>669.68832964360126</v>
      </c>
      <c r="H664" s="98">
        <f>VLOOKUP($A656,LossChart!$A$3:$AB$105,15,0)</f>
        <v>80</v>
      </c>
      <c r="I664" s="98">
        <f>VLOOKUP($A656,LossChart!$A$3:$AB$105,16,0)</f>
        <v>477.30407413615825</v>
      </c>
      <c r="J664" s="98">
        <f>VLOOKUP($A656,LossChart!$A$3:$AB$105,17,0)</f>
        <v>1226.9924037797596</v>
      </c>
      <c r="K664" s="98"/>
      <c r="L664" s="98"/>
      <c r="M664" s="98"/>
      <c r="N664" s="98"/>
      <c r="O664" s="98"/>
      <c r="P664" s="98"/>
      <c r="Q664" s="98"/>
      <c r="R664" s="98"/>
      <c r="S664" s="98"/>
    </row>
    <row r="665" spans="1:19" x14ac:dyDescent="0.25">
      <c r="A665" t="s">
        <v>104</v>
      </c>
      <c r="D665" s="98"/>
      <c r="E665" s="98"/>
      <c r="F665" s="98"/>
      <c r="G665" s="98">
        <f>G664-G663</f>
        <v>669.68832964360126</v>
      </c>
      <c r="H665" s="98">
        <f>H664-H663</f>
        <v>80</v>
      </c>
      <c r="I665" s="98">
        <f>I664-I663</f>
        <v>477.30407413615825</v>
      </c>
      <c r="J665" s="98">
        <f>J664-J663</f>
        <v>1226.9924037797596</v>
      </c>
      <c r="K665" s="98"/>
      <c r="L665" s="98"/>
      <c r="M665" s="98"/>
      <c r="N665" s="98"/>
      <c r="O665" s="98"/>
      <c r="P665" s="98"/>
      <c r="Q665" s="98"/>
      <c r="R665" s="98"/>
      <c r="S665" s="98"/>
    </row>
    <row r="667" spans="1:19" ht="60" x14ac:dyDescent="0.25">
      <c r="A667" s="21" t="s">
        <v>63</v>
      </c>
      <c r="B667" s="21" t="s">
        <v>93</v>
      </c>
      <c r="C667" s="21" t="s">
        <v>94</v>
      </c>
      <c r="D667" s="92" t="str">
        <f>FoodDB!$C$1</f>
        <v>Fat
(g)</v>
      </c>
      <c r="E667" s="92" t="str">
        <f>FoodDB!$D$1</f>
        <v xml:space="preserve"> Carbs
(g)</v>
      </c>
      <c r="F667" s="92" t="str">
        <f>FoodDB!$E$1</f>
        <v>Protein
(g)</v>
      </c>
      <c r="G667" s="92" t="str">
        <f>FoodDB!$F$1</f>
        <v>Fat
(Cal)</v>
      </c>
      <c r="H667" s="92" t="str">
        <f>FoodDB!$G$1</f>
        <v>Carb
(Cal)</v>
      </c>
      <c r="I667" s="92" t="str">
        <f>FoodDB!$H$1</f>
        <v>Protein
(Cal)</v>
      </c>
      <c r="J667" s="92" t="str">
        <f>FoodDB!$I$1</f>
        <v>Total
Calories</v>
      </c>
      <c r="K667" s="92"/>
      <c r="L667" s="92" t="s">
        <v>110</v>
      </c>
      <c r="M667" s="92" t="s">
        <v>111</v>
      </c>
      <c r="N667" s="92" t="s">
        <v>112</v>
      </c>
      <c r="O667" s="92" t="s">
        <v>113</v>
      </c>
      <c r="P667" s="92" t="s">
        <v>118</v>
      </c>
      <c r="Q667" s="92" t="s">
        <v>119</v>
      </c>
      <c r="R667" s="92" t="s">
        <v>120</v>
      </c>
      <c r="S667" s="92" t="s">
        <v>121</v>
      </c>
    </row>
    <row r="668" spans="1:19" x14ac:dyDescent="0.25">
      <c r="A668" s="93">
        <f>A656+1</f>
        <v>43049</v>
      </c>
      <c r="B668" s="94" t="s">
        <v>108</v>
      </c>
      <c r="C668" s="95">
        <v>1</v>
      </c>
      <c r="D668" s="98">
        <f>$C668*VLOOKUP($B668,FoodDB!$A$2:$I$1016,3,0)</f>
        <v>0</v>
      </c>
      <c r="E668" s="98">
        <f>$C668*VLOOKUP($B668,FoodDB!$A$2:$I$1016,4,0)</f>
        <v>0</v>
      </c>
      <c r="F668" s="98">
        <f>$C668*VLOOKUP($B668,FoodDB!$A$2:$I$1016,5,0)</f>
        <v>0</v>
      </c>
      <c r="G668" s="98">
        <f>$C668*VLOOKUP($B668,FoodDB!$A$2:$I$1016,6,0)</f>
        <v>0</v>
      </c>
      <c r="H668" s="98">
        <f>$C668*VLOOKUP($B668,FoodDB!$A$2:$I$1016,7,0)</f>
        <v>0</v>
      </c>
      <c r="I668" s="98">
        <f>$C668*VLOOKUP($B668,FoodDB!$A$2:$I$1016,8,0)</f>
        <v>0</v>
      </c>
      <c r="J668" s="98">
        <f>$C668*VLOOKUP($B668,FoodDB!$A$2:$I$1016,9,0)</f>
        <v>0</v>
      </c>
      <c r="K668" s="98"/>
      <c r="L668" s="98">
        <f>SUM(G668:G674)</f>
        <v>0</v>
      </c>
      <c r="M668" s="98">
        <f>SUM(H668:H674)</f>
        <v>0</v>
      </c>
      <c r="N668" s="98">
        <f>SUM(I668:I674)</f>
        <v>0</v>
      </c>
      <c r="O668" s="98">
        <f>SUM(L668:N668)</f>
        <v>0</v>
      </c>
      <c r="P668" s="98">
        <f>VLOOKUP($A668,LossChart!$A$3:$AB$105,14,0)-L668</f>
        <v>675.25925193311468</v>
      </c>
      <c r="Q668" s="98">
        <f>VLOOKUP($A668,LossChart!$A$3:$AB$105,15,0)-M668</f>
        <v>80</v>
      </c>
      <c r="R668" s="98">
        <f>VLOOKUP($A668,LossChart!$A$3:$AB$105,16,0)-N668</f>
        <v>477.30407413615825</v>
      </c>
      <c r="S668" s="98">
        <f>VLOOKUP($A668,LossChart!$A$3:$AB$105,17,0)-O668</f>
        <v>1232.563326069273</v>
      </c>
    </row>
    <row r="669" spans="1:19" x14ac:dyDescent="0.25">
      <c r="B669" s="94" t="s">
        <v>108</v>
      </c>
      <c r="C669" s="95">
        <v>1</v>
      </c>
      <c r="D669" s="98">
        <f>$C669*VLOOKUP($B669,FoodDB!$A$2:$I$1016,3,0)</f>
        <v>0</v>
      </c>
      <c r="E669" s="98">
        <f>$C669*VLOOKUP($B669,FoodDB!$A$2:$I$1016,4,0)</f>
        <v>0</v>
      </c>
      <c r="F669" s="98">
        <f>$C669*VLOOKUP($B669,FoodDB!$A$2:$I$1016,5,0)</f>
        <v>0</v>
      </c>
      <c r="G669" s="98">
        <f>$C669*VLOOKUP($B669,FoodDB!$A$2:$I$1016,6,0)</f>
        <v>0</v>
      </c>
      <c r="H669" s="98">
        <f>$C669*VLOOKUP($B669,FoodDB!$A$2:$I$1016,7,0)</f>
        <v>0</v>
      </c>
      <c r="I669" s="98">
        <f>$C669*VLOOKUP($B669,FoodDB!$A$2:$I$1016,8,0)</f>
        <v>0</v>
      </c>
      <c r="J669" s="98">
        <f>$C669*VLOOKUP($B669,FoodDB!$A$2:$I$1016,9,0)</f>
        <v>0</v>
      </c>
      <c r="K669" s="98"/>
      <c r="L669" s="98"/>
      <c r="M669" s="98"/>
      <c r="N669" s="98"/>
      <c r="O669" s="98"/>
      <c r="P669" s="98"/>
      <c r="Q669" s="98"/>
      <c r="R669" s="98"/>
      <c r="S669" s="98"/>
    </row>
    <row r="670" spans="1:19" x14ac:dyDescent="0.25">
      <c r="B670" s="94" t="s">
        <v>108</v>
      </c>
      <c r="C670" s="95">
        <v>1</v>
      </c>
      <c r="D670" s="98">
        <f>$C670*VLOOKUP($B670,FoodDB!$A$2:$I$1016,3,0)</f>
        <v>0</v>
      </c>
      <c r="E670" s="98">
        <f>$C670*VLOOKUP($B670,FoodDB!$A$2:$I$1016,4,0)</f>
        <v>0</v>
      </c>
      <c r="F670" s="98">
        <f>$C670*VLOOKUP($B670,FoodDB!$A$2:$I$1016,5,0)</f>
        <v>0</v>
      </c>
      <c r="G670" s="98">
        <f>$C670*VLOOKUP($B670,FoodDB!$A$2:$I$1016,6,0)</f>
        <v>0</v>
      </c>
      <c r="H670" s="98">
        <f>$C670*VLOOKUP($B670,FoodDB!$A$2:$I$1016,7,0)</f>
        <v>0</v>
      </c>
      <c r="I670" s="98">
        <f>$C670*VLOOKUP($B670,FoodDB!$A$2:$I$1016,8,0)</f>
        <v>0</v>
      </c>
      <c r="J670" s="98">
        <f>$C670*VLOOKUP($B670,FoodDB!$A$2:$I$1016,9,0)</f>
        <v>0</v>
      </c>
      <c r="K670" s="98"/>
      <c r="L670" s="98"/>
      <c r="M670" s="98"/>
      <c r="N670" s="98"/>
      <c r="O670" s="98"/>
      <c r="P670" s="98"/>
      <c r="Q670" s="98"/>
      <c r="R670" s="98"/>
      <c r="S670" s="98"/>
    </row>
    <row r="671" spans="1:19" x14ac:dyDescent="0.25">
      <c r="B671" s="94" t="s">
        <v>108</v>
      </c>
      <c r="C671" s="95">
        <v>1</v>
      </c>
      <c r="D671" s="98">
        <f>$C671*VLOOKUP($B671,FoodDB!$A$2:$I$1016,3,0)</f>
        <v>0</v>
      </c>
      <c r="E671" s="98">
        <f>$C671*VLOOKUP($B671,FoodDB!$A$2:$I$1016,4,0)</f>
        <v>0</v>
      </c>
      <c r="F671" s="98">
        <f>$C671*VLOOKUP($B671,FoodDB!$A$2:$I$1016,5,0)</f>
        <v>0</v>
      </c>
      <c r="G671" s="98">
        <f>$C671*VLOOKUP($B671,FoodDB!$A$2:$I$1016,6,0)</f>
        <v>0</v>
      </c>
      <c r="H671" s="98">
        <f>$C671*VLOOKUP($B671,FoodDB!$A$2:$I$1016,7,0)</f>
        <v>0</v>
      </c>
      <c r="I671" s="98">
        <f>$C671*VLOOKUP($B671,FoodDB!$A$2:$I$1016,8,0)</f>
        <v>0</v>
      </c>
      <c r="J671" s="98">
        <f>$C671*VLOOKUP($B671,FoodDB!$A$2:$I$1016,9,0)</f>
        <v>0</v>
      </c>
      <c r="K671" s="98"/>
      <c r="L671" s="98"/>
      <c r="M671" s="98"/>
      <c r="N671" s="98"/>
      <c r="O671" s="98"/>
      <c r="P671" s="98"/>
      <c r="Q671" s="98"/>
      <c r="R671" s="98"/>
      <c r="S671" s="98"/>
    </row>
    <row r="672" spans="1:19" x14ac:dyDescent="0.25">
      <c r="B672" s="94" t="s">
        <v>108</v>
      </c>
      <c r="C672" s="95">
        <v>1</v>
      </c>
      <c r="D672" s="98">
        <f>$C672*VLOOKUP($B672,FoodDB!$A$2:$I$1016,3,0)</f>
        <v>0</v>
      </c>
      <c r="E672" s="98">
        <f>$C672*VLOOKUP($B672,FoodDB!$A$2:$I$1016,4,0)</f>
        <v>0</v>
      </c>
      <c r="F672" s="98">
        <f>$C672*VLOOKUP($B672,FoodDB!$A$2:$I$1016,5,0)</f>
        <v>0</v>
      </c>
      <c r="G672" s="98">
        <f>$C672*VLOOKUP($B672,FoodDB!$A$2:$I$1016,6,0)</f>
        <v>0</v>
      </c>
      <c r="H672" s="98">
        <f>$C672*VLOOKUP($B672,FoodDB!$A$2:$I$1016,7,0)</f>
        <v>0</v>
      </c>
      <c r="I672" s="98">
        <f>$C672*VLOOKUP($B672,FoodDB!$A$2:$I$1016,8,0)</f>
        <v>0</v>
      </c>
      <c r="J672" s="98">
        <f>$C672*VLOOKUP($B672,FoodDB!$A$2:$I$1016,9,0)</f>
        <v>0</v>
      </c>
      <c r="K672" s="98"/>
      <c r="L672" s="98"/>
      <c r="M672" s="98"/>
      <c r="N672" s="98"/>
      <c r="O672" s="98"/>
      <c r="P672" s="98"/>
      <c r="Q672" s="98"/>
      <c r="R672" s="98"/>
      <c r="S672" s="98"/>
    </row>
    <row r="673" spans="1:19" x14ac:dyDescent="0.25">
      <c r="B673" s="94" t="s">
        <v>108</v>
      </c>
      <c r="C673" s="95">
        <v>1</v>
      </c>
      <c r="D673" s="98">
        <f>$C673*VLOOKUP($B673,FoodDB!$A$2:$I$1016,3,0)</f>
        <v>0</v>
      </c>
      <c r="E673" s="98">
        <f>$C673*VLOOKUP($B673,FoodDB!$A$2:$I$1016,4,0)</f>
        <v>0</v>
      </c>
      <c r="F673" s="98">
        <f>$C673*VLOOKUP($B673,FoodDB!$A$2:$I$1016,5,0)</f>
        <v>0</v>
      </c>
      <c r="G673" s="98">
        <f>$C673*VLOOKUP($B673,FoodDB!$A$2:$I$1016,6,0)</f>
        <v>0</v>
      </c>
      <c r="H673" s="98">
        <f>$C673*VLOOKUP($B673,FoodDB!$A$2:$I$1016,7,0)</f>
        <v>0</v>
      </c>
      <c r="I673" s="98">
        <f>$C673*VLOOKUP($B673,FoodDB!$A$2:$I$1016,8,0)</f>
        <v>0</v>
      </c>
      <c r="J673" s="98">
        <f>$C673*VLOOKUP($B673,FoodDB!$A$2:$I$1016,9,0)</f>
        <v>0</v>
      </c>
      <c r="K673" s="98"/>
      <c r="L673" s="98"/>
      <c r="M673" s="98"/>
      <c r="N673" s="98"/>
      <c r="O673" s="98"/>
      <c r="P673" s="98"/>
      <c r="Q673" s="98"/>
      <c r="R673" s="98"/>
      <c r="S673" s="98"/>
    </row>
    <row r="674" spans="1:19" x14ac:dyDescent="0.25">
      <c r="B674" s="94" t="s">
        <v>108</v>
      </c>
      <c r="C674" s="95">
        <v>1</v>
      </c>
      <c r="D674" s="98">
        <f>$C674*VLOOKUP($B674,FoodDB!$A$2:$I$1016,3,0)</f>
        <v>0</v>
      </c>
      <c r="E674" s="98">
        <f>$C674*VLOOKUP($B674,FoodDB!$A$2:$I$1016,4,0)</f>
        <v>0</v>
      </c>
      <c r="F674" s="98">
        <f>$C674*VLOOKUP($B674,FoodDB!$A$2:$I$1016,5,0)</f>
        <v>0</v>
      </c>
      <c r="G674" s="98">
        <f>$C674*VLOOKUP($B674,FoodDB!$A$2:$I$1016,6,0)</f>
        <v>0</v>
      </c>
      <c r="H674" s="98">
        <f>$C674*VLOOKUP($B674,FoodDB!$A$2:$I$1016,7,0)</f>
        <v>0</v>
      </c>
      <c r="I674" s="98">
        <f>$C674*VLOOKUP($B674,FoodDB!$A$2:$I$1016,8,0)</f>
        <v>0</v>
      </c>
      <c r="J674" s="98">
        <f>$C674*VLOOKUP($B674,FoodDB!$A$2:$I$1016,9,0)</f>
        <v>0</v>
      </c>
      <c r="K674" s="98"/>
      <c r="L674" s="98"/>
      <c r="M674" s="98"/>
      <c r="N674" s="98"/>
      <c r="O674" s="98"/>
      <c r="P674" s="98"/>
      <c r="Q674" s="98"/>
      <c r="R674" s="98"/>
      <c r="S674" s="98"/>
    </row>
    <row r="675" spans="1:19" x14ac:dyDescent="0.25">
      <c r="A675" t="s">
        <v>98</v>
      </c>
      <c r="D675" s="98"/>
      <c r="E675" s="98"/>
      <c r="F675" s="98"/>
      <c r="G675" s="98">
        <f>SUM(G668:G674)</f>
        <v>0</v>
      </c>
      <c r="H675" s="98">
        <f>SUM(H668:H674)</f>
        <v>0</v>
      </c>
      <c r="I675" s="98">
        <f>SUM(I668:I674)</f>
        <v>0</v>
      </c>
      <c r="J675" s="98">
        <f>SUM(G675:I675)</f>
        <v>0</v>
      </c>
      <c r="K675" s="98"/>
      <c r="L675" s="98"/>
      <c r="M675" s="98"/>
      <c r="N675" s="98"/>
      <c r="O675" s="98"/>
      <c r="P675" s="98"/>
      <c r="Q675" s="98"/>
      <c r="R675" s="98"/>
      <c r="S675" s="98"/>
    </row>
    <row r="676" spans="1:19" x14ac:dyDescent="0.25">
      <c r="A676" t="s">
        <v>102</v>
      </c>
      <c r="B676" t="s">
        <v>103</v>
      </c>
      <c r="D676" s="98"/>
      <c r="E676" s="98"/>
      <c r="F676" s="98"/>
      <c r="G676" s="98">
        <f>VLOOKUP($A668,LossChart!$A$3:$AB$105,14,0)</f>
        <v>675.25925193311468</v>
      </c>
      <c r="H676" s="98">
        <f>VLOOKUP($A668,LossChart!$A$3:$AB$105,15,0)</f>
        <v>80</v>
      </c>
      <c r="I676" s="98">
        <f>VLOOKUP($A668,LossChart!$A$3:$AB$105,16,0)</f>
        <v>477.30407413615825</v>
      </c>
      <c r="J676" s="98">
        <f>VLOOKUP($A668,LossChart!$A$3:$AB$105,17,0)</f>
        <v>1232.563326069273</v>
      </c>
      <c r="K676" s="98"/>
      <c r="L676" s="98"/>
      <c r="M676" s="98"/>
      <c r="N676" s="98"/>
      <c r="O676" s="98"/>
      <c r="P676" s="98"/>
      <c r="Q676" s="98"/>
      <c r="R676" s="98"/>
      <c r="S676" s="98"/>
    </row>
    <row r="677" spans="1:19" x14ac:dyDescent="0.25">
      <c r="A677" t="s">
        <v>104</v>
      </c>
      <c r="D677" s="98"/>
      <c r="E677" s="98"/>
      <c r="F677" s="98"/>
      <c r="G677" s="98">
        <f>G676-G675</f>
        <v>675.25925193311468</v>
      </c>
      <c r="H677" s="98">
        <f>H676-H675</f>
        <v>80</v>
      </c>
      <c r="I677" s="98">
        <f>I676-I675</f>
        <v>477.30407413615825</v>
      </c>
      <c r="J677" s="98">
        <f>J676-J675</f>
        <v>1232.563326069273</v>
      </c>
      <c r="K677" s="98"/>
      <c r="L677" s="98"/>
      <c r="M677" s="98"/>
      <c r="N677" s="98"/>
      <c r="O677" s="98"/>
      <c r="P677" s="98"/>
      <c r="Q677" s="98"/>
      <c r="R677" s="98"/>
      <c r="S677" s="98"/>
    </row>
    <row r="679" spans="1:19" ht="60" x14ac:dyDescent="0.25">
      <c r="A679" s="21" t="s">
        <v>63</v>
      </c>
      <c r="B679" s="21" t="s">
        <v>93</v>
      </c>
      <c r="C679" s="21" t="s">
        <v>94</v>
      </c>
      <c r="D679" s="92" t="str">
        <f>FoodDB!$C$1</f>
        <v>Fat
(g)</v>
      </c>
      <c r="E679" s="92" t="str">
        <f>FoodDB!$D$1</f>
        <v xml:space="preserve"> Carbs
(g)</v>
      </c>
      <c r="F679" s="92" t="str">
        <f>FoodDB!$E$1</f>
        <v>Protein
(g)</v>
      </c>
      <c r="G679" s="92" t="str">
        <f>FoodDB!$F$1</f>
        <v>Fat
(Cal)</v>
      </c>
      <c r="H679" s="92" t="str">
        <f>FoodDB!$G$1</f>
        <v>Carb
(Cal)</v>
      </c>
      <c r="I679" s="92" t="str">
        <f>FoodDB!$H$1</f>
        <v>Protein
(Cal)</v>
      </c>
      <c r="J679" s="92" t="str">
        <f>FoodDB!$I$1</f>
        <v>Total
Calories</v>
      </c>
      <c r="K679" s="92"/>
      <c r="L679" s="92" t="s">
        <v>110</v>
      </c>
      <c r="M679" s="92" t="s">
        <v>111</v>
      </c>
      <c r="N679" s="92" t="s">
        <v>112</v>
      </c>
      <c r="O679" s="92" t="s">
        <v>113</v>
      </c>
      <c r="P679" s="92" t="s">
        <v>118</v>
      </c>
      <c r="Q679" s="92" t="s">
        <v>119</v>
      </c>
      <c r="R679" s="92" t="s">
        <v>120</v>
      </c>
      <c r="S679" s="92" t="s">
        <v>121</v>
      </c>
    </row>
    <row r="680" spans="1:19" x14ac:dyDescent="0.25">
      <c r="A680" s="93">
        <f>A668+1</f>
        <v>43050</v>
      </c>
      <c r="B680" s="94" t="s">
        <v>108</v>
      </c>
      <c r="C680" s="95">
        <v>1</v>
      </c>
      <c r="D680" s="98">
        <f>$C680*VLOOKUP($B680,FoodDB!$A$2:$I$1016,3,0)</f>
        <v>0</v>
      </c>
      <c r="E680" s="98">
        <f>$C680*VLOOKUP($B680,FoodDB!$A$2:$I$1016,4,0)</f>
        <v>0</v>
      </c>
      <c r="F680" s="98">
        <f>$C680*VLOOKUP($B680,FoodDB!$A$2:$I$1016,5,0)</f>
        <v>0</v>
      </c>
      <c r="G680" s="98">
        <f>$C680*VLOOKUP($B680,FoodDB!$A$2:$I$1016,6,0)</f>
        <v>0</v>
      </c>
      <c r="H680" s="98">
        <f>$C680*VLOOKUP($B680,FoodDB!$A$2:$I$1016,7,0)</f>
        <v>0</v>
      </c>
      <c r="I680" s="98">
        <f>$C680*VLOOKUP($B680,FoodDB!$A$2:$I$1016,8,0)</f>
        <v>0</v>
      </c>
      <c r="J680" s="98">
        <f>$C680*VLOOKUP($B680,FoodDB!$A$2:$I$1016,9,0)</f>
        <v>0</v>
      </c>
      <c r="K680" s="98"/>
      <c r="L680" s="98">
        <f>SUM(G680:G686)</f>
        <v>0</v>
      </c>
      <c r="M680" s="98">
        <f>SUM(H680:H686)</f>
        <v>0</v>
      </c>
      <c r="N680" s="98">
        <f>SUM(I680:I686)</f>
        <v>0</v>
      </c>
      <c r="O680" s="98">
        <f>SUM(L680:N680)</f>
        <v>0</v>
      </c>
      <c r="P680" s="98">
        <f>VLOOKUP($A680,LossChart!$A$3:$AB$105,14,0)-L680</f>
        <v>680.78083176806422</v>
      </c>
      <c r="Q680" s="98">
        <f>VLOOKUP($A680,LossChart!$A$3:$AB$105,15,0)-M680</f>
        <v>80</v>
      </c>
      <c r="R680" s="98">
        <f>VLOOKUP($A680,LossChart!$A$3:$AB$105,16,0)-N680</f>
        <v>477.30407413615825</v>
      </c>
      <c r="S680" s="98">
        <f>VLOOKUP($A680,LossChart!$A$3:$AB$105,17,0)-O680</f>
        <v>1238.0849059042225</v>
      </c>
    </row>
    <row r="681" spans="1:19" x14ac:dyDescent="0.25">
      <c r="B681" s="94" t="s">
        <v>108</v>
      </c>
      <c r="C681" s="95">
        <v>1</v>
      </c>
      <c r="D681" s="98">
        <f>$C681*VLOOKUP($B681,FoodDB!$A$2:$I$1016,3,0)</f>
        <v>0</v>
      </c>
      <c r="E681" s="98">
        <f>$C681*VLOOKUP($B681,FoodDB!$A$2:$I$1016,4,0)</f>
        <v>0</v>
      </c>
      <c r="F681" s="98">
        <f>$C681*VLOOKUP($B681,FoodDB!$A$2:$I$1016,5,0)</f>
        <v>0</v>
      </c>
      <c r="G681" s="98">
        <f>$C681*VLOOKUP($B681,FoodDB!$A$2:$I$1016,6,0)</f>
        <v>0</v>
      </c>
      <c r="H681" s="98">
        <f>$C681*VLOOKUP($B681,FoodDB!$A$2:$I$1016,7,0)</f>
        <v>0</v>
      </c>
      <c r="I681" s="98">
        <f>$C681*VLOOKUP($B681,FoodDB!$A$2:$I$1016,8,0)</f>
        <v>0</v>
      </c>
      <c r="J681" s="98">
        <f>$C681*VLOOKUP($B681,FoodDB!$A$2:$I$1016,9,0)</f>
        <v>0</v>
      </c>
      <c r="K681" s="98"/>
      <c r="L681" s="98"/>
      <c r="M681" s="98"/>
      <c r="N681" s="98"/>
      <c r="O681" s="98"/>
      <c r="P681" s="98"/>
      <c r="Q681" s="98"/>
      <c r="R681" s="98"/>
      <c r="S681" s="98"/>
    </row>
    <row r="682" spans="1:19" x14ac:dyDescent="0.25">
      <c r="B682" s="94" t="s">
        <v>108</v>
      </c>
      <c r="C682" s="95">
        <v>1</v>
      </c>
      <c r="D682" s="98">
        <f>$C682*VLOOKUP($B682,FoodDB!$A$2:$I$1016,3,0)</f>
        <v>0</v>
      </c>
      <c r="E682" s="98">
        <f>$C682*VLOOKUP($B682,FoodDB!$A$2:$I$1016,4,0)</f>
        <v>0</v>
      </c>
      <c r="F682" s="98">
        <f>$C682*VLOOKUP($B682,FoodDB!$A$2:$I$1016,5,0)</f>
        <v>0</v>
      </c>
      <c r="G682" s="98">
        <f>$C682*VLOOKUP($B682,FoodDB!$A$2:$I$1016,6,0)</f>
        <v>0</v>
      </c>
      <c r="H682" s="98">
        <f>$C682*VLOOKUP($B682,FoodDB!$A$2:$I$1016,7,0)</f>
        <v>0</v>
      </c>
      <c r="I682" s="98">
        <f>$C682*VLOOKUP($B682,FoodDB!$A$2:$I$1016,8,0)</f>
        <v>0</v>
      </c>
      <c r="J682" s="98">
        <f>$C682*VLOOKUP($B682,FoodDB!$A$2:$I$1016,9,0)</f>
        <v>0</v>
      </c>
      <c r="K682" s="98"/>
      <c r="L682" s="98"/>
      <c r="M682" s="98"/>
      <c r="N682" s="98"/>
      <c r="O682" s="98"/>
      <c r="P682" s="98"/>
      <c r="Q682" s="98"/>
      <c r="R682" s="98"/>
      <c r="S682" s="98"/>
    </row>
    <row r="683" spans="1:19" x14ac:dyDescent="0.25">
      <c r="B683" s="94" t="s">
        <v>108</v>
      </c>
      <c r="C683" s="95">
        <v>1</v>
      </c>
      <c r="D683" s="98">
        <f>$C683*VLOOKUP($B683,FoodDB!$A$2:$I$1016,3,0)</f>
        <v>0</v>
      </c>
      <c r="E683" s="98">
        <f>$C683*VLOOKUP($B683,FoodDB!$A$2:$I$1016,4,0)</f>
        <v>0</v>
      </c>
      <c r="F683" s="98">
        <f>$C683*VLOOKUP($B683,FoodDB!$A$2:$I$1016,5,0)</f>
        <v>0</v>
      </c>
      <c r="G683" s="98">
        <f>$C683*VLOOKUP($B683,FoodDB!$A$2:$I$1016,6,0)</f>
        <v>0</v>
      </c>
      <c r="H683" s="98">
        <f>$C683*VLOOKUP($B683,FoodDB!$A$2:$I$1016,7,0)</f>
        <v>0</v>
      </c>
      <c r="I683" s="98">
        <f>$C683*VLOOKUP($B683,FoodDB!$A$2:$I$1016,8,0)</f>
        <v>0</v>
      </c>
      <c r="J683" s="98">
        <f>$C683*VLOOKUP($B683,FoodDB!$A$2:$I$1016,9,0)</f>
        <v>0</v>
      </c>
      <c r="K683" s="98"/>
      <c r="L683" s="98"/>
      <c r="M683" s="98"/>
      <c r="N683" s="98"/>
      <c r="O683" s="98"/>
      <c r="P683" s="98"/>
      <c r="Q683" s="98"/>
      <c r="R683" s="98"/>
      <c r="S683" s="98"/>
    </row>
    <row r="684" spans="1:19" x14ac:dyDescent="0.25">
      <c r="B684" s="94" t="s">
        <v>108</v>
      </c>
      <c r="C684" s="95">
        <v>1</v>
      </c>
      <c r="D684" s="98">
        <f>$C684*VLOOKUP($B684,FoodDB!$A$2:$I$1016,3,0)</f>
        <v>0</v>
      </c>
      <c r="E684" s="98">
        <f>$C684*VLOOKUP($B684,FoodDB!$A$2:$I$1016,4,0)</f>
        <v>0</v>
      </c>
      <c r="F684" s="98">
        <f>$C684*VLOOKUP($B684,FoodDB!$A$2:$I$1016,5,0)</f>
        <v>0</v>
      </c>
      <c r="G684" s="98">
        <f>$C684*VLOOKUP($B684,FoodDB!$A$2:$I$1016,6,0)</f>
        <v>0</v>
      </c>
      <c r="H684" s="98">
        <f>$C684*VLOOKUP($B684,FoodDB!$A$2:$I$1016,7,0)</f>
        <v>0</v>
      </c>
      <c r="I684" s="98">
        <f>$C684*VLOOKUP($B684,FoodDB!$A$2:$I$1016,8,0)</f>
        <v>0</v>
      </c>
      <c r="J684" s="98">
        <f>$C684*VLOOKUP($B684,FoodDB!$A$2:$I$1016,9,0)</f>
        <v>0</v>
      </c>
      <c r="K684" s="98"/>
      <c r="L684" s="98"/>
      <c r="M684" s="98"/>
      <c r="N684" s="98"/>
      <c r="O684" s="98"/>
      <c r="P684" s="98"/>
      <c r="Q684" s="98"/>
      <c r="R684" s="98"/>
      <c r="S684" s="98"/>
    </row>
    <row r="685" spans="1:19" x14ac:dyDescent="0.25">
      <c r="B685" s="94" t="s">
        <v>108</v>
      </c>
      <c r="C685" s="95">
        <v>1</v>
      </c>
      <c r="D685" s="98">
        <f>$C685*VLOOKUP($B685,FoodDB!$A$2:$I$1016,3,0)</f>
        <v>0</v>
      </c>
      <c r="E685" s="98">
        <f>$C685*VLOOKUP($B685,FoodDB!$A$2:$I$1016,4,0)</f>
        <v>0</v>
      </c>
      <c r="F685" s="98">
        <f>$C685*VLOOKUP($B685,FoodDB!$A$2:$I$1016,5,0)</f>
        <v>0</v>
      </c>
      <c r="G685" s="98">
        <f>$C685*VLOOKUP($B685,FoodDB!$A$2:$I$1016,6,0)</f>
        <v>0</v>
      </c>
      <c r="H685" s="98">
        <f>$C685*VLOOKUP($B685,FoodDB!$A$2:$I$1016,7,0)</f>
        <v>0</v>
      </c>
      <c r="I685" s="98">
        <f>$C685*VLOOKUP($B685,FoodDB!$A$2:$I$1016,8,0)</f>
        <v>0</v>
      </c>
      <c r="J685" s="98">
        <f>$C685*VLOOKUP($B685,FoodDB!$A$2:$I$1016,9,0)</f>
        <v>0</v>
      </c>
      <c r="K685" s="98"/>
      <c r="L685" s="98"/>
      <c r="M685" s="98"/>
      <c r="N685" s="98"/>
      <c r="O685" s="98"/>
      <c r="P685" s="98"/>
      <c r="Q685" s="98"/>
      <c r="R685" s="98"/>
      <c r="S685" s="98"/>
    </row>
    <row r="686" spans="1:19" x14ac:dyDescent="0.25">
      <c r="B686" s="94" t="s">
        <v>108</v>
      </c>
      <c r="C686" s="95">
        <v>1</v>
      </c>
      <c r="D686" s="98">
        <f>$C686*VLOOKUP($B686,FoodDB!$A$2:$I$1016,3,0)</f>
        <v>0</v>
      </c>
      <c r="E686" s="98">
        <f>$C686*VLOOKUP($B686,FoodDB!$A$2:$I$1016,4,0)</f>
        <v>0</v>
      </c>
      <c r="F686" s="98">
        <f>$C686*VLOOKUP($B686,FoodDB!$A$2:$I$1016,5,0)</f>
        <v>0</v>
      </c>
      <c r="G686" s="98">
        <f>$C686*VLOOKUP($B686,FoodDB!$A$2:$I$1016,6,0)</f>
        <v>0</v>
      </c>
      <c r="H686" s="98">
        <f>$C686*VLOOKUP($B686,FoodDB!$A$2:$I$1016,7,0)</f>
        <v>0</v>
      </c>
      <c r="I686" s="98">
        <f>$C686*VLOOKUP($B686,FoodDB!$A$2:$I$1016,8,0)</f>
        <v>0</v>
      </c>
      <c r="J686" s="98">
        <f>$C686*VLOOKUP($B686,FoodDB!$A$2:$I$1016,9,0)</f>
        <v>0</v>
      </c>
      <c r="K686" s="98"/>
      <c r="L686" s="98"/>
      <c r="M686" s="98"/>
      <c r="N686" s="98"/>
      <c r="O686" s="98"/>
      <c r="P686" s="98"/>
      <c r="Q686" s="98"/>
      <c r="R686" s="98"/>
      <c r="S686" s="98"/>
    </row>
    <row r="687" spans="1:19" x14ac:dyDescent="0.25">
      <c r="A687" t="s">
        <v>98</v>
      </c>
      <c r="D687" s="98"/>
      <c r="E687" s="98"/>
      <c r="F687" s="98"/>
      <c r="G687" s="98">
        <f>SUM(G680:G686)</f>
        <v>0</v>
      </c>
      <c r="H687" s="98">
        <f>SUM(H680:H686)</f>
        <v>0</v>
      </c>
      <c r="I687" s="98">
        <f>SUM(I680:I686)</f>
        <v>0</v>
      </c>
      <c r="J687" s="98">
        <f>SUM(G687:I687)</f>
        <v>0</v>
      </c>
      <c r="K687" s="98"/>
      <c r="L687" s="98"/>
      <c r="M687" s="98"/>
      <c r="N687" s="98"/>
      <c r="O687" s="98"/>
      <c r="P687" s="98"/>
      <c r="Q687" s="98"/>
      <c r="R687" s="98"/>
      <c r="S687" s="98"/>
    </row>
    <row r="688" spans="1:19" x14ac:dyDescent="0.25">
      <c r="A688" t="s">
        <v>102</v>
      </c>
      <c r="B688" t="s">
        <v>103</v>
      </c>
      <c r="D688" s="98"/>
      <c r="E688" s="98"/>
      <c r="F688" s="98"/>
      <c r="G688" s="98">
        <f>VLOOKUP($A680,LossChart!$A$3:$AB$105,14,0)</f>
        <v>680.78083176806422</v>
      </c>
      <c r="H688" s="98">
        <f>VLOOKUP($A680,LossChart!$A$3:$AB$105,15,0)</f>
        <v>80</v>
      </c>
      <c r="I688" s="98">
        <f>VLOOKUP($A680,LossChart!$A$3:$AB$105,16,0)</f>
        <v>477.30407413615825</v>
      </c>
      <c r="J688" s="98">
        <f>VLOOKUP($A680,LossChart!$A$3:$AB$105,17,0)</f>
        <v>1238.0849059042225</v>
      </c>
      <c r="K688" s="98"/>
      <c r="L688" s="98"/>
      <c r="M688" s="98"/>
      <c r="N688" s="98"/>
      <c r="O688" s="98"/>
      <c r="P688" s="98"/>
      <c r="Q688" s="98"/>
      <c r="R688" s="98"/>
      <c r="S688" s="98"/>
    </row>
    <row r="689" spans="1:19" x14ac:dyDescent="0.25">
      <c r="A689" t="s">
        <v>104</v>
      </c>
      <c r="D689" s="98"/>
      <c r="E689" s="98"/>
      <c r="F689" s="98"/>
      <c r="G689" s="98">
        <f>G688-G687</f>
        <v>680.78083176806422</v>
      </c>
      <c r="H689" s="98">
        <f>H688-H687</f>
        <v>80</v>
      </c>
      <c r="I689" s="98">
        <f>I688-I687</f>
        <v>477.30407413615825</v>
      </c>
      <c r="J689" s="98">
        <f>J688-J687</f>
        <v>1238.0849059042225</v>
      </c>
      <c r="K689" s="98"/>
      <c r="L689" s="98"/>
      <c r="M689" s="98"/>
      <c r="N689" s="98"/>
      <c r="O689" s="98"/>
      <c r="P689" s="98"/>
      <c r="Q689" s="98"/>
      <c r="R689" s="98"/>
      <c r="S689" s="98"/>
    </row>
    <row r="691" spans="1:19" ht="60" x14ac:dyDescent="0.25">
      <c r="A691" s="21" t="s">
        <v>63</v>
      </c>
      <c r="B691" s="21" t="s">
        <v>93</v>
      </c>
      <c r="C691" s="21" t="s">
        <v>94</v>
      </c>
      <c r="D691" s="92" t="str">
        <f>FoodDB!$C$1</f>
        <v>Fat
(g)</v>
      </c>
      <c r="E691" s="92" t="str">
        <f>FoodDB!$D$1</f>
        <v xml:space="preserve"> Carbs
(g)</v>
      </c>
      <c r="F691" s="92" t="str">
        <f>FoodDB!$E$1</f>
        <v>Protein
(g)</v>
      </c>
      <c r="G691" s="92" t="str">
        <f>FoodDB!$F$1</f>
        <v>Fat
(Cal)</v>
      </c>
      <c r="H691" s="92" t="str">
        <f>FoodDB!$G$1</f>
        <v>Carb
(Cal)</v>
      </c>
      <c r="I691" s="92" t="str">
        <f>FoodDB!$H$1</f>
        <v>Protein
(Cal)</v>
      </c>
      <c r="J691" s="92" t="str">
        <f>FoodDB!$I$1</f>
        <v>Total
Calories</v>
      </c>
      <c r="K691" s="92"/>
      <c r="L691" s="92" t="s">
        <v>110</v>
      </c>
      <c r="M691" s="92" t="s">
        <v>111</v>
      </c>
      <c r="N691" s="92" t="s">
        <v>112</v>
      </c>
      <c r="O691" s="92" t="s">
        <v>113</v>
      </c>
      <c r="P691" s="92" t="s">
        <v>118</v>
      </c>
      <c r="Q691" s="92" t="s">
        <v>119</v>
      </c>
      <c r="R691" s="92" t="s">
        <v>120</v>
      </c>
      <c r="S691" s="92" t="s">
        <v>121</v>
      </c>
    </row>
    <row r="692" spans="1:19" x14ac:dyDescent="0.25">
      <c r="A692" s="93">
        <f>A680+1</f>
        <v>43051</v>
      </c>
      <c r="B692" s="94" t="s">
        <v>108</v>
      </c>
      <c r="C692" s="95">
        <v>1</v>
      </c>
      <c r="D692" s="98">
        <f>$C692*VLOOKUP($B692,FoodDB!$A$2:$I$1016,3,0)</f>
        <v>0</v>
      </c>
      <c r="E692" s="98">
        <f>$C692*VLOOKUP($B692,FoodDB!$A$2:$I$1016,4,0)</f>
        <v>0</v>
      </c>
      <c r="F692" s="98">
        <f>$C692*VLOOKUP($B692,FoodDB!$A$2:$I$1016,5,0)</f>
        <v>0</v>
      </c>
      <c r="G692" s="98">
        <f>$C692*VLOOKUP($B692,FoodDB!$A$2:$I$1016,6,0)</f>
        <v>0</v>
      </c>
      <c r="H692" s="98">
        <f>$C692*VLOOKUP($B692,FoodDB!$A$2:$I$1016,7,0)</f>
        <v>0</v>
      </c>
      <c r="I692" s="98">
        <f>$C692*VLOOKUP($B692,FoodDB!$A$2:$I$1016,8,0)</f>
        <v>0</v>
      </c>
      <c r="J692" s="98">
        <f>$C692*VLOOKUP($B692,FoodDB!$A$2:$I$1016,9,0)</f>
        <v>0</v>
      </c>
      <c r="K692" s="98"/>
      <c r="L692" s="98">
        <f>SUM(G692:G698)</f>
        <v>0</v>
      </c>
      <c r="M692" s="98">
        <f>SUM(H692:H698)</f>
        <v>0</v>
      </c>
      <c r="N692" s="98">
        <f>SUM(I692:I698)</f>
        <v>0</v>
      </c>
      <c r="O692" s="98">
        <f>SUM(L692:N692)</f>
        <v>0</v>
      </c>
      <c r="P692" s="98">
        <f>VLOOKUP($A692,LossChart!$A$3:$AB$105,14,0)-L692</f>
        <v>686.25350618161838</v>
      </c>
      <c r="Q692" s="98">
        <f>VLOOKUP($A692,LossChart!$A$3:$AB$105,15,0)-M692</f>
        <v>80</v>
      </c>
      <c r="R692" s="98">
        <f>VLOOKUP($A692,LossChart!$A$3:$AB$105,16,0)-N692</f>
        <v>477.30407413615825</v>
      </c>
      <c r="S692" s="98">
        <f>VLOOKUP($A692,LossChart!$A$3:$AB$105,17,0)-O692</f>
        <v>1243.5575803177767</v>
      </c>
    </row>
    <row r="693" spans="1:19" x14ac:dyDescent="0.25">
      <c r="B693" s="94" t="s">
        <v>108</v>
      </c>
      <c r="C693" s="95">
        <v>1</v>
      </c>
      <c r="D693" s="98">
        <f>$C693*VLOOKUP($B693,FoodDB!$A$2:$I$1016,3,0)</f>
        <v>0</v>
      </c>
      <c r="E693" s="98">
        <f>$C693*VLOOKUP($B693,FoodDB!$A$2:$I$1016,4,0)</f>
        <v>0</v>
      </c>
      <c r="F693" s="98">
        <f>$C693*VLOOKUP($B693,FoodDB!$A$2:$I$1016,5,0)</f>
        <v>0</v>
      </c>
      <c r="G693" s="98">
        <f>$C693*VLOOKUP($B693,FoodDB!$A$2:$I$1016,6,0)</f>
        <v>0</v>
      </c>
      <c r="H693" s="98">
        <f>$C693*VLOOKUP($B693,FoodDB!$A$2:$I$1016,7,0)</f>
        <v>0</v>
      </c>
      <c r="I693" s="98">
        <f>$C693*VLOOKUP($B693,FoodDB!$A$2:$I$1016,8,0)</f>
        <v>0</v>
      </c>
      <c r="J693" s="98">
        <f>$C693*VLOOKUP($B693,FoodDB!$A$2:$I$1016,9,0)</f>
        <v>0</v>
      </c>
      <c r="K693" s="98"/>
      <c r="L693" s="98"/>
      <c r="M693" s="98"/>
      <c r="N693" s="98"/>
      <c r="O693" s="98"/>
      <c r="P693" s="98"/>
      <c r="Q693" s="98"/>
      <c r="R693" s="98"/>
      <c r="S693" s="98"/>
    </row>
    <row r="694" spans="1:19" x14ac:dyDescent="0.25">
      <c r="B694" s="94" t="s">
        <v>108</v>
      </c>
      <c r="C694" s="95">
        <v>1</v>
      </c>
      <c r="D694" s="98">
        <f>$C694*VLOOKUP($B694,FoodDB!$A$2:$I$1016,3,0)</f>
        <v>0</v>
      </c>
      <c r="E694" s="98">
        <f>$C694*VLOOKUP($B694,FoodDB!$A$2:$I$1016,4,0)</f>
        <v>0</v>
      </c>
      <c r="F694" s="98">
        <f>$C694*VLOOKUP($B694,FoodDB!$A$2:$I$1016,5,0)</f>
        <v>0</v>
      </c>
      <c r="G694" s="98">
        <f>$C694*VLOOKUP($B694,FoodDB!$A$2:$I$1016,6,0)</f>
        <v>0</v>
      </c>
      <c r="H694" s="98">
        <f>$C694*VLOOKUP($B694,FoodDB!$A$2:$I$1016,7,0)</f>
        <v>0</v>
      </c>
      <c r="I694" s="98">
        <f>$C694*VLOOKUP($B694,FoodDB!$A$2:$I$1016,8,0)</f>
        <v>0</v>
      </c>
      <c r="J694" s="98">
        <f>$C694*VLOOKUP($B694,FoodDB!$A$2:$I$1016,9,0)</f>
        <v>0</v>
      </c>
      <c r="K694" s="98"/>
      <c r="L694" s="98"/>
      <c r="M694" s="98"/>
      <c r="N694" s="98"/>
      <c r="O694" s="98"/>
      <c r="P694" s="98"/>
      <c r="Q694" s="98"/>
      <c r="R694" s="98"/>
      <c r="S694" s="98"/>
    </row>
    <row r="695" spans="1:19" x14ac:dyDescent="0.25">
      <c r="B695" s="94" t="s">
        <v>108</v>
      </c>
      <c r="C695" s="95">
        <v>1</v>
      </c>
      <c r="D695" s="98">
        <f>$C695*VLOOKUP($B695,FoodDB!$A$2:$I$1016,3,0)</f>
        <v>0</v>
      </c>
      <c r="E695" s="98">
        <f>$C695*VLOOKUP($B695,FoodDB!$A$2:$I$1016,4,0)</f>
        <v>0</v>
      </c>
      <c r="F695" s="98">
        <f>$C695*VLOOKUP($B695,FoodDB!$A$2:$I$1016,5,0)</f>
        <v>0</v>
      </c>
      <c r="G695" s="98">
        <f>$C695*VLOOKUP($B695,FoodDB!$A$2:$I$1016,6,0)</f>
        <v>0</v>
      </c>
      <c r="H695" s="98">
        <f>$C695*VLOOKUP($B695,FoodDB!$A$2:$I$1016,7,0)</f>
        <v>0</v>
      </c>
      <c r="I695" s="98">
        <f>$C695*VLOOKUP($B695,FoodDB!$A$2:$I$1016,8,0)</f>
        <v>0</v>
      </c>
      <c r="J695" s="98">
        <f>$C695*VLOOKUP($B695,FoodDB!$A$2:$I$1016,9,0)</f>
        <v>0</v>
      </c>
      <c r="K695" s="98"/>
      <c r="L695" s="98"/>
      <c r="M695" s="98"/>
      <c r="N695" s="98"/>
      <c r="O695" s="98"/>
      <c r="P695" s="98"/>
      <c r="Q695" s="98"/>
      <c r="R695" s="98"/>
      <c r="S695" s="98"/>
    </row>
    <row r="696" spans="1:19" x14ac:dyDescent="0.25">
      <c r="B696" s="94" t="s">
        <v>108</v>
      </c>
      <c r="C696" s="95">
        <v>1</v>
      </c>
      <c r="D696" s="98">
        <f>$C696*VLOOKUP($B696,FoodDB!$A$2:$I$1016,3,0)</f>
        <v>0</v>
      </c>
      <c r="E696" s="98">
        <f>$C696*VLOOKUP($B696,FoodDB!$A$2:$I$1016,4,0)</f>
        <v>0</v>
      </c>
      <c r="F696" s="98">
        <f>$C696*VLOOKUP($B696,FoodDB!$A$2:$I$1016,5,0)</f>
        <v>0</v>
      </c>
      <c r="G696" s="98">
        <f>$C696*VLOOKUP($B696,FoodDB!$A$2:$I$1016,6,0)</f>
        <v>0</v>
      </c>
      <c r="H696" s="98">
        <f>$C696*VLOOKUP($B696,FoodDB!$A$2:$I$1016,7,0)</f>
        <v>0</v>
      </c>
      <c r="I696" s="98">
        <f>$C696*VLOOKUP($B696,FoodDB!$A$2:$I$1016,8,0)</f>
        <v>0</v>
      </c>
      <c r="J696" s="98">
        <f>$C696*VLOOKUP($B696,FoodDB!$A$2:$I$1016,9,0)</f>
        <v>0</v>
      </c>
      <c r="K696" s="98"/>
      <c r="L696" s="98"/>
      <c r="M696" s="98"/>
      <c r="N696" s="98"/>
      <c r="O696" s="98"/>
      <c r="P696" s="98"/>
      <c r="Q696" s="98"/>
      <c r="R696" s="98"/>
      <c r="S696" s="98"/>
    </row>
    <row r="697" spans="1:19" x14ac:dyDescent="0.25">
      <c r="B697" s="94" t="s">
        <v>108</v>
      </c>
      <c r="C697" s="95">
        <v>1</v>
      </c>
      <c r="D697" s="98">
        <f>$C697*VLOOKUP($B697,FoodDB!$A$2:$I$1016,3,0)</f>
        <v>0</v>
      </c>
      <c r="E697" s="98">
        <f>$C697*VLOOKUP($B697,FoodDB!$A$2:$I$1016,4,0)</f>
        <v>0</v>
      </c>
      <c r="F697" s="98">
        <f>$C697*VLOOKUP($B697,FoodDB!$A$2:$I$1016,5,0)</f>
        <v>0</v>
      </c>
      <c r="G697" s="98">
        <f>$C697*VLOOKUP($B697,FoodDB!$A$2:$I$1016,6,0)</f>
        <v>0</v>
      </c>
      <c r="H697" s="98">
        <f>$C697*VLOOKUP($B697,FoodDB!$A$2:$I$1016,7,0)</f>
        <v>0</v>
      </c>
      <c r="I697" s="98">
        <f>$C697*VLOOKUP($B697,FoodDB!$A$2:$I$1016,8,0)</f>
        <v>0</v>
      </c>
      <c r="J697" s="98">
        <f>$C697*VLOOKUP($B697,FoodDB!$A$2:$I$1016,9,0)</f>
        <v>0</v>
      </c>
      <c r="K697" s="98"/>
      <c r="L697" s="98"/>
      <c r="M697" s="98"/>
      <c r="N697" s="98"/>
      <c r="O697" s="98"/>
      <c r="P697" s="98"/>
      <c r="Q697" s="98"/>
      <c r="R697" s="98"/>
      <c r="S697" s="98"/>
    </row>
    <row r="698" spans="1:19" x14ac:dyDescent="0.25">
      <c r="B698" s="94" t="s">
        <v>108</v>
      </c>
      <c r="C698" s="95">
        <v>1</v>
      </c>
      <c r="D698" s="98">
        <f>$C698*VLOOKUP($B698,FoodDB!$A$2:$I$1016,3,0)</f>
        <v>0</v>
      </c>
      <c r="E698" s="98">
        <f>$C698*VLOOKUP($B698,FoodDB!$A$2:$I$1016,4,0)</f>
        <v>0</v>
      </c>
      <c r="F698" s="98">
        <f>$C698*VLOOKUP($B698,FoodDB!$A$2:$I$1016,5,0)</f>
        <v>0</v>
      </c>
      <c r="G698" s="98">
        <f>$C698*VLOOKUP($B698,FoodDB!$A$2:$I$1016,6,0)</f>
        <v>0</v>
      </c>
      <c r="H698" s="98">
        <f>$C698*VLOOKUP($B698,FoodDB!$A$2:$I$1016,7,0)</f>
        <v>0</v>
      </c>
      <c r="I698" s="98">
        <f>$C698*VLOOKUP($B698,FoodDB!$A$2:$I$1016,8,0)</f>
        <v>0</v>
      </c>
      <c r="J698" s="98">
        <f>$C698*VLOOKUP($B698,FoodDB!$A$2:$I$1016,9,0)</f>
        <v>0</v>
      </c>
      <c r="K698" s="98"/>
      <c r="L698" s="98"/>
      <c r="M698" s="98"/>
      <c r="N698" s="98"/>
      <c r="O698" s="98"/>
      <c r="P698" s="98"/>
      <c r="Q698" s="98"/>
      <c r="R698" s="98"/>
      <c r="S698" s="98"/>
    </row>
    <row r="699" spans="1:19" x14ac:dyDescent="0.25">
      <c r="A699" t="s">
        <v>98</v>
      </c>
      <c r="D699" s="98"/>
      <c r="E699" s="98"/>
      <c r="F699" s="98"/>
      <c r="G699" s="98">
        <f>SUM(G692:G698)</f>
        <v>0</v>
      </c>
      <c r="H699" s="98">
        <f>SUM(H692:H698)</f>
        <v>0</v>
      </c>
      <c r="I699" s="98">
        <f>SUM(I692:I698)</f>
        <v>0</v>
      </c>
      <c r="J699" s="98">
        <f>SUM(G699:I699)</f>
        <v>0</v>
      </c>
      <c r="K699" s="98"/>
      <c r="L699" s="98"/>
      <c r="M699" s="98"/>
      <c r="N699" s="98"/>
      <c r="O699" s="98"/>
      <c r="P699" s="98"/>
      <c r="Q699" s="98"/>
      <c r="R699" s="98"/>
      <c r="S699" s="98"/>
    </row>
    <row r="700" spans="1:19" x14ac:dyDescent="0.25">
      <c r="A700" t="s">
        <v>102</v>
      </c>
      <c r="B700" t="s">
        <v>103</v>
      </c>
      <c r="D700" s="98"/>
      <c r="E700" s="98"/>
      <c r="F700" s="98"/>
      <c r="G700" s="98">
        <f>VLOOKUP($A692,LossChart!$A$3:$AB$105,14,0)</f>
        <v>686.25350618161838</v>
      </c>
      <c r="H700" s="98">
        <f>VLOOKUP($A692,LossChart!$A$3:$AB$105,15,0)</f>
        <v>80</v>
      </c>
      <c r="I700" s="98">
        <f>VLOOKUP($A692,LossChart!$A$3:$AB$105,16,0)</f>
        <v>477.30407413615825</v>
      </c>
      <c r="J700" s="98">
        <f>VLOOKUP($A692,LossChart!$A$3:$AB$105,17,0)</f>
        <v>1243.5575803177767</v>
      </c>
      <c r="K700" s="98"/>
      <c r="L700" s="98"/>
      <c r="M700" s="98"/>
      <c r="N700" s="98"/>
      <c r="O700" s="98"/>
      <c r="P700" s="98"/>
      <c r="Q700" s="98"/>
      <c r="R700" s="98"/>
      <c r="S700" s="98"/>
    </row>
    <row r="701" spans="1:19" x14ac:dyDescent="0.25">
      <c r="A701" t="s">
        <v>104</v>
      </c>
      <c r="D701" s="98"/>
      <c r="E701" s="98"/>
      <c r="F701" s="98"/>
      <c r="G701" s="98">
        <f>G700-G699</f>
        <v>686.25350618161838</v>
      </c>
      <c r="H701" s="98">
        <f>H700-H699</f>
        <v>80</v>
      </c>
      <c r="I701" s="98">
        <f>I700-I699</f>
        <v>477.30407413615825</v>
      </c>
      <c r="J701" s="98">
        <f>J700-J699</f>
        <v>1243.5575803177767</v>
      </c>
      <c r="K701" s="98"/>
      <c r="L701" s="98"/>
      <c r="M701" s="98"/>
      <c r="N701" s="98"/>
      <c r="O701" s="98"/>
      <c r="P701" s="98"/>
      <c r="Q701" s="98"/>
      <c r="R701" s="98"/>
      <c r="S701" s="98"/>
    </row>
    <row r="703" spans="1:19" ht="60" x14ac:dyDescent="0.25">
      <c r="A703" s="21" t="s">
        <v>63</v>
      </c>
      <c r="B703" s="21" t="s">
        <v>93</v>
      </c>
      <c r="C703" s="21" t="s">
        <v>94</v>
      </c>
      <c r="D703" s="92" t="str">
        <f>FoodDB!$C$1</f>
        <v>Fat
(g)</v>
      </c>
      <c r="E703" s="92" t="str">
        <f>FoodDB!$D$1</f>
        <v xml:space="preserve"> Carbs
(g)</v>
      </c>
      <c r="F703" s="92" t="str">
        <f>FoodDB!$E$1</f>
        <v>Protein
(g)</v>
      </c>
      <c r="G703" s="92" t="str">
        <f>FoodDB!$F$1</f>
        <v>Fat
(Cal)</v>
      </c>
      <c r="H703" s="92" t="str">
        <f>FoodDB!$G$1</f>
        <v>Carb
(Cal)</v>
      </c>
      <c r="I703" s="92" t="str">
        <f>FoodDB!$H$1</f>
        <v>Protein
(Cal)</v>
      </c>
      <c r="J703" s="92" t="str">
        <f>FoodDB!$I$1</f>
        <v>Total
Calories</v>
      </c>
      <c r="K703" s="92"/>
      <c r="L703" s="92" t="s">
        <v>110</v>
      </c>
      <c r="M703" s="92" t="s">
        <v>111</v>
      </c>
      <c r="N703" s="92" t="s">
        <v>112</v>
      </c>
      <c r="O703" s="92" t="s">
        <v>113</v>
      </c>
      <c r="P703" s="92" t="s">
        <v>118</v>
      </c>
      <c r="Q703" s="92" t="s">
        <v>119</v>
      </c>
      <c r="R703" s="92" t="s">
        <v>120</v>
      </c>
      <c r="S703" s="92" t="s">
        <v>121</v>
      </c>
    </row>
    <row r="704" spans="1:19" x14ac:dyDescent="0.25">
      <c r="A704" s="93">
        <f>A692+1</f>
        <v>43052</v>
      </c>
      <c r="B704" s="94" t="s">
        <v>108</v>
      </c>
      <c r="C704" s="95">
        <v>1</v>
      </c>
      <c r="D704" s="98">
        <f>$C704*VLOOKUP($B704,FoodDB!$A$2:$I$1016,3,0)</f>
        <v>0</v>
      </c>
      <c r="E704" s="98">
        <f>$C704*VLOOKUP($B704,FoodDB!$A$2:$I$1016,4,0)</f>
        <v>0</v>
      </c>
      <c r="F704" s="98">
        <f>$C704*VLOOKUP($B704,FoodDB!$A$2:$I$1016,5,0)</f>
        <v>0</v>
      </c>
      <c r="G704" s="98">
        <f>$C704*VLOOKUP($B704,FoodDB!$A$2:$I$1016,6,0)</f>
        <v>0</v>
      </c>
      <c r="H704" s="98">
        <f>$C704*VLOOKUP($B704,FoodDB!$A$2:$I$1016,7,0)</f>
        <v>0</v>
      </c>
      <c r="I704" s="98">
        <f>$C704*VLOOKUP($B704,FoodDB!$A$2:$I$1016,8,0)</f>
        <v>0</v>
      </c>
      <c r="J704" s="98">
        <f>$C704*VLOOKUP($B704,FoodDB!$A$2:$I$1016,9,0)</f>
        <v>0</v>
      </c>
      <c r="K704" s="98"/>
      <c r="L704" s="98">
        <f>SUM(G704:G710)</f>
        <v>0</v>
      </c>
      <c r="M704" s="98">
        <f>SUM(H704:H710)</f>
        <v>0</v>
      </c>
      <c r="N704" s="98">
        <f>SUM(I704:I710)</f>
        <v>0</v>
      </c>
      <c r="O704" s="98">
        <f>SUM(L704:N704)</f>
        <v>0</v>
      </c>
      <c r="P704" s="98">
        <f>VLOOKUP($A704,LossChart!$A$3:$AB$105,14,0)-L704</f>
        <v>691.67770833608165</v>
      </c>
      <c r="Q704" s="98">
        <f>VLOOKUP($A704,LossChart!$A$3:$AB$105,15,0)-M704</f>
        <v>80</v>
      </c>
      <c r="R704" s="98">
        <f>VLOOKUP($A704,LossChart!$A$3:$AB$105,16,0)-N704</f>
        <v>477.30407413615825</v>
      </c>
      <c r="S704" s="98">
        <f>VLOOKUP($A704,LossChart!$A$3:$AB$105,17,0)-O704</f>
        <v>1248.98178247224</v>
      </c>
    </row>
    <row r="705" spans="1:19" x14ac:dyDescent="0.25">
      <c r="B705" s="94" t="s">
        <v>108</v>
      </c>
      <c r="C705" s="95">
        <v>1</v>
      </c>
      <c r="D705" s="98">
        <f>$C705*VLOOKUP($B705,FoodDB!$A$2:$I$1016,3,0)</f>
        <v>0</v>
      </c>
      <c r="E705" s="98">
        <f>$C705*VLOOKUP($B705,FoodDB!$A$2:$I$1016,4,0)</f>
        <v>0</v>
      </c>
      <c r="F705" s="98">
        <f>$C705*VLOOKUP($B705,FoodDB!$A$2:$I$1016,5,0)</f>
        <v>0</v>
      </c>
      <c r="G705" s="98">
        <f>$C705*VLOOKUP($B705,FoodDB!$A$2:$I$1016,6,0)</f>
        <v>0</v>
      </c>
      <c r="H705" s="98">
        <f>$C705*VLOOKUP($B705,FoodDB!$A$2:$I$1016,7,0)</f>
        <v>0</v>
      </c>
      <c r="I705" s="98">
        <f>$C705*VLOOKUP($B705,FoodDB!$A$2:$I$1016,8,0)</f>
        <v>0</v>
      </c>
      <c r="J705" s="98">
        <f>$C705*VLOOKUP($B705,FoodDB!$A$2:$I$1016,9,0)</f>
        <v>0</v>
      </c>
      <c r="K705" s="98"/>
      <c r="L705" s="98"/>
      <c r="M705" s="98"/>
      <c r="N705" s="98"/>
      <c r="O705" s="98"/>
      <c r="P705" s="98"/>
      <c r="Q705" s="98"/>
      <c r="R705" s="98"/>
      <c r="S705" s="98"/>
    </row>
    <row r="706" spans="1:19" x14ac:dyDescent="0.25">
      <c r="B706" s="94" t="s">
        <v>108</v>
      </c>
      <c r="C706" s="95">
        <v>1</v>
      </c>
      <c r="D706" s="98">
        <f>$C706*VLOOKUP($B706,FoodDB!$A$2:$I$1016,3,0)</f>
        <v>0</v>
      </c>
      <c r="E706" s="98">
        <f>$C706*VLOOKUP($B706,FoodDB!$A$2:$I$1016,4,0)</f>
        <v>0</v>
      </c>
      <c r="F706" s="98">
        <f>$C706*VLOOKUP($B706,FoodDB!$A$2:$I$1016,5,0)</f>
        <v>0</v>
      </c>
      <c r="G706" s="98">
        <f>$C706*VLOOKUP($B706,FoodDB!$A$2:$I$1016,6,0)</f>
        <v>0</v>
      </c>
      <c r="H706" s="98">
        <f>$C706*VLOOKUP($B706,FoodDB!$A$2:$I$1016,7,0)</f>
        <v>0</v>
      </c>
      <c r="I706" s="98">
        <f>$C706*VLOOKUP($B706,FoodDB!$A$2:$I$1016,8,0)</f>
        <v>0</v>
      </c>
      <c r="J706" s="98">
        <f>$C706*VLOOKUP($B706,FoodDB!$A$2:$I$1016,9,0)</f>
        <v>0</v>
      </c>
      <c r="K706" s="98"/>
      <c r="L706" s="98"/>
      <c r="M706" s="98"/>
      <c r="N706" s="98"/>
      <c r="O706" s="98"/>
      <c r="P706" s="98"/>
      <c r="Q706" s="98"/>
      <c r="R706" s="98"/>
      <c r="S706" s="98"/>
    </row>
    <row r="707" spans="1:19" x14ac:dyDescent="0.25">
      <c r="B707" s="94" t="s">
        <v>108</v>
      </c>
      <c r="C707" s="95">
        <v>1</v>
      </c>
      <c r="D707" s="98">
        <f>$C707*VLOOKUP($B707,FoodDB!$A$2:$I$1016,3,0)</f>
        <v>0</v>
      </c>
      <c r="E707" s="98">
        <f>$C707*VLOOKUP($B707,FoodDB!$A$2:$I$1016,4,0)</f>
        <v>0</v>
      </c>
      <c r="F707" s="98">
        <f>$C707*VLOOKUP($B707,FoodDB!$A$2:$I$1016,5,0)</f>
        <v>0</v>
      </c>
      <c r="G707" s="98">
        <f>$C707*VLOOKUP($B707,FoodDB!$A$2:$I$1016,6,0)</f>
        <v>0</v>
      </c>
      <c r="H707" s="98">
        <f>$C707*VLOOKUP($B707,FoodDB!$A$2:$I$1016,7,0)</f>
        <v>0</v>
      </c>
      <c r="I707" s="98">
        <f>$C707*VLOOKUP($B707,FoodDB!$A$2:$I$1016,8,0)</f>
        <v>0</v>
      </c>
      <c r="J707" s="98">
        <f>$C707*VLOOKUP($B707,FoodDB!$A$2:$I$1016,9,0)</f>
        <v>0</v>
      </c>
      <c r="K707" s="98"/>
      <c r="L707" s="98"/>
      <c r="M707" s="98"/>
      <c r="N707" s="98"/>
      <c r="O707" s="98"/>
      <c r="P707" s="98"/>
      <c r="Q707" s="98"/>
      <c r="R707" s="98"/>
      <c r="S707" s="98"/>
    </row>
    <row r="708" spans="1:19" x14ac:dyDescent="0.25">
      <c r="B708" s="94" t="s">
        <v>108</v>
      </c>
      <c r="C708" s="95">
        <v>1</v>
      </c>
      <c r="D708" s="98">
        <f>$C708*VLOOKUP($B708,FoodDB!$A$2:$I$1016,3,0)</f>
        <v>0</v>
      </c>
      <c r="E708" s="98">
        <f>$C708*VLOOKUP($B708,FoodDB!$A$2:$I$1016,4,0)</f>
        <v>0</v>
      </c>
      <c r="F708" s="98">
        <f>$C708*VLOOKUP($B708,FoodDB!$A$2:$I$1016,5,0)</f>
        <v>0</v>
      </c>
      <c r="G708" s="98">
        <f>$C708*VLOOKUP($B708,FoodDB!$A$2:$I$1016,6,0)</f>
        <v>0</v>
      </c>
      <c r="H708" s="98">
        <f>$C708*VLOOKUP($B708,FoodDB!$A$2:$I$1016,7,0)</f>
        <v>0</v>
      </c>
      <c r="I708" s="98">
        <f>$C708*VLOOKUP($B708,FoodDB!$A$2:$I$1016,8,0)</f>
        <v>0</v>
      </c>
      <c r="J708" s="98">
        <f>$C708*VLOOKUP($B708,FoodDB!$A$2:$I$1016,9,0)</f>
        <v>0</v>
      </c>
      <c r="K708" s="98"/>
      <c r="L708" s="98"/>
      <c r="M708" s="98"/>
      <c r="N708" s="98"/>
      <c r="O708" s="98"/>
      <c r="P708" s="98"/>
      <c r="Q708" s="98"/>
      <c r="R708" s="98"/>
      <c r="S708" s="98"/>
    </row>
    <row r="709" spans="1:19" x14ac:dyDescent="0.25">
      <c r="B709" s="94" t="s">
        <v>108</v>
      </c>
      <c r="C709" s="95">
        <v>1</v>
      </c>
      <c r="D709" s="98">
        <f>$C709*VLOOKUP($B709,FoodDB!$A$2:$I$1016,3,0)</f>
        <v>0</v>
      </c>
      <c r="E709" s="98">
        <f>$C709*VLOOKUP($B709,FoodDB!$A$2:$I$1016,4,0)</f>
        <v>0</v>
      </c>
      <c r="F709" s="98">
        <f>$C709*VLOOKUP($B709,FoodDB!$A$2:$I$1016,5,0)</f>
        <v>0</v>
      </c>
      <c r="G709" s="98">
        <f>$C709*VLOOKUP($B709,FoodDB!$A$2:$I$1016,6,0)</f>
        <v>0</v>
      </c>
      <c r="H709" s="98">
        <f>$C709*VLOOKUP($B709,FoodDB!$A$2:$I$1016,7,0)</f>
        <v>0</v>
      </c>
      <c r="I709" s="98">
        <f>$C709*VLOOKUP($B709,FoodDB!$A$2:$I$1016,8,0)</f>
        <v>0</v>
      </c>
      <c r="J709" s="98">
        <f>$C709*VLOOKUP($B709,FoodDB!$A$2:$I$1016,9,0)</f>
        <v>0</v>
      </c>
      <c r="K709" s="98"/>
      <c r="L709" s="98"/>
      <c r="M709" s="98"/>
      <c r="N709" s="98"/>
      <c r="O709" s="98"/>
      <c r="P709" s="98"/>
      <c r="Q709" s="98"/>
      <c r="R709" s="98"/>
      <c r="S709" s="98"/>
    </row>
    <row r="710" spans="1:19" x14ac:dyDescent="0.25">
      <c r="B710" s="94" t="s">
        <v>108</v>
      </c>
      <c r="C710" s="95">
        <v>1</v>
      </c>
      <c r="D710" s="98">
        <f>$C710*VLOOKUP($B710,FoodDB!$A$2:$I$1016,3,0)</f>
        <v>0</v>
      </c>
      <c r="E710" s="98">
        <f>$C710*VLOOKUP($B710,FoodDB!$A$2:$I$1016,4,0)</f>
        <v>0</v>
      </c>
      <c r="F710" s="98">
        <f>$C710*VLOOKUP($B710,FoodDB!$A$2:$I$1016,5,0)</f>
        <v>0</v>
      </c>
      <c r="G710" s="98">
        <f>$C710*VLOOKUP($B710,FoodDB!$A$2:$I$1016,6,0)</f>
        <v>0</v>
      </c>
      <c r="H710" s="98">
        <f>$C710*VLOOKUP($B710,FoodDB!$A$2:$I$1016,7,0)</f>
        <v>0</v>
      </c>
      <c r="I710" s="98">
        <f>$C710*VLOOKUP($B710,FoodDB!$A$2:$I$1016,8,0)</f>
        <v>0</v>
      </c>
      <c r="J710" s="98">
        <f>$C710*VLOOKUP($B710,FoodDB!$A$2:$I$1016,9,0)</f>
        <v>0</v>
      </c>
      <c r="K710" s="98"/>
      <c r="L710" s="98"/>
      <c r="M710" s="98"/>
      <c r="N710" s="98"/>
      <c r="O710" s="98"/>
      <c r="P710" s="98"/>
      <c r="Q710" s="98"/>
      <c r="R710" s="98"/>
      <c r="S710" s="98"/>
    </row>
    <row r="711" spans="1:19" x14ac:dyDescent="0.25">
      <c r="A711" t="s">
        <v>98</v>
      </c>
      <c r="D711" s="98"/>
      <c r="E711" s="98"/>
      <c r="F711" s="98"/>
      <c r="G711" s="98">
        <f>SUM(G704:G710)</f>
        <v>0</v>
      </c>
      <c r="H711" s="98">
        <f>SUM(H704:H710)</f>
        <v>0</v>
      </c>
      <c r="I711" s="98">
        <f>SUM(I704:I710)</f>
        <v>0</v>
      </c>
      <c r="J711" s="98">
        <f>SUM(G711:I711)</f>
        <v>0</v>
      </c>
      <c r="K711" s="98"/>
      <c r="L711" s="98"/>
      <c r="M711" s="98"/>
      <c r="N711" s="98"/>
      <c r="O711" s="98"/>
      <c r="P711" s="98"/>
      <c r="Q711" s="98"/>
      <c r="R711" s="98"/>
      <c r="S711" s="98"/>
    </row>
    <row r="712" spans="1:19" x14ac:dyDescent="0.25">
      <c r="A712" t="s">
        <v>102</v>
      </c>
      <c r="B712" t="s">
        <v>103</v>
      </c>
      <c r="D712" s="98"/>
      <c r="E712" s="98"/>
      <c r="F712" s="98"/>
      <c r="G712" s="98">
        <f>VLOOKUP($A704,LossChart!$A$3:$AB$105,14,0)</f>
        <v>691.67770833608165</v>
      </c>
      <c r="H712" s="98">
        <f>VLOOKUP($A704,LossChart!$A$3:$AB$105,15,0)</f>
        <v>80</v>
      </c>
      <c r="I712" s="98">
        <f>VLOOKUP($A704,LossChart!$A$3:$AB$105,16,0)</f>
        <v>477.30407413615825</v>
      </c>
      <c r="J712" s="98">
        <f>VLOOKUP($A704,LossChart!$A$3:$AB$105,17,0)</f>
        <v>1248.98178247224</v>
      </c>
      <c r="K712" s="98"/>
      <c r="L712" s="98"/>
      <c r="M712" s="98"/>
      <c r="N712" s="98"/>
      <c r="O712" s="98"/>
      <c r="P712" s="98"/>
      <c r="Q712" s="98"/>
      <c r="R712" s="98"/>
      <c r="S712" s="98"/>
    </row>
    <row r="713" spans="1:19" x14ac:dyDescent="0.25">
      <c r="A713" t="s">
        <v>104</v>
      </c>
      <c r="D713" s="98"/>
      <c r="E713" s="98"/>
      <c r="F713" s="98"/>
      <c r="G713" s="98">
        <f>G712-G711</f>
        <v>691.67770833608165</v>
      </c>
      <c r="H713" s="98">
        <f>H712-H711</f>
        <v>80</v>
      </c>
      <c r="I713" s="98">
        <f>I712-I711</f>
        <v>477.30407413615825</v>
      </c>
      <c r="J713" s="98">
        <f>J712-J711</f>
        <v>1248.98178247224</v>
      </c>
      <c r="K713" s="98"/>
      <c r="L713" s="98"/>
      <c r="M713" s="98"/>
      <c r="N713" s="98"/>
      <c r="O713" s="98"/>
      <c r="P713" s="98"/>
      <c r="Q713" s="98"/>
      <c r="R713" s="98"/>
      <c r="S713" s="98"/>
    </row>
    <row r="715" spans="1:19" ht="60" x14ac:dyDescent="0.25">
      <c r="A715" s="21" t="s">
        <v>63</v>
      </c>
      <c r="B715" s="21" t="s">
        <v>93</v>
      </c>
      <c r="C715" s="21" t="s">
        <v>94</v>
      </c>
      <c r="D715" s="92" t="str">
        <f>FoodDB!$C$1</f>
        <v>Fat
(g)</v>
      </c>
      <c r="E715" s="92" t="str">
        <f>FoodDB!$D$1</f>
        <v xml:space="preserve"> Carbs
(g)</v>
      </c>
      <c r="F715" s="92" t="str">
        <f>FoodDB!$E$1</f>
        <v>Protein
(g)</v>
      </c>
      <c r="G715" s="92" t="str">
        <f>FoodDB!$F$1</f>
        <v>Fat
(Cal)</v>
      </c>
      <c r="H715" s="92" t="str">
        <f>FoodDB!$G$1</f>
        <v>Carb
(Cal)</v>
      </c>
      <c r="I715" s="92" t="str">
        <f>FoodDB!$H$1</f>
        <v>Protein
(Cal)</v>
      </c>
      <c r="J715" s="92" t="str">
        <f>FoodDB!$I$1</f>
        <v>Total
Calories</v>
      </c>
      <c r="K715" s="92"/>
      <c r="L715" s="92" t="s">
        <v>110</v>
      </c>
      <c r="M715" s="92" t="s">
        <v>111</v>
      </c>
      <c r="N715" s="92" t="s">
        <v>112</v>
      </c>
      <c r="O715" s="92" t="s">
        <v>113</v>
      </c>
      <c r="P715" s="92" t="s">
        <v>118</v>
      </c>
      <c r="Q715" s="92" t="s">
        <v>119</v>
      </c>
      <c r="R715" s="92" t="s">
        <v>120</v>
      </c>
      <c r="S715" s="92" t="s">
        <v>121</v>
      </c>
    </row>
    <row r="716" spans="1:19" x14ac:dyDescent="0.25">
      <c r="A716" s="93">
        <f>A704+1</f>
        <v>43053</v>
      </c>
      <c r="B716" s="94" t="s">
        <v>108</v>
      </c>
      <c r="C716" s="95">
        <v>1</v>
      </c>
      <c r="D716" s="98">
        <f>$C716*VLOOKUP($B716,FoodDB!$A$2:$I$1016,3,0)</f>
        <v>0</v>
      </c>
      <c r="E716" s="98">
        <f>$C716*VLOOKUP($B716,FoodDB!$A$2:$I$1016,4,0)</f>
        <v>0</v>
      </c>
      <c r="F716" s="98">
        <f>$C716*VLOOKUP($B716,FoodDB!$A$2:$I$1016,5,0)</f>
        <v>0</v>
      </c>
      <c r="G716" s="98">
        <f>$C716*VLOOKUP($B716,FoodDB!$A$2:$I$1016,6,0)</f>
        <v>0</v>
      </c>
      <c r="H716" s="98">
        <f>$C716*VLOOKUP($B716,FoodDB!$A$2:$I$1016,7,0)</f>
        <v>0</v>
      </c>
      <c r="I716" s="98">
        <f>$C716*VLOOKUP($B716,FoodDB!$A$2:$I$1016,8,0)</f>
        <v>0</v>
      </c>
      <c r="J716" s="98">
        <f>$C716*VLOOKUP($B716,FoodDB!$A$2:$I$1016,9,0)</f>
        <v>0</v>
      </c>
      <c r="K716" s="98"/>
      <c r="L716" s="98">
        <f>SUM(G716:G722)</f>
        <v>0</v>
      </c>
      <c r="M716" s="98">
        <f>SUM(H716:H722)</f>
        <v>0</v>
      </c>
      <c r="N716" s="98">
        <f>SUM(I716:I722)</f>
        <v>0</v>
      </c>
      <c r="O716" s="98">
        <f>SUM(L716:N716)</f>
        <v>0</v>
      </c>
      <c r="P716" s="98">
        <f>VLOOKUP($A716,LossChart!$A$3:$AB$105,14,0)-L716</f>
        <v>697.05386755717609</v>
      </c>
      <c r="Q716" s="98">
        <f>VLOOKUP($A716,LossChart!$A$3:$AB$105,15,0)-M716</f>
        <v>80</v>
      </c>
      <c r="R716" s="98">
        <f>VLOOKUP($A716,LossChart!$A$3:$AB$105,16,0)-N716</f>
        <v>477.30407413615825</v>
      </c>
      <c r="S716" s="98">
        <f>VLOOKUP($A716,LossChart!$A$3:$AB$105,17,0)-O716</f>
        <v>1254.3579416933344</v>
      </c>
    </row>
    <row r="717" spans="1:19" x14ac:dyDescent="0.25">
      <c r="B717" s="94" t="s">
        <v>108</v>
      </c>
      <c r="C717" s="95">
        <v>1</v>
      </c>
      <c r="D717" s="98">
        <f>$C717*VLOOKUP($B717,FoodDB!$A$2:$I$1016,3,0)</f>
        <v>0</v>
      </c>
      <c r="E717" s="98">
        <f>$C717*VLOOKUP($B717,FoodDB!$A$2:$I$1016,4,0)</f>
        <v>0</v>
      </c>
      <c r="F717" s="98">
        <f>$C717*VLOOKUP($B717,FoodDB!$A$2:$I$1016,5,0)</f>
        <v>0</v>
      </c>
      <c r="G717" s="98">
        <f>$C717*VLOOKUP($B717,FoodDB!$A$2:$I$1016,6,0)</f>
        <v>0</v>
      </c>
      <c r="H717" s="98">
        <f>$C717*VLOOKUP($B717,FoodDB!$A$2:$I$1016,7,0)</f>
        <v>0</v>
      </c>
      <c r="I717" s="98">
        <f>$C717*VLOOKUP($B717,FoodDB!$A$2:$I$1016,8,0)</f>
        <v>0</v>
      </c>
      <c r="J717" s="98">
        <f>$C717*VLOOKUP($B717,FoodDB!$A$2:$I$1016,9,0)</f>
        <v>0</v>
      </c>
      <c r="K717" s="98"/>
      <c r="L717" s="98"/>
      <c r="M717" s="98"/>
      <c r="N717" s="98"/>
      <c r="O717" s="98"/>
      <c r="P717" s="98"/>
      <c r="Q717" s="98"/>
      <c r="R717" s="98"/>
      <c r="S717" s="98"/>
    </row>
    <row r="718" spans="1:19" x14ac:dyDescent="0.25">
      <c r="B718" s="94" t="s">
        <v>108</v>
      </c>
      <c r="C718" s="95">
        <v>1</v>
      </c>
      <c r="D718" s="98">
        <f>$C718*VLOOKUP($B718,FoodDB!$A$2:$I$1016,3,0)</f>
        <v>0</v>
      </c>
      <c r="E718" s="98">
        <f>$C718*VLOOKUP($B718,FoodDB!$A$2:$I$1016,4,0)</f>
        <v>0</v>
      </c>
      <c r="F718" s="98">
        <f>$C718*VLOOKUP($B718,FoodDB!$A$2:$I$1016,5,0)</f>
        <v>0</v>
      </c>
      <c r="G718" s="98">
        <f>$C718*VLOOKUP($B718,FoodDB!$A$2:$I$1016,6,0)</f>
        <v>0</v>
      </c>
      <c r="H718" s="98">
        <f>$C718*VLOOKUP($B718,FoodDB!$A$2:$I$1016,7,0)</f>
        <v>0</v>
      </c>
      <c r="I718" s="98">
        <f>$C718*VLOOKUP($B718,FoodDB!$A$2:$I$1016,8,0)</f>
        <v>0</v>
      </c>
      <c r="J718" s="98">
        <f>$C718*VLOOKUP($B718,FoodDB!$A$2:$I$1016,9,0)</f>
        <v>0</v>
      </c>
      <c r="K718" s="98"/>
      <c r="L718" s="98"/>
      <c r="M718" s="98"/>
      <c r="N718" s="98"/>
      <c r="O718" s="98"/>
      <c r="P718" s="98"/>
      <c r="Q718" s="98"/>
      <c r="R718" s="98"/>
      <c r="S718" s="98"/>
    </row>
    <row r="719" spans="1:19" x14ac:dyDescent="0.25">
      <c r="B719" s="94" t="s">
        <v>108</v>
      </c>
      <c r="C719" s="95">
        <v>1</v>
      </c>
      <c r="D719" s="98">
        <f>$C719*VLOOKUP($B719,FoodDB!$A$2:$I$1016,3,0)</f>
        <v>0</v>
      </c>
      <c r="E719" s="98">
        <f>$C719*VLOOKUP($B719,FoodDB!$A$2:$I$1016,4,0)</f>
        <v>0</v>
      </c>
      <c r="F719" s="98">
        <f>$C719*VLOOKUP($B719,FoodDB!$A$2:$I$1016,5,0)</f>
        <v>0</v>
      </c>
      <c r="G719" s="98">
        <f>$C719*VLOOKUP($B719,FoodDB!$A$2:$I$1016,6,0)</f>
        <v>0</v>
      </c>
      <c r="H719" s="98">
        <f>$C719*VLOOKUP($B719,FoodDB!$A$2:$I$1016,7,0)</f>
        <v>0</v>
      </c>
      <c r="I719" s="98">
        <f>$C719*VLOOKUP($B719,FoodDB!$A$2:$I$1016,8,0)</f>
        <v>0</v>
      </c>
      <c r="J719" s="98">
        <f>$C719*VLOOKUP($B719,FoodDB!$A$2:$I$1016,9,0)</f>
        <v>0</v>
      </c>
      <c r="K719" s="98"/>
      <c r="L719" s="98"/>
      <c r="M719" s="98"/>
      <c r="N719" s="98"/>
      <c r="O719" s="98"/>
      <c r="P719" s="98"/>
      <c r="Q719" s="98"/>
      <c r="R719" s="98"/>
      <c r="S719" s="98"/>
    </row>
    <row r="720" spans="1:19" x14ac:dyDescent="0.25">
      <c r="B720" s="94" t="s">
        <v>108</v>
      </c>
      <c r="C720" s="95">
        <v>1</v>
      </c>
      <c r="D720" s="98">
        <f>$C720*VLOOKUP($B720,FoodDB!$A$2:$I$1016,3,0)</f>
        <v>0</v>
      </c>
      <c r="E720" s="98">
        <f>$C720*VLOOKUP($B720,FoodDB!$A$2:$I$1016,4,0)</f>
        <v>0</v>
      </c>
      <c r="F720" s="98">
        <f>$C720*VLOOKUP($B720,FoodDB!$A$2:$I$1016,5,0)</f>
        <v>0</v>
      </c>
      <c r="G720" s="98">
        <f>$C720*VLOOKUP($B720,FoodDB!$A$2:$I$1016,6,0)</f>
        <v>0</v>
      </c>
      <c r="H720" s="98">
        <f>$C720*VLOOKUP($B720,FoodDB!$A$2:$I$1016,7,0)</f>
        <v>0</v>
      </c>
      <c r="I720" s="98">
        <f>$C720*VLOOKUP($B720,FoodDB!$A$2:$I$1016,8,0)</f>
        <v>0</v>
      </c>
      <c r="J720" s="98">
        <f>$C720*VLOOKUP($B720,FoodDB!$A$2:$I$1016,9,0)</f>
        <v>0</v>
      </c>
      <c r="K720" s="98"/>
      <c r="L720" s="98"/>
      <c r="M720" s="98"/>
      <c r="N720" s="98"/>
      <c r="O720" s="98"/>
      <c r="P720" s="98"/>
      <c r="Q720" s="98"/>
      <c r="R720" s="98"/>
      <c r="S720" s="98"/>
    </row>
    <row r="721" spans="1:19" x14ac:dyDescent="0.25">
      <c r="B721" s="94" t="s">
        <v>108</v>
      </c>
      <c r="C721" s="95">
        <v>1</v>
      </c>
      <c r="D721" s="98">
        <f>$C721*VLOOKUP($B721,FoodDB!$A$2:$I$1016,3,0)</f>
        <v>0</v>
      </c>
      <c r="E721" s="98">
        <f>$C721*VLOOKUP($B721,FoodDB!$A$2:$I$1016,4,0)</f>
        <v>0</v>
      </c>
      <c r="F721" s="98">
        <f>$C721*VLOOKUP($B721,FoodDB!$A$2:$I$1016,5,0)</f>
        <v>0</v>
      </c>
      <c r="G721" s="98">
        <f>$C721*VLOOKUP($B721,FoodDB!$A$2:$I$1016,6,0)</f>
        <v>0</v>
      </c>
      <c r="H721" s="98">
        <f>$C721*VLOOKUP($B721,FoodDB!$A$2:$I$1016,7,0)</f>
        <v>0</v>
      </c>
      <c r="I721" s="98">
        <f>$C721*VLOOKUP($B721,FoodDB!$A$2:$I$1016,8,0)</f>
        <v>0</v>
      </c>
      <c r="J721" s="98">
        <f>$C721*VLOOKUP($B721,FoodDB!$A$2:$I$1016,9,0)</f>
        <v>0</v>
      </c>
      <c r="K721" s="98"/>
      <c r="L721" s="98"/>
      <c r="M721" s="98"/>
      <c r="N721" s="98"/>
      <c r="O721" s="98"/>
      <c r="P721" s="98"/>
      <c r="Q721" s="98"/>
      <c r="R721" s="98"/>
      <c r="S721" s="98"/>
    </row>
    <row r="722" spans="1:19" x14ac:dyDescent="0.25">
      <c r="B722" s="94" t="s">
        <v>108</v>
      </c>
      <c r="C722" s="95">
        <v>1</v>
      </c>
      <c r="D722" s="98">
        <f>$C722*VLOOKUP($B722,FoodDB!$A$2:$I$1016,3,0)</f>
        <v>0</v>
      </c>
      <c r="E722" s="98">
        <f>$C722*VLOOKUP($B722,FoodDB!$A$2:$I$1016,4,0)</f>
        <v>0</v>
      </c>
      <c r="F722" s="98">
        <f>$C722*VLOOKUP($B722,FoodDB!$A$2:$I$1016,5,0)</f>
        <v>0</v>
      </c>
      <c r="G722" s="98">
        <f>$C722*VLOOKUP($B722,FoodDB!$A$2:$I$1016,6,0)</f>
        <v>0</v>
      </c>
      <c r="H722" s="98">
        <f>$C722*VLOOKUP($B722,FoodDB!$A$2:$I$1016,7,0)</f>
        <v>0</v>
      </c>
      <c r="I722" s="98">
        <f>$C722*VLOOKUP($B722,FoodDB!$A$2:$I$1016,8,0)</f>
        <v>0</v>
      </c>
      <c r="J722" s="98">
        <f>$C722*VLOOKUP($B722,FoodDB!$A$2:$I$1016,9,0)</f>
        <v>0</v>
      </c>
      <c r="K722" s="98"/>
      <c r="L722" s="98"/>
      <c r="M722" s="98"/>
      <c r="N722" s="98"/>
      <c r="O722" s="98"/>
      <c r="P722" s="98"/>
      <c r="Q722" s="98"/>
      <c r="R722" s="98"/>
      <c r="S722" s="98"/>
    </row>
    <row r="723" spans="1:19" x14ac:dyDescent="0.25">
      <c r="A723" t="s">
        <v>98</v>
      </c>
      <c r="D723" s="98"/>
      <c r="E723" s="98"/>
      <c r="F723" s="98"/>
      <c r="G723" s="98">
        <f>SUM(G716:G722)</f>
        <v>0</v>
      </c>
      <c r="H723" s="98">
        <f>SUM(H716:H722)</f>
        <v>0</v>
      </c>
      <c r="I723" s="98">
        <f>SUM(I716:I722)</f>
        <v>0</v>
      </c>
      <c r="J723" s="98">
        <f>SUM(G723:I723)</f>
        <v>0</v>
      </c>
      <c r="K723" s="98"/>
      <c r="L723" s="98"/>
      <c r="M723" s="98"/>
      <c r="N723" s="98"/>
      <c r="O723" s="98"/>
      <c r="P723" s="98"/>
      <c r="Q723" s="98"/>
      <c r="R723" s="98"/>
      <c r="S723" s="98"/>
    </row>
    <row r="724" spans="1:19" x14ac:dyDescent="0.25">
      <c r="A724" t="s">
        <v>102</v>
      </c>
      <c r="B724" t="s">
        <v>103</v>
      </c>
      <c r="D724" s="98"/>
      <c r="E724" s="98"/>
      <c r="F724" s="98"/>
      <c r="G724" s="98">
        <f>VLOOKUP($A716,LossChart!$A$3:$AB$105,14,0)</f>
        <v>697.05386755717609</v>
      </c>
      <c r="H724" s="98">
        <f>VLOOKUP($A716,LossChart!$A$3:$AB$105,15,0)</f>
        <v>80</v>
      </c>
      <c r="I724" s="98">
        <f>VLOOKUP($A716,LossChart!$A$3:$AB$105,16,0)</f>
        <v>477.30407413615825</v>
      </c>
      <c r="J724" s="98">
        <f>VLOOKUP($A716,LossChart!$A$3:$AB$105,17,0)</f>
        <v>1254.3579416933344</v>
      </c>
      <c r="K724" s="98"/>
      <c r="L724" s="98"/>
      <c r="M724" s="98"/>
      <c r="N724" s="98"/>
      <c r="O724" s="98"/>
      <c r="P724" s="98"/>
      <c r="Q724" s="98"/>
      <c r="R724" s="98"/>
      <c r="S724" s="98"/>
    </row>
    <row r="725" spans="1:19" x14ac:dyDescent="0.25">
      <c r="A725" t="s">
        <v>104</v>
      </c>
      <c r="D725" s="98"/>
      <c r="E725" s="98"/>
      <c r="F725" s="98"/>
      <c r="G725" s="98">
        <f>G724-G723</f>
        <v>697.05386755717609</v>
      </c>
      <c r="H725" s="98">
        <f>H724-H723</f>
        <v>80</v>
      </c>
      <c r="I725" s="98">
        <f>I724-I723</f>
        <v>477.30407413615825</v>
      </c>
      <c r="J725" s="98">
        <f>J724-J723</f>
        <v>1254.3579416933344</v>
      </c>
      <c r="K725" s="98"/>
      <c r="L725" s="98"/>
      <c r="M725" s="98"/>
      <c r="N725" s="98"/>
      <c r="O725" s="98"/>
      <c r="P725" s="98"/>
      <c r="Q725" s="98"/>
      <c r="R725" s="98"/>
      <c r="S725" s="98"/>
    </row>
    <row r="727" spans="1:19" ht="60" x14ac:dyDescent="0.25">
      <c r="A727" s="21" t="s">
        <v>63</v>
      </c>
      <c r="B727" s="21" t="s">
        <v>93</v>
      </c>
      <c r="C727" s="21" t="s">
        <v>94</v>
      </c>
      <c r="D727" s="92" t="str">
        <f>FoodDB!$C$1</f>
        <v>Fat
(g)</v>
      </c>
      <c r="E727" s="92" t="str">
        <f>FoodDB!$D$1</f>
        <v xml:space="preserve"> Carbs
(g)</v>
      </c>
      <c r="F727" s="92" t="str">
        <f>FoodDB!$E$1</f>
        <v>Protein
(g)</v>
      </c>
      <c r="G727" s="92" t="str">
        <f>FoodDB!$F$1</f>
        <v>Fat
(Cal)</v>
      </c>
      <c r="H727" s="92" t="str">
        <f>FoodDB!$G$1</f>
        <v>Carb
(Cal)</v>
      </c>
      <c r="I727" s="92" t="str">
        <f>FoodDB!$H$1</f>
        <v>Protein
(Cal)</v>
      </c>
      <c r="J727" s="92" t="str">
        <f>FoodDB!$I$1</f>
        <v>Total
Calories</v>
      </c>
      <c r="K727" s="92"/>
      <c r="L727" s="92" t="s">
        <v>110</v>
      </c>
      <c r="M727" s="92" t="s">
        <v>111</v>
      </c>
      <c r="N727" s="92" t="s">
        <v>112</v>
      </c>
      <c r="O727" s="92" t="s">
        <v>113</v>
      </c>
      <c r="P727" s="92" t="s">
        <v>118</v>
      </c>
      <c r="Q727" s="92" t="s">
        <v>119</v>
      </c>
      <c r="R727" s="92" t="s">
        <v>120</v>
      </c>
      <c r="S727" s="92" t="s">
        <v>121</v>
      </c>
    </row>
    <row r="728" spans="1:19" x14ac:dyDescent="0.25">
      <c r="A728" s="93">
        <f>A716+1</f>
        <v>43054</v>
      </c>
      <c r="B728" s="94" t="s">
        <v>108</v>
      </c>
      <c r="C728" s="95">
        <v>1</v>
      </c>
      <c r="D728" s="98">
        <f>$C728*VLOOKUP($B728,FoodDB!$A$2:$I$1016,3,0)</f>
        <v>0</v>
      </c>
      <c r="E728" s="98">
        <f>$C728*VLOOKUP($B728,FoodDB!$A$2:$I$1016,4,0)</f>
        <v>0</v>
      </c>
      <c r="F728" s="98">
        <f>$C728*VLOOKUP($B728,FoodDB!$A$2:$I$1016,5,0)</f>
        <v>0</v>
      </c>
      <c r="G728" s="98">
        <f>$C728*VLOOKUP($B728,FoodDB!$A$2:$I$1016,6,0)</f>
        <v>0</v>
      </c>
      <c r="H728" s="98">
        <f>$C728*VLOOKUP($B728,FoodDB!$A$2:$I$1016,7,0)</f>
        <v>0</v>
      </c>
      <c r="I728" s="98">
        <f>$C728*VLOOKUP($B728,FoodDB!$A$2:$I$1016,8,0)</f>
        <v>0</v>
      </c>
      <c r="J728" s="98">
        <f>$C728*VLOOKUP($B728,FoodDB!$A$2:$I$1016,9,0)</f>
        <v>0</v>
      </c>
      <c r="K728" s="98"/>
      <c r="L728" s="98">
        <f>SUM(G728:G734)</f>
        <v>0</v>
      </c>
      <c r="M728" s="98">
        <f>SUM(H728:H734)</f>
        <v>0</v>
      </c>
      <c r="N728" s="98">
        <f>SUM(I728:I734)</f>
        <v>0</v>
      </c>
      <c r="O728" s="98">
        <f>SUM(L728:N728)</f>
        <v>0</v>
      </c>
      <c r="P728" s="98">
        <f>VLOOKUP($A728,LossChart!$A$3:$AB$105,14,0)-L728</f>
        <v>702.38240936802708</v>
      </c>
      <c r="Q728" s="98">
        <f>VLOOKUP($A728,LossChart!$A$3:$AB$105,15,0)-M728</f>
        <v>80</v>
      </c>
      <c r="R728" s="98">
        <f>VLOOKUP($A728,LossChart!$A$3:$AB$105,16,0)-N728</f>
        <v>477.30407413615825</v>
      </c>
      <c r="S728" s="98">
        <f>VLOOKUP($A728,LossChart!$A$3:$AB$105,17,0)-O728</f>
        <v>1259.6864835041854</v>
      </c>
    </row>
    <row r="729" spans="1:19" x14ac:dyDescent="0.25">
      <c r="B729" s="94" t="s">
        <v>108</v>
      </c>
      <c r="C729" s="95">
        <v>1</v>
      </c>
      <c r="D729" s="98">
        <f>$C729*VLOOKUP($B729,FoodDB!$A$2:$I$1016,3,0)</f>
        <v>0</v>
      </c>
      <c r="E729" s="98">
        <f>$C729*VLOOKUP($B729,FoodDB!$A$2:$I$1016,4,0)</f>
        <v>0</v>
      </c>
      <c r="F729" s="98">
        <f>$C729*VLOOKUP($B729,FoodDB!$A$2:$I$1016,5,0)</f>
        <v>0</v>
      </c>
      <c r="G729" s="98">
        <f>$C729*VLOOKUP($B729,FoodDB!$A$2:$I$1016,6,0)</f>
        <v>0</v>
      </c>
      <c r="H729" s="98">
        <f>$C729*VLOOKUP($B729,FoodDB!$A$2:$I$1016,7,0)</f>
        <v>0</v>
      </c>
      <c r="I729" s="98">
        <f>$C729*VLOOKUP($B729,FoodDB!$A$2:$I$1016,8,0)</f>
        <v>0</v>
      </c>
      <c r="J729" s="98">
        <f>$C729*VLOOKUP($B729,FoodDB!$A$2:$I$1016,9,0)</f>
        <v>0</v>
      </c>
      <c r="K729" s="98"/>
      <c r="L729" s="98"/>
      <c r="M729" s="98"/>
      <c r="N729" s="98"/>
      <c r="O729" s="98"/>
      <c r="P729" s="98"/>
      <c r="Q729" s="98"/>
      <c r="R729" s="98"/>
      <c r="S729" s="98"/>
    </row>
    <row r="730" spans="1:19" x14ac:dyDescent="0.25">
      <c r="B730" s="94" t="s">
        <v>108</v>
      </c>
      <c r="C730" s="95">
        <v>1</v>
      </c>
      <c r="D730" s="98">
        <f>$C730*VLOOKUP($B730,FoodDB!$A$2:$I$1016,3,0)</f>
        <v>0</v>
      </c>
      <c r="E730" s="98">
        <f>$C730*VLOOKUP($B730,FoodDB!$A$2:$I$1016,4,0)</f>
        <v>0</v>
      </c>
      <c r="F730" s="98">
        <f>$C730*VLOOKUP($B730,FoodDB!$A$2:$I$1016,5,0)</f>
        <v>0</v>
      </c>
      <c r="G730" s="98">
        <f>$C730*VLOOKUP($B730,FoodDB!$A$2:$I$1016,6,0)</f>
        <v>0</v>
      </c>
      <c r="H730" s="98">
        <f>$C730*VLOOKUP($B730,FoodDB!$A$2:$I$1016,7,0)</f>
        <v>0</v>
      </c>
      <c r="I730" s="98">
        <f>$C730*VLOOKUP($B730,FoodDB!$A$2:$I$1016,8,0)</f>
        <v>0</v>
      </c>
      <c r="J730" s="98">
        <f>$C730*VLOOKUP($B730,FoodDB!$A$2:$I$1016,9,0)</f>
        <v>0</v>
      </c>
      <c r="K730" s="98"/>
      <c r="L730" s="98"/>
      <c r="M730" s="98"/>
      <c r="N730" s="98"/>
      <c r="O730" s="98"/>
      <c r="P730" s="98"/>
      <c r="Q730" s="98"/>
      <c r="R730" s="98"/>
      <c r="S730" s="98"/>
    </row>
    <row r="731" spans="1:19" x14ac:dyDescent="0.25">
      <c r="B731" s="94" t="s">
        <v>108</v>
      </c>
      <c r="C731" s="95">
        <v>1</v>
      </c>
      <c r="D731" s="98">
        <f>$C731*VLOOKUP($B731,FoodDB!$A$2:$I$1016,3,0)</f>
        <v>0</v>
      </c>
      <c r="E731" s="98">
        <f>$C731*VLOOKUP($B731,FoodDB!$A$2:$I$1016,4,0)</f>
        <v>0</v>
      </c>
      <c r="F731" s="98">
        <f>$C731*VLOOKUP($B731,FoodDB!$A$2:$I$1016,5,0)</f>
        <v>0</v>
      </c>
      <c r="G731" s="98">
        <f>$C731*VLOOKUP($B731,FoodDB!$A$2:$I$1016,6,0)</f>
        <v>0</v>
      </c>
      <c r="H731" s="98">
        <f>$C731*VLOOKUP($B731,FoodDB!$A$2:$I$1016,7,0)</f>
        <v>0</v>
      </c>
      <c r="I731" s="98">
        <f>$C731*VLOOKUP($B731,FoodDB!$A$2:$I$1016,8,0)</f>
        <v>0</v>
      </c>
      <c r="J731" s="98">
        <f>$C731*VLOOKUP($B731,FoodDB!$A$2:$I$1016,9,0)</f>
        <v>0</v>
      </c>
      <c r="K731" s="98"/>
      <c r="L731" s="98"/>
      <c r="M731" s="98"/>
      <c r="N731" s="98"/>
      <c r="O731" s="98"/>
      <c r="P731" s="98"/>
      <c r="Q731" s="98"/>
      <c r="R731" s="98"/>
      <c r="S731" s="98"/>
    </row>
    <row r="732" spans="1:19" x14ac:dyDescent="0.25">
      <c r="B732" s="94" t="s">
        <v>108</v>
      </c>
      <c r="C732" s="95">
        <v>1</v>
      </c>
      <c r="D732" s="98">
        <f>$C732*VLOOKUP($B732,FoodDB!$A$2:$I$1016,3,0)</f>
        <v>0</v>
      </c>
      <c r="E732" s="98">
        <f>$C732*VLOOKUP($B732,FoodDB!$A$2:$I$1016,4,0)</f>
        <v>0</v>
      </c>
      <c r="F732" s="98">
        <f>$C732*VLOOKUP($B732,FoodDB!$A$2:$I$1016,5,0)</f>
        <v>0</v>
      </c>
      <c r="G732" s="98">
        <f>$C732*VLOOKUP($B732,FoodDB!$A$2:$I$1016,6,0)</f>
        <v>0</v>
      </c>
      <c r="H732" s="98">
        <f>$C732*VLOOKUP($B732,FoodDB!$A$2:$I$1016,7,0)</f>
        <v>0</v>
      </c>
      <c r="I732" s="98">
        <f>$C732*VLOOKUP($B732,FoodDB!$A$2:$I$1016,8,0)</f>
        <v>0</v>
      </c>
      <c r="J732" s="98">
        <f>$C732*VLOOKUP($B732,FoodDB!$A$2:$I$1016,9,0)</f>
        <v>0</v>
      </c>
      <c r="K732" s="98"/>
      <c r="L732" s="98"/>
      <c r="M732" s="98"/>
      <c r="N732" s="98"/>
      <c r="O732" s="98"/>
      <c r="P732" s="98"/>
      <c r="Q732" s="98"/>
      <c r="R732" s="98"/>
      <c r="S732" s="98"/>
    </row>
    <row r="733" spans="1:19" x14ac:dyDescent="0.25">
      <c r="B733" s="94" t="s">
        <v>108</v>
      </c>
      <c r="C733" s="95">
        <v>1</v>
      </c>
      <c r="D733" s="98">
        <f>$C733*VLOOKUP($B733,FoodDB!$A$2:$I$1016,3,0)</f>
        <v>0</v>
      </c>
      <c r="E733" s="98">
        <f>$C733*VLOOKUP($B733,FoodDB!$A$2:$I$1016,4,0)</f>
        <v>0</v>
      </c>
      <c r="F733" s="98">
        <f>$C733*VLOOKUP($B733,FoodDB!$A$2:$I$1016,5,0)</f>
        <v>0</v>
      </c>
      <c r="G733" s="98">
        <f>$C733*VLOOKUP($B733,FoodDB!$A$2:$I$1016,6,0)</f>
        <v>0</v>
      </c>
      <c r="H733" s="98">
        <f>$C733*VLOOKUP($B733,FoodDB!$A$2:$I$1016,7,0)</f>
        <v>0</v>
      </c>
      <c r="I733" s="98">
        <f>$C733*VLOOKUP($B733,FoodDB!$A$2:$I$1016,8,0)</f>
        <v>0</v>
      </c>
      <c r="J733" s="98">
        <f>$C733*VLOOKUP($B733,FoodDB!$A$2:$I$1016,9,0)</f>
        <v>0</v>
      </c>
      <c r="K733" s="98"/>
      <c r="L733" s="98"/>
      <c r="M733" s="98"/>
      <c r="N733" s="98"/>
      <c r="O733" s="98"/>
      <c r="P733" s="98"/>
      <c r="Q733" s="98"/>
      <c r="R733" s="98"/>
      <c r="S733" s="98"/>
    </row>
    <row r="734" spans="1:19" x14ac:dyDescent="0.25">
      <c r="B734" s="94" t="s">
        <v>108</v>
      </c>
      <c r="C734" s="95">
        <v>1</v>
      </c>
      <c r="D734" s="98">
        <f>$C734*VLOOKUP($B734,FoodDB!$A$2:$I$1016,3,0)</f>
        <v>0</v>
      </c>
      <c r="E734" s="98">
        <f>$C734*VLOOKUP($B734,FoodDB!$A$2:$I$1016,4,0)</f>
        <v>0</v>
      </c>
      <c r="F734" s="98">
        <f>$C734*VLOOKUP($B734,FoodDB!$A$2:$I$1016,5,0)</f>
        <v>0</v>
      </c>
      <c r="G734" s="98">
        <f>$C734*VLOOKUP($B734,FoodDB!$A$2:$I$1016,6,0)</f>
        <v>0</v>
      </c>
      <c r="H734" s="98">
        <f>$C734*VLOOKUP($B734,FoodDB!$A$2:$I$1016,7,0)</f>
        <v>0</v>
      </c>
      <c r="I734" s="98">
        <f>$C734*VLOOKUP($B734,FoodDB!$A$2:$I$1016,8,0)</f>
        <v>0</v>
      </c>
      <c r="J734" s="98">
        <f>$C734*VLOOKUP($B734,FoodDB!$A$2:$I$1016,9,0)</f>
        <v>0</v>
      </c>
      <c r="K734" s="98"/>
      <c r="L734" s="98"/>
      <c r="M734" s="98"/>
      <c r="N734" s="98"/>
      <c r="O734" s="98"/>
      <c r="P734" s="98"/>
      <c r="Q734" s="98"/>
      <c r="R734" s="98"/>
      <c r="S734" s="98"/>
    </row>
    <row r="735" spans="1:19" x14ac:dyDescent="0.25">
      <c r="A735" t="s">
        <v>98</v>
      </c>
      <c r="D735" s="98"/>
      <c r="E735" s="98"/>
      <c r="F735" s="98"/>
      <c r="G735" s="98">
        <f>SUM(G728:G734)</f>
        <v>0</v>
      </c>
      <c r="H735" s="98">
        <f>SUM(H728:H734)</f>
        <v>0</v>
      </c>
      <c r="I735" s="98">
        <f>SUM(I728:I734)</f>
        <v>0</v>
      </c>
      <c r="J735" s="98">
        <f>SUM(G735:I735)</f>
        <v>0</v>
      </c>
      <c r="K735" s="98"/>
      <c r="L735" s="98"/>
      <c r="M735" s="98"/>
      <c r="N735" s="98"/>
      <c r="O735" s="98"/>
      <c r="P735" s="98"/>
      <c r="Q735" s="98"/>
      <c r="R735" s="98"/>
      <c r="S735" s="98"/>
    </row>
    <row r="736" spans="1:19" x14ac:dyDescent="0.25">
      <c r="A736" t="s">
        <v>102</v>
      </c>
      <c r="B736" t="s">
        <v>103</v>
      </c>
      <c r="D736" s="98"/>
      <c r="E736" s="98"/>
      <c r="F736" s="98"/>
      <c r="G736" s="98">
        <f>VLOOKUP($A728,LossChart!$A$3:$AB$105,14,0)</f>
        <v>702.38240936802708</v>
      </c>
      <c r="H736" s="98">
        <f>VLOOKUP($A728,LossChart!$A$3:$AB$105,15,0)</f>
        <v>80</v>
      </c>
      <c r="I736" s="98">
        <f>VLOOKUP($A728,LossChart!$A$3:$AB$105,16,0)</f>
        <v>477.30407413615825</v>
      </c>
      <c r="J736" s="98">
        <f>VLOOKUP($A728,LossChart!$A$3:$AB$105,17,0)</f>
        <v>1259.6864835041854</v>
      </c>
      <c r="K736" s="98"/>
      <c r="L736" s="98"/>
      <c r="M736" s="98"/>
      <c r="N736" s="98"/>
      <c r="O736" s="98"/>
      <c r="P736" s="98"/>
      <c r="Q736" s="98"/>
      <c r="R736" s="98"/>
      <c r="S736" s="98"/>
    </row>
    <row r="737" spans="1:19" x14ac:dyDescent="0.25">
      <c r="A737" t="s">
        <v>104</v>
      </c>
      <c r="D737" s="98"/>
      <c r="E737" s="98"/>
      <c r="F737" s="98"/>
      <c r="G737" s="98">
        <f>G736-G735</f>
        <v>702.38240936802708</v>
      </c>
      <c r="H737" s="98">
        <f>H736-H735</f>
        <v>80</v>
      </c>
      <c r="I737" s="98">
        <f>I736-I735</f>
        <v>477.30407413615825</v>
      </c>
      <c r="J737" s="98">
        <f>J736-J735</f>
        <v>1259.6864835041854</v>
      </c>
      <c r="K737" s="98"/>
      <c r="L737" s="98"/>
      <c r="M737" s="98"/>
      <c r="N737" s="98"/>
      <c r="O737" s="98"/>
      <c r="P737" s="98"/>
      <c r="Q737" s="98"/>
      <c r="R737" s="98"/>
      <c r="S737" s="98"/>
    </row>
    <row r="739" spans="1:19" ht="60" x14ac:dyDescent="0.25">
      <c r="A739" s="21" t="s">
        <v>63</v>
      </c>
      <c r="B739" s="21" t="s">
        <v>93</v>
      </c>
      <c r="C739" s="21" t="s">
        <v>94</v>
      </c>
      <c r="D739" s="92" t="str">
        <f>FoodDB!$C$1</f>
        <v>Fat
(g)</v>
      </c>
      <c r="E739" s="92" t="str">
        <f>FoodDB!$D$1</f>
        <v xml:space="preserve"> Carbs
(g)</v>
      </c>
      <c r="F739" s="92" t="str">
        <f>FoodDB!$E$1</f>
        <v>Protein
(g)</v>
      </c>
      <c r="G739" s="92" t="str">
        <f>FoodDB!$F$1</f>
        <v>Fat
(Cal)</v>
      </c>
      <c r="H739" s="92" t="str">
        <f>FoodDB!$G$1</f>
        <v>Carb
(Cal)</v>
      </c>
      <c r="I739" s="92" t="str">
        <f>FoodDB!$H$1</f>
        <v>Protein
(Cal)</v>
      </c>
      <c r="J739" s="92" t="str">
        <f>FoodDB!$I$1</f>
        <v>Total
Calories</v>
      </c>
      <c r="K739" s="92"/>
      <c r="L739" s="92" t="s">
        <v>110</v>
      </c>
      <c r="M739" s="92" t="s">
        <v>111</v>
      </c>
      <c r="N739" s="92" t="s">
        <v>112</v>
      </c>
      <c r="O739" s="92" t="s">
        <v>113</v>
      </c>
      <c r="P739" s="92" t="s">
        <v>118</v>
      </c>
      <c r="Q739" s="92" t="s">
        <v>119</v>
      </c>
      <c r="R739" s="92" t="s">
        <v>120</v>
      </c>
      <c r="S739" s="92" t="s">
        <v>121</v>
      </c>
    </row>
    <row r="740" spans="1:19" x14ac:dyDescent="0.25">
      <c r="A740" s="93">
        <f>A728+1</f>
        <v>43055</v>
      </c>
      <c r="B740" s="94" t="s">
        <v>108</v>
      </c>
      <c r="C740" s="95">
        <v>1</v>
      </c>
      <c r="D740" s="98">
        <f>$C740*VLOOKUP($B740,FoodDB!$A$2:$I$1016,3,0)</f>
        <v>0</v>
      </c>
      <c r="E740" s="98">
        <f>$C740*VLOOKUP($B740,FoodDB!$A$2:$I$1016,4,0)</f>
        <v>0</v>
      </c>
      <c r="F740" s="98">
        <f>$C740*VLOOKUP($B740,FoodDB!$A$2:$I$1016,5,0)</f>
        <v>0</v>
      </c>
      <c r="G740" s="98">
        <f>$C740*VLOOKUP($B740,FoodDB!$A$2:$I$1016,6,0)</f>
        <v>0</v>
      </c>
      <c r="H740" s="98">
        <f>$C740*VLOOKUP($B740,FoodDB!$A$2:$I$1016,7,0)</f>
        <v>0</v>
      </c>
      <c r="I740" s="98">
        <f>$C740*VLOOKUP($B740,FoodDB!$A$2:$I$1016,8,0)</f>
        <v>0</v>
      </c>
      <c r="J740" s="98">
        <f>$C740*VLOOKUP($B740,FoodDB!$A$2:$I$1016,9,0)</f>
        <v>0</v>
      </c>
      <c r="K740" s="98"/>
      <c r="L740" s="98">
        <f>SUM(G740:G746)</f>
        <v>0</v>
      </c>
      <c r="M740" s="98">
        <f>SUM(H740:H746)</f>
        <v>0</v>
      </c>
      <c r="N740" s="98">
        <f>SUM(I740:I746)</f>
        <v>0</v>
      </c>
      <c r="O740" s="98">
        <f>SUM(L740:N740)</f>
        <v>0</v>
      </c>
      <c r="P740" s="98">
        <f>VLOOKUP($A740,LossChart!$A$3:$AB$105,14,0)-L740</f>
        <v>707.66375552283898</v>
      </c>
      <c r="Q740" s="98">
        <f>VLOOKUP($A740,LossChart!$A$3:$AB$105,15,0)-M740</f>
        <v>80</v>
      </c>
      <c r="R740" s="98">
        <f>VLOOKUP($A740,LossChart!$A$3:$AB$105,16,0)-N740</f>
        <v>477.30407413615825</v>
      </c>
      <c r="S740" s="98">
        <f>VLOOKUP($A740,LossChart!$A$3:$AB$105,17,0)-O740</f>
        <v>1264.9678296589973</v>
      </c>
    </row>
    <row r="741" spans="1:19" x14ac:dyDescent="0.25">
      <c r="B741" s="94" t="s">
        <v>108</v>
      </c>
      <c r="C741" s="95">
        <v>1</v>
      </c>
      <c r="D741" s="98">
        <f>$C741*VLOOKUP($B741,FoodDB!$A$2:$I$1016,3,0)</f>
        <v>0</v>
      </c>
      <c r="E741" s="98">
        <f>$C741*VLOOKUP($B741,FoodDB!$A$2:$I$1016,4,0)</f>
        <v>0</v>
      </c>
      <c r="F741" s="98">
        <f>$C741*VLOOKUP($B741,FoodDB!$A$2:$I$1016,5,0)</f>
        <v>0</v>
      </c>
      <c r="G741" s="98">
        <f>$C741*VLOOKUP($B741,FoodDB!$A$2:$I$1016,6,0)</f>
        <v>0</v>
      </c>
      <c r="H741" s="98">
        <f>$C741*VLOOKUP($B741,FoodDB!$A$2:$I$1016,7,0)</f>
        <v>0</v>
      </c>
      <c r="I741" s="98">
        <f>$C741*VLOOKUP($B741,FoodDB!$A$2:$I$1016,8,0)</f>
        <v>0</v>
      </c>
      <c r="J741" s="98">
        <f>$C741*VLOOKUP($B741,FoodDB!$A$2:$I$1016,9,0)</f>
        <v>0</v>
      </c>
      <c r="K741" s="98"/>
      <c r="L741" s="98"/>
      <c r="M741" s="98"/>
      <c r="N741" s="98"/>
      <c r="O741" s="98"/>
      <c r="P741" s="98"/>
      <c r="Q741" s="98"/>
      <c r="R741" s="98"/>
      <c r="S741" s="98"/>
    </row>
    <row r="742" spans="1:19" x14ac:dyDescent="0.25">
      <c r="B742" s="94" t="s">
        <v>108</v>
      </c>
      <c r="C742" s="95">
        <v>1</v>
      </c>
      <c r="D742" s="98">
        <f>$C742*VLOOKUP($B742,FoodDB!$A$2:$I$1016,3,0)</f>
        <v>0</v>
      </c>
      <c r="E742" s="98">
        <f>$C742*VLOOKUP($B742,FoodDB!$A$2:$I$1016,4,0)</f>
        <v>0</v>
      </c>
      <c r="F742" s="98">
        <f>$C742*VLOOKUP($B742,FoodDB!$A$2:$I$1016,5,0)</f>
        <v>0</v>
      </c>
      <c r="G742" s="98">
        <f>$C742*VLOOKUP($B742,FoodDB!$A$2:$I$1016,6,0)</f>
        <v>0</v>
      </c>
      <c r="H742" s="98">
        <f>$C742*VLOOKUP($B742,FoodDB!$A$2:$I$1016,7,0)</f>
        <v>0</v>
      </c>
      <c r="I742" s="98">
        <f>$C742*VLOOKUP($B742,FoodDB!$A$2:$I$1016,8,0)</f>
        <v>0</v>
      </c>
      <c r="J742" s="98">
        <f>$C742*VLOOKUP($B742,FoodDB!$A$2:$I$1016,9,0)</f>
        <v>0</v>
      </c>
      <c r="K742" s="98"/>
      <c r="L742" s="98"/>
      <c r="M742" s="98"/>
      <c r="N742" s="98"/>
      <c r="O742" s="98"/>
      <c r="P742" s="98"/>
      <c r="Q742" s="98"/>
      <c r="R742" s="98"/>
      <c r="S742" s="98"/>
    </row>
    <row r="743" spans="1:19" x14ac:dyDescent="0.25">
      <c r="B743" s="94" t="s">
        <v>108</v>
      </c>
      <c r="C743" s="95">
        <v>1</v>
      </c>
      <c r="D743" s="98">
        <f>$C743*VLOOKUP($B743,FoodDB!$A$2:$I$1016,3,0)</f>
        <v>0</v>
      </c>
      <c r="E743" s="98">
        <f>$C743*VLOOKUP($B743,FoodDB!$A$2:$I$1016,4,0)</f>
        <v>0</v>
      </c>
      <c r="F743" s="98">
        <f>$C743*VLOOKUP($B743,FoodDB!$A$2:$I$1016,5,0)</f>
        <v>0</v>
      </c>
      <c r="G743" s="98">
        <f>$C743*VLOOKUP($B743,FoodDB!$A$2:$I$1016,6,0)</f>
        <v>0</v>
      </c>
      <c r="H743" s="98">
        <f>$C743*VLOOKUP($B743,FoodDB!$A$2:$I$1016,7,0)</f>
        <v>0</v>
      </c>
      <c r="I743" s="98">
        <f>$C743*VLOOKUP($B743,FoodDB!$A$2:$I$1016,8,0)</f>
        <v>0</v>
      </c>
      <c r="J743" s="98">
        <f>$C743*VLOOKUP($B743,FoodDB!$A$2:$I$1016,9,0)</f>
        <v>0</v>
      </c>
      <c r="K743" s="98"/>
      <c r="L743" s="98"/>
      <c r="M743" s="98"/>
      <c r="N743" s="98"/>
      <c r="O743" s="98"/>
      <c r="P743" s="98"/>
      <c r="Q743" s="98"/>
      <c r="R743" s="98"/>
      <c r="S743" s="98"/>
    </row>
    <row r="744" spans="1:19" x14ac:dyDescent="0.25">
      <c r="B744" s="94" t="s">
        <v>108</v>
      </c>
      <c r="C744" s="95">
        <v>1</v>
      </c>
      <c r="D744" s="98">
        <f>$C744*VLOOKUP($B744,FoodDB!$A$2:$I$1016,3,0)</f>
        <v>0</v>
      </c>
      <c r="E744" s="98">
        <f>$C744*VLOOKUP($B744,FoodDB!$A$2:$I$1016,4,0)</f>
        <v>0</v>
      </c>
      <c r="F744" s="98">
        <f>$C744*VLOOKUP($B744,FoodDB!$A$2:$I$1016,5,0)</f>
        <v>0</v>
      </c>
      <c r="G744" s="98">
        <f>$C744*VLOOKUP($B744,FoodDB!$A$2:$I$1016,6,0)</f>
        <v>0</v>
      </c>
      <c r="H744" s="98">
        <f>$C744*VLOOKUP($B744,FoodDB!$A$2:$I$1016,7,0)</f>
        <v>0</v>
      </c>
      <c r="I744" s="98">
        <f>$C744*VLOOKUP($B744,FoodDB!$A$2:$I$1016,8,0)</f>
        <v>0</v>
      </c>
      <c r="J744" s="98">
        <f>$C744*VLOOKUP($B744,FoodDB!$A$2:$I$1016,9,0)</f>
        <v>0</v>
      </c>
      <c r="K744" s="98"/>
      <c r="L744" s="98"/>
      <c r="M744" s="98"/>
      <c r="N744" s="98"/>
      <c r="O744" s="98"/>
      <c r="P744" s="98"/>
      <c r="Q744" s="98"/>
      <c r="R744" s="98"/>
      <c r="S744" s="98"/>
    </row>
    <row r="745" spans="1:19" x14ac:dyDescent="0.25">
      <c r="B745" s="94" t="s">
        <v>108</v>
      </c>
      <c r="C745" s="95">
        <v>1</v>
      </c>
      <c r="D745" s="98">
        <f>$C745*VLOOKUP($B745,FoodDB!$A$2:$I$1016,3,0)</f>
        <v>0</v>
      </c>
      <c r="E745" s="98">
        <f>$C745*VLOOKUP($B745,FoodDB!$A$2:$I$1016,4,0)</f>
        <v>0</v>
      </c>
      <c r="F745" s="98">
        <f>$C745*VLOOKUP($B745,FoodDB!$A$2:$I$1016,5,0)</f>
        <v>0</v>
      </c>
      <c r="G745" s="98">
        <f>$C745*VLOOKUP($B745,FoodDB!$A$2:$I$1016,6,0)</f>
        <v>0</v>
      </c>
      <c r="H745" s="98">
        <f>$C745*VLOOKUP($B745,FoodDB!$A$2:$I$1016,7,0)</f>
        <v>0</v>
      </c>
      <c r="I745" s="98">
        <f>$C745*VLOOKUP($B745,FoodDB!$A$2:$I$1016,8,0)</f>
        <v>0</v>
      </c>
      <c r="J745" s="98">
        <f>$C745*VLOOKUP($B745,FoodDB!$A$2:$I$1016,9,0)</f>
        <v>0</v>
      </c>
      <c r="K745" s="98"/>
      <c r="L745" s="98"/>
      <c r="M745" s="98"/>
      <c r="N745" s="98"/>
      <c r="O745" s="98"/>
      <c r="P745" s="98"/>
      <c r="Q745" s="98"/>
      <c r="R745" s="98"/>
      <c r="S745" s="98"/>
    </row>
    <row r="746" spans="1:19" x14ac:dyDescent="0.25">
      <c r="B746" s="94" t="s">
        <v>108</v>
      </c>
      <c r="C746" s="95">
        <v>1</v>
      </c>
      <c r="D746" s="98">
        <f>$C746*VLOOKUP($B746,FoodDB!$A$2:$I$1016,3,0)</f>
        <v>0</v>
      </c>
      <c r="E746" s="98">
        <f>$C746*VLOOKUP($B746,FoodDB!$A$2:$I$1016,4,0)</f>
        <v>0</v>
      </c>
      <c r="F746" s="98">
        <f>$C746*VLOOKUP($B746,FoodDB!$A$2:$I$1016,5,0)</f>
        <v>0</v>
      </c>
      <c r="G746" s="98">
        <f>$C746*VLOOKUP($B746,FoodDB!$A$2:$I$1016,6,0)</f>
        <v>0</v>
      </c>
      <c r="H746" s="98">
        <f>$C746*VLOOKUP($B746,FoodDB!$A$2:$I$1016,7,0)</f>
        <v>0</v>
      </c>
      <c r="I746" s="98">
        <f>$C746*VLOOKUP($B746,FoodDB!$A$2:$I$1016,8,0)</f>
        <v>0</v>
      </c>
      <c r="J746" s="98">
        <f>$C746*VLOOKUP($B746,FoodDB!$A$2:$I$1016,9,0)</f>
        <v>0</v>
      </c>
      <c r="K746" s="98"/>
      <c r="L746" s="98"/>
      <c r="M746" s="98"/>
      <c r="N746" s="98"/>
      <c r="O746" s="98"/>
      <c r="P746" s="98"/>
      <c r="Q746" s="98"/>
      <c r="R746" s="98"/>
      <c r="S746" s="98"/>
    </row>
    <row r="747" spans="1:19" x14ac:dyDescent="0.25">
      <c r="A747" t="s">
        <v>98</v>
      </c>
      <c r="D747" s="98"/>
      <c r="E747" s="98"/>
      <c r="F747" s="98"/>
      <c r="G747" s="98">
        <f>SUM(G740:G746)</f>
        <v>0</v>
      </c>
      <c r="H747" s="98">
        <f>SUM(H740:H746)</f>
        <v>0</v>
      </c>
      <c r="I747" s="98">
        <f>SUM(I740:I746)</f>
        <v>0</v>
      </c>
      <c r="J747" s="98">
        <f>SUM(G747:I747)</f>
        <v>0</v>
      </c>
      <c r="K747" s="98"/>
      <c r="L747" s="98"/>
      <c r="M747" s="98"/>
      <c r="N747" s="98"/>
      <c r="O747" s="98"/>
      <c r="P747" s="98"/>
      <c r="Q747" s="98"/>
      <c r="R747" s="98"/>
      <c r="S747" s="98"/>
    </row>
    <row r="748" spans="1:19" x14ac:dyDescent="0.25">
      <c r="A748" t="s">
        <v>102</v>
      </c>
      <c r="B748" t="s">
        <v>103</v>
      </c>
      <c r="D748" s="98"/>
      <c r="E748" s="98"/>
      <c r="F748" s="98"/>
      <c r="G748" s="98">
        <f>VLOOKUP($A740,LossChart!$A$3:$AB$105,14,0)</f>
        <v>707.66375552283898</v>
      </c>
      <c r="H748" s="98">
        <f>VLOOKUP($A740,LossChart!$A$3:$AB$105,15,0)</f>
        <v>80</v>
      </c>
      <c r="I748" s="98">
        <f>VLOOKUP($A740,LossChart!$A$3:$AB$105,16,0)</f>
        <v>477.30407413615825</v>
      </c>
      <c r="J748" s="98">
        <f>VLOOKUP($A740,LossChart!$A$3:$AB$105,17,0)</f>
        <v>1264.9678296589973</v>
      </c>
      <c r="K748" s="98"/>
      <c r="L748" s="98"/>
      <c r="M748" s="98"/>
      <c r="N748" s="98"/>
      <c r="O748" s="98"/>
      <c r="P748" s="98"/>
      <c r="Q748" s="98"/>
      <c r="R748" s="98"/>
      <c r="S748" s="98"/>
    </row>
    <row r="749" spans="1:19" x14ac:dyDescent="0.25">
      <c r="A749" t="s">
        <v>104</v>
      </c>
      <c r="D749" s="98"/>
      <c r="E749" s="98"/>
      <c r="F749" s="98"/>
      <c r="G749" s="98">
        <f>G748-G747</f>
        <v>707.66375552283898</v>
      </c>
      <c r="H749" s="98">
        <f>H748-H747</f>
        <v>80</v>
      </c>
      <c r="I749" s="98">
        <f>I748-I747</f>
        <v>477.30407413615825</v>
      </c>
      <c r="J749" s="98">
        <f>J748-J747</f>
        <v>1264.9678296589973</v>
      </c>
      <c r="K749" s="98"/>
      <c r="L749" s="98"/>
      <c r="M749" s="98"/>
      <c r="N749" s="98"/>
      <c r="O749" s="98"/>
      <c r="P749" s="98"/>
      <c r="Q749" s="98"/>
      <c r="R749" s="98"/>
      <c r="S749" s="98"/>
    </row>
    <row r="751" spans="1:19" ht="60" x14ac:dyDescent="0.25">
      <c r="A751" s="21" t="s">
        <v>63</v>
      </c>
      <c r="B751" s="21" t="s">
        <v>93</v>
      </c>
      <c r="C751" s="21" t="s">
        <v>94</v>
      </c>
      <c r="D751" s="92" t="str">
        <f>FoodDB!$C$1</f>
        <v>Fat
(g)</v>
      </c>
      <c r="E751" s="92" t="str">
        <f>FoodDB!$D$1</f>
        <v xml:space="preserve"> Carbs
(g)</v>
      </c>
      <c r="F751" s="92" t="str">
        <f>FoodDB!$E$1</f>
        <v>Protein
(g)</v>
      </c>
      <c r="G751" s="92" t="str">
        <f>FoodDB!$F$1</f>
        <v>Fat
(Cal)</v>
      </c>
      <c r="H751" s="92" t="str">
        <f>FoodDB!$G$1</f>
        <v>Carb
(Cal)</v>
      </c>
      <c r="I751" s="92" t="str">
        <f>FoodDB!$H$1</f>
        <v>Protein
(Cal)</v>
      </c>
      <c r="J751" s="92" t="str">
        <f>FoodDB!$I$1</f>
        <v>Total
Calories</v>
      </c>
      <c r="K751" s="92"/>
      <c r="L751" s="92" t="s">
        <v>110</v>
      </c>
      <c r="M751" s="92" t="s">
        <v>111</v>
      </c>
      <c r="N751" s="92" t="s">
        <v>112</v>
      </c>
      <c r="O751" s="92" t="s">
        <v>113</v>
      </c>
      <c r="P751" s="92" t="s">
        <v>118</v>
      </c>
      <c r="Q751" s="92" t="s">
        <v>119</v>
      </c>
      <c r="R751" s="92" t="s">
        <v>120</v>
      </c>
      <c r="S751" s="92" t="s">
        <v>121</v>
      </c>
    </row>
    <row r="752" spans="1:19" x14ac:dyDescent="0.25">
      <c r="A752" s="93">
        <f>A740+1</f>
        <v>43056</v>
      </c>
      <c r="B752" s="94" t="s">
        <v>108</v>
      </c>
      <c r="C752" s="95">
        <v>1</v>
      </c>
      <c r="D752" s="98">
        <f>$C752*VLOOKUP($B752,FoodDB!$A$2:$I$1016,3,0)</f>
        <v>0</v>
      </c>
      <c r="E752" s="98">
        <f>$C752*VLOOKUP($B752,FoodDB!$A$2:$I$1016,4,0)</f>
        <v>0</v>
      </c>
      <c r="F752" s="98">
        <f>$C752*VLOOKUP($B752,FoodDB!$A$2:$I$1016,5,0)</f>
        <v>0</v>
      </c>
      <c r="G752" s="98">
        <f>$C752*VLOOKUP($B752,FoodDB!$A$2:$I$1016,6,0)</f>
        <v>0</v>
      </c>
      <c r="H752" s="98">
        <f>$C752*VLOOKUP($B752,FoodDB!$A$2:$I$1016,7,0)</f>
        <v>0</v>
      </c>
      <c r="I752" s="98">
        <f>$C752*VLOOKUP($B752,FoodDB!$A$2:$I$1016,8,0)</f>
        <v>0</v>
      </c>
      <c r="J752" s="98">
        <f>$C752*VLOOKUP($B752,FoodDB!$A$2:$I$1016,9,0)</f>
        <v>0</v>
      </c>
      <c r="K752" s="98"/>
      <c r="L752" s="98">
        <f>SUM(G752:G758)</f>
        <v>0</v>
      </c>
      <c r="M752" s="98">
        <f>SUM(H752:H758)</f>
        <v>0</v>
      </c>
      <c r="N752" s="98">
        <f>SUM(I752:I758)</f>
        <v>0</v>
      </c>
      <c r="O752" s="98">
        <f>SUM(L752:N752)</f>
        <v>0</v>
      </c>
      <c r="P752" s="98">
        <f>VLOOKUP($A752,LossChart!$A$3:$AB$105,14,0)-L752</f>
        <v>712.89832404027948</v>
      </c>
      <c r="Q752" s="98">
        <f>VLOOKUP($A752,LossChart!$A$3:$AB$105,15,0)-M752</f>
        <v>80</v>
      </c>
      <c r="R752" s="98">
        <f>VLOOKUP($A752,LossChart!$A$3:$AB$105,16,0)-N752</f>
        <v>477.30407413615825</v>
      </c>
      <c r="S752" s="98">
        <f>VLOOKUP($A752,LossChart!$A$3:$AB$105,17,0)-O752</f>
        <v>1270.2023981764378</v>
      </c>
    </row>
    <row r="753" spans="1:19" x14ac:dyDescent="0.25">
      <c r="B753" s="94" t="s">
        <v>108</v>
      </c>
      <c r="C753" s="95">
        <v>1</v>
      </c>
      <c r="D753" s="98">
        <f>$C753*VLOOKUP($B753,FoodDB!$A$2:$I$1016,3,0)</f>
        <v>0</v>
      </c>
      <c r="E753" s="98">
        <f>$C753*VLOOKUP($B753,FoodDB!$A$2:$I$1016,4,0)</f>
        <v>0</v>
      </c>
      <c r="F753" s="98">
        <f>$C753*VLOOKUP($B753,FoodDB!$A$2:$I$1016,5,0)</f>
        <v>0</v>
      </c>
      <c r="G753" s="98">
        <f>$C753*VLOOKUP($B753,FoodDB!$A$2:$I$1016,6,0)</f>
        <v>0</v>
      </c>
      <c r="H753" s="98">
        <f>$C753*VLOOKUP($B753,FoodDB!$A$2:$I$1016,7,0)</f>
        <v>0</v>
      </c>
      <c r="I753" s="98">
        <f>$C753*VLOOKUP($B753,FoodDB!$A$2:$I$1016,8,0)</f>
        <v>0</v>
      </c>
      <c r="J753" s="98">
        <f>$C753*VLOOKUP($B753,FoodDB!$A$2:$I$1016,9,0)</f>
        <v>0</v>
      </c>
      <c r="K753" s="98"/>
      <c r="L753" s="98"/>
      <c r="M753" s="98"/>
      <c r="N753" s="98"/>
      <c r="O753" s="98"/>
      <c r="P753" s="98"/>
      <c r="Q753" s="98"/>
      <c r="R753" s="98"/>
      <c r="S753" s="98"/>
    </row>
    <row r="754" spans="1:19" x14ac:dyDescent="0.25">
      <c r="B754" s="94" t="s">
        <v>108</v>
      </c>
      <c r="C754" s="95">
        <v>1</v>
      </c>
      <c r="D754" s="98">
        <f>$C754*VLOOKUP($B754,FoodDB!$A$2:$I$1016,3,0)</f>
        <v>0</v>
      </c>
      <c r="E754" s="98">
        <f>$C754*VLOOKUP($B754,FoodDB!$A$2:$I$1016,4,0)</f>
        <v>0</v>
      </c>
      <c r="F754" s="98">
        <f>$C754*VLOOKUP($B754,FoodDB!$A$2:$I$1016,5,0)</f>
        <v>0</v>
      </c>
      <c r="G754" s="98">
        <f>$C754*VLOOKUP($B754,FoodDB!$A$2:$I$1016,6,0)</f>
        <v>0</v>
      </c>
      <c r="H754" s="98">
        <f>$C754*VLOOKUP($B754,FoodDB!$A$2:$I$1016,7,0)</f>
        <v>0</v>
      </c>
      <c r="I754" s="98">
        <f>$C754*VLOOKUP($B754,FoodDB!$A$2:$I$1016,8,0)</f>
        <v>0</v>
      </c>
      <c r="J754" s="98">
        <f>$C754*VLOOKUP($B754,FoodDB!$A$2:$I$1016,9,0)</f>
        <v>0</v>
      </c>
      <c r="K754" s="98"/>
      <c r="L754" s="98"/>
      <c r="M754" s="98"/>
      <c r="N754" s="98"/>
      <c r="O754" s="98"/>
      <c r="P754" s="98"/>
      <c r="Q754" s="98"/>
      <c r="R754" s="98"/>
      <c r="S754" s="98"/>
    </row>
    <row r="755" spans="1:19" x14ac:dyDescent="0.25">
      <c r="B755" s="94" t="s">
        <v>108</v>
      </c>
      <c r="C755" s="95">
        <v>1</v>
      </c>
      <c r="D755" s="98">
        <f>$C755*VLOOKUP($B755,FoodDB!$A$2:$I$1016,3,0)</f>
        <v>0</v>
      </c>
      <c r="E755" s="98">
        <f>$C755*VLOOKUP($B755,FoodDB!$A$2:$I$1016,4,0)</f>
        <v>0</v>
      </c>
      <c r="F755" s="98">
        <f>$C755*VLOOKUP($B755,FoodDB!$A$2:$I$1016,5,0)</f>
        <v>0</v>
      </c>
      <c r="G755" s="98">
        <f>$C755*VLOOKUP($B755,FoodDB!$A$2:$I$1016,6,0)</f>
        <v>0</v>
      </c>
      <c r="H755" s="98">
        <f>$C755*VLOOKUP($B755,FoodDB!$A$2:$I$1016,7,0)</f>
        <v>0</v>
      </c>
      <c r="I755" s="98">
        <f>$C755*VLOOKUP($B755,FoodDB!$A$2:$I$1016,8,0)</f>
        <v>0</v>
      </c>
      <c r="J755" s="98">
        <f>$C755*VLOOKUP($B755,FoodDB!$A$2:$I$1016,9,0)</f>
        <v>0</v>
      </c>
      <c r="K755" s="98"/>
      <c r="L755" s="98"/>
      <c r="M755" s="98"/>
      <c r="N755" s="98"/>
      <c r="O755" s="98"/>
      <c r="P755" s="98"/>
      <c r="Q755" s="98"/>
      <c r="R755" s="98"/>
      <c r="S755" s="98"/>
    </row>
    <row r="756" spans="1:19" x14ac:dyDescent="0.25">
      <c r="B756" s="94" t="s">
        <v>108</v>
      </c>
      <c r="C756" s="95">
        <v>1</v>
      </c>
      <c r="D756" s="98">
        <f>$C756*VLOOKUP($B756,FoodDB!$A$2:$I$1016,3,0)</f>
        <v>0</v>
      </c>
      <c r="E756" s="98">
        <f>$C756*VLOOKUP($B756,FoodDB!$A$2:$I$1016,4,0)</f>
        <v>0</v>
      </c>
      <c r="F756" s="98">
        <f>$C756*VLOOKUP($B756,FoodDB!$A$2:$I$1016,5,0)</f>
        <v>0</v>
      </c>
      <c r="G756" s="98">
        <f>$C756*VLOOKUP($B756,FoodDB!$A$2:$I$1016,6,0)</f>
        <v>0</v>
      </c>
      <c r="H756" s="98">
        <f>$C756*VLOOKUP($B756,FoodDB!$A$2:$I$1016,7,0)</f>
        <v>0</v>
      </c>
      <c r="I756" s="98">
        <f>$C756*VLOOKUP($B756,FoodDB!$A$2:$I$1016,8,0)</f>
        <v>0</v>
      </c>
      <c r="J756" s="98">
        <f>$C756*VLOOKUP($B756,FoodDB!$A$2:$I$1016,9,0)</f>
        <v>0</v>
      </c>
      <c r="K756" s="98"/>
      <c r="L756" s="98"/>
      <c r="M756" s="98"/>
      <c r="N756" s="98"/>
      <c r="O756" s="98"/>
      <c r="P756" s="98"/>
      <c r="Q756" s="98"/>
      <c r="R756" s="98"/>
      <c r="S756" s="98"/>
    </row>
    <row r="757" spans="1:19" x14ac:dyDescent="0.25">
      <c r="B757" s="94" t="s">
        <v>108</v>
      </c>
      <c r="C757" s="95">
        <v>1</v>
      </c>
      <c r="D757" s="98">
        <f>$C757*VLOOKUP($B757,FoodDB!$A$2:$I$1016,3,0)</f>
        <v>0</v>
      </c>
      <c r="E757" s="98">
        <f>$C757*VLOOKUP($B757,FoodDB!$A$2:$I$1016,4,0)</f>
        <v>0</v>
      </c>
      <c r="F757" s="98">
        <f>$C757*VLOOKUP($B757,FoodDB!$A$2:$I$1016,5,0)</f>
        <v>0</v>
      </c>
      <c r="G757" s="98">
        <f>$C757*VLOOKUP($B757,FoodDB!$A$2:$I$1016,6,0)</f>
        <v>0</v>
      </c>
      <c r="H757" s="98">
        <f>$C757*VLOOKUP($B757,FoodDB!$A$2:$I$1016,7,0)</f>
        <v>0</v>
      </c>
      <c r="I757" s="98">
        <f>$C757*VLOOKUP($B757,FoodDB!$A$2:$I$1016,8,0)</f>
        <v>0</v>
      </c>
      <c r="J757" s="98">
        <f>$C757*VLOOKUP($B757,FoodDB!$A$2:$I$1016,9,0)</f>
        <v>0</v>
      </c>
      <c r="K757" s="98"/>
      <c r="L757" s="98"/>
      <c r="M757" s="98"/>
      <c r="N757" s="98"/>
      <c r="O757" s="98"/>
      <c r="P757" s="98"/>
      <c r="Q757" s="98"/>
      <c r="R757" s="98"/>
      <c r="S757" s="98"/>
    </row>
    <row r="758" spans="1:19" x14ac:dyDescent="0.25">
      <c r="B758" s="94" t="s">
        <v>108</v>
      </c>
      <c r="C758" s="95">
        <v>1</v>
      </c>
      <c r="D758" s="98">
        <f>$C758*VLOOKUP($B758,FoodDB!$A$2:$I$1016,3,0)</f>
        <v>0</v>
      </c>
      <c r="E758" s="98">
        <f>$C758*VLOOKUP($B758,FoodDB!$A$2:$I$1016,4,0)</f>
        <v>0</v>
      </c>
      <c r="F758" s="98">
        <f>$C758*VLOOKUP($B758,FoodDB!$A$2:$I$1016,5,0)</f>
        <v>0</v>
      </c>
      <c r="G758" s="98">
        <f>$C758*VLOOKUP($B758,FoodDB!$A$2:$I$1016,6,0)</f>
        <v>0</v>
      </c>
      <c r="H758" s="98">
        <f>$C758*VLOOKUP($B758,FoodDB!$A$2:$I$1016,7,0)</f>
        <v>0</v>
      </c>
      <c r="I758" s="98">
        <f>$C758*VLOOKUP($B758,FoodDB!$A$2:$I$1016,8,0)</f>
        <v>0</v>
      </c>
      <c r="J758" s="98">
        <f>$C758*VLOOKUP($B758,FoodDB!$A$2:$I$1016,9,0)</f>
        <v>0</v>
      </c>
      <c r="K758" s="98"/>
      <c r="L758" s="98"/>
      <c r="M758" s="98"/>
      <c r="N758" s="98"/>
      <c r="O758" s="98"/>
      <c r="P758" s="98"/>
      <c r="Q758" s="98"/>
      <c r="R758" s="98"/>
      <c r="S758" s="98"/>
    </row>
    <row r="759" spans="1:19" x14ac:dyDescent="0.25">
      <c r="A759" t="s">
        <v>98</v>
      </c>
      <c r="D759" s="98"/>
      <c r="E759" s="98"/>
      <c r="F759" s="98"/>
      <c r="G759" s="98">
        <f>SUM(G752:G758)</f>
        <v>0</v>
      </c>
      <c r="H759" s="98">
        <f>SUM(H752:H758)</f>
        <v>0</v>
      </c>
      <c r="I759" s="98">
        <f>SUM(I752:I758)</f>
        <v>0</v>
      </c>
      <c r="J759" s="98">
        <f>SUM(G759:I759)</f>
        <v>0</v>
      </c>
      <c r="K759" s="98"/>
      <c r="L759" s="98"/>
      <c r="M759" s="98"/>
      <c r="N759" s="98"/>
      <c r="O759" s="98"/>
      <c r="P759" s="98"/>
      <c r="Q759" s="98"/>
      <c r="R759" s="98"/>
      <c r="S759" s="98"/>
    </row>
    <row r="760" spans="1:19" x14ac:dyDescent="0.25">
      <c r="A760" t="s">
        <v>102</v>
      </c>
      <c r="B760" t="s">
        <v>103</v>
      </c>
      <c r="D760" s="98"/>
      <c r="E760" s="98"/>
      <c r="F760" s="98"/>
      <c r="G760" s="98">
        <f>VLOOKUP($A752,LossChart!$A$3:$AB$105,14,0)</f>
        <v>712.89832404027948</v>
      </c>
      <c r="H760" s="98">
        <f>VLOOKUP($A752,LossChart!$A$3:$AB$105,15,0)</f>
        <v>80</v>
      </c>
      <c r="I760" s="98">
        <f>VLOOKUP($A752,LossChart!$A$3:$AB$105,16,0)</f>
        <v>477.30407413615825</v>
      </c>
      <c r="J760" s="98">
        <f>VLOOKUP($A752,LossChart!$A$3:$AB$105,17,0)</f>
        <v>1270.2023981764378</v>
      </c>
      <c r="K760" s="98"/>
      <c r="L760" s="98"/>
      <c r="M760" s="98"/>
      <c r="N760" s="98"/>
      <c r="O760" s="98"/>
      <c r="P760" s="98"/>
      <c r="Q760" s="98"/>
      <c r="R760" s="98"/>
      <c r="S760" s="98"/>
    </row>
    <row r="761" spans="1:19" x14ac:dyDescent="0.25">
      <c r="A761" t="s">
        <v>104</v>
      </c>
      <c r="D761" s="98"/>
      <c r="E761" s="98"/>
      <c r="F761" s="98"/>
      <c r="G761" s="98">
        <f>G760-G759</f>
        <v>712.89832404027948</v>
      </c>
      <c r="H761" s="98">
        <f>H760-H759</f>
        <v>80</v>
      </c>
      <c r="I761" s="98">
        <f>I760-I759</f>
        <v>477.30407413615825</v>
      </c>
      <c r="J761" s="98">
        <f>J760-J759</f>
        <v>1270.2023981764378</v>
      </c>
      <c r="K761" s="98"/>
      <c r="L761" s="98"/>
      <c r="M761" s="98"/>
      <c r="N761" s="98"/>
      <c r="O761" s="98"/>
      <c r="P761" s="98"/>
      <c r="Q761" s="98"/>
      <c r="R761" s="98"/>
      <c r="S761" s="98"/>
    </row>
    <row r="763" spans="1:19" ht="60" x14ac:dyDescent="0.25">
      <c r="A763" s="21" t="s">
        <v>63</v>
      </c>
      <c r="B763" s="21" t="s">
        <v>93</v>
      </c>
      <c r="C763" s="21" t="s">
        <v>94</v>
      </c>
      <c r="D763" s="92" t="str">
        <f>FoodDB!$C$1</f>
        <v>Fat
(g)</v>
      </c>
      <c r="E763" s="92" t="str">
        <f>FoodDB!$D$1</f>
        <v xml:space="preserve"> Carbs
(g)</v>
      </c>
      <c r="F763" s="92" t="str">
        <f>FoodDB!$E$1</f>
        <v>Protein
(g)</v>
      </c>
      <c r="G763" s="92" t="str">
        <f>FoodDB!$F$1</f>
        <v>Fat
(Cal)</v>
      </c>
      <c r="H763" s="92" t="str">
        <f>FoodDB!$G$1</f>
        <v>Carb
(Cal)</v>
      </c>
      <c r="I763" s="92" t="str">
        <f>FoodDB!$H$1</f>
        <v>Protein
(Cal)</v>
      </c>
      <c r="J763" s="92" t="str">
        <f>FoodDB!$I$1</f>
        <v>Total
Calories</v>
      </c>
      <c r="K763" s="92"/>
      <c r="L763" s="92" t="s">
        <v>110</v>
      </c>
      <c r="M763" s="92" t="s">
        <v>111</v>
      </c>
      <c r="N763" s="92" t="s">
        <v>112</v>
      </c>
      <c r="O763" s="92" t="s">
        <v>113</v>
      </c>
      <c r="P763" s="92" t="s">
        <v>118</v>
      </c>
      <c r="Q763" s="92" t="s">
        <v>119</v>
      </c>
      <c r="R763" s="92" t="s">
        <v>120</v>
      </c>
      <c r="S763" s="92" t="s">
        <v>121</v>
      </c>
    </row>
    <row r="764" spans="1:19" x14ac:dyDescent="0.25">
      <c r="A764" s="93">
        <f>A752+1</f>
        <v>43057</v>
      </c>
      <c r="B764" s="94" t="s">
        <v>108</v>
      </c>
      <c r="C764" s="95">
        <v>1</v>
      </c>
      <c r="D764" s="98">
        <f>$C764*VLOOKUP($B764,FoodDB!$A$2:$I$1016,3,0)</f>
        <v>0</v>
      </c>
      <c r="E764" s="98">
        <f>$C764*VLOOKUP($B764,FoodDB!$A$2:$I$1016,4,0)</f>
        <v>0</v>
      </c>
      <c r="F764" s="98">
        <f>$C764*VLOOKUP($B764,FoodDB!$A$2:$I$1016,5,0)</f>
        <v>0</v>
      </c>
      <c r="G764" s="98">
        <f>$C764*VLOOKUP($B764,FoodDB!$A$2:$I$1016,6,0)</f>
        <v>0</v>
      </c>
      <c r="H764" s="98">
        <f>$C764*VLOOKUP($B764,FoodDB!$A$2:$I$1016,7,0)</f>
        <v>0</v>
      </c>
      <c r="I764" s="98">
        <f>$C764*VLOOKUP($B764,FoodDB!$A$2:$I$1016,8,0)</f>
        <v>0</v>
      </c>
      <c r="J764" s="98">
        <f>$C764*VLOOKUP($B764,FoodDB!$A$2:$I$1016,9,0)</f>
        <v>0</v>
      </c>
      <c r="K764" s="98"/>
      <c r="L764" s="98">
        <f>SUM(G764:G770)</f>
        <v>0</v>
      </c>
      <c r="M764" s="98">
        <f>SUM(H764:H770)</f>
        <v>0</v>
      </c>
      <c r="N764" s="98">
        <f>SUM(I764:I770)</f>
        <v>0</v>
      </c>
      <c r="O764" s="98">
        <f>SUM(L764:N764)</f>
        <v>0</v>
      </c>
      <c r="P764" s="98">
        <f>VLOOKUP($A764,LossChart!$A$3:$AB$105,14,0)-L764</f>
        <v>718.08652923656541</v>
      </c>
      <c r="Q764" s="98">
        <f>VLOOKUP($A764,LossChart!$A$3:$AB$105,15,0)-M764</f>
        <v>80</v>
      </c>
      <c r="R764" s="98">
        <f>VLOOKUP($A764,LossChart!$A$3:$AB$105,16,0)-N764</f>
        <v>477.30407413615825</v>
      </c>
      <c r="S764" s="98">
        <f>VLOOKUP($A764,LossChart!$A$3:$AB$105,17,0)-O764</f>
        <v>1275.3906033727237</v>
      </c>
    </row>
    <row r="765" spans="1:19" x14ac:dyDescent="0.25">
      <c r="B765" s="94" t="s">
        <v>108</v>
      </c>
      <c r="C765" s="95">
        <v>1</v>
      </c>
      <c r="D765" s="98">
        <f>$C765*VLOOKUP($B765,FoodDB!$A$2:$I$1016,3,0)</f>
        <v>0</v>
      </c>
      <c r="E765" s="98">
        <f>$C765*VLOOKUP($B765,FoodDB!$A$2:$I$1016,4,0)</f>
        <v>0</v>
      </c>
      <c r="F765" s="98">
        <f>$C765*VLOOKUP($B765,FoodDB!$A$2:$I$1016,5,0)</f>
        <v>0</v>
      </c>
      <c r="G765" s="98">
        <f>$C765*VLOOKUP($B765,FoodDB!$A$2:$I$1016,6,0)</f>
        <v>0</v>
      </c>
      <c r="H765" s="98">
        <f>$C765*VLOOKUP($B765,FoodDB!$A$2:$I$1016,7,0)</f>
        <v>0</v>
      </c>
      <c r="I765" s="98">
        <f>$C765*VLOOKUP($B765,FoodDB!$A$2:$I$1016,8,0)</f>
        <v>0</v>
      </c>
      <c r="J765" s="98">
        <f>$C765*VLOOKUP($B765,FoodDB!$A$2:$I$1016,9,0)</f>
        <v>0</v>
      </c>
      <c r="K765" s="98"/>
      <c r="L765" s="98"/>
      <c r="M765" s="98"/>
      <c r="N765" s="98"/>
      <c r="O765" s="98"/>
      <c r="P765" s="98"/>
      <c r="Q765" s="98"/>
      <c r="R765" s="98"/>
      <c r="S765" s="98"/>
    </row>
    <row r="766" spans="1:19" x14ac:dyDescent="0.25">
      <c r="B766" s="94" t="s">
        <v>108</v>
      </c>
      <c r="C766" s="95">
        <v>1</v>
      </c>
      <c r="D766" s="98">
        <f>$C766*VLOOKUP($B766,FoodDB!$A$2:$I$1016,3,0)</f>
        <v>0</v>
      </c>
      <c r="E766" s="98">
        <f>$C766*VLOOKUP($B766,FoodDB!$A$2:$I$1016,4,0)</f>
        <v>0</v>
      </c>
      <c r="F766" s="98">
        <f>$C766*VLOOKUP($B766,FoodDB!$A$2:$I$1016,5,0)</f>
        <v>0</v>
      </c>
      <c r="G766" s="98">
        <f>$C766*VLOOKUP($B766,FoodDB!$A$2:$I$1016,6,0)</f>
        <v>0</v>
      </c>
      <c r="H766" s="98">
        <f>$C766*VLOOKUP($B766,FoodDB!$A$2:$I$1016,7,0)</f>
        <v>0</v>
      </c>
      <c r="I766" s="98">
        <f>$C766*VLOOKUP($B766,FoodDB!$A$2:$I$1016,8,0)</f>
        <v>0</v>
      </c>
      <c r="J766" s="98">
        <f>$C766*VLOOKUP($B766,FoodDB!$A$2:$I$1016,9,0)</f>
        <v>0</v>
      </c>
      <c r="K766" s="98"/>
      <c r="L766" s="98"/>
      <c r="M766" s="98"/>
      <c r="N766" s="98"/>
      <c r="O766" s="98"/>
      <c r="P766" s="98"/>
      <c r="Q766" s="98"/>
      <c r="R766" s="98"/>
      <c r="S766" s="98"/>
    </row>
    <row r="767" spans="1:19" x14ac:dyDescent="0.25">
      <c r="B767" s="94" t="s">
        <v>108</v>
      </c>
      <c r="C767" s="95">
        <v>1</v>
      </c>
      <c r="D767" s="98">
        <f>$C767*VLOOKUP($B767,FoodDB!$A$2:$I$1016,3,0)</f>
        <v>0</v>
      </c>
      <c r="E767" s="98">
        <f>$C767*VLOOKUP($B767,FoodDB!$A$2:$I$1016,4,0)</f>
        <v>0</v>
      </c>
      <c r="F767" s="98">
        <f>$C767*VLOOKUP($B767,FoodDB!$A$2:$I$1016,5,0)</f>
        <v>0</v>
      </c>
      <c r="G767" s="98">
        <f>$C767*VLOOKUP($B767,FoodDB!$A$2:$I$1016,6,0)</f>
        <v>0</v>
      </c>
      <c r="H767" s="98">
        <f>$C767*VLOOKUP($B767,FoodDB!$A$2:$I$1016,7,0)</f>
        <v>0</v>
      </c>
      <c r="I767" s="98">
        <f>$C767*VLOOKUP($B767,FoodDB!$A$2:$I$1016,8,0)</f>
        <v>0</v>
      </c>
      <c r="J767" s="98">
        <f>$C767*VLOOKUP($B767,FoodDB!$A$2:$I$1016,9,0)</f>
        <v>0</v>
      </c>
      <c r="K767" s="98"/>
      <c r="L767" s="98"/>
      <c r="M767" s="98"/>
      <c r="N767" s="98"/>
      <c r="O767" s="98"/>
      <c r="P767" s="98"/>
      <c r="Q767" s="98"/>
      <c r="R767" s="98"/>
      <c r="S767" s="98"/>
    </row>
    <row r="768" spans="1:19" x14ac:dyDescent="0.25">
      <c r="B768" s="94" t="s">
        <v>108</v>
      </c>
      <c r="C768" s="95">
        <v>1</v>
      </c>
      <c r="D768" s="98">
        <f>$C768*VLOOKUP($B768,FoodDB!$A$2:$I$1016,3,0)</f>
        <v>0</v>
      </c>
      <c r="E768" s="98">
        <f>$C768*VLOOKUP($B768,FoodDB!$A$2:$I$1016,4,0)</f>
        <v>0</v>
      </c>
      <c r="F768" s="98">
        <f>$C768*VLOOKUP($B768,FoodDB!$A$2:$I$1016,5,0)</f>
        <v>0</v>
      </c>
      <c r="G768" s="98">
        <f>$C768*VLOOKUP($B768,FoodDB!$A$2:$I$1016,6,0)</f>
        <v>0</v>
      </c>
      <c r="H768" s="98">
        <f>$C768*VLOOKUP($B768,FoodDB!$A$2:$I$1016,7,0)</f>
        <v>0</v>
      </c>
      <c r="I768" s="98">
        <f>$C768*VLOOKUP($B768,FoodDB!$A$2:$I$1016,8,0)</f>
        <v>0</v>
      </c>
      <c r="J768" s="98">
        <f>$C768*VLOOKUP($B768,FoodDB!$A$2:$I$1016,9,0)</f>
        <v>0</v>
      </c>
      <c r="K768" s="98"/>
      <c r="L768" s="98"/>
      <c r="M768" s="98"/>
      <c r="N768" s="98"/>
      <c r="O768" s="98"/>
      <c r="P768" s="98"/>
      <c r="Q768" s="98"/>
      <c r="R768" s="98"/>
      <c r="S768" s="98"/>
    </row>
    <row r="769" spans="1:19" x14ac:dyDescent="0.25">
      <c r="B769" s="94" t="s">
        <v>108</v>
      </c>
      <c r="C769" s="95">
        <v>1</v>
      </c>
      <c r="D769" s="98">
        <f>$C769*VLOOKUP($B769,FoodDB!$A$2:$I$1016,3,0)</f>
        <v>0</v>
      </c>
      <c r="E769" s="98">
        <f>$C769*VLOOKUP($B769,FoodDB!$A$2:$I$1016,4,0)</f>
        <v>0</v>
      </c>
      <c r="F769" s="98">
        <f>$C769*VLOOKUP($B769,FoodDB!$A$2:$I$1016,5,0)</f>
        <v>0</v>
      </c>
      <c r="G769" s="98">
        <f>$C769*VLOOKUP($B769,FoodDB!$A$2:$I$1016,6,0)</f>
        <v>0</v>
      </c>
      <c r="H769" s="98">
        <f>$C769*VLOOKUP($B769,FoodDB!$A$2:$I$1016,7,0)</f>
        <v>0</v>
      </c>
      <c r="I769" s="98">
        <f>$C769*VLOOKUP($B769,FoodDB!$A$2:$I$1016,8,0)</f>
        <v>0</v>
      </c>
      <c r="J769" s="98">
        <f>$C769*VLOOKUP($B769,FoodDB!$A$2:$I$1016,9,0)</f>
        <v>0</v>
      </c>
      <c r="K769" s="98"/>
      <c r="L769" s="98"/>
      <c r="M769" s="98"/>
      <c r="N769" s="98"/>
      <c r="O769" s="98"/>
      <c r="P769" s="98"/>
      <c r="Q769" s="98"/>
      <c r="R769" s="98"/>
      <c r="S769" s="98"/>
    </row>
    <row r="770" spans="1:19" x14ac:dyDescent="0.25">
      <c r="B770" s="94" t="s">
        <v>108</v>
      </c>
      <c r="C770" s="95">
        <v>1</v>
      </c>
      <c r="D770" s="98">
        <f>$C770*VLOOKUP($B770,FoodDB!$A$2:$I$1016,3,0)</f>
        <v>0</v>
      </c>
      <c r="E770" s="98">
        <f>$C770*VLOOKUP($B770,FoodDB!$A$2:$I$1016,4,0)</f>
        <v>0</v>
      </c>
      <c r="F770" s="98">
        <f>$C770*VLOOKUP($B770,FoodDB!$A$2:$I$1016,5,0)</f>
        <v>0</v>
      </c>
      <c r="G770" s="98">
        <f>$C770*VLOOKUP($B770,FoodDB!$A$2:$I$1016,6,0)</f>
        <v>0</v>
      </c>
      <c r="H770" s="98">
        <f>$C770*VLOOKUP($B770,FoodDB!$A$2:$I$1016,7,0)</f>
        <v>0</v>
      </c>
      <c r="I770" s="98">
        <f>$C770*VLOOKUP($B770,FoodDB!$A$2:$I$1016,8,0)</f>
        <v>0</v>
      </c>
      <c r="J770" s="98">
        <f>$C770*VLOOKUP($B770,FoodDB!$A$2:$I$1016,9,0)</f>
        <v>0</v>
      </c>
      <c r="K770" s="98"/>
      <c r="L770" s="98"/>
      <c r="M770" s="98"/>
      <c r="N770" s="98"/>
      <c r="O770" s="98"/>
      <c r="P770" s="98"/>
      <c r="Q770" s="98"/>
      <c r="R770" s="98"/>
      <c r="S770" s="98"/>
    </row>
    <row r="771" spans="1:19" x14ac:dyDescent="0.25">
      <c r="A771" t="s">
        <v>98</v>
      </c>
      <c r="D771" s="98"/>
      <c r="E771" s="98"/>
      <c r="F771" s="98"/>
      <c r="G771" s="98">
        <f>SUM(G764:G770)</f>
        <v>0</v>
      </c>
      <c r="H771" s="98">
        <f>SUM(H764:H770)</f>
        <v>0</v>
      </c>
      <c r="I771" s="98">
        <f>SUM(I764:I770)</f>
        <v>0</v>
      </c>
      <c r="J771" s="98">
        <f>SUM(G771:I771)</f>
        <v>0</v>
      </c>
      <c r="K771" s="98"/>
      <c r="L771" s="98"/>
      <c r="M771" s="98"/>
      <c r="N771" s="98"/>
      <c r="O771" s="98"/>
      <c r="P771" s="98"/>
      <c r="Q771" s="98"/>
      <c r="R771" s="98"/>
      <c r="S771" s="98"/>
    </row>
    <row r="772" spans="1:19" x14ac:dyDescent="0.25">
      <c r="A772" t="s">
        <v>102</v>
      </c>
      <c r="B772" t="s">
        <v>103</v>
      </c>
      <c r="D772" s="98"/>
      <c r="E772" s="98"/>
      <c r="F772" s="98"/>
      <c r="G772" s="98">
        <f>VLOOKUP($A764,LossChart!$A$3:$AB$105,14,0)</f>
        <v>718.08652923656541</v>
      </c>
      <c r="H772" s="98">
        <f>VLOOKUP($A764,LossChart!$A$3:$AB$105,15,0)</f>
        <v>80</v>
      </c>
      <c r="I772" s="98">
        <f>VLOOKUP($A764,LossChart!$A$3:$AB$105,16,0)</f>
        <v>477.30407413615825</v>
      </c>
      <c r="J772" s="98">
        <f>VLOOKUP($A764,LossChart!$A$3:$AB$105,17,0)</f>
        <v>1275.3906033727237</v>
      </c>
      <c r="K772" s="98"/>
      <c r="L772" s="98"/>
      <c r="M772" s="98"/>
      <c r="N772" s="98"/>
      <c r="O772" s="98"/>
      <c r="P772" s="98"/>
      <c r="Q772" s="98"/>
      <c r="R772" s="98"/>
      <c r="S772" s="98"/>
    </row>
    <row r="773" spans="1:19" x14ac:dyDescent="0.25">
      <c r="A773" t="s">
        <v>104</v>
      </c>
      <c r="D773" s="98"/>
      <c r="E773" s="98"/>
      <c r="F773" s="98"/>
      <c r="G773" s="98">
        <f>G772-G771</f>
        <v>718.08652923656541</v>
      </c>
      <c r="H773" s="98">
        <f>H772-H771</f>
        <v>80</v>
      </c>
      <c r="I773" s="98">
        <f>I772-I771</f>
        <v>477.30407413615825</v>
      </c>
      <c r="J773" s="98">
        <f>J772-J771</f>
        <v>1275.3906033727237</v>
      </c>
      <c r="K773" s="98"/>
      <c r="L773" s="98"/>
      <c r="M773" s="98"/>
      <c r="N773" s="98"/>
      <c r="O773" s="98"/>
      <c r="P773" s="98"/>
      <c r="Q773" s="98"/>
      <c r="R773" s="98"/>
      <c r="S773" s="98"/>
    </row>
    <row r="775" spans="1:19" ht="60" x14ac:dyDescent="0.25">
      <c r="A775" s="21" t="s">
        <v>63</v>
      </c>
      <c r="B775" s="21" t="s">
        <v>93</v>
      </c>
      <c r="C775" s="21" t="s">
        <v>94</v>
      </c>
      <c r="D775" s="92" t="str">
        <f>FoodDB!$C$1</f>
        <v>Fat
(g)</v>
      </c>
      <c r="E775" s="92" t="str">
        <f>FoodDB!$D$1</f>
        <v xml:space="preserve"> Carbs
(g)</v>
      </c>
      <c r="F775" s="92" t="str">
        <f>FoodDB!$E$1</f>
        <v>Protein
(g)</v>
      </c>
      <c r="G775" s="92" t="str">
        <f>FoodDB!$F$1</f>
        <v>Fat
(Cal)</v>
      </c>
      <c r="H775" s="92" t="str">
        <f>FoodDB!$G$1</f>
        <v>Carb
(Cal)</v>
      </c>
      <c r="I775" s="92" t="str">
        <f>FoodDB!$H$1</f>
        <v>Protein
(Cal)</v>
      </c>
      <c r="J775" s="92" t="str">
        <f>FoodDB!$I$1</f>
        <v>Total
Calories</v>
      </c>
      <c r="K775" s="92"/>
      <c r="L775" s="92" t="s">
        <v>110</v>
      </c>
      <c r="M775" s="92" t="s">
        <v>111</v>
      </c>
      <c r="N775" s="92" t="s">
        <v>112</v>
      </c>
      <c r="O775" s="92" t="s">
        <v>113</v>
      </c>
      <c r="P775" s="92" t="s">
        <v>118</v>
      </c>
      <c r="Q775" s="92" t="s">
        <v>119</v>
      </c>
      <c r="R775" s="92" t="s">
        <v>120</v>
      </c>
      <c r="S775" s="92" t="s">
        <v>121</v>
      </c>
    </row>
    <row r="776" spans="1:19" x14ac:dyDescent="0.25">
      <c r="A776" s="93">
        <f>A764+1</f>
        <v>43058</v>
      </c>
      <c r="B776" s="94" t="s">
        <v>108</v>
      </c>
      <c r="C776" s="95">
        <v>1</v>
      </c>
      <c r="D776" s="98">
        <f>$C776*VLOOKUP($B776,FoodDB!$A$2:$I$1016,3,0)</f>
        <v>0</v>
      </c>
      <c r="E776" s="98">
        <f>$C776*VLOOKUP($B776,FoodDB!$A$2:$I$1016,4,0)</f>
        <v>0</v>
      </c>
      <c r="F776" s="98">
        <f>$C776*VLOOKUP($B776,FoodDB!$A$2:$I$1016,5,0)</f>
        <v>0</v>
      </c>
      <c r="G776" s="98">
        <f>$C776*VLOOKUP($B776,FoodDB!$A$2:$I$1016,6,0)</f>
        <v>0</v>
      </c>
      <c r="H776" s="98">
        <f>$C776*VLOOKUP($B776,FoodDB!$A$2:$I$1016,7,0)</f>
        <v>0</v>
      </c>
      <c r="I776" s="98">
        <f>$C776*VLOOKUP($B776,FoodDB!$A$2:$I$1016,8,0)</f>
        <v>0</v>
      </c>
      <c r="J776" s="98">
        <f>$C776*VLOOKUP($B776,FoodDB!$A$2:$I$1016,9,0)</f>
        <v>0</v>
      </c>
      <c r="K776" s="98"/>
      <c r="L776" s="98">
        <f>SUM(G776:G782)</f>
        <v>0</v>
      </c>
      <c r="M776" s="98">
        <f>SUM(H776:H782)</f>
        <v>0</v>
      </c>
      <c r="N776" s="98">
        <f>SUM(I776:I782)</f>
        <v>0</v>
      </c>
      <c r="O776" s="98">
        <f>SUM(L776:N776)</f>
        <v>0</v>
      </c>
      <c r="P776" s="98">
        <f>VLOOKUP($A776,LossChart!$A$3:$AB$105,14,0)-L776</f>
        <v>723.22878175825599</v>
      </c>
      <c r="Q776" s="98">
        <f>VLOOKUP($A776,LossChart!$A$3:$AB$105,15,0)-M776</f>
        <v>80</v>
      </c>
      <c r="R776" s="98">
        <f>VLOOKUP($A776,LossChart!$A$3:$AB$105,16,0)-N776</f>
        <v>477.30407413615825</v>
      </c>
      <c r="S776" s="98">
        <f>VLOOKUP($A776,LossChart!$A$3:$AB$105,17,0)-O776</f>
        <v>1280.5328558944143</v>
      </c>
    </row>
    <row r="777" spans="1:19" x14ac:dyDescent="0.25">
      <c r="B777" s="94" t="s">
        <v>108</v>
      </c>
      <c r="C777" s="95">
        <v>1</v>
      </c>
      <c r="D777" s="98">
        <f>$C777*VLOOKUP($B777,FoodDB!$A$2:$I$1016,3,0)</f>
        <v>0</v>
      </c>
      <c r="E777" s="98">
        <f>$C777*VLOOKUP($B777,FoodDB!$A$2:$I$1016,4,0)</f>
        <v>0</v>
      </c>
      <c r="F777" s="98">
        <f>$C777*VLOOKUP($B777,FoodDB!$A$2:$I$1016,5,0)</f>
        <v>0</v>
      </c>
      <c r="G777" s="98">
        <f>$C777*VLOOKUP($B777,FoodDB!$A$2:$I$1016,6,0)</f>
        <v>0</v>
      </c>
      <c r="H777" s="98">
        <f>$C777*VLOOKUP($B777,FoodDB!$A$2:$I$1016,7,0)</f>
        <v>0</v>
      </c>
      <c r="I777" s="98">
        <f>$C777*VLOOKUP($B777,FoodDB!$A$2:$I$1016,8,0)</f>
        <v>0</v>
      </c>
      <c r="J777" s="98">
        <f>$C777*VLOOKUP($B777,FoodDB!$A$2:$I$1016,9,0)</f>
        <v>0</v>
      </c>
      <c r="K777" s="98"/>
      <c r="L777" s="98"/>
      <c r="M777" s="98"/>
      <c r="N777" s="98"/>
      <c r="O777" s="98"/>
      <c r="P777" s="98"/>
      <c r="Q777" s="98"/>
      <c r="R777" s="98"/>
      <c r="S777" s="98"/>
    </row>
    <row r="778" spans="1:19" x14ac:dyDescent="0.25">
      <c r="B778" s="94" t="s">
        <v>108</v>
      </c>
      <c r="C778" s="95">
        <v>1</v>
      </c>
      <c r="D778" s="98">
        <f>$C778*VLOOKUP($B778,FoodDB!$A$2:$I$1016,3,0)</f>
        <v>0</v>
      </c>
      <c r="E778" s="98">
        <f>$C778*VLOOKUP($B778,FoodDB!$A$2:$I$1016,4,0)</f>
        <v>0</v>
      </c>
      <c r="F778" s="98">
        <f>$C778*VLOOKUP($B778,FoodDB!$A$2:$I$1016,5,0)</f>
        <v>0</v>
      </c>
      <c r="G778" s="98">
        <f>$C778*VLOOKUP($B778,FoodDB!$A$2:$I$1016,6,0)</f>
        <v>0</v>
      </c>
      <c r="H778" s="98">
        <f>$C778*VLOOKUP($B778,FoodDB!$A$2:$I$1016,7,0)</f>
        <v>0</v>
      </c>
      <c r="I778" s="98">
        <f>$C778*VLOOKUP($B778,FoodDB!$A$2:$I$1016,8,0)</f>
        <v>0</v>
      </c>
      <c r="J778" s="98">
        <f>$C778*VLOOKUP($B778,FoodDB!$A$2:$I$1016,9,0)</f>
        <v>0</v>
      </c>
      <c r="K778" s="98"/>
      <c r="L778" s="98"/>
      <c r="M778" s="98"/>
      <c r="N778" s="98"/>
      <c r="O778" s="98"/>
      <c r="P778" s="98"/>
      <c r="Q778" s="98"/>
      <c r="R778" s="98"/>
      <c r="S778" s="98"/>
    </row>
    <row r="779" spans="1:19" x14ac:dyDescent="0.25">
      <c r="B779" s="94" t="s">
        <v>108</v>
      </c>
      <c r="C779" s="95">
        <v>1</v>
      </c>
      <c r="D779" s="98">
        <f>$C779*VLOOKUP($B779,FoodDB!$A$2:$I$1016,3,0)</f>
        <v>0</v>
      </c>
      <c r="E779" s="98">
        <f>$C779*VLOOKUP($B779,FoodDB!$A$2:$I$1016,4,0)</f>
        <v>0</v>
      </c>
      <c r="F779" s="98">
        <f>$C779*VLOOKUP($B779,FoodDB!$A$2:$I$1016,5,0)</f>
        <v>0</v>
      </c>
      <c r="G779" s="98">
        <f>$C779*VLOOKUP($B779,FoodDB!$A$2:$I$1016,6,0)</f>
        <v>0</v>
      </c>
      <c r="H779" s="98">
        <f>$C779*VLOOKUP($B779,FoodDB!$A$2:$I$1016,7,0)</f>
        <v>0</v>
      </c>
      <c r="I779" s="98">
        <f>$C779*VLOOKUP($B779,FoodDB!$A$2:$I$1016,8,0)</f>
        <v>0</v>
      </c>
      <c r="J779" s="98">
        <f>$C779*VLOOKUP($B779,FoodDB!$A$2:$I$1016,9,0)</f>
        <v>0</v>
      </c>
      <c r="K779" s="98"/>
      <c r="L779" s="98"/>
      <c r="M779" s="98"/>
      <c r="N779" s="98"/>
      <c r="O779" s="98"/>
      <c r="P779" s="98"/>
      <c r="Q779" s="98"/>
      <c r="R779" s="98"/>
      <c r="S779" s="98"/>
    </row>
    <row r="780" spans="1:19" x14ac:dyDescent="0.25">
      <c r="B780" s="94" t="s">
        <v>108</v>
      </c>
      <c r="C780" s="95">
        <v>1</v>
      </c>
      <c r="D780" s="98">
        <f>$C780*VLOOKUP($B780,FoodDB!$A$2:$I$1016,3,0)</f>
        <v>0</v>
      </c>
      <c r="E780" s="98">
        <f>$C780*VLOOKUP($B780,FoodDB!$A$2:$I$1016,4,0)</f>
        <v>0</v>
      </c>
      <c r="F780" s="98">
        <f>$C780*VLOOKUP($B780,FoodDB!$A$2:$I$1016,5,0)</f>
        <v>0</v>
      </c>
      <c r="G780" s="98">
        <f>$C780*VLOOKUP($B780,FoodDB!$A$2:$I$1016,6,0)</f>
        <v>0</v>
      </c>
      <c r="H780" s="98">
        <f>$C780*VLOOKUP($B780,FoodDB!$A$2:$I$1016,7,0)</f>
        <v>0</v>
      </c>
      <c r="I780" s="98">
        <f>$C780*VLOOKUP($B780,FoodDB!$A$2:$I$1016,8,0)</f>
        <v>0</v>
      </c>
      <c r="J780" s="98">
        <f>$C780*VLOOKUP($B780,FoodDB!$A$2:$I$1016,9,0)</f>
        <v>0</v>
      </c>
      <c r="K780" s="98"/>
      <c r="L780" s="98"/>
      <c r="M780" s="98"/>
      <c r="N780" s="98"/>
      <c r="O780" s="98"/>
      <c r="P780" s="98"/>
      <c r="Q780" s="98"/>
      <c r="R780" s="98"/>
      <c r="S780" s="98"/>
    </row>
    <row r="781" spans="1:19" x14ac:dyDescent="0.25">
      <c r="B781" s="94" t="s">
        <v>108</v>
      </c>
      <c r="C781" s="95">
        <v>1</v>
      </c>
      <c r="D781" s="98">
        <f>$C781*VLOOKUP($B781,FoodDB!$A$2:$I$1016,3,0)</f>
        <v>0</v>
      </c>
      <c r="E781" s="98">
        <f>$C781*VLOOKUP($B781,FoodDB!$A$2:$I$1016,4,0)</f>
        <v>0</v>
      </c>
      <c r="F781" s="98">
        <f>$C781*VLOOKUP($B781,FoodDB!$A$2:$I$1016,5,0)</f>
        <v>0</v>
      </c>
      <c r="G781" s="98">
        <f>$C781*VLOOKUP($B781,FoodDB!$A$2:$I$1016,6,0)</f>
        <v>0</v>
      </c>
      <c r="H781" s="98">
        <f>$C781*VLOOKUP($B781,FoodDB!$A$2:$I$1016,7,0)</f>
        <v>0</v>
      </c>
      <c r="I781" s="98">
        <f>$C781*VLOOKUP($B781,FoodDB!$A$2:$I$1016,8,0)</f>
        <v>0</v>
      </c>
      <c r="J781" s="98">
        <f>$C781*VLOOKUP($B781,FoodDB!$A$2:$I$1016,9,0)</f>
        <v>0</v>
      </c>
      <c r="K781" s="98"/>
      <c r="L781" s="98"/>
      <c r="M781" s="98"/>
      <c r="N781" s="98"/>
      <c r="O781" s="98"/>
      <c r="P781" s="98"/>
      <c r="Q781" s="98"/>
      <c r="R781" s="98"/>
      <c r="S781" s="98"/>
    </row>
    <row r="782" spans="1:19" x14ac:dyDescent="0.25">
      <c r="B782" s="94" t="s">
        <v>108</v>
      </c>
      <c r="C782" s="95">
        <v>1</v>
      </c>
      <c r="D782" s="98">
        <f>$C782*VLOOKUP($B782,FoodDB!$A$2:$I$1016,3,0)</f>
        <v>0</v>
      </c>
      <c r="E782" s="98">
        <f>$C782*VLOOKUP($B782,FoodDB!$A$2:$I$1016,4,0)</f>
        <v>0</v>
      </c>
      <c r="F782" s="98">
        <f>$C782*VLOOKUP($B782,FoodDB!$A$2:$I$1016,5,0)</f>
        <v>0</v>
      </c>
      <c r="G782" s="98">
        <f>$C782*VLOOKUP($B782,FoodDB!$A$2:$I$1016,6,0)</f>
        <v>0</v>
      </c>
      <c r="H782" s="98">
        <f>$C782*VLOOKUP($B782,FoodDB!$A$2:$I$1016,7,0)</f>
        <v>0</v>
      </c>
      <c r="I782" s="98">
        <f>$C782*VLOOKUP($B782,FoodDB!$A$2:$I$1016,8,0)</f>
        <v>0</v>
      </c>
      <c r="J782" s="98">
        <f>$C782*VLOOKUP($B782,FoodDB!$A$2:$I$1016,9,0)</f>
        <v>0</v>
      </c>
      <c r="K782" s="98"/>
      <c r="L782" s="98"/>
      <c r="M782" s="98"/>
      <c r="N782" s="98"/>
      <c r="O782" s="98"/>
      <c r="P782" s="98"/>
      <c r="Q782" s="98"/>
      <c r="R782" s="98"/>
      <c r="S782" s="98"/>
    </row>
    <row r="783" spans="1:19" x14ac:dyDescent="0.25">
      <c r="A783" t="s">
        <v>98</v>
      </c>
      <c r="D783" s="98"/>
      <c r="E783" s="98"/>
      <c r="F783" s="98"/>
      <c r="G783" s="98">
        <f>SUM(G776:G782)</f>
        <v>0</v>
      </c>
      <c r="H783" s="98">
        <f>SUM(H776:H782)</f>
        <v>0</v>
      </c>
      <c r="I783" s="98">
        <f>SUM(I776:I782)</f>
        <v>0</v>
      </c>
      <c r="J783" s="98">
        <f>SUM(G783:I783)</f>
        <v>0</v>
      </c>
      <c r="K783" s="98"/>
      <c r="L783" s="98"/>
      <c r="M783" s="98"/>
      <c r="N783" s="98"/>
      <c r="O783" s="98"/>
      <c r="P783" s="98"/>
      <c r="Q783" s="98"/>
      <c r="R783" s="98"/>
      <c r="S783" s="98"/>
    </row>
    <row r="784" spans="1:19" x14ac:dyDescent="0.25">
      <c r="A784" t="s">
        <v>102</v>
      </c>
      <c r="B784" t="s">
        <v>103</v>
      </c>
      <c r="D784" s="98"/>
      <c r="E784" s="98"/>
      <c r="F784" s="98"/>
      <c r="G784" s="98">
        <f>VLOOKUP($A776,LossChart!$A$3:$AB$105,14,0)</f>
        <v>723.22878175825599</v>
      </c>
      <c r="H784" s="98">
        <f>VLOOKUP($A776,LossChart!$A$3:$AB$105,15,0)</f>
        <v>80</v>
      </c>
      <c r="I784" s="98">
        <f>VLOOKUP($A776,LossChart!$A$3:$AB$105,16,0)</f>
        <v>477.30407413615825</v>
      </c>
      <c r="J784" s="98">
        <f>VLOOKUP($A776,LossChart!$A$3:$AB$105,17,0)</f>
        <v>1280.5328558944143</v>
      </c>
      <c r="K784" s="98"/>
      <c r="L784" s="98"/>
      <c r="M784" s="98"/>
      <c r="N784" s="98"/>
      <c r="O784" s="98"/>
      <c r="P784" s="98"/>
      <c r="Q784" s="98"/>
      <c r="R784" s="98"/>
      <c r="S784" s="98"/>
    </row>
    <row r="785" spans="1:19" x14ac:dyDescent="0.25">
      <c r="A785" t="s">
        <v>104</v>
      </c>
      <c r="D785" s="98"/>
      <c r="E785" s="98"/>
      <c r="F785" s="98"/>
      <c r="G785" s="98">
        <f>G784-G783</f>
        <v>723.22878175825599</v>
      </c>
      <c r="H785" s="98">
        <f>H784-H783</f>
        <v>80</v>
      </c>
      <c r="I785" s="98">
        <f>I784-I783</f>
        <v>477.30407413615825</v>
      </c>
      <c r="J785" s="98">
        <f>J784-J783</f>
        <v>1280.5328558944143</v>
      </c>
      <c r="K785" s="98"/>
      <c r="L785" s="98"/>
      <c r="M785" s="98"/>
      <c r="N785" s="98"/>
      <c r="O785" s="98"/>
      <c r="P785" s="98"/>
      <c r="Q785" s="98"/>
      <c r="R785" s="98"/>
      <c r="S785" s="98"/>
    </row>
    <row r="787" spans="1:19" ht="60" x14ac:dyDescent="0.25">
      <c r="A787" s="21" t="s">
        <v>63</v>
      </c>
      <c r="B787" s="21" t="s">
        <v>93</v>
      </c>
      <c r="C787" s="21" t="s">
        <v>94</v>
      </c>
      <c r="D787" s="92" t="str">
        <f>FoodDB!$C$1</f>
        <v>Fat
(g)</v>
      </c>
      <c r="E787" s="92" t="str">
        <f>FoodDB!$D$1</f>
        <v xml:space="preserve"> Carbs
(g)</v>
      </c>
      <c r="F787" s="92" t="str">
        <f>FoodDB!$E$1</f>
        <v>Protein
(g)</v>
      </c>
      <c r="G787" s="92" t="str">
        <f>FoodDB!$F$1</f>
        <v>Fat
(Cal)</v>
      </c>
      <c r="H787" s="92" t="str">
        <f>FoodDB!$G$1</f>
        <v>Carb
(Cal)</v>
      </c>
      <c r="I787" s="92" t="str">
        <f>FoodDB!$H$1</f>
        <v>Protein
(Cal)</v>
      </c>
      <c r="J787" s="92" t="str">
        <f>FoodDB!$I$1</f>
        <v>Total
Calories</v>
      </c>
      <c r="K787" s="92"/>
      <c r="L787" s="92" t="s">
        <v>110</v>
      </c>
      <c r="M787" s="92" t="s">
        <v>111</v>
      </c>
      <c r="N787" s="92" t="s">
        <v>112</v>
      </c>
      <c r="O787" s="92" t="s">
        <v>113</v>
      </c>
      <c r="P787" s="92" t="s">
        <v>118</v>
      </c>
      <c r="Q787" s="92" t="s">
        <v>119</v>
      </c>
      <c r="R787" s="92" t="s">
        <v>120</v>
      </c>
      <c r="S787" s="92" t="s">
        <v>121</v>
      </c>
    </row>
    <row r="788" spans="1:19" x14ac:dyDescent="0.25">
      <c r="A788" s="93">
        <f>A776+1</f>
        <v>43059</v>
      </c>
      <c r="B788" s="94" t="s">
        <v>108</v>
      </c>
      <c r="C788" s="95">
        <v>1</v>
      </c>
      <c r="D788" s="98">
        <f>$C788*VLOOKUP($B788,FoodDB!$A$2:$I$1016,3,0)</f>
        <v>0</v>
      </c>
      <c r="E788" s="98">
        <f>$C788*VLOOKUP($B788,FoodDB!$A$2:$I$1016,4,0)</f>
        <v>0</v>
      </c>
      <c r="F788" s="98">
        <f>$C788*VLOOKUP($B788,FoodDB!$A$2:$I$1016,5,0)</f>
        <v>0</v>
      </c>
      <c r="G788" s="98">
        <f>$C788*VLOOKUP($B788,FoodDB!$A$2:$I$1016,6,0)</f>
        <v>0</v>
      </c>
      <c r="H788" s="98">
        <f>$C788*VLOOKUP($B788,FoodDB!$A$2:$I$1016,7,0)</f>
        <v>0</v>
      </c>
      <c r="I788" s="98">
        <f>$C788*VLOOKUP($B788,FoodDB!$A$2:$I$1016,8,0)</f>
        <v>0</v>
      </c>
      <c r="J788" s="98">
        <f>$C788*VLOOKUP($B788,FoodDB!$A$2:$I$1016,9,0)</f>
        <v>0</v>
      </c>
      <c r="K788" s="98"/>
      <c r="L788" s="98">
        <f>SUM(G788:G794)</f>
        <v>0</v>
      </c>
      <c r="M788" s="98">
        <f>SUM(H788:H794)</f>
        <v>0</v>
      </c>
      <c r="N788" s="98">
        <f>SUM(I788:I794)</f>
        <v>0</v>
      </c>
      <c r="O788" s="98">
        <f>SUM(L788:N788)</f>
        <v>0</v>
      </c>
      <c r="P788" s="98">
        <f>VLOOKUP($A788,LossChart!$A$3:$AB$105,14,0)-L788</f>
        <v>728.3254886147547</v>
      </c>
      <c r="Q788" s="98">
        <f>VLOOKUP($A788,LossChart!$A$3:$AB$105,15,0)-M788</f>
        <v>80</v>
      </c>
      <c r="R788" s="98">
        <f>VLOOKUP($A788,LossChart!$A$3:$AB$105,16,0)-N788</f>
        <v>477.30407413615825</v>
      </c>
      <c r="S788" s="98">
        <f>VLOOKUP($A788,LossChart!$A$3:$AB$105,17,0)-O788</f>
        <v>1285.629562750913</v>
      </c>
    </row>
    <row r="789" spans="1:19" x14ac:dyDescent="0.25">
      <c r="B789" s="94" t="s">
        <v>108</v>
      </c>
      <c r="C789" s="95">
        <v>1</v>
      </c>
      <c r="D789" s="98">
        <f>$C789*VLOOKUP($B789,FoodDB!$A$2:$I$1016,3,0)</f>
        <v>0</v>
      </c>
      <c r="E789" s="98">
        <f>$C789*VLOOKUP($B789,FoodDB!$A$2:$I$1016,4,0)</f>
        <v>0</v>
      </c>
      <c r="F789" s="98">
        <f>$C789*VLOOKUP($B789,FoodDB!$A$2:$I$1016,5,0)</f>
        <v>0</v>
      </c>
      <c r="G789" s="98">
        <f>$C789*VLOOKUP($B789,FoodDB!$A$2:$I$1016,6,0)</f>
        <v>0</v>
      </c>
      <c r="H789" s="98">
        <f>$C789*VLOOKUP($B789,FoodDB!$A$2:$I$1016,7,0)</f>
        <v>0</v>
      </c>
      <c r="I789" s="98">
        <f>$C789*VLOOKUP($B789,FoodDB!$A$2:$I$1016,8,0)</f>
        <v>0</v>
      </c>
      <c r="J789" s="98">
        <f>$C789*VLOOKUP($B789,FoodDB!$A$2:$I$1016,9,0)</f>
        <v>0</v>
      </c>
      <c r="K789" s="98"/>
      <c r="L789" s="98"/>
      <c r="M789" s="98"/>
      <c r="N789" s="98"/>
      <c r="O789" s="98"/>
      <c r="P789" s="98"/>
      <c r="Q789" s="98"/>
      <c r="R789" s="98"/>
      <c r="S789" s="98"/>
    </row>
    <row r="790" spans="1:19" x14ac:dyDescent="0.25">
      <c r="B790" s="94" t="s">
        <v>108</v>
      </c>
      <c r="C790" s="95">
        <v>1</v>
      </c>
      <c r="D790" s="98">
        <f>$C790*VLOOKUP($B790,FoodDB!$A$2:$I$1016,3,0)</f>
        <v>0</v>
      </c>
      <c r="E790" s="98">
        <f>$C790*VLOOKUP($B790,FoodDB!$A$2:$I$1016,4,0)</f>
        <v>0</v>
      </c>
      <c r="F790" s="98">
        <f>$C790*VLOOKUP($B790,FoodDB!$A$2:$I$1016,5,0)</f>
        <v>0</v>
      </c>
      <c r="G790" s="98">
        <f>$C790*VLOOKUP($B790,FoodDB!$A$2:$I$1016,6,0)</f>
        <v>0</v>
      </c>
      <c r="H790" s="98">
        <f>$C790*VLOOKUP($B790,FoodDB!$A$2:$I$1016,7,0)</f>
        <v>0</v>
      </c>
      <c r="I790" s="98">
        <f>$C790*VLOOKUP($B790,FoodDB!$A$2:$I$1016,8,0)</f>
        <v>0</v>
      </c>
      <c r="J790" s="98">
        <f>$C790*VLOOKUP($B790,FoodDB!$A$2:$I$1016,9,0)</f>
        <v>0</v>
      </c>
      <c r="K790" s="98"/>
      <c r="L790" s="98"/>
      <c r="M790" s="98"/>
      <c r="N790" s="98"/>
      <c r="O790" s="98"/>
      <c r="P790" s="98"/>
      <c r="Q790" s="98"/>
      <c r="R790" s="98"/>
      <c r="S790" s="98"/>
    </row>
    <row r="791" spans="1:19" x14ac:dyDescent="0.25">
      <c r="B791" s="94" t="s">
        <v>108</v>
      </c>
      <c r="C791" s="95">
        <v>1</v>
      </c>
      <c r="D791" s="98">
        <f>$C791*VLOOKUP($B791,FoodDB!$A$2:$I$1016,3,0)</f>
        <v>0</v>
      </c>
      <c r="E791" s="98">
        <f>$C791*VLOOKUP($B791,FoodDB!$A$2:$I$1016,4,0)</f>
        <v>0</v>
      </c>
      <c r="F791" s="98">
        <f>$C791*VLOOKUP($B791,FoodDB!$A$2:$I$1016,5,0)</f>
        <v>0</v>
      </c>
      <c r="G791" s="98">
        <f>$C791*VLOOKUP($B791,FoodDB!$A$2:$I$1016,6,0)</f>
        <v>0</v>
      </c>
      <c r="H791" s="98">
        <f>$C791*VLOOKUP($B791,FoodDB!$A$2:$I$1016,7,0)</f>
        <v>0</v>
      </c>
      <c r="I791" s="98">
        <f>$C791*VLOOKUP($B791,FoodDB!$A$2:$I$1016,8,0)</f>
        <v>0</v>
      </c>
      <c r="J791" s="98">
        <f>$C791*VLOOKUP($B791,FoodDB!$A$2:$I$1016,9,0)</f>
        <v>0</v>
      </c>
      <c r="K791" s="98"/>
      <c r="L791" s="98"/>
      <c r="M791" s="98"/>
      <c r="N791" s="98"/>
      <c r="O791" s="98"/>
      <c r="P791" s="98"/>
      <c r="Q791" s="98"/>
      <c r="R791" s="98"/>
      <c r="S791" s="98"/>
    </row>
    <row r="792" spans="1:19" x14ac:dyDescent="0.25">
      <c r="B792" s="94" t="s">
        <v>108</v>
      </c>
      <c r="C792" s="95">
        <v>1</v>
      </c>
      <c r="D792" s="98">
        <f>$C792*VLOOKUP($B792,FoodDB!$A$2:$I$1016,3,0)</f>
        <v>0</v>
      </c>
      <c r="E792" s="98">
        <f>$C792*VLOOKUP($B792,FoodDB!$A$2:$I$1016,4,0)</f>
        <v>0</v>
      </c>
      <c r="F792" s="98">
        <f>$C792*VLOOKUP($B792,FoodDB!$A$2:$I$1016,5,0)</f>
        <v>0</v>
      </c>
      <c r="G792" s="98">
        <f>$C792*VLOOKUP($B792,FoodDB!$A$2:$I$1016,6,0)</f>
        <v>0</v>
      </c>
      <c r="H792" s="98">
        <f>$C792*VLOOKUP($B792,FoodDB!$A$2:$I$1016,7,0)</f>
        <v>0</v>
      </c>
      <c r="I792" s="98">
        <f>$C792*VLOOKUP($B792,FoodDB!$A$2:$I$1016,8,0)</f>
        <v>0</v>
      </c>
      <c r="J792" s="98">
        <f>$C792*VLOOKUP($B792,FoodDB!$A$2:$I$1016,9,0)</f>
        <v>0</v>
      </c>
      <c r="K792" s="98"/>
      <c r="L792" s="98"/>
      <c r="M792" s="98"/>
      <c r="N792" s="98"/>
      <c r="O792" s="98"/>
      <c r="P792" s="98"/>
      <c r="Q792" s="98"/>
      <c r="R792" s="98"/>
      <c r="S792" s="98"/>
    </row>
    <row r="793" spans="1:19" x14ac:dyDescent="0.25">
      <c r="B793" s="94" t="s">
        <v>108</v>
      </c>
      <c r="C793" s="95">
        <v>1</v>
      </c>
      <c r="D793" s="98">
        <f>$C793*VLOOKUP($B793,FoodDB!$A$2:$I$1016,3,0)</f>
        <v>0</v>
      </c>
      <c r="E793" s="98">
        <f>$C793*VLOOKUP($B793,FoodDB!$A$2:$I$1016,4,0)</f>
        <v>0</v>
      </c>
      <c r="F793" s="98">
        <f>$C793*VLOOKUP($B793,FoodDB!$A$2:$I$1016,5,0)</f>
        <v>0</v>
      </c>
      <c r="G793" s="98">
        <f>$C793*VLOOKUP($B793,FoodDB!$A$2:$I$1016,6,0)</f>
        <v>0</v>
      </c>
      <c r="H793" s="98">
        <f>$C793*VLOOKUP($B793,FoodDB!$A$2:$I$1016,7,0)</f>
        <v>0</v>
      </c>
      <c r="I793" s="98">
        <f>$C793*VLOOKUP($B793,FoodDB!$A$2:$I$1016,8,0)</f>
        <v>0</v>
      </c>
      <c r="J793" s="98">
        <f>$C793*VLOOKUP($B793,FoodDB!$A$2:$I$1016,9,0)</f>
        <v>0</v>
      </c>
      <c r="K793" s="98"/>
      <c r="L793" s="98"/>
      <c r="M793" s="98"/>
      <c r="N793" s="98"/>
      <c r="O793" s="98"/>
      <c r="P793" s="98"/>
      <c r="Q793" s="98"/>
      <c r="R793" s="98"/>
      <c r="S793" s="98"/>
    </row>
    <row r="794" spans="1:19" x14ac:dyDescent="0.25">
      <c r="B794" s="94" t="s">
        <v>108</v>
      </c>
      <c r="C794" s="95">
        <v>1</v>
      </c>
      <c r="D794" s="98">
        <f>$C794*VLOOKUP($B794,FoodDB!$A$2:$I$1016,3,0)</f>
        <v>0</v>
      </c>
      <c r="E794" s="98">
        <f>$C794*VLOOKUP($B794,FoodDB!$A$2:$I$1016,4,0)</f>
        <v>0</v>
      </c>
      <c r="F794" s="98">
        <f>$C794*VLOOKUP($B794,FoodDB!$A$2:$I$1016,5,0)</f>
        <v>0</v>
      </c>
      <c r="G794" s="98">
        <f>$C794*VLOOKUP($B794,FoodDB!$A$2:$I$1016,6,0)</f>
        <v>0</v>
      </c>
      <c r="H794" s="98">
        <f>$C794*VLOOKUP($B794,FoodDB!$A$2:$I$1016,7,0)</f>
        <v>0</v>
      </c>
      <c r="I794" s="98">
        <f>$C794*VLOOKUP($B794,FoodDB!$A$2:$I$1016,8,0)</f>
        <v>0</v>
      </c>
      <c r="J794" s="98">
        <f>$C794*VLOOKUP($B794,FoodDB!$A$2:$I$1016,9,0)</f>
        <v>0</v>
      </c>
      <c r="K794" s="98"/>
      <c r="L794" s="98"/>
      <c r="M794" s="98"/>
      <c r="N794" s="98"/>
      <c r="O794" s="98"/>
      <c r="P794" s="98"/>
      <c r="Q794" s="98"/>
      <c r="R794" s="98"/>
      <c r="S794" s="98"/>
    </row>
    <row r="795" spans="1:19" x14ac:dyDescent="0.25">
      <c r="A795" t="s">
        <v>98</v>
      </c>
      <c r="D795" s="98"/>
      <c r="E795" s="98"/>
      <c r="F795" s="98"/>
      <c r="G795" s="98">
        <f>SUM(G788:G794)</f>
        <v>0</v>
      </c>
      <c r="H795" s="98">
        <f>SUM(H788:H794)</f>
        <v>0</v>
      </c>
      <c r="I795" s="98">
        <f>SUM(I788:I794)</f>
        <v>0</v>
      </c>
      <c r="J795" s="98">
        <f>SUM(G795:I795)</f>
        <v>0</v>
      </c>
      <c r="K795" s="98"/>
      <c r="L795" s="98"/>
      <c r="M795" s="98"/>
      <c r="N795" s="98"/>
      <c r="O795" s="98"/>
      <c r="P795" s="98"/>
      <c r="Q795" s="98"/>
      <c r="R795" s="98"/>
      <c r="S795" s="98"/>
    </row>
    <row r="796" spans="1:19" x14ac:dyDescent="0.25">
      <c r="A796" t="s">
        <v>102</v>
      </c>
      <c r="B796" t="s">
        <v>103</v>
      </c>
      <c r="D796" s="98"/>
      <c r="E796" s="98"/>
      <c r="F796" s="98"/>
      <c r="G796" s="98">
        <f>VLOOKUP($A788,LossChart!$A$3:$AB$105,14,0)</f>
        <v>728.3254886147547</v>
      </c>
      <c r="H796" s="98">
        <f>VLOOKUP($A788,LossChart!$A$3:$AB$105,15,0)</f>
        <v>80</v>
      </c>
      <c r="I796" s="98">
        <f>VLOOKUP($A788,LossChart!$A$3:$AB$105,16,0)</f>
        <v>477.30407413615825</v>
      </c>
      <c r="J796" s="98">
        <f>VLOOKUP($A788,LossChart!$A$3:$AB$105,17,0)</f>
        <v>1285.629562750913</v>
      </c>
      <c r="K796" s="98"/>
      <c r="L796" s="98"/>
      <c r="M796" s="98"/>
      <c r="N796" s="98"/>
      <c r="O796" s="98"/>
      <c r="P796" s="98"/>
      <c r="Q796" s="98"/>
      <c r="R796" s="98"/>
      <c r="S796" s="98"/>
    </row>
    <row r="797" spans="1:19" x14ac:dyDescent="0.25">
      <c r="A797" t="s">
        <v>104</v>
      </c>
      <c r="D797" s="98"/>
      <c r="E797" s="98"/>
      <c r="F797" s="98"/>
      <c r="G797" s="98">
        <f>G796-G795</f>
        <v>728.3254886147547</v>
      </c>
      <c r="H797" s="98">
        <f>H796-H795</f>
        <v>80</v>
      </c>
      <c r="I797" s="98">
        <f>I796-I795</f>
        <v>477.30407413615825</v>
      </c>
      <c r="J797" s="98">
        <f>J796-J795</f>
        <v>1285.629562750913</v>
      </c>
      <c r="K797" s="98"/>
      <c r="L797" s="98"/>
      <c r="M797" s="98"/>
      <c r="N797" s="98"/>
      <c r="O797" s="98"/>
      <c r="P797" s="98"/>
      <c r="Q797" s="98"/>
      <c r="R797" s="98"/>
      <c r="S797" s="98"/>
    </row>
    <row r="799" spans="1:19" ht="60" x14ac:dyDescent="0.25">
      <c r="A799" s="21" t="s">
        <v>63</v>
      </c>
      <c r="B799" s="21" t="s">
        <v>93</v>
      </c>
      <c r="C799" s="21" t="s">
        <v>94</v>
      </c>
      <c r="D799" s="92" t="str">
        <f>FoodDB!$C$1</f>
        <v>Fat
(g)</v>
      </c>
      <c r="E799" s="92" t="str">
        <f>FoodDB!$D$1</f>
        <v xml:space="preserve"> Carbs
(g)</v>
      </c>
      <c r="F799" s="92" t="str">
        <f>FoodDB!$E$1</f>
        <v>Protein
(g)</v>
      </c>
      <c r="G799" s="92" t="str">
        <f>FoodDB!$F$1</f>
        <v>Fat
(Cal)</v>
      </c>
      <c r="H799" s="92" t="str">
        <f>FoodDB!$G$1</f>
        <v>Carb
(Cal)</v>
      </c>
      <c r="I799" s="92" t="str">
        <f>FoodDB!$H$1</f>
        <v>Protein
(Cal)</v>
      </c>
      <c r="J799" s="92" t="str">
        <f>FoodDB!$I$1</f>
        <v>Total
Calories</v>
      </c>
      <c r="K799" s="92"/>
      <c r="L799" s="92" t="s">
        <v>110</v>
      </c>
      <c r="M799" s="92" t="s">
        <v>111</v>
      </c>
      <c r="N799" s="92" t="s">
        <v>112</v>
      </c>
      <c r="O799" s="92" t="s">
        <v>113</v>
      </c>
      <c r="P799" s="92" t="s">
        <v>118</v>
      </c>
      <c r="Q799" s="92" t="s">
        <v>119</v>
      </c>
      <c r="R799" s="92" t="s">
        <v>120</v>
      </c>
      <c r="S799" s="92" t="s">
        <v>121</v>
      </c>
    </row>
    <row r="800" spans="1:19" x14ac:dyDescent="0.25">
      <c r="A800" s="93">
        <f>A788+1</f>
        <v>43060</v>
      </c>
      <c r="B800" s="94" t="s">
        <v>108</v>
      </c>
      <c r="C800" s="95">
        <v>1</v>
      </c>
      <c r="D800" s="98">
        <f>$C800*VLOOKUP($B800,FoodDB!$A$2:$I$1016,3,0)</f>
        <v>0</v>
      </c>
      <c r="E800" s="98">
        <f>$C800*VLOOKUP($B800,FoodDB!$A$2:$I$1016,4,0)</f>
        <v>0</v>
      </c>
      <c r="F800" s="98">
        <f>$C800*VLOOKUP($B800,FoodDB!$A$2:$I$1016,5,0)</f>
        <v>0</v>
      </c>
      <c r="G800" s="98">
        <f>$C800*VLOOKUP($B800,FoodDB!$A$2:$I$1016,6,0)</f>
        <v>0</v>
      </c>
      <c r="H800" s="98">
        <f>$C800*VLOOKUP($B800,FoodDB!$A$2:$I$1016,7,0)</f>
        <v>0</v>
      </c>
      <c r="I800" s="98">
        <f>$C800*VLOOKUP($B800,FoodDB!$A$2:$I$1016,8,0)</f>
        <v>0</v>
      </c>
      <c r="J800" s="98">
        <f>$C800*VLOOKUP($B800,FoodDB!$A$2:$I$1016,9,0)</f>
        <v>0</v>
      </c>
      <c r="K800" s="98"/>
      <c r="L800" s="98">
        <f>SUM(G800:G806)</f>
        <v>0</v>
      </c>
      <c r="M800" s="98">
        <f>SUM(H800:H806)</f>
        <v>0</v>
      </c>
      <c r="N800" s="98">
        <f>SUM(I800:I806)</f>
        <v>0</v>
      </c>
      <c r="O800" s="98">
        <f>SUM(L800:N800)</f>
        <v>0</v>
      </c>
      <c r="P800" s="98">
        <f>VLOOKUP($A800,LossChart!$A$3:$AB$105,14,0)-L800</f>
        <v>733.37705321052408</v>
      </c>
      <c r="Q800" s="98">
        <f>VLOOKUP($A800,LossChart!$A$3:$AB$105,15,0)-M800</f>
        <v>80</v>
      </c>
      <c r="R800" s="98">
        <f>VLOOKUP($A800,LossChart!$A$3:$AB$105,16,0)-N800</f>
        <v>477.30407413615825</v>
      </c>
      <c r="S800" s="98">
        <f>VLOOKUP($A800,LossChart!$A$3:$AB$105,17,0)-O800</f>
        <v>1290.6811273466824</v>
      </c>
    </row>
    <row r="801" spans="1:19" x14ac:dyDescent="0.25">
      <c r="B801" s="94" t="s">
        <v>108</v>
      </c>
      <c r="C801" s="95">
        <v>1</v>
      </c>
      <c r="D801" s="98">
        <f>$C801*VLOOKUP($B801,FoodDB!$A$2:$I$1016,3,0)</f>
        <v>0</v>
      </c>
      <c r="E801" s="98">
        <f>$C801*VLOOKUP($B801,FoodDB!$A$2:$I$1016,4,0)</f>
        <v>0</v>
      </c>
      <c r="F801" s="98">
        <f>$C801*VLOOKUP($B801,FoodDB!$A$2:$I$1016,5,0)</f>
        <v>0</v>
      </c>
      <c r="G801" s="98">
        <f>$C801*VLOOKUP($B801,FoodDB!$A$2:$I$1016,6,0)</f>
        <v>0</v>
      </c>
      <c r="H801" s="98">
        <f>$C801*VLOOKUP($B801,FoodDB!$A$2:$I$1016,7,0)</f>
        <v>0</v>
      </c>
      <c r="I801" s="98">
        <f>$C801*VLOOKUP($B801,FoodDB!$A$2:$I$1016,8,0)</f>
        <v>0</v>
      </c>
      <c r="J801" s="98">
        <f>$C801*VLOOKUP($B801,FoodDB!$A$2:$I$1016,9,0)</f>
        <v>0</v>
      </c>
      <c r="K801" s="98"/>
      <c r="L801" s="98"/>
      <c r="M801" s="98"/>
      <c r="N801" s="98"/>
      <c r="O801" s="98"/>
      <c r="P801" s="98"/>
      <c r="Q801" s="98"/>
      <c r="R801" s="98"/>
      <c r="S801" s="98"/>
    </row>
    <row r="802" spans="1:19" x14ac:dyDescent="0.25">
      <c r="B802" s="94" t="s">
        <v>108</v>
      </c>
      <c r="C802" s="95">
        <v>1</v>
      </c>
      <c r="D802" s="98">
        <f>$C802*VLOOKUP($B802,FoodDB!$A$2:$I$1016,3,0)</f>
        <v>0</v>
      </c>
      <c r="E802" s="98">
        <f>$C802*VLOOKUP($B802,FoodDB!$A$2:$I$1016,4,0)</f>
        <v>0</v>
      </c>
      <c r="F802" s="98">
        <f>$C802*VLOOKUP($B802,FoodDB!$A$2:$I$1016,5,0)</f>
        <v>0</v>
      </c>
      <c r="G802" s="98">
        <f>$C802*VLOOKUP($B802,FoodDB!$A$2:$I$1016,6,0)</f>
        <v>0</v>
      </c>
      <c r="H802" s="98">
        <f>$C802*VLOOKUP($B802,FoodDB!$A$2:$I$1016,7,0)</f>
        <v>0</v>
      </c>
      <c r="I802" s="98">
        <f>$C802*VLOOKUP($B802,FoodDB!$A$2:$I$1016,8,0)</f>
        <v>0</v>
      </c>
      <c r="J802" s="98">
        <f>$C802*VLOOKUP($B802,FoodDB!$A$2:$I$1016,9,0)</f>
        <v>0</v>
      </c>
      <c r="K802" s="98"/>
      <c r="L802" s="98"/>
      <c r="M802" s="98"/>
      <c r="N802" s="98"/>
      <c r="O802" s="98"/>
      <c r="P802" s="98"/>
      <c r="Q802" s="98"/>
      <c r="R802" s="98"/>
      <c r="S802" s="98"/>
    </row>
    <row r="803" spans="1:19" x14ac:dyDescent="0.25">
      <c r="B803" s="94" t="s">
        <v>108</v>
      </c>
      <c r="C803" s="95">
        <v>1</v>
      </c>
      <c r="D803" s="98">
        <f>$C803*VLOOKUP($B803,FoodDB!$A$2:$I$1016,3,0)</f>
        <v>0</v>
      </c>
      <c r="E803" s="98">
        <f>$C803*VLOOKUP($B803,FoodDB!$A$2:$I$1016,4,0)</f>
        <v>0</v>
      </c>
      <c r="F803" s="98">
        <f>$C803*VLOOKUP($B803,FoodDB!$A$2:$I$1016,5,0)</f>
        <v>0</v>
      </c>
      <c r="G803" s="98">
        <f>$C803*VLOOKUP($B803,FoodDB!$A$2:$I$1016,6,0)</f>
        <v>0</v>
      </c>
      <c r="H803" s="98">
        <f>$C803*VLOOKUP($B803,FoodDB!$A$2:$I$1016,7,0)</f>
        <v>0</v>
      </c>
      <c r="I803" s="98">
        <f>$C803*VLOOKUP($B803,FoodDB!$A$2:$I$1016,8,0)</f>
        <v>0</v>
      </c>
      <c r="J803" s="98">
        <f>$C803*VLOOKUP($B803,FoodDB!$A$2:$I$1016,9,0)</f>
        <v>0</v>
      </c>
      <c r="K803" s="98"/>
      <c r="L803" s="98"/>
      <c r="M803" s="98"/>
      <c r="N803" s="98"/>
      <c r="O803" s="98"/>
      <c r="P803" s="98"/>
      <c r="Q803" s="98"/>
      <c r="R803" s="98"/>
      <c r="S803" s="98"/>
    </row>
    <row r="804" spans="1:19" x14ac:dyDescent="0.25">
      <c r="B804" s="94" t="s">
        <v>108</v>
      </c>
      <c r="C804" s="95">
        <v>1</v>
      </c>
      <c r="D804" s="98">
        <f>$C804*VLOOKUP($B804,FoodDB!$A$2:$I$1016,3,0)</f>
        <v>0</v>
      </c>
      <c r="E804" s="98">
        <f>$C804*VLOOKUP($B804,FoodDB!$A$2:$I$1016,4,0)</f>
        <v>0</v>
      </c>
      <c r="F804" s="98">
        <f>$C804*VLOOKUP($B804,FoodDB!$A$2:$I$1016,5,0)</f>
        <v>0</v>
      </c>
      <c r="G804" s="98">
        <f>$C804*VLOOKUP($B804,FoodDB!$A$2:$I$1016,6,0)</f>
        <v>0</v>
      </c>
      <c r="H804" s="98">
        <f>$C804*VLOOKUP($B804,FoodDB!$A$2:$I$1016,7,0)</f>
        <v>0</v>
      </c>
      <c r="I804" s="98">
        <f>$C804*VLOOKUP($B804,FoodDB!$A$2:$I$1016,8,0)</f>
        <v>0</v>
      </c>
      <c r="J804" s="98">
        <f>$C804*VLOOKUP($B804,FoodDB!$A$2:$I$1016,9,0)</f>
        <v>0</v>
      </c>
      <c r="K804" s="98"/>
      <c r="L804" s="98"/>
      <c r="M804" s="98"/>
      <c r="N804" s="98"/>
      <c r="O804" s="98"/>
      <c r="P804" s="98"/>
      <c r="Q804" s="98"/>
      <c r="R804" s="98"/>
      <c r="S804" s="98"/>
    </row>
    <row r="805" spans="1:19" x14ac:dyDescent="0.25">
      <c r="B805" s="94" t="s">
        <v>108</v>
      </c>
      <c r="C805" s="95">
        <v>1</v>
      </c>
      <c r="D805" s="98">
        <f>$C805*VLOOKUP($B805,FoodDB!$A$2:$I$1016,3,0)</f>
        <v>0</v>
      </c>
      <c r="E805" s="98">
        <f>$C805*VLOOKUP($B805,FoodDB!$A$2:$I$1016,4,0)</f>
        <v>0</v>
      </c>
      <c r="F805" s="98">
        <f>$C805*VLOOKUP($B805,FoodDB!$A$2:$I$1016,5,0)</f>
        <v>0</v>
      </c>
      <c r="G805" s="98">
        <f>$C805*VLOOKUP($B805,FoodDB!$A$2:$I$1016,6,0)</f>
        <v>0</v>
      </c>
      <c r="H805" s="98">
        <f>$C805*VLOOKUP($B805,FoodDB!$A$2:$I$1016,7,0)</f>
        <v>0</v>
      </c>
      <c r="I805" s="98">
        <f>$C805*VLOOKUP($B805,FoodDB!$A$2:$I$1016,8,0)</f>
        <v>0</v>
      </c>
      <c r="J805" s="98">
        <f>$C805*VLOOKUP($B805,FoodDB!$A$2:$I$1016,9,0)</f>
        <v>0</v>
      </c>
      <c r="K805" s="98"/>
      <c r="L805" s="98"/>
      <c r="M805" s="98"/>
      <c r="N805" s="98"/>
      <c r="O805" s="98"/>
      <c r="P805" s="98"/>
      <c r="Q805" s="98"/>
      <c r="R805" s="98"/>
      <c r="S805" s="98"/>
    </row>
    <row r="806" spans="1:19" x14ac:dyDescent="0.25">
      <c r="B806" s="94" t="s">
        <v>108</v>
      </c>
      <c r="C806" s="95">
        <v>1</v>
      </c>
      <c r="D806" s="98">
        <f>$C806*VLOOKUP($B806,FoodDB!$A$2:$I$1016,3,0)</f>
        <v>0</v>
      </c>
      <c r="E806" s="98">
        <f>$C806*VLOOKUP($B806,FoodDB!$A$2:$I$1016,4,0)</f>
        <v>0</v>
      </c>
      <c r="F806" s="98">
        <f>$C806*VLOOKUP($B806,FoodDB!$A$2:$I$1016,5,0)</f>
        <v>0</v>
      </c>
      <c r="G806" s="98">
        <f>$C806*VLOOKUP($B806,FoodDB!$A$2:$I$1016,6,0)</f>
        <v>0</v>
      </c>
      <c r="H806" s="98">
        <f>$C806*VLOOKUP($B806,FoodDB!$A$2:$I$1016,7,0)</f>
        <v>0</v>
      </c>
      <c r="I806" s="98">
        <f>$C806*VLOOKUP($B806,FoodDB!$A$2:$I$1016,8,0)</f>
        <v>0</v>
      </c>
      <c r="J806" s="98">
        <f>$C806*VLOOKUP($B806,FoodDB!$A$2:$I$1016,9,0)</f>
        <v>0</v>
      </c>
      <c r="K806" s="98"/>
      <c r="L806" s="98"/>
      <c r="M806" s="98"/>
      <c r="N806" s="98"/>
      <c r="O806" s="98"/>
      <c r="P806" s="98"/>
      <c r="Q806" s="98"/>
      <c r="R806" s="98"/>
      <c r="S806" s="98"/>
    </row>
    <row r="807" spans="1:19" x14ac:dyDescent="0.25">
      <c r="A807" t="s">
        <v>98</v>
      </c>
      <c r="D807" s="98"/>
      <c r="E807" s="98"/>
      <c r="F807" s="98"/>
      <c r="G807" s="98">
        <f>SUM(G800:G806)</f>
        <v>0</v>
      </c>
      <c r="H807" s="98">
        <f>SUM(H800:H806)</f>
        <v>0</v>
      </c>
      <c r="I807" s="98">
        <f>SUM(I800:I806)</f>
        <v>0</v>
      </c>
      <c r="J807" s="98">
        <f>SUM(G807:I807)</f>
        <v>0</v>
      </c>
      <c r="K807" s="98"/>
      <c r="L807" s="98"/>
      <c r="M807" s="98"/>
      <c r="N807" s="98"/>
      <c r="O807" s="98"/>
      <c r="P807" s="98"/>
      <c r="Q807" s="98"/>
      <c r="R807" s="98"/>
      <c r="S807" s="98"/>
    </row>
    <row r="808" spans="1:19" x14ac:dyDescent="0.25">
      <c r="A808" t="s">
        <v>102</v>
      </c>
      <c r="B808" t="s">
        <v>103</v>
      </c>
      <c r="D808" s="98"/>
      <c r="E808" s="98"/>
      <c r="F808" s="98"/>
      <c r="G808" s="98">
        <f>VLOOKUP($A800,LossChart!$A$3:$AB$105,14,0)</f>
        <v>733.37705321052408</v>
      </c>
      <c r="H808" s="98">
        <f>VLOOKUP($A800,LossChart!$A$3:$AB$105,15,0)</f>
        <v>80</v>
      </c>
      <c r="I808" s="98">
        <f>VLOOKUP($A800,LossChart!$A$3:$AB$105,16,0)</f>
        <v>477.30407413615825</v>
      </c>
      <c r="J808" s="98">
        <f>VLOOKUP($A800,LossChart!$A$3:$AB$105,17,0)</f>
        <v>1290.6811273466824</v>
      </c>
      <c r="K808" s="98"/>
      <c r="L808" s="98"/>
      <c r="M808" s="98"/>
      <c r="N808" s="98"/>
      <c r="O808" s="98"/>
      <c r="P808" s="98"/>
      <c r="Q808" s="98"/>
      <c r="R808" s="98"/>
      <c r="S808" s="98"/>
    </row>
    <row r="809" spans="1:19" x14ac:dyDescent="0.25">
      <c r="A809" t="s">
        <v>104</v>
      </c>
      <c r="D809" s="98"/>
      <c r="E809" s="98"/>
      <c r="F809" s="98"/>
      <c r="G809" s="98">
        <f>G808-G807</f>
        <v>733.37705321052408</v>
      </c>
      <c r="H809" s="98">
        <f>H808-H807</f>
        <v>80</v>
      </c>
      <c r="I809" s="98">
        <f>I808-I807</f>
        <v>477.30407413615825</v>
      </c>
      <c r="J809" s="98">
        <f>J808-J807</f>
        <v>1290.6811273466824</v>
      </c>
      <c r="K809" s="98"/>
      <c r="L809" s="98"/>
      <c r="M809" s="98"/>
      <c r="N809" s="98"/>
      <c r="O809" s="98"/>
      <c r="P809" s="98"/>
      <c r="Q809" s="98"/>
      <c r="R809" s="98"/>
      <c r="S809" s="98"/>
    </row>
    <row r="811" spans="1:19" ht="60" x14ac:dyDescent="0.25">
      <c r="A811" s="21" t="s">
        <v>63</v>
      </c>
      <c r="B811" s="21" t="s">
        <v>93</v>
      </c>
      <c r="C811" s="21" t="s">
        <v>94</v>
      </c>
      <c r="D811" s="92" t="str">
        <f>FoodDB!$C$1</f>
        <v>Fat
(g)</v>
      </c>
      <c r="E811" s="92" t="str">
        <f>FoodDB!$D$1</f>
        <v xml:space="preserve"> Carbs
(g)</v>
      </c>
      <c r="F811" s="92" t="str">
        <f>FoodDB!$E$1</f>
        <v>Protein
(g)</v>
      </c>
      <c r="G811" s="92" t="str">
        <f>FoodDB!$F$1</f>
        <v>Fat
(Cal)</v>
      </c>
      <c r="H811" s="92" t="str">
        <f>FoodDB!$G$1</f>
        <v>Carb
(Cal)</v>
      </c>
      <c r="I811" s="92" t="str">
        <f>FoodDB!$H$1</f>
        <v>Protein
(Cal)</v>
      </c>
      <c r="J811" s="92" t="str">
        <f>FoodDB!$I$1</f>
        <v>Total
Calories</v>
      </c>
      <c r="K811" s="92"/>
      <c r="L811" s="92" t="s">
        <v>110</v>
      </c>
      <c r="M811" s="92" t="s">
        <v>111</v>
      </c>
      <c r="N811" s="92" t="s">
        <v>112</v>
      </c>
      <c r="O811" s="92" t="s">
        <v>113</v>
      </c>
      <c r="P811" s="92" t="s">
        <v>118</v>
      </c>
      <c r="Q811" s="92" t="s">
        <v>119</v>
      </c>
      <c r="R811" s="92" t="s">
        <v>120</v>
      </c>
      <c r="S811" s="92" t="s">
        <v>121</v>
      </c>
    </row>
    <row r="812" spans="1:19" x14ac:dyDescent="0.25">
      <c r="A812" s="93">
        <f>A800+1</f>
        <v>43061</v>
      </c>
      <c r="B812" s="94" t="s">
        <v>108</v>
      </c>
      <c r="C812" s="95">
        <v>1</v>
      </c>
      <c r="D812" s="98">
        <f>$C812*VLOOKUP($B812,FoodDB!$A$2:$I$1016,3,0)</f>
        <v>0</v>
      </c>
      <c r="E812" s="98">
        <f>$C812*VLOOKUP($B812,FoodDB!$A$2:$I$1016,4,0)</f>
        <v>0</v>
      </c>
      <c r="F812" s="98">
        <f>$C812*VLOOKUP($B812,FoodDB!$A$2:$I$1016,5,0)</f>
        <v>0</v>
      </c>
      <c r="G812" s="98">
        <f>$C812*VLOOKUP($B812,FoodDB!$A$2:$I$1016,6,0)</f>
        <v>0</v>
      </c>
      <c r="H812" s="98">
        <f>$C812*VLOOKUP($B812,FoodDB!$A$2:$I$1016,7,0)</f>
        <v>0</v>
      </c>
      <c r="I812" s="98">
        <f>$C812*VLOOKUP($B812,FoodDB!$A$2:$I$1016,8,0)</f>
        <v>0</v>
      </c>
      <c r="J812" s="98">
        <f>$C812*VLOOKUP($B812,FoodDB!$A$2:$I$1016,9,0)</f>
        <v>0</v>
      </c>
      <c r="K812" s="98"/>
      <c r="L812" s="98">
        <f>SUM(G812:G818)</f>
        <v>0</v>
      </c>
      <c r="M812" s="98">
        <f>SUM(H812:H818)</f>
        <v>0</v>
      </c>
      <c r="N812" s="98">
        <f>SUM(I812:I818)</f>
        <v>0</v>
      </c>
      <c r="O812" s="98">
        <f>SUM(L812:N812)</f>
        <v>0</v>
      </c>
      <c r="P812" s="98">
        <f>VLOOKUP($A812,LossChart!$A$3:$AB$105,14,0)-L812</f>
        <v>738.38387537701647</v>
      </c>
      <c r="Q812" s="98">
        <f>VLOOKUP($A812,LossChart!$A$3:$AB$105,15,0)-M812</f>
        <v>80</v>
      </c>
      <c r="R812" s="98">
        <f>VLOOKUP($A812,LossChart!$A$3:$AB$105,16,0)-N812</f>
        <v>477.30407413615825</v>
      </c>
      <c r="S812" s="98">
        <f>VLOOKUP($A812,LossChart!$A$3:$AB$105,17,0)-O812</f>
        <v>1295.6879495131748</v>
      </c>
    </row>
    <row r="813" spans="1:19" x14ac:dyDescent="0.25">
      <c r="B813" s="94" t="s">
        <v>108</v>
      </c>
      <c r="C813" s="95">
        <v>1</v>
      </c>
      <c r="D813" s="98">
        <f>$C813*VLOOKUP($B813,FoodDB!$A$2:$I$1016,3,0)</f>
        <v>0</v>
      </c>
      <c r="E813" s="98">
        <f>$C813*VLOOKUP($B813,FoodDB!$A$2:$I$1016,4,0)</f>
        <v>0</v>
      </c>
      <c r="F813" s="98">
        <f>$C813*VLOOKUP($B813,FoodDB!$A$2:$I$1016,5,0)</f>
        <v>0</v>
      </c>
      <c r="G813" s="98">
        <f>$C813*VLOOKUP($B813,FoodDB!$A$2:$I$1016,6,0)</f>
        <v>0</v>
      </c>
      <c r="H813" s="98">
        <f>$C813*VLOOKUP($B813,FoodDB!$A$2:$I$1016,7,0)</f>
        <v>0</v>
      </c>
      <c r="I813" s="98">
        <f>$C813*VLOOKUP($B813,FoodDB!$A$2:$I$1016,8,0)</f>
        <v>0</v>
      </c>
      <c r="J813" s="98">
        <f>$C813*VLOOKUP($B813,FoodDB!$A$2:$I$1016,9,0)</f>
        <v>0</v>
      </c>
      <c r="K813" s="98"/>
      <c r="L813" s="98"/>
      <c r="M813" s="98"/>
      <c r="N813" s="98"/>
      <c r="O813" s="98"/>
      <c r="P813" s="98"/>
      <c r="Q813" s="98"/>
      <c r="R813" s="98"/>
      <c r="S813" s="98"/>
    </row>
    <row r="814" spans="1:19" x14ac:dyDescent="0.25">
      <c r="B814" s="94" t="s">
        <v>108</v>
      </c>
      <c r="C814" s="95">
        <v>1</v>
      </c>
      <c r="D814" s="98">
        <f>$C814*VLOOKUP($B814,FoodDB!$A$2:$I$1016,3,0)</f>
        <v>0</v>
      </c>
      <c r="E814" s="98">
        <f>$C814*VLOOKUP($B814,FoodDB!$A$2:$I$1016,4,0)</f>
        <v>0</v>
      </c>
      <c r="F814" s="98">
        <f>$C814*VLOOKUP($B814,FoodDB!$A$2:$I$1016,5,0)</f>
        <v>0</v>
      </c>
      <c r="G814" s="98">
        <f>$C814*VLOOKUP($B814,FoodDB!$A$2:$I$1016,6,0)</f>
        <v>0</v>
      </c>
      <c r="H814" s="98">
        <f>$C814*VLOOKUP($B814,FoodDB!$A$2:$I$1016,7,0)</f>
        <v>0</v>
      </c>
      <c r="I814" s="98">
        <f>$C814*VLOOKUP($B814,FoodDB!$A$2:$I$1016,8,0)</f>
        <v>0</v>
      </c>
      <c r="J814" s="98">
        <f>$C814*VLOOKUP($B814,FoodDB!$A$2:$I$1016,9,0)</f>
        <v>0</v>
      </c>
      <c r="K814" s="98"/>
      <c r="L814" s="98"/>
      <c r="M814" s="98"/>
      <c r="N814" s="98"/>
      <c r="O814" s="98"/>
      <c r="P814" s="98"/>
      <c r="Q814" s="98"/>
      <c r="R814" s="98"/>
      <c r="S814" s="98"/>
    </row>
    <row r="815" spans="1:19" x14ac:dyDescent="0.25">
      <c r="B815" s="94" t="s">
        <v>108</v>
      </c>
      <c r="C815" s="95">
        <v>1</v>
      </c>
      <c r="D815" s="98">
        <f>$C815*VLOOKUP($B815,FoodDB!$A$2:$I$1016,3,0)</f>
        <v>0</v>
      </c>
      <c r="E815" s="98">
        <f>$C815*VLOOKUP($B815,FoodDB!$A$2:$I$1016,4,0)</f>
        <v>0</v>
      </c>
      <c r="F815" s="98">
        <f>$C815*VLOOKUP($B815,FoodDB!$A$2:$I$1016,5,0)</f>
        <v>0</v>
      </c>
      <c r="G815" s="98">
        <f>$C815*VLOOKUP($B815,FoodDB!$A$2:$I$1016,6,0)</f>
        <v>0</v>
      </c>
      <c r="H815" s="98">
        <f>$C815*VLOOKUP($B815,FoodDB!$A$2:$I$1016,7,0)</f>
        <v>0</v>
      </c>
      <c r="I815" s="98">
        <f>$C815*VLOOKUP($B815,FoodDB!$A$2:$I$1016,8,0)</f>
        <v>0</v>
      </c>
      <c r="J815" s="98">
        <f>$C815*VLOOKUP($B815,FoodDB!$A$2:$I$1016,9,0)</f>
        <v>0</v>
      </c>
      <c r="K815" s="98"/>
      <c r="L815" s="98"/>
      <c r="M815" s="98"/>
      <c r="N815" s="98"/>
      <c r="O815" s="98"/>
      <c r="P815" s="98"/>
      <c r="Q815" s="98"/>
      <c r="R815" s="98"/>
      <c r="S815" s="98"/>
    </row>
    <row r="816" spans="1:19" x14ac:dyDescent="0.25">
      <c r="B816" s="94" t="s">
        <v>108</v>
      </c>
      <c r="C816" s="95">
        <v>1</v>
      </c>
      <c r="D816" s="98">
        <f>$C816*VLOOKUP($B816,FoodDB!$A$2:$I$1016,3,0)</f>
        <v>0</v>
      </c>
      <c r="E816" s="98">
        <f>$C816*VLOOKUP($B816,FoodDB!$A$2:$I$1016,4,0)</f>
        <v>0</v>
      </c>
      <c r="F816" s="98">
        <f>$C816*VLOOKUP($B816,FoodDB!$A$2:$I$1016,5,0)</f>
        <v>0</v>
      </c>
      <c r="G816" s="98">
        <f>$C816*VLOOKUP($B816,FoodDB!$A$2:$I$1016,6,0)</f>
        <v>0</v>
      </c>
      <c r="H816" s="98">
        <f>$C816*VLOOKUP($B816,FoodDB!$A$2:$I$1016,7,0)</f>
        <v>0</v>
      </c>
      <c r="I816" s="98">
        <f>$C816*VLOOKUP($B816,FoodDB!$A$2:$I$1016,8,0)</f>
        <v>0</v>
      </c>
      <c r="J816" s="98">
        <f>$C816*VLOOKUP($B816,FoodDB!$A$2:$I$1016,9,0)</f>
        <v>0</v>
      </c>
      <c r="K816" s="98"/>
      <c r="L816" s="98"/>
      <c r="M816" s="98"/>
      <c r="N816" s="98"/>
      <c r="O816" s="98"/>
      <c r="P816" s="98"/>
      <c r="Q816" s="98"/>
      <c r="R816" s="98"/>
      <c r="S816" s="98"/>
    </row>
    <row r="817" spans="1:19" x14ac:dyDescent="0.25">
      <c r="B817" s="94" t="s">
        <v>108</v>
      </c>
      <c r="C817" s="95">
        <v>1</v>
      </c>
      <c r="D817" s="98">
        <f>$C817*VLOOKUP($B817,FoodDB!$A$2:$I$1016,3,0)</f>
        <v>0</v>
      </c>
      <c r="E817" s="98">
        <f>$C817*VLOOKUP($B817,FoodDB!$A$2:$I$1016,4,0)</f>
        <v>0</v>
      </c>
      <c r="F817" s="98">
        <f>$C817*VLOOKUP($B817,FoodDB!$A$2:$I$1016,5,0)</f>
        <v>0</v>
      </c>
      <c r="G817" s="98">
        <f>$C817*VLOOKUP($B817,FoodDB!$A$2:$I$1016,6,0)</f>
        <v>0</v>
      </c>
      <c r="H817" s="98">
        <f>$C817*VLOOKUP($B817,FoodDB!$A$2:$I$1016,7,0)</f>
        <v>0</v>
      </c>
      <c r="I817" s="98">
        <f>$C817*VLOOKUP($B817,FoodDB!$A$2:$I$1016,8,0)</f>
        <v>0</v>
      </c>
      <c r="J817" s="98">
        <f>$C817*VLOOKUP($B817,FoodDB!$A$2:$I$1016,9,0)</f>
        <v>0</v>
      </c>
      <c r="K817" s="98"/>
      <c r="L817" s="98"/>
      <c r="M817" s="98"/>
      <c r="N817" s="98"/>
      <c r="O817" s="98"/>
      <c r="P817" s="98"/>
      <c r="Q817" s="98"/>
      <c r="R817" s="98"/>
      <c r="S817" s="98"/>
    </row>
    <row r="818" spans="1:19" x14ac:dyDescent="0.25">
      <c r="B818" s="94" t="s">
        <v>108</v>
      </c>
      <c r="C818" s="95">
        <v>1</v>
      </c>
      <c r="D818" s="98">
        <f>$C818*VLOOKUP($B818,FoodDB!$A$2:$I$1016,3,0)</f>
        <v>0</v>
      </c>
      <c r="E818" s="98">
        <f>$C818*VLOOKUP($B818,FoodDB!$A$2:$I$1016,4,0)</f>
        <v>0</v>
      </c>
      <c r="F818" s="98">
        <f>$C818*VLOOKUP($B818,FoodDB!$A$2:$I$1016,5,0)</f>
        <v>0</v>
      </c>
      <c r="G818" s="98">
        <f>$C818*VLOOKUP($B818,FoodDB!$A$2:$I$1016,6,0)</f>
        <v>0</v>
      </c>
      <c r="H818" s="98">
        <f>$C818*VLOOKUP($B818,FoodDB!$A$2:$I$1016,7,0)</f>
        <v>0</v>
      </c>
      <c r="I818" s="98">
        <f>$C818*VLOOKUP($B818,FoodDB!$A$2:$I$1016,8,0)</f>
        <v>0</v>
      </c>
      <c r="J818" s="98">
        <f>$C818*VLOOKUP($B818,FoodDB!$A$2:$I$1016,9,0)</f>
        <v>0</v>
      </c>
      <c r="K818" s="98"/>
      <c r="L818" s="98"/>
      <c r="M818" s="98"/>
      <c r="N818" s="98"/>
      <c r="O818" s="98"/>
      <c r="P818" s="98"/>
      <c r="Q818" s="98"/>
      <c r="R818" s="98"/>
      <c r="S818" s="98"/>
    </row>
    <row r="819" spans="1:19" x14ac:dyDescent="0.25">
      <c r="A819" t="s">
        <v>98</v>
      </c>
      <c r="D819" s="98"/>
      <c r="E819" s="98"/>
      <c r="F819" s="98"/>
      <c r="G819" s="98">
        <f>SUM(G812:G818)</f>
        <v>0</v>
      </c>
      <c r="H819" s="98">
        <f>SUM(H812:H818)</f>
        <v>0</v>
      </c>
      <c r="I819" s="98">
        <f>SUM(I812:I818)</f>
        <v>0</v>
      </c>
      <c r="J819" s="98">
        <f>SUM(G819:I819)</f>
        <v>0</v>
      </c>
      <c r="K819" s="98"/>
      <c r="L819" s="98"/>
      <c r="M819" s="98"/>
      <c r="N819" s="98"/>
      <c r="O819" s="98"/>
      <c r="P819" s="98"/>
      <c r="Q819" s="98"/>
      <c r="R819" s="98"/>
      <c r="S819" s="98"/>
    </row>
    <row r="820" spans="1:19" x14ac:dyDescent="0.25">
      <c r="A820" t="s">
        <v>102</v>
      </c>
      <c r="B820" t="s">
        <v>103</v>
      </c>
      <c r="D820" s="98"/>
      <c r="E820" s="98"/>
      <c r="F820" s="98"/>
      <c r="G820" s="98">
        <f>VLOOKUP($A812,LossChart!$A$3:$AB$105,14,0)</f>
        <v>738.38387537701647</v>
      </c>
      <c r="H820" s="98">
        <f>VLOOKUP($A812,LossChart!$A$3:$AB$105,15,0)</f>
        <v>80</v>
      </c>
      <c r="I820" s="98">
        <f>VLOOKUP($A812,LossChart!$A$3:$AB$105,16,0)</f>
        <v>477.30407413615825</v>
      </c>
      <c r="J820" s="98">
        <f>VLOOKUP($A812,LossChart!$A$3:$AB$105,17,0)</f>
        <v>1295.6879495131748</v>
      </c>
      <c r="K820" s="98"/>
      <c r="L820" s="98"/>
      <c r="M820" s="98"/>
      <c r="N820" s="98"/>
      <c r="O820" s="98"/>
      <c r="P820" s="98"/>
      <c r="Q820" s="98"/>
      <c r="R820" s="98"/>
      <c r="S820" s="98"/>
    </row>
    <row r="821" spans="1:19" x14ac:dyDescent="0.25">
      <c r="A821" t="s">
        <v>104</v>
      </c>
      <c r="D821" s="98"/>
      <c r="E821" s="98"/>
      <c r="F821" s="98"/>
      <c r="G821" s="98">
        <f>G820-G819</f>
        <v>738.38387537701647</v>
      </c>
      <c r="H821" s="98">
        <f>H820-H819</f>
        <v>80</v>
      </c>
      <c r="I821" s="98">
        <f>I820-I819</f>
        <v>477.30407413615825</v>
      </c>
      <c r="J821" s="98">
        <f>J820-J819</f>
        <v>1295.6879495131748</v>
      </c>
      <c r="K821" s="98"/>
      <c r="L821" s="98"/>
      <c r="M821" s="98"/>
      <c r="N821" s="98"/>
      <c r="O821" s="98"/>
      <c r="P821" s="98"/>
      <c r="Q821" s="98"/>
      <c r="R821" s="98"/>
      <c r="S821" s="98"/>
    </row>
    <row r="823" spans="1:19" ht="60" x14ac:dyDescent="0.25">
      <c r="A823" s="21" t="s">
        <v>63</v>
      </c>
      <c r="B823" s="21" t="s">
        <v>93</v>
      </c>
      <c r="C823" s="21" t="s">
        <v>94</v>
      </c>
      <c r="D823" s="92" t="str">
        <f>FoodDB!$C$1</f>
        <v>Fat
(g)</v>
      </c>
      <c r="E823" s="92" t="str">
        <f>FoodDB!$D$1</f>
        <v xml:space="preserve"> Carbs
(g)</v>
      </c>
      <c r="F823" s="92" t="str">
        <f>FoodDB!$E$1</f>
        <v>Protein
(g)</v>
      </c>
      <c r="G823" s="92" t="str">
        <f>FoodDB!$F$1</f>
        <v>Fat
(Cal)</v>
      </c>
      <c r="H823" s="92" t="str">
        <f>FoodDB!$G$1</f>
        <v>Carb
(Cal)</v>
      </c>
      <c r="I823" s="92" t="str">
        <f>FoodDB!$H$1</f>
        <v>Protein
(Cal)</v>
      </c>
      <c r="J823" s="92" t="str">
        <f>FoodDB!$I$1</f>
        <v>Total
Calories</v>
      </c>
      <c r="K823" s="92"/>
      <c r="L823" s="92" t="s">
        <v>110</v>
      </c>
      <c r="M823" s="92" t="s">
        <v>111</v>
      </c>
      <c r="N823" s="92" t="s">
        <v>112</v>
      </c>
      <c r="O823" s="92" t="s">
        <v>113</v>
      </c>
      <c r="P823" s="92" t="s">
        <v>118</v>
      </c>
      <c r="Q823" s="92" t="s">
        <v>119</v>
      </c>
      <c r="R823" s="92" t="s">
        <v>120</v>
      </c>
      <c r="S823" s="92" t="s">
        <v>121</v>
      </c>
    </row>
    <row r="824" spans="1:19" x14ac:dyDescent="0.25">
      <c r="A824" s="93">
        <f>A812+1</f>
        <v>43062</v>
      </c>
      <c r="B824" s="94" t="s">
        <v>108</v>
      </c>
      <c r="C824" s="95">
        <v>1</v>
      </c>
      <c r="D824" s="98">
        <f>$C824*VLOOKUP($B824,FoodDB!$A$2:$I$1016,3,0)</f>
        <v>0</v>
      </c>
      <c r="E824" s="98">
        <f>$C824*VLOOKUP($B824,FoodDB!$A$2:$I$1016,4,0)</f>
        <v>0</v>
      </c>
      <c r="F824" s="98">
        <f>$C824*VLOOKUP($B824,FoodDB!$A$2:$I$1016,5,0)</f>
        <v>0</v>
      </c>
      <c r="G824" s="98">
        <f>$C824*VLOOKUP($B824,FoodDB!$A$2:$I$1016,6,0)</f>
        <v>0</v>
      </c>
      <c r="H824" s="98">
        <f>$C824*VLOOKUP($B824,FoodDB!$A$2:$I$1016,7,0)</f>
        <v>0</v>
      </c>
      <c r="I824" s="98">
        <f>$C824*VLOOKUP($B824,FoodDB!$A$2:$I$1016,8,0)</f>
        <v>0</v>
      </c>
      <c r="J824" s="98">
        <f>$C824*VLOOKUP($B824,FoodDB!$A$2:$I$1016,9,0)</f>
        <v>0</v>
      </c>
      <c r="K824" s="98"/>
      <c r="L824" s="98">
        <f>SUM(G824:G830)</f>
        <v>0</v>
      </c>
      <c r="M824" s="98">
        <f>SUM(H824:H830)</f>
        <v>0</v>
      </c>
      <c r="N824" s="98">
        <f>SUM(I824:I830)</f>
        <v>0</v>
      </c>
      <c r="O824" s="98">
        <f>SUM(L824:N824)</f>
        <v>0</v>
      </c>
      <c r="P824" s="98">
        <f>VLOOKUP($A824,LossChart!$A$3:$AB$105,14,0)-L824</f>
        <v>743.34635140431988</v>
      </c>
      <c r="Q824" s="98">
        <f>VLOOKUP($A824,LossChart!$A$3:$AB$105,15,0)-M824</f>
        <v>80</v>
      </c>
      <c r="R824" s="98">
        <f>VLOOKUP($A824,LossChart!$A$3:$AB$105,16,0)-N824</f>
        <v>477.30407413615825</v>
      </c>
      <c r="S824" s="98">
        <f>VLOOKUP($A824,LossChart!$A$3:$AB$105,17,0)-O824</f>
        <v>1300.6504255404782</v>
      </c>
    </row>
    <row r="825" spans="1:19" x14ac:dyDescent="0.25">
      <c r="B825" s="94" t="s">
        <v>108</v>
      </c>
      <c r="C825" s="95">
        <v>1</v>
      </c>
      <c r="D825" s="98">
        <f>$C825*VLOOKUP($B825,FoodDB!$A$2:$I$1016,3,0)</f>
        <v>0</v>
      </c>
      <c r="E825" s="98">
        <f>$C825*VLOOKUP($B825,FoodDB!$A$2:$I$1016,4,0)</f>
        <v>0</v>
      </c>
      <c r="F825" s="98">
        <f>$C825*VLOOKUP($B825,FoodDB!$A$2:$I$1016,5,0)</f>
        <v>0</v>
      </c>
      <c r="G825" s="98">
        <f>$C825*VLOOKUP($B825,FoodDB!$A$2:$I$1016,6,0)</f>
        <v>0</v>
      </c>
      <c r="H825" s="98">
        <f>$C825*VLOOKUP($B825,FoodDB!$A$2:$I$1016,7,0)</f>
        <v>0</v>
      </c>
      <c r="I825" s="98">
        <f>$C825*VLOOKUP($B825,FoodDB!$A$2:$I$1016,8,0)</f>
        <v>0</v>
      </c>
      <c r="J825" s="98">
        <f>$C825*VLOOKUP($B825,FoodDB!$A$2:$I$1016,9,0)</f>
        <v>0</v>
      </c>
      <c r="K825" s="98"/>
      <c r="L825" s="98"/>
      <c r="M825" s="98"/>
      <c r="N825" s="98"/>
      <c r="O825" s="98"/>
      <c r="P825" s="98"/>
      <c r="Q825" s="98"/>
      <c r="R825" s="98"/>
      <c r="S825" s="98"/>
    </row>
    <row r="826" spans="1:19" x14ac:dyDescent="0.25">
      <c r="B826" s="94" t="s">
        <v>108</v>
      </c>
      <c r="C826" s="95">
        <v>1</v>
      </c>
      <c r="D826" s="98">
        <f>$C826*VLOOKUP($B826,FoodDB!$A$2:$I$1016,3,0)</f>
        <v>0</v>
      </c>
      <c r="E826" s="98">
        <f>$C826*VLOOKUP($B826,FoodDB!$A$2:$I$1016,4,0)</f>
        <v>0</v>
      </c>
      <c r="F826" s="98">
        <f>$C826*VLOOKUP($B826,FoodDB!$A$2:$I$1016,5,0)</f>
        <v>0</v>
      </c>
      <c r="G826" s="98">
        <f>$C826*VLOOKUP($B826,FoodDB!$A$2:$I$1016,6,0)</f>
        <v>0</v>
      </c>
      <c r="H826" s="98">
        <f>$C826*VLOOKUP($B826,FoodDB!$A$2:$I$1016,7,0)</f>
        <v>0</v>
      </c>
      <c r="I826" s="98">
        <f>$C826*VLOOKUP($B826,FoodDB!$A$2:$I$1016,8,0)</f>
        <v>0</v>
      </c>
      <c r="J826" s="98">
        <f>$C826*VLOOKUP($B826,FoodDB!$A$2:$I$1016,9,0)</f>
        <v>0</v>
      </c>
      <c r="K826" s="98"/>
      <c r="L826" s="98"/>
      <c r="M826" s="98"/>
      <c r="N826" s="98"/>
      <c r="O826" s="98"/>
      <c r="P826" s="98"/>
      <c r="Q826" s="98"/>
      <c r="R826" s="98"/>
      <c r="S826" s="98"/>
    </row>
    <row r="827" spans="1:19" x14ac:dyDescent="0.25">
      <c r="B827" s="94" t="s">
        <v>108</v>
      </c>
      <c r="C827" s="95">
        <v>1</v>
      </c>
      <c r="D827" s="98">
        <f>$C827*VLOOKUP($B827,FoodDB!$A$2:$I$1016,3,0)</f>
        <v>0</v>
      </c>
      <c r="E827" s="98">
        <f>$C827*VLOOKUP($B827,FoodDB!$A$2:$I$1016,4,0)</f>
        <v>0</v>
      </c>
      <c r="F827" s="98">
        <f>$C827*VLOOKUP($B827,FoodDB!$A$2:$I$1016,5,0)</f>
        <v>0</v>
      </c>
      <c r="G827" s="98">
        <f>$C827*VLOOKUP($B827,FoodDB!$A$2:$I$1016,6,0)</f>
        <v>0</v>
      </c>
      <c r="H827" s="98">
        <f>$C827*VLOOKUP($B827,FoodDB!$A$2:$I$1016,7,0)</f>
        <v>0</v>
      </c>
      <c r="I827" s="98">
        <f>$C827*VLOOKUP($B827,FoodDB!$A$2:$I$1016,8,0)</f>
        <v>0</v>
      </c>
      <c r="J827" s="98">
        <f>$C827*VLOOKUP($B827,FoodDB!$A$2:$I$1016,9,0)</f>
        <v>0</v>
      </c>
      <c r="K827" s="98"/>
      <c r="L827" s="98"/>
      <c r="M827" s="98"/>
      <c r="N827" s="98"/>
      <c r="O827" s="98"/>
      <c r="P827" s="98"/>
      <c r="Q827" s="98"/>
      <c r="R827" s="98"/>
      <c r="S827" s="98"/>
    </row>
    <row r="828" spans="1:19" x14ac:dyDescent="0.25">
      <c r="B828" s="94" t="s">
        <v>108</v>
      </c>
      <c r="C828" s="95">
        <v>1</v>
      </c>
      <c r="D828" s="98">
        <f>$C828*VLOOKUP($B828,FoodDB!$A$2:$I$1016,3,0)</f>
        <v>0</v>
      </c>
      <c r="E828" s="98">
        <f>$C828*VLOOKUP($B828,FoodDB!$A$2:$I$1016,4,0)</f>
        <v>0</v>
      </c>
      <c r="F828" s="98">
        <f>$C828*VLOOKUP($B828,FoodDB!$A$2:$I$1016,5,0)</f>
        <v>0</v>
      </c>
      <c r="G828" s="98">
        <f>$C828*VLOOKUP($B828,FoodDB!$A$2:$I$1016,6,0)</f>
        <v>0</v>
      </c>
      <c r="H828" s="98">
        <f>$C828*VLOOKUP($B828,FoodDB!$A$2:$I$1016,7,0)</f>
        <v>0</v>
      </c>
      <c r="I828" s="98">
        <f>$C828*VLOOKUP($B828,FoodDB!$A$2:$I$1016,8,0)</f>
        <v>0</v>
      </c>
      <c r="J828" s="98">
        <f>$C828*VLOOKUP($B828,FoodDB!$A$2:$I$1016,9,0)</f>
        <v>0</v>
      </c>
      <c r="K828" s="98"/>
      <c r="L828" s="98"/>
      <c r="M828" s="98"/>
      <c r="N828" s="98"/>
      <c r="O828" s="98"/>
      <c r="P828" s="98"/>
      <c r="Q828" s="98"/>
      <c r="R828" s="98"/>
      <c r="S828" s="98"/>
    </row>
    <row r="829" spans="1:19" x14ac:dyDescent="0.25">
      <c r="B829" s="94" t="s">
        <v>108</v>
      </c>
      <c r="C829" s="95">
        <v>1</v>
      </c>
      <c r="D829" s="98">
        <f>$C829*VLOOKUP($B829,FoodDB!$A$2:$I$1016,3,0)</f>
        <v>0</v>
      </c>
      <c r="E829" s="98">
        <f>$C829*VLOOKUP($B829,FoodDB!$A$2:$I$1016,4,0)</f>
        <v>0</v>
      </c>
      <c r="F829" s="98">
        <f>$C829*VLOOKUP($B829,FoodDB!$A$2:$I$1016,5,0)</f>
        <v>0</v>
      </c>
      <c r="G829" s="98">
        <f>$C829*VLOOKUP($B829,FoodDB!$A$2:$I$1016,6,0)</f>
        <v>0</v>
      </c>
      <c r="H829" s="98">
        <f>$C829*VLOOKUP($B829,FoodDB!$A$2:$I$1016,7,0)</f>
        <v>0</v>
      </c>
      <c r="I829" s="98">
        <f>$C829*VLOOKUP($B829,FoodDB!$A$2:$I$1016,8,0)</f>
        <v>0</v>
      </c>
      <c r="J829" s="98">
        <f>$C829*VLOOKUP($B829,FoodDB!$A$2:$I$1016,9,0)</f>
        <v>0</v>
      </c>
      <c r="K829" s="98"/>
      <c r="L829" s="98"/>
      <c r="M829" s="98"/>
      <c r="N829" s="98"/>
      <c r="O829" s="98"/>
      <c r="P829" s="98"/>
      <c r="Q829" s="98"/>
      <c r="R829" s="98"/>
      <c r="S829" s="98"/>
    </row>
    <row r="830" spans="1:19" x14ac:dyDescent="0.25">
      <c r="B830" s="94" t="s">
        <v>108</v>
      </c>
      <c r="C830" s="95">
        <v>1</v>
      </c>
      <c r="D830" s="98">
        <f>$C830*VLOOKUP($B830,FoodDB!$A$2:$I$1016,3,0)</f>
        <v>0</v>
      </c>
      <c r="E830" s="98">
        <f>$C830*VLOOKUP($B830,FoodDB!$A$2:$I$1016,4,0)</f>
        <v>0</v>
      </c>
      <c r="F830" s="98">
        <f>$C830*VLOOKUP($B830,FoodDB!$A$2:$I$1016,5,0)</f>
        <v>0</v>
      </c>
      <c r="G830" s="98">
        <f>$C830*VLOOKUP($B830,FoodDB!$A$2:$I$1016,6,0)</f>
        <v>0</v>
      </c>
      <c r="H830" s="98">
        <f>$C830*VLOOKUP($B830,FoodDB!$A$2:$I$1016,7,0)</f>
        <v>0</v>
      </c>
      <c r="I830" s="98">
        <f>$C830*VLOOKUP($B830,FoodDB!$A$2:$I$1016,8,0)</f>
        <v>0</v>
      </c>
      <c r="J830" s="98">
        <f>$C830*VLOOKUP($B830,FoodDB!$A$2:$I$1016,9,0)</f>
        <v>0</v>
      </c>
      <c r="K830" s="98"/>
      <c r="L830" s="98"/>
      <c r="M830" s="98"/>
      <c r="N830" s="98"/>
      <c r="O830" s="98"/>
      <c r="P830" s="98"/>
      <c r="Q830" s="98"/>
      <c r="R830" s="98"/>
      <c r="S830" s="98"/>
    </row>
    <row r="831" spans="1:19" x14ac:dyDescent="0.25">
      <c r="A831" t="s">
        <v>98</v>
      </c>
      <c r="D831" s="98"/>
      <c r="E831" s="98"/>
      <c r="F831" s="98"/>
      <c r="G831" s="98">
        <f>SUM(G824:G830)</f>
        <v>0</v>
      </c>
      <c r="H831" s="98">
        <f>SUM(H824:H830)</f>
        <v>0</v>
      </c>
      <c r="I831" s="98">
        <f>SUM(I824:I830)</f>
        <v>0</v>
      </c>
      <c r="J831" s="98">
        <f>SUM(G831:I831)</f>
        <v>0</v>
      </c>
      <c r="K831" s="98"/>
      <c r="L831" s="98"/>
      <c r="M831" s="98"/>
      <c r="N831" s="98"/>
      <c r="O831" s="98"/>
      <c r="P831" s="98"/>
      <c r="Q831" s="98"/>
      <c r="R831" s="98"/>
      <c r="S831" s="98"/>
    </row>
    <row r="832" spans="1:19" x14ac:dyDescent="0.25">
      <c r="A832" t="s">
        <v>102</v>
      </c>
      <c r="B832" t="s">
        <v>103</v>
      </c>
      <c r="D832" s="98"/>
      <c r="E832" s="98"/>
      <c r="F832" s="98"/>
      <c r="G832" s="98">
        <f>VLOOKUP($A824,LossChart!$A$3:$AB$105,14,0)</f>
        <v>743.34635140431988</v>
      </c>
      <c r="H832" s="98">
        <f>VLOOKUP($A824,LossChart!$A$3:$AB$105,15,0)</f>
        <v>80</v>
      </c>
      <c r="I832" s="98">
        <f>VLOOKUP($A824,LossChart!$A$3:$AB$105,16,0)</f>
        <v>477.30407413615825</v>
      </c>
      <c r="J832" s="98">
        <f>VLOOKUP($A824,LossChart!$A$3:$AB$105,17,0)</f>
        <v>1300.6504255404782</v>
      </c>
      <c r="K832" s="98"/>
      <c r="L832" s="98"/>
      <c r="M832" s="98"/>
      <c r="N832" s="98"/>
      <c r="O832" s="98"/>
      <c r="P832" s="98"/>
      <c r="Q832" s="98"/>
      <c r="R832" s="98"/>
      <c r="S832" s="98"/>
    </row>
    <row r="833" spans="1:19" x14ac:dyDescent="0.25">
      <c r="A833" t="s">
        <v>104</v>
      </c>
      <c r="D833" s="98"/>
      <c r="E833" s="98"/>
      <c r="F833" s="98"/>
      <c r="G833" s="98">
        <f>G832-G831</f>
        <v>743.34635140431988</v>
      </c>
      <c r="H833" s="98">
        <f>H832-H831</f>
        <v>80</v>
      </c>
      <c r="I833" s="98">
        <f>I832-I831</f>
        <v>477.30407413615825</v>
      </c>
      <c r="J833" s="98">
        <f>J832-J831</f>
        <v>1300.6504255404782</v>
      </c>
      <c r="K833" s="98"/>
      <c r="L833" s="98"/>
      <c r="M833" s="98"/>
      <c r="N833" s="98"/>
      <c r="O833" s="98"/>
      <c r="P833" s="98"/>
      <c r="Q833" s="98"/>
      <c r="R833" s="98"/>
      <c r="S833" s="98"/>
    </row>
    <row r="834" spans="1:19" x14ac:dyDescent="0.25">
      <c r="D834" s="98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  <c r="S834" s="98"/>
    </row>
    <row r="835" spans="1:19" ht="60" x14ac:dyDescent="0.25">
      <c r="A835" s="21" t="s">
        <v>63</v>
      </c>
      <c r="B835" s="21" t="s">
        <v>93</v>
      </c>
      <c r="C835" s="21" t="s">
        <v>94</v>
      </c>
      <c r="D835" s="92" t="str">
        <f>FoodDB!$C$1</f>
        <v>Fat
(g)</v>
      </c>
      <c r="E835" s="92" t="str">
        <f>FoodDB!$D$1</f>
        <v xml:space="preserve"> Carbs
(g)</v>
      </c>
      <c r="F835" s="92" t="str">
        <f>FoodDB!$E$1</f>
        <v>Protein
(g)</v>
      </c>
      <c r="G835" s="92" t="str">
        <f>FoodDB!$F$1</f>
        <v>Fat
(Cal)</v>
      </c>
      <c r="H835" s="92" t="str">
        <f>FoodDB!$G$1</f>
        <v>Carb
(Cal)</v>
      </c>
      <c r="I835" s="92" t="str">
        <f>FoodDB!$H$1</f>
        <v>Protein
(Cal)</v>
      </c>
      <c r="J835" s="92" t="str">
        <f>FoodDB!$I$1</f>
        <v>Total
Calories</v>
      </c>
      <c r="K835" s="92"/>
      <c r="L835" s="92" t="s">
        <v>110</v>
      </c>
      <c r="M835" s="92" t="s">
        <v>111</v>
      </c>
      <c r="N835" s="92" t="s">
        <v>112</v>
      </c>
      <c r="O835" s="92" t="s">
        <v>113</v>
      </c>
      <c r="P835" s="92" t="s">
        <v>118</v>
      </c>
      <c r="Q835" s="92" t="s">
        <v>119</v>
      </c>
      <c r="R835" s="92" t="s">
        <v>120</v>
      </c>
      <c r="S835" s="92" t="s">
        <v>121</v>
      </c>
    </row>
    <row r="836" spans="1:19" x14ac:dyDescent="0.25">
      <c r="A836" s="93">
        <f>A824+1</f>
        <v>43063</v>
      </c>
      <c r="B836" s="94" t="s">
        <v>108</v>
      </c>
      <c r="C836" s="95">
        <v>1</v>
      </c>
      <c r="D836" s="98">
        <f>$C836*VLOOKUP($B836,FoodDB!$A$2:$I$1016,3,0)</f>
        <v>0</v>
      </c>
      <c r="E836" s="98">
        <f>$C836*VLOOKUP($B836,FoodDB!$A$2:$I$1016,4,0)</f>
        <v>0</v>
      </c>
      <c r="F836" s="98">
        <f>$C836*VLOOKUP($B836,FoodDB!$A$2:$I$1016,5,0)</f>
        <v>0</v>
      </c>
      <c r="G836" s="98">
        <f>$C836*VLOOKUP($B836,FoodDB!$A$2:$I$1016,6,0)</f>
        <v>0</v>
      </c>
      <c r="H836" s="98">
        <f>$C836*VLOOKUP($B836,FoodDB!$A$2:$I$1016,7,0)</f>
        <v>0</v>
      </c>
      <c r="I836" s="98">
        <f>$C836*VLOOKUP($B836,FoodDB!$A$2:$I$1016,8,0)</f>
        <v>0</v>
      </c>
      <c r="J836" s="98">
        <f>$C836*VLOOKUP($B836,FoodDB!$A$2:$I$1016,9,0)</f>
        <v>0</v>
      </c>
      <c r="K836" s="98"/>
      <c r="L836" s="98">
        <f>SUM(G836:G842)</f>
        <v>0</v>
      </c>
      <c r="M836" s="98">
        <f>SUM(H836:H842)</f>
        <v>0</v>
      </c>
      <c r="N836" s="98">
        <f>SUM(I836:I842)</f>
        <v>0</v>
      </c>
      <c r="O836" s="98">
        <f>SUM(L836:N836)</f>
        <v>0</v>
      </c>
      <c r="P836" s="98">
        <f>VLOOKUP($A836,LossChart!$A$3:$AB$105,14,0)-L836</f>
        <v>748.26487407252444</v>
      </c>
      <c r="Q836" s="98">
        <f>VLOOKUP($A836,LossChart!$A$3:$AB$105,15,0)-M836</f>
        <v>80</v>
      </c>
      <c r="R836" s="98">
        <f>VLOOKUP($A836,LossChart!$A$3:$AB$105,16,0)-N836</f>
        <v>477.30407413615825</v>
      </c>
      <c r="S836" s="98">
        <f>VLOOKUP($A836,LossChart!$A$3:$AB$105,17,0)-O836</f>
        <v>1305.5689482086827</v>
      </c>
    </row>
    <row r="837" spans="1:19" x14ac:dyDescent="0.25">
      <c r="B837" s="94" t="s">
        <v>108</v>
      </c>
      <c r="C837" s="95">
        <v>1</v>
      </c>
      <c r="D837" s="98">
        <f>$C837*VLOOKUP($B837,FoodDB!$A$2:$I$1016,3,0)</f>
        <v>0</v>
      </c>
      <c r="E837" s="98">
        <f>$C837*VLOOKUP($B837,FoodDB!$A$2:$I$1016,4,0)</f>
        <v>0</v>
      </c>
      <c r="F837" s="98">
        <f>$C837*VLOOKUP($B837,FoodDB!$A$2:$I$1016,5,0)</f>
        <v>0</v>
      </c>
      <c r="G837" s="98">
        <f>$C837*VLOOKUP($B837,FoodDB!$A$2:$I$1016,6,0)</f>
        <v>0</v>
      </c>
      <c r="H837" s="98">
        <f>$C837*VLOOKUP($B837,FoodDB!$A$2:$I$1016,7,0)</f>
        <v>0</v>
      </c>
      <c r="I837" s="98">
        <f>$C837*VLOOKUP($B837,FoodDB!$A$2:$I$1016,8,0)</f>
        <v>0</v>
      </c>
      <c r="J837" s="98">
        <f>$C837*VLOOKUP($B837,FoodDB!$A$2:$I$1016,9,0)</f>
        <v>0</v>
      </c>
      <c r="K837" s="98"/>
      <c r="L837" s="98"/>
      <c r="M837" s="98"/>
      <c r="N837" s="98"/>
      <c r="O837" s="98"/>
      <c r="P837" s="98"/>
      <c r="Q837" s="98"/>
      <c r="R837" s="98"/>
      <c r="S837" s="98"/>
    </row>
    <row r="838" spans="1:19" x14ac:dyDescent="0.25">
      <c r="B838" s="94" t="s">
        <v>108</v>
      </c>
      <c r="C838" s="95">
        <v>1</v>
      </c>
      <c r="D838" s="98">
        <f>$C838*VLOOKUP($B838,FoodDB!$A$2:$I$1016,3,0)</f>
        <v>0</v>
      </c>
      <c r="E838" s="98">
        <f>$C838*VLOOKUP($B838,FoodDB!$A$2:$I$1016,4,0)</f>
        <v>0</v>
      </c>
      <c r="F838" s="98">
        <f>$C838*VLOOKUP($B838,FoodDB!$A$2:$I$1016,5,0)</f>
        <v>0</v>
      </c>
      <c r="G838" s="98">
        <f>$C838*VLOOKUP($B838,FoodDB!$A$2:$I$1016,6,0)</f>
        <v>0</v>
      </c>
      <c r="H838" s="98">
        <f>$C838*VLOOKUP($B838,FoodDB!$A$2:$I$1016,7,0)</f>
        <v>0</v>
      </c>
      <c r="I838" s="98">
        <f>$C838*VLOOKUP($B838,FoodDB!$A$2:$I$1016,8,0)</f>
        <v>0</v>
      </c>
      <c r="J838" s="98">
        <f>$C838*VLOOKUP($B838,FoodDB!$A$2:$I$1016,9,0)</f>
        <v>0</v>
      </c>
      <c r="K838" s="98"/>
      <c r="L838" s="98"/>
      <c r="M838" s="98"/>
      <c r="N838" s="98"/>
      <c r="O838" s="98"/>
      <c r="P838" s="98"/>
      <c r="Q838" s="98"/>
      <c r="R838" s="98"/>
      <c r="S838" s="98"/>
    </row>
    <row r="839" spans="1:19" x14ac:dyDescent="0.25">
      <c r="B839" s="94" t="s">
        <v>108</v>
      </c>
      <c r="C839" s="95">
        <v>1</v>
      </c>
      <c r="D839" s="98">
        <f>$C839*VLOOKUP($B839,FoodDB!$A$2:$I$1016,3,0)</f>
        <v>0</v>
      </c>
      <c r="E839" s="98">
        <f>$C839*VLOOKUP($B839,FoodDB!$A$2:$I$1016,4,0)</f>
        <v>0</v>
      </c>
      <c r="F839" s="98">
        <f>$C839*VLOOKUP($B839,FoodDB!$A$2:$I$1016,5,0)</f>
        <v>0</v>
      </c>
      <c r="G839" s="98">
        <f>$C839*VLOOKUP($B839,FoodDB!$A$2:$I$1016,6,0)</f>
        <v>0</v>
      </c>
      <c r="H839" s="98">
        <f>$C839*VLOOKUP($B839,FoodDB!$A$2:$I$1016,7,0)</f>
        <v>0</v>
      </c>
      <c r="I839" s="98">
        <f>$C839*VLOOKUP($B839,FoodDB!$A$2:$I$1016,8,0)</f>
        <v>0</v>
      </c>
      <c r="J839" s="98">
        <f>$C839*VLOOKUP($B839,FoodDB!$A$2:$I$1016,9,0)</f>
        <v>0</v>
      </c>
      <c r="K839" s="98"/>
      <c r="L839" s="98"/>
      <c r="M839" s="98"/>
      <c r="N839" s="98"/>
      <c r="O839" s="98"/>
      <c r="P839" s="98"/>
      <c r="Q839" s="98"/>
      <c r="R839" s="98"/>
      <c r="S839" s="98"/>
    </row>
    <row r="840" spans="1:19" x14ac:dyDescent="0.25">
      <c r="B840" s="94" t="s">
        <v>108</v>
      </c>
      <c r="C840" s="95">
        <v>1</v>
      </c>
      <c r="D840" s="98">
        <f>$C840*VLOOKUP($B840,FoodDB!$A$2:$I$1016,3,0)</f>
        <v>0</v>
      </c>
      <c r="E840" s="98">
        <f>$C840*VLOOKUP($B840,FoodDB!$A$2:$I$1016,4,0)</f>
        <v>0</v>
      </c>
      <c r="F840" s="98">
        <f>$C840*VLOOKUP($B840,FoodDB!$A$2:$I$1016,5,0)</f>
        <v>0</v>
      </c>
      <c r="G840" s="98">
        <f>$C840*VLOOKUP($B840,FoodDB!$A$2:$I$1016,6,0)</f>
        <v>0</v>
      </c>
      <c r="H840" s="98">
        <f>$C840*VLOOKUP($B840,FoodDB!$A$2:$I$1016,7,0)</f>
        <v>0</v>
      </c>
      <c r="I840" s="98">
        <f>$C840*VLOOKUP($B840,FoodDB!$A$2:$I$1016,8,0)</f>
        <v>0</v>
      </c>
      <c r="J840" s="98">
        <f>$C840*VLOOKUP($B840,FoodDB!$A$2:$I$1016,9,0)</f>
        <v>0</v>
      </c>
      <c r="K840" s="98"/>
      <c r="L840" s="98"/>
      <c r="M840" s="98"/>
      <c r="N840" s="98"/>
      <c r="O840" s="98"/>
      <c r="P840" s="98"/>
      <c r="Q840" s="98"/>
      <c r="R840" s="98"/>
      <c r="S840" s="98"/>
    </row>
    <row r="841" spans="1:19" x14ac:dyDescent="0.25">
      <c r="B841" s="94" t="s">
        <v>108</v>
      </c>
      <c r="C841" s="95">
        <v>1</v>
      </c>
      <c r="D841" s="98">
        <f>$C841*VLOOKUP($B841,FoodDB!$A$2:$I$1016,3,0)</f>
        <v>0</v>
      </c>
      <c r="E841" s="98">
        <f>$C841*VLOOKUP($B841,FoodDB!$A$2:$I$1016,4,0)</f>
        <v>0</v>
      </c>
      <c r="F841" s="98">
        <f>$C841*VLOOKUP($B841,FoodDB!$A$2:$I$1016,5,0)</f>
        <v>0</v>
      </c>
      <c r="G841" s="98">
        <f>$C841*VLOOKUP($B841,FoodDB!$A$2:$I$1016,6,0)</f>
        <v>0</v>
      </c>
      <c r="H841" s="98">
        <f>$C841*VLOOKUP($B841,FoodDB!$A$2:$I$1016,7,0)</f>
        <v>0</v>
      </c>
      <c r="I841" s="98">
        <f>$C841*VLOOKUP($B841,FoodDB!$A$2:$I$1016,8,0)</f>
        <v>0</v>
      </c>
      <c r="J841" s="98">
        <f>$C841*VLOOKUP($B841,FoodDB!$A$2:$I$1016,9,0)</f>
        <v>0</v>
      </c>
      <c r="K841" s="98"/>
      <c r="L841" s="98"/>
      <c r="M841" s="98"/>
      <c r="N841" s="98"/>
      <c r="O841" s="98"/>
      <c r="P841" s="98"/>
      <c r="Q841" s="98"/>
      <c r="R841" s="98"/>
      <c r="S841" s="98"/>
    </row>
    <row r="842" spans="1:19" x14ac:dyDescent="0.25">
      <c r="B842" s="94" t="s">
        <v>108</v>
      </c>
      <c r="C842" s="95">
        <v>1</v>
      </c>
      <c r="D842" s="98">
        <f>$C842*VLOOKUP($B842,FoodDB!$A$2:$I$1016,3,0)</f>
        <v>0</v>
      </c>
      <c r="E842" s="98">
        <f>$C842*VLOOKUP($B842,FoodDB!$A$2:$I$1016,4,0)</f>
        <v>0</v>
      </c>
      <c r="F842" s="98">
        <f>$C842*VLOOKUP($B842,FoodDB!$A$2:$I$1016,5,0)</f>
        <v>0</v>
      </c>
      <c r="G842" s="98">
        <f>$C842*VLOOKUP($B842,FoodDB!$A$2:$I$1016,6,0)</f>
        <v>0</v>
      </c>
      <c r="H842" s="98">
        <f>$C842*VLOOKUP($B842,FoodDB!$A$2:$I$1016,7,0)</f>
        <v>0</v>
      </c>
      <c r="I842" s="98">
        <f>$C842*VLOOKUP($B842,FoodDB!$A$2:$I$1016,8,0)</f>
        <v>0</v>
      </c>
      <c r="J842" s="98">
        <f>$C842*VLOOKUP($B842,FoodDB!$A$2:$I$1016,9,0)</f>
        <v>0</v>
      </c>
      <c r="K842" s="98"/>
      <c r="L842" s="98"/>
      <c r="M842" s="98"/>
      <c r="N842" s="98"/>
      <c r="O842" s="98"/>
      <c r="P842" s="98"/>
      <c r="Q842" s="98"/>
      <c r="R842" s="98"/>
      <c r="S842" s="98"/>
    </row>
    <row r="843" spans="1:19" x14ac:dyDescent="0.25">
      <c r="A843" t="s">
        <v>98</v>
      </c>
      <c r="D843" s="98"/>
      <c r="E843" s="98"/>
      <c r="F843" s="98"/>
      <c r="G843" s="98">
        <f>SUM(G836:G842)</f>
        <v>0</v>
      </c>
      <c r="H843" s="98">
        <f>SUM(H836:H842)</f>
        <v>0</v>
      </c>
      <c r="I843" s="98">
        <f>SUM(I836:I842)</f>
        <v>0</v>
      </c>
      <c r="J843" s="98">
        <f>SUM(G843:I843)</f>
        <v>0</v>
      </c>
      <c r="K843" s="98"/>
      <c r="L843" s="98"/>
      <c r="M843" s="98"/>
      <c r="N843" s="98"/>
      <c r="O843" s="98"/>
      <c r="P843" s="98"/>
      <c r="Q843" s="98"/>
      <c r="R843" s="98"/>
      <c r="S843" s="98"/>
    </row>
    <row r="844" spans="1:19" x14ac:dyDescent="0.25">
      <c r="A844" t="s">
        <v>102</v>
      </c>
      <c r="B844" t="s">
        <v>103</v>
      </c>
      <c r="D844" s="98"/>
      <c r="E844" s="98"/>
      <c r="F844" s="98"/>
      <c r="G844" s="98">
        <f>VLOOKUP($A836,LossChart!$A$3:$AB$105,14,0)</f>
        <v>748.26487407252444</v>
      </c>
      <c r="H844" s="98">
        <f>VLOOKUP($A836,LossChart!$A$3:$AB$105,15,0)</f>
        <v>80</v>
      </c>
      <c r="I844" s="98">
        <f>VLOOKUP($A836,LossChart!$A$3:$AB$105,16,0)</f>
        <v>477.30407413615825</v>
      </c>
      <c r="J844" s="98">
        <f>VLOOKUP($A836,LossChart!$A$3:$AB$105,17,0)</f>
        <v>1305.5689482086827</v>
      </c>
      <c r="K844" s="98"/>
      <c r="L844" s="98"/>
      <c r="M844" s="98"/>
      <c r="N844" s="98"/>
      <c r="O844" s="98"/>
      <c r="P844" s="98"/>
      <c r="Q844" s="98"/>
      <c r="R844" s="98"/>
      <c r="S844" s="98"/>
    </row>
    <row r="845" spans="1:19" x14ac:dyDescent="0.25">
      <c r="A845" t="s">
        <v>104</v>
      </c>
      <c r="D845" s="98"/>
      <c r="E845" s="98"/>
      <c r="F845" s="98"/>
      <c r="G845" s="98">
        <f>G844-G843</f>
        <v>748.26487407252444</v>
      </c>
      <c r="H845" s="98">
        <f>H844-H843</f>
        <v>80</v>
      </c>
      <c r="I845" s="98">
        <f>I844-I843</f>
        <v>477.30407413615825</v>
      </c>
      <c r="J845" s="98">
        <f>J844-J843</f>
        <v>1305.5689482086827</v>
      </c>
      <c r="K845" s="98"/>
      <c r="L845" s="98"/>
      <c r="M845" s="98"/>
      <c r="N845" s="98"/>
      <c r="O845" s="98"/>
      <c r="P845" s="98"/>
      <c r="Q845" s="98"/>
      <c r="R845" s="98"/>
      <c r="S845" s="98"/>
    </row>
    <row r="847" spans="1:19" ht="60" x14ac:dyDescent="0.25">
      <c r="A847" s="21" t="s">
        <v>63</v>
      </c>
      <c r="B847" s="21" t="s">
        <v>93</v>
      </c>
      <c r="C847" s="21" t="s">
        <v>94</v>
      </c>
      <c r="D847" s="92" t="str">
        <f>FoodDB!$C$1</f>
        <v>Fat
(g)</v>
      </c>
      <c r="E847" s="92" t="str">
        <f>FoodDB!$D$1</f>
        <v xml:space="preserve"> Carbs
(g)</v>
      </c>
      <c r="F847" s="92" t="str">
        <f>FoodDB!$E$1</f>
        <v>Protein
(g)</v>
      </c>
      <c r="G847" s="92" t="str">
        <f>FoodDB!$F$1</f>
        <v>Fat
(Cal)</v>
      </c>
      <c r="H847" s="92" t="str">
        <f>FoodDB!$G$1</f>
        <v>Carb
(Cal)</v>
      </c>
      <c r="I847" s="92" t="str">
        <f>FoodDB!$H$1</f>
        <v>Protein
(Cal)</v>
      </c>
      <c r="J847" s="92" t="str">
        <f>FoodDB!$I$1</f>
        <v>Total
Calories</v>
      </c>
      <c r="K847" s="92"/>
      <c r="L847" s="92" t="s">
        <v>110</v>
      </c>
      <c r="M847" s="92" t="s">
        <v>111</v>
      </c>
      <c r="N847" s="92" t="s">
        <v>112</v>
      </c>
      <c r="O847" s="92" t="s">
        <v>113</v>
      </c>
      <c r="P847" s="92" t="s">
        <v>118</v>
      </c>
      <c r="Q847" s="92" t="s">
        <v>119</v>
      </c>
      <c r="R847" s="92" t="s">
        <v>120</v>
      </c>
      <c r="S847" s="92" t="s">
        <v>121</v>
      </c>
    </row>
    <row r="848" spans="1:19" x14ac:dyDescent="0.25">
      <c r="A848" s="93">
        <f>A836+1</f>
        <v>43064</v>
      </c>
      <c r="B848" s="94" t="s">
        <v>108</v>
      </c>
      <c r="C848" s="95">
        <v>1</v>
      </c>
      <c r="D848" s="98">
        <f>$C848*VLOOKUP($B848,FoodDB!$A$2:$I$1016,3,0)</f>
        <v>0</v>
      </c>
      <c r="E848" s="98">
        <f>$C848*VLOOKUP($B848,FoodDB!$A$2:$I$1016,4,0)</f>
        <v>0</v>
      </c>
      <c r="F848" s="98">
        <f>$C848*VLOOKUP($B848,FoodDB!$A$2:$I$1016,5,0)</f>
        <v>0</v>
      </c>
      <c r="G848" s="98">
        <f>$C848*VLOOKUP($B848,FoodDB!$A$2:$I$1016,6,0)</f>
        <v>0</v>
      </c>
      <c r="H848" s="98">
        <f>$C848*VLOOKUP($B848,FoodDB!$A$2:$I$1016,7,0)</f>
        <v>0</v>
      </c>
      <c r="I848" s="98">
        <f>$C848*VLOOKUP($B848,FoodDB!$A$2:$I$1016,8,0)</f>
        <v>0</v>
      </c>
      <c r="J848" s="98">
        <f>$C848*VLOOKUP($B848,FoodDB!$A$2:$I$1016,9,0)</f>
        <v>0</v>
      </c>
      <c r="K848" s="98"/>
      <c r="L848" s="98">
        <f>SUM(G848:G854)</f>
        <v>0</v>
      </c>
      <c r="M848" s="98">
        <f>SUM(H848:H854)</f>
        <v>0</v>
      </c>
      <c r="N848" s="98">
        <f>SUM(I848:I854)</f>
        <v>0</v>
      </c>
      <c r="O848" s="98">
        <f>SUM(L848:N848)</f>
        <v>0</v>
      </c>
      <c r="P848" s="98">
        <f>VLOOKUP($A848,LossChart!$A$3:$AB$105,14,0)-L848</f>
        <v>753.13983268281072</v>
      </c>
      <c r="Q848" s="98">
        <f>VLOOKUP($A848,LossChart!$A$3:$AB$105,15,0)-M848</f>
        <v>80</v>
      </c>
      <c r="R848" s="98">
        <f>VLOOKUP($A848,LossChart!$A$3:$AB$105,16,0)-N848</f>
        <v>477.30407413615825</v>
      </c>
      <c r="S848" s="98">
        <f>VLOOKUP($A848,LossChart!$A$3:$AB$105,17,0)-O848</f>
        <v>1310.443906818969</v>
      </c>
    </row>
    <row r="849" spans="1:19" x14ac:dyDescent="0.25">
      <c r="B849" s="94" t="s">
        <v>108</v>
      </c>
      <c r="C849" s="95">
        <v>1</v>
      </c>
      <c r="D849" s="98">
        <f>$C849*VLOOKUP($B849,FoodDB!$A$2:$I$1016,3,0)</f>
        <v>0</v>
      </c>
      <c r="E849" s="98">
        <f>$C849*VLOOKUP($B849,FoodDB!$A$2:$I$1016,4,0)</f>
        <v>0</v>
      </c>
      <c r="F849" s="98">
        <f>$C849*VLOOKUP($B849,FoodDB!$A$2:$I$1016,5,0)</f>
        <v>0</v>
      </c>
      <c r="G849" s="98">
        <f>$C849*VLOOKUP($B849,FoodDB!$A$2:$I$1016,6,0)</f>
        <v>0</v>
      </c>
      <c r="H849" s="98">
        <f>$C849*VLOOKUP($B849,FoodDB!$A$2:$I$1016,7,0)</f>
        <v>0</v>
      </c>
      <c r="I849" s="98">
        <f>$C849*VLOOKUP($B849,FoodDB!$A$2:$I$1016,8,0)</f>
        <v>0</v>
      </c>
      <c r="J849" s="98">
        <f>$C849*VLOOKUP($B849,FoodDB!$A$2:$I$1016,9,0)</f>
        <v>0</v>
      </c>
      <c r="K849" s="98"/>
      <c r="L849" s="98"/>
      <c r="M849" s="98"/>
      <c r="N849" s="98"/>
      <c r="O849" s="98"/>
      <c r="P849" s="98"/>
      <c r="Q849" s="98"/>
      <c r="R849" s="98"/>
      <c r="S849" s="98"/>
    </row>
    <row r="850" spans="1:19" x14ac:dyDescent="0.25">
      <c r="B850" s="94" t="s">
        <v>108</v>
      </c>
      <c r="C850" s="95">
        <v>1</v>
      </c>
      <c r="D850" s="98">
        <f>$C850*VLOOKUP($B850,FoodDB!$A$2:$I$1016,3,0)</f>
        <v>0</v>
      </c>
      <c r="E850" s="98">
        <f>$C850*VLOOKUP($B850,FoodDB!$A$2:$I$1016,4,0)</f>
        <v>0</v>
      </c>
      <c r="F850" s="98">
        <f>$C850*VLOOKUP($B850,FoodDB!$A$2:$I$1016,5,0)</f>
        <v>0</v>
      </c>
      <c r="G850" s="98">
        <f>$C850*VLOOKUP($B850,FoodDB!$A$2:$I$1016,6,0)</f>
        <v>0</v>
      </c>
      <c r="H850" s="98">
        <f>$C850*VLOOKUP($B850,FoodDB!$A$2:$I$1016,7,0)</f>
        <v>0</v>
      </c>
      <c r="I850" s="98">
        <f>$C850*VLOOKUP($B850,FoodDB!$A$2:$I$1016,8,0)</f>
        <v>0</v>
      </c>
      <c r="J850" s="98">
        <f>$C850*VLOOKUP($B850,FoodDB!$A$2:$I$1016,9,0)</f>
        <v>0</v>
      </c>
      <c r="K850" s="98"/>
      <c r="L850" s="98"/>
      <c r="M850" s="98"/>
      <c r="N850" s="98"/>
      <c r="O850" s="98"/>
      <c r="P850" s="98"/>
      <c r="Q850" s="98"/>
      <c r="R850" s="98"/>
      <c r="S850" s="98"/>
    </row>
    <row r="851" spans="1:19" x14ac:dyDescent="0.25">
      <c r="B851" s="94" t="s">
        <v>108</v>
      </c>
      <c r="C851" s="95">
        <v>1</v>
      </c>
      <c r="D851" s="98">
        <f>$C851*VLOOKUP($B851,FoodDB!$A$2:$I$1016,3,0)</f>
        <v>0</v>
      </c>
      <c r="E851" s="98">
        <f>$C851*VLOOKUP($B851,FoodDB!$A$2:$I$1016,4,0)</f>
        <v>0</v>
      </c>
      <c r="F851" s="98">
        <f>$C851*VLOOKUP($B851,FoodDB!$A$2:$I$1016,5,0)</f>
        <v>0</v>
      </c>
      <c r="G851" s="98">
        <f>$C851*VLOOKUP($B851,FoodDB!$A$2:$I$1016,6,0)</f>
        <v>0</v>
      </c>
      <c r="H851" s="98">
        <f>$C851*VLOOKUP($B851,FoodDB!$A$2:$I$1016,7,0)</f>
        <v>0</v>
      </c>
      <c r="I851" s="98">
        <f>$C851*VLOOKUP($B851,FoodDB!$A$2:$I$1016,8,0)</f>
        <v>0</v>
      </c>
      <c r="J851" s="98">
        <f>$C851*VLOOKUP($B851,FoodDB!$A$2:$I$1016,9,0)</f>
        <v>0</v>
      </c>
      <c r="K851" s="98"/>
      <c r="L851" s="98"/>
      <c r="M851" s="98"/>
      <c r="N851" s="98"/>
      <c r="O851" s="98"/>
      <c r="P851" s="98"/>
      <c r="Q851" s="98"/>
      <c r="R851" s="98"/>
      <c r="S851" s="98"/>
    </row>
    <row r="852" spans="1:19" x14ac:dyDescent="0.25">
      <c r="B852" s="94" t="s">
        <v>108</v>
      </c>
      <c r="C852" s="95">
        <v>1</v>
      </c>
      <c r="D852" s="98">
        <f>$C852*VLOOKUP($B852,FoodDB!$A$2:$I$1016,3,0)</f>
        <v>0</v>
      </c>
      <c r="E852" s="98">
        <f>$C852*VLOOKUP($B852,FoodDB!$A$2:$I$1016,4,0)</f>
        <v>0</v>
      </c>
      <c r="F852" s="98">
        <f>$C852*VLOOKUP($B852,FoodDB!$A$2:$I$1016,5,0)</f>
        <v>0</v>
      </c>
      <c r="G852" s="98">
        <f>$C852*VLOOKUP($B852,FoodDB!$A$2:$I$1016,6,0)</f>
        <v>0</v>
      </c>
      <c r="H852" s="98">
        <f>$C852*VLOOKUP($B852,FoodDB!$A$2:$I$1016,7,0)</f>
        <v>0</v>
      </c>
      <c r="I852" s="98">
        <f>$C852*VLOOKUP($B852,FoodDB!$A$2:$I$1016,8,0)</f>
        <v>0</v>
      </c>
      <c r="J852" s="98">
        <f>$C852*VLOOKUP($B852,FoodDB!$A$2:$I$1016,9,0)</f>
        <v>0</v>
      </c>
      <c r="K852" s="98"/>
      <c r="L852" s="98"/>
      <c r="M852" s="98"/>
      <c r="N852" s="98"/>
      <c r="O852" s="98"/>
      <c r="P852" s="98"/>
      <c r="Q852" s="98"/>
      <c r="R852" s="98"/>
      <c r="S852" s="98"/>
    </row>
    <row r="853" spans="1:19" x14ac:dyDescent="0.25">
      <c r="B853" s="94" t="s">
        <v>108</v>
      </c>
      <c r="C853" s="95">
        <v>1</v>
      </c>
      <c r="D853" s="98">
        <f>$C853*VLOOKUP($B853,FoodDB!$A$2:$I$1016,3,0)</f>
        <v>0</v>
      </c>
      <c r="E853" s="98">
        <f>$C853*VLOOKUP($B853,FoodDB!$A$2:$I$1016,4,0)</f>
        <v>0</v>
      </c>
      <c r="F853" s="98">
        <f>$C853*VLOOKUP($B853,FoodDB!$A$2:$I$1016,5,0)</f>
        <v>0</v>
      </c>
      <c r="G853" s="98">
        <f>$C853*VLOOKUP($B853,FoodDB!$A$2:$I$1016,6,0)</f>
        <v>0</v>
      </c>
      <c r="H853" s="98">
        <f>$C853*VLOOKUP($B853,FoodDB!$A$2:$I$1016,7,0)</f>
        <v>0</v>
      </c>
      <c r="I853" s="98">
        <f>$C853*VLOOKUP($B853,FoodDB!$A$2:$I$1016,8,0)</f>
        <v>0</v>
      </c>
      <c r="J853" s="98">
        <f>$C853*VLOOKUP($B853,FoodDB!$A$2:$I$1016,9,0)</f>
        <v>0</v>
      </c>
      <c r="K853" s="98"/>
      <c r="L853" s="98"/>
      <c r="M853" s="98"/>
      <c r="N853" s="98"/>
      <c r="O853" s="98"/>
      <c r="P853" s="98"/>
      <c r="Q853" s="98"/>
      <c r="R853" s="98"/>
      <c r="S853" s="98"/>
    </row>
    <row r="854" spans="1:19" x14ac:dyDescent="0.25">
      <c r="B854" s="94" t="s">
        <v>108</v>
      </c>
      <c r="C854" s="95">
        <v>1</v>
      </c>
      <c r="D854" s="98">
        <f>$C854*VLOOKUP($B854,FoodDB!$A$2:$I$1016,3,0)</f>
        <v>0</v>
      </c>
      <c r="E854" s="98">
        <f>$C854*VLOOKUP($B854,FoodDB!$A$2:$I$1016,4,0)</f>
        <v>0</v>
      </c>
      <c r="F854" s="98">
        <f>$C854*VLOOKUP($B854,FoodDB!$A$2:$I$1016,5,0)</f>
        <v>0</v>
      </c>
      <c r="G854" s="98">
        <f>$C854*VLOOKUP($B854,FoodDB!$A$2:$I$1016,6,0)</f>
        <v>0</v>
      </c>
      <c r="H854" s="98">
        <f>$C854*VLOOKUP($B854,FoodDB!$A$2:$I$1016,7,0)</f>
        <v>0</v>
      </c>
      <c r="I854" s="98">
        <f>$C854*VLOOKUP($B854,FoodDB!$A$2:$I$1016,8,0)</f>
        <v>0</v>
      </c>
      <c r="J854" s="98">
        <f>$C854*VLOOKUP($B854,FoodDB!$A$2:$I$1016,9,0)</f>
        <v>0</v>
      </c>
      <c r="K854" s="98"/>
      <c r="L854" s="98"/>
      <c r="M854" s="98"/>
      <c r="N854" s="98"/>
      <c r="O854" s="98"/>
      <c r="P854" s="98"/>
      <c r="Q854" s="98"/>
      <c r="R854" s="98"/>
      <c r="S854" s="98"/>
    </row>
    <row r="855" spans="1:19" x14ac:dyDescent="0.25">
      <c r="A855" t="s">
        <v>98</v>
      </c>
      <c r="D855" s="98"/>
      <c r="E855" s="98"/>
      <c r="F855" s="98"/>
      <c r="G855" s="98">
        <f>SUM(G848:G854)</f>
        <v>0</v>
      </c>
      <c r="H855" s="98">
        <f>SUM(H848:H854)</f>
        <v>0</v>
      </c>
      <c r="I855" s="98">
        <f>SUM(I848:I854)</f>
        <v>0</v>
      </c>
      <c r="J855" s="98">
        <f>SUM(G855:I855)</f>
        <v>0</v>
      </c>
      <c r="K855" s="98"/>
      <c r="L855" s="98"/>
      <c r="M855" s="98"/>
      <c r="N855" s="98"/>
      <c r="O855" s="98"/>
      <c r="P855" s="98"/>
      <c r="Q855" s="98"/>
      <c r="R855" s="98"/>
      <c r="S855" s="98"/>
    </row>
    <row r="856" spans="1:19" x14ac:dyDescent="0.25">
      <c r="A856" t="s">
        <v>102</v>
      </c>
      <c r="B856" t="s">
        <v>103</v>
      </c>
      <c r="D856" s="98"/>
      <c r="E856" s="98"/>
      <c r="F856" s="98"/>
      <c r="G856" s="98">
        <f>VLOOKUP($A848,LossChart!$A$3:$AB$105,14,0)</f>
        <v>753.13983268281072</v>
      </c>
      <c r="H856" s="98">
        <f>VLOOKUP($A848,LossChart!$A$3:$AB$105,15,0)</f>
        <v>80</v>
      </c>
      <c r="I856" s="98">
        <f>VLOOKUP($A848,LossChart!$A$3:$AB$105,16,0)</f>
        <v>477.30407413615825</v>
      </c>
      <c r="J856" s="98">
        <f>VLOOKUP($A848,LossChart!$A$3:$AB$105,17,0)</f>
        <v>1310.443906818969</v>
      </c>
      <c r="K856" s="98"/>
      <c r="L856" s="98"/>
      <c r="M856" s="98"/>
      <c r="N856" s="98"/>
      <c r="O856" s="98"/>
      <c r="P856" s="98"/>
      <c r="Q856" s="98"/>
      <c r="R856" s="98"/>
      <c r="S856" s="98"/>
    </row>
    <row r="857" spans="1:19" x14ac:dyDescent="0.25">
      <c r="A857" t="s">
        <v>104</v>
      </c>
      <c r="D857" s="98"/>
      <c r="E857" s="98"/>
      <c r="F857" s="98"/>
      <c r="G857" s="98">
        <f>G856-G855</f>
        <v>753.13983268281072</v>
      </c>
      <c r="H857" s="98">
        <f>H856-H855</f>
        <v>80</v>
      </c>
      <c r="I857" s="98">
        <f>I856-I855</f>
        <v>477.30407413615825</v>
      </c>
      <c r="J857" s="98">
        <f>J856-J855</f>
        <v>1310.443906818969</v>
      </c>
      <c r="K857" s="98"/>
      <c r="L857" s="98"/>
      <c r="M857" s="98"/>
      <c r="N857" s="98"/>
      <c r="O857" s="98"/>
      <c r="P857" s="98"/>
      <c r="Q857" s="98"/>
      <c r="R857" s="98"/>
      <c r="S857" s="98"/>
    </row>
    <row r="859" spans="1:19" ht="60" x14ac:dyDescent="0.25">
      <c r="A859" s="21" t="s">
        <v>63</v>
      </c>
      <c r="B859" s="21" t="s">
        <v>93</v>
      </c>
      <c r="C859" s="21" t="s">
        <v>94</v>
      </c>
      <c r="D859" s="92" t="str">
        <f>FoodDB!$C$1</f>
        <v>Fat
(g)</v>
      </c>
      <c r="E859" s="92" t="str">
        <f>FoodDB!$D$1</f>
        <v xml:space="preserve"> Carbs
(g)</v>
      </c>
      <c r="F859" s="92" t="str">
        <f>FoodDB!$E$1</f>
        <v>Protein
(g)</v>
      </c>
      <c r="G859" s="92" t="str">
        <f>FoodDB!$F$1</f>
        <v>Fat
(Cal)</v>
      </c>
      <c r="H859" s="92" t="str">
        <f>FoodDB!$G$1</f>
        <v>Carb
(Cal)</v>
      </c>
      <c r="I859" s="92" t="str">
        <f>FoodDB!$H$1</f>
        <v>Protein
(Cal)</v>
      </c>
      <c r="J859" s="92" t="str">
        <f>FoodDB!$I$1</f>
        <v>Total
Calories</v>
      </c>
      <c r="K859" s="92"/>
      <c r="L859" s="92" t="s">
        <v>110</v>
      </c>
      <c r="M859" s="92" t="s">
        <v>111</v>
      </c>
      <c r="N859" s="92" t="s">
        <v>112</v>
      </c>
      <c r="O859" s="92" t="s">
        <v>113</v>
      </c>
      <c r="P859" s="92" t="s">
        <v>118</v>
      </c>
      <c r="Q859" s="92" t="s">
        <v>119</v>
      </c>
      <c r="R859" s="92" t="s">
        <v>120</v>
      </c>
      <c r="S859" s="92" t="s">
        <v>121</v>
      </c>
    </row>
    <row r="860" spans="1:19" x14ac:dyDescent="0.25">
      <c r="A860" s="93">
        <f>A848+1</f>
        <v>43065</v>
      </c>
      <c r="B860" s="94" t="s">
        <v>108</v>
      </c>
      <c r="C860" s="95">
        <v>1</v>
      </c>
      <c r="D860" s="98">
        <f>$C860*VLOOKUP($B860,FoodDB!$A$2:$I$1016,3,0)</f>
        <v>0</v>
      </c>
      <c r="E860" s="98">
        <f>$C860*VLOOKUP($B860,FoodDB!$A$2:$I$1016,4,0)</f>
        <v>0</v>
      </c>
      <c r="F860" s="98">
        <f>$C860*VLOOKUP($B860,FoodDB!$A$2:$I$1016,5,0)</f>
        <v>0</v>
      </c>
      <c r="G860" s="98">
        <f>$C860*VLOOKUP($B860,FoodDB!$A$2:$I$1016,6,0)</f>
        <v>0</v>
      </c>
      <c r="H860" s="98">
        <f>$C860*VLOOKUP($B860,FoodDB!$A$2:$I$1016,7,0)</f>
        <v>0</v>
      </c>
      <c r="I860" s="98">
        <f>$C860*VLOOKUP($B860,FoodDB!$A$2:$I$1016,8,0)</f>
        <v>0</v>
      </c>
      <c r="J860" s="98">
        <f>$C860*VLOOKUP($B860,FoodDB!$A$2:$I$1016,9,0)</f>
        <v>0</v>
      </c>
      <c r="K860" s="98"/>
      <c r="L860" s="98">
        <f>SUM(G860:G866)</f>
        <v>0</v>
      </c>
      <c r="M860" s="98">
        <f>SUM(H860:H866)</f>
        <v>0</v>
      </c>
      <c r="N860" s="98">
        <f>SUM(I860:I866)</f>
        <v>0</v>
      </c>
      <c r="O860" s="98">
        <f>SUM(L860:N860)</f>
        <v>0</v>
      </c>
      <c r="P860" s="98">
        <f>VLOOKUP($A860,LossChart!$A$3:$AB$105,14,0)-L860</f>
        <v>757.97161308826298</v>
      </c>
      <c r="Q860" s="98">
        <f>VLOOKUP($A860,LossChart!$A$3:$AB$105,15,0)-M860</f>
        <v>80</v>
      </c>
      <c r="R860" s="98">
        <f>VLOOKUP($A860,LossChart!$A$3:$AB$105,16,0)-N860</f>
        <v>477.30407413615825</v>
      </c>
      <c r="S860" s="98">
        <f>VLOOKUP($A860,LossChart!$A$3:$AB$105,17,0)-O860</f>
        <v>1315.2756872244213</v>
      </c>
    </row>
    <row r="861" spans="1:19" x14ac:dyDescent="0.25">
      <c r="B861" s="94" t="s">
        <v>108</v>
      </c>
      <c r="C861" s="95">
        <v>1</v>
      </c>
      <c r="D861" s="98">
        <f>$C861*VLOOKUP($B861,FoodDB!$A$2:$I$1016,3,0)</f>
        <v>0</v>
      </c>
      <c r="E861" s="98">
        <f>$C861*VLOOKUP($B861,FoodDB!$A$2:$I$1016,4,0)</f>
        <v>0</v>
      </c>
      <c r="F861" s="98">
        <f>$C861*VLOOKUP($B861,FoodDB!$A$2:$I$1016,5,0)</f>
        <v>0</v>
      </c>
      <c r="G861" s="98">
        <f>$C861*VLOOKUP($B861,FoodDB!$A$2:$I$1016,6,0)</f>
        <v>0</v>
      </c>
      <c r="H861" s="98">
        <f>$C861*VLOOKUP($B861,FoodDB!$A$2:$I$1016,7,0)</f>
        <v>0</v>
      </c>
      <c r="I861" s="98">
        <f>$C861*VLOOKUP($B861,FoodDB!$A$2:$I$1016,8,0)</f>
        <v>0</v>
      </c>
      <c r="J861" s="98">
        <f>$C861*VLOOKUP($B861,FoodDB!$A$2:$I$1016,9,0)</f>
        <v>0</v>
      </c>
      <c r="K861" s="98"/>
      <c r="L861" s="98"/>
      <c r="M861" s="98"/>
      <c r="N861" s="98"/>
      <c r="O861" s="98"/>
      <c r="P861" s="98"/>
      <c r="Q861" s="98"/>
      <c r="R861" s="98"/>
      <c r="S861" s="98"/>
    </row>
    <row r="862" spans="1:19" x14ac:dyDescent="0.25">
      <c r="B862" s="94" t="s">
        <v>108</v>
      </c>
      <c r="C862" s="95">
        <v>1</v>
      </c>
      <c r="D862" s="98">
        <f>$C862*VLOOKUP($B862,FoodDB!$A$2:$I$1016,3,0)</f>
        <v>0</v>
      </c>
      <c r="E862" s="98">
        <f>$C862*VLOOKUP($B862,FoodDB!$A$2:$I$1016,4,0)</f>
        <v>0</v>
      </c>
      <c r="F862" s="98">
        <f>$C862*VLOOKUP($B862,FoodDB!$A$2:$I$1016,5,0)</f>
        <v>0</v>
      </c>
      <c r="G862" s="98">
        <f>$C862*VLOOKUP($B862,FoodDB!$A$2:$I$1016,6,0)</f>
        <v>0</v>
      </c>
      <c r="H862" s="98">
        <f>$C862*VLOOKUP($B862,FoodDB!$A$2:$I$1016,7,0)</f>
        <v>0</v>
      </c>
      <c r="I862" s="98">
        <f>$C862*VLOOKUP($B862,FoodDB!$A$2:$I$1016,8,0)</f>
        <v>0</v>
      </c>
      <c r="J862" s="98">
        <f>$C862*VLOOKUP($B862,FoodDB!$A$2:$I$1016,9,0)</f>
        <v>0</v>
      </c>
      <c r="K862" s="98"/>
      <c r="L862" s="98"/>
      <c r="M862" s="98"/>
      <c r="N862" s="98"/>
      <c r="O862" s="98"/>
      <c r="P862" s="98"/>
      <c r="Q862" s="98"/>
      <c r="R862" s="98"/>
      <c r="S862" s="98"/>
    </row>
    <row r="863" spans="1:19" x14ac:dyDescent="0.25">
      <c r="B863" s="94" t="s">
        <v>108</v>
      </c>
      <c r="C863" s="95">
        <v>1</v>
      </c>
      <c r="D863" s="98">
        <f>$C863*VLOOKUP($B863,FoodDB!$A$2:$I$1016,3,0)</f>
        <v>0</v>
      </c>
      <c r="E863" s="98">
        <f>$C863*VLOOKUP($B863,FoodDB!$A$2:$I$1016,4,0)</f>
        <v>0</v>
      </c>
      <c r="F863" s="98">
        <f>$C863*VLOOKUP($B863,FoodDB!$A$2:$I$1016,5,0)</f>
        <v>0</v>
      </c>
      <c r="G863" s="98">
        <f>$C863*VLOOKUP($B863,FoodDB!$A$2:$I$1016,6,0)</f>
        <v>0</v>
      </c>
      <c r="H863" s="98">
        <f>$C863*VLOOKUP($B863,FoodDB!$A$2:$I$1016,7,0)</f>
        <v>0</v>
      </c>
      <c r="I863" s="98">
        <f>$C863*VLOOKUP($B863,FoodDB!$A$2:$I$1016,8,0)</f>
        <v>0</v>
      </c>
      <c r="J863" s="98">
        <f>$C863*VLOOKUP($B863,FoodDB!$A$2:$I$1016,9,0)</f>
        <v>0</v>
      </c>
      <c r="K863" s="98"/>
      <c r="L863" s="98"/>
      <c r="M863" s="98"/>
      <c r="N863" s="98"/>
      <c r="O863" s="98"/>
      <c r="P863" s="98"/>
      <c r="Q863" s="98"/>
      <c r="R863" s="98"/>
      <c r="S863" s="98"/>
    </row>
    <row r="864" spans="1:19" x14ac:dyDescent="0.25">
      <c r="B864" s="94" t="s">
        <v>108</v>
      </c>
      <c r="C864" s="95">
        <v>1</v>
      </c>
      <c r="D864" s="98">
        <f>$C864*VLOOKUP($B864,FoodDB!$A$2:$I$1016,3,0)</f>
        <v>0</v>
      </c>
      <c r="E864" s="98">
        <f>$C864*VLOOKUP($B864,FoodDB!$A$2:$I$1016,4,0)</f>
        <v>0</v>
      </c>
      <c r="F864" s="98">
        <f>$C864*VLOOKUP($B864,FoodDB!$A$2:$I$1016,5,0)</f>
        <v>0</v>
      </c>
      <c r="G864" s="98">
        <f>$C864*VLOOKUP($B864,FoodDB!$A$2:$I$1016,6,0)</f>
        <v>0</v>
      </c>
      <c r="H864" s="98">
        <f>$C864*VLOOKUP($B864,FoodDB!$A$2:$I$1016,7,0)</f>
        <v>0</v>
      </c>
      <c r="I864" s="98">
        <f>$C864*VLOOKUP($B864,FoodDB!$A$2:$I$1016,8,0)</f>
        <v>0</v>
      </c>
      <c r="J864" s="98">
        <f>$C864*VLOOKUP($B864,FoodDB!$A$2:$I$1016,9,0)</f>
        <v>0</v>
      </c>
      <c r="K864" s="98"/>
      <c r="L864" s="98"/>
      <c r="M864" s="98"/>
      <c r="N864" s="98"/>
      <c r="O864" s="98"/>
      <c r="P864" s="98"/>
      <c r="Q864" s="98"/>
      <c r="R864" s="98"/>
      <c r="S864" s="98"/>
    </row>
    <row r="865" spans="1:19" x14ac:dyDescent="0.25">
      <c r="B865" s="94" t="s">
        <v>108</v>
      </c>
      <c r="C865" s="95">
        <v>1</v>
      </c>
      <c r="D865" s="98">
        <f>$C865*VLOOKUP($B865,FoodDB!$A$2:$I$1016,3,0)</f>
        <v>0</v>
      </c>
      <c r="E865" s="98">
        <f>$C865*VLOOKUP($B865,FoodDB!$A$2:$I$1016,4,0)</f>
        <v>0</v>
      </c>
      <c r="F865" s="98">
        <f>$C865*VLOOKUP($B865,FoodDB!$A$2:$I$1016,5,0)</f>
        <v>0</v>
      </c>
      <c r="G865" s="98">
        <f>$C865*VLOOKUP($B865,FoodDB!$A$2:$I$1016,6,0)</f>
        <v>0</v>
      </c>
      <c r="H865" s="98">
        <f>$C865*VLOOKUP($B865,FoodDB!$A$2:$I$1016,7,0)</f>
        <v>0</v>
      </c>
      <c r="I865" s="98">
        <f>$C865*VLOOKUP($B865,FoodDB!$A$2:$I$1016,8,0)</f>
        <v>0</v>
      </c>
      <c r="J865" s="98">
        <f>$C865*VLOOKUP($B865,FoodDB!$A$2:$I$1016,9,0)</f>
        <v>0</v>
      </c>
      <c r="K865" s="98"/>
      <c r="L865" s="98"/>
      <c r="M865" s="98"/>
      <c r="N865" s="98"/>
      <c r="O865" s="98"/>
      <c r="P865" s="98"/>
      <c r="Q865" s="98"/>
      <c r="R865" s="98"/>
      <c r="S865" s="98"/>
    </row>
    <row r="866" spans="1:19" x14ac:dyDescent="0.25">
      <c r="B866" s="94" t="s">
        <v>108</v>
      </c>
      <c r="C866" s="95">
        <v>1</v>
      </c>
      <c r="D866" s="98">
        <f>$C866*VLOOKUP($B866,FoodDB!$A$2:$I$1016,3,0)</f>
        <v>0</v>
      </c>
      <c r="E866" s="98">
        <f>$C866*VLOOKUP($B866,FoodDB!$A$2:$I$1016,4,0)</f>
        <v>0</v>
      </c>
      <c r="F866" s="98">
        <f>$C866*VLOOKUP($B866,FoodDB!$A$2:$I$1016,5,0)</f>
        <v>0</v>
      </c>
      <c r="G866" s="98">
        <f>$C866*VLOOKUP($B866,FoodDB!$A$2:$I$1016,6,0)</f>
        <v>0</v>
      </c>
      <c r="H866" s="98">
        <f>$C866*VLOOKUP($B866,FoodDB!$A$2:$I$1016,7,0)</f>
        <v>0</v>
      </c>
      <c r="I866" s="98">
        <f>$C866*VLOOKUP($B866,FoodDB!$A$2:$I$1016,8,0)</f>
        <v>0</v>
      </c>
      <c r="J866" s="98">
        <f>$C866*VLOOKUP($B866,FoodDB!$A$2:$I$1016,9,0)</f>
        <v>0</v>
      </c>
      <c r="K866" s="98"/>
      <c r="L866" s="98"/>
      <c r="M866" s="98"/>
      <c r="N866" s="98"/>
      <c r="O866" s="98"/>
      <c r="P866" s="98"/>
      <c r="Q866" s="98"/>
      <c r="R866" s="98"/>
      <c r="S866" s="98"/>
    </row>
    <row r="867" spans="1:19" x14ac:dyDescent="0.25">
      <c r="A867" t="s">
        <v>98</v>
      </c>
      <c r="D867" s="98"/>
      <c r="E867" s="98"/>
      <c r="F867" s="98"/>
      <c r="G867" s="98">
        <f>SUM(G860:G866)</f>
        <v>0</v>
      </c>
      <c r="H867" s="98">
        <f>SUM(H860:H866)</f>
        <v>0</v>
      </c>
      <c r="I867" s="98">
        <f>SUM(I860:I866)</f>
        <v>0</v>
      </c>
      <c r="J867" s="98">
        <f>SUM(G867:I867)</f>
        <v>0</v>
      </c>
      <c r="K867" s="98"/>
      <c r="L867" s="98"/>
      <c r="M867" s="98"/>
      <c r="N867" s="98"/>
      <c r="O867" s="98"/>
      <c r="P867" s="98"/>
      <c r="Q867" s="98"/>
      <c r="R867" s="98"/>
      <c r="S867" s="98"/>
    </row>
    <row r="868" spans="1:19" x14ac:dyDescent="0.25">
      <c r="A868" t="s">
        <v>102</v>
      </c>
      <c r="B868" t="s">
        <v>103</v>
      </c>
      <c r="D868" s="98"/>
      <c r="E868" s="98"/>
      <c r="F868" s="98"/>
      <c r="G868" s="98">
        <f>VLOOKUP($A860,LossChart!$A$3:$AB$105,14,0)</f>
        <v>757.97161308826298</v>
      </c>
      <c r="H868" s="98">
        <f>VLOOKUP($A860,LossChart!$A$3:$AB$105,15,0)</f>
        <v>80</v>
      </c>
      <c r="I868" s="98">
        <f>VLOOKUP($A860,LossChart!$A$3:$AB$105,16,0)</f>
        <v>477.30407413615825</v>
      </c>
      <c r="J868" s="98">
        <f>VLOOKUP($A860,LossChart!$A$3:$AB$105,17,0)</f>
        <v>1315.2756872244213</v>
      </c>
      <c r="K868" s="98"/>
      <c r="L868" s="98"/>
      <c r="M868" s="98"/>
      <c r="N868" s="98"/>
      <c r="O868" s="98"/>
      <c r="P868" s="98"/>
      <c r="Q868" s="98"/>
      <c r="R868" s="98"/>
      <c r="S868" s="98"/>
    </row>
    <row r="869" spans="1:19" x14ac:dyDescent="0.25">
      <c r="A869" t="s">
        <v>104</v>
      </c>
      <c r="D869" s="98"/>
      <c r="E869" s="98"/>
      <c r="F869" s="98"/>
      <c r="G869" s="98">
        <f>G868-G867</f>
        <v>757.97161308826298</v>
      </c>
      <c r="H869" s="98">
        <f>H868-H867</f>
        <v>80</v>
      </c>
      <c r="I869" s="98">
        <f>I868-I867</f>
        <v>477.30407413615825</v>
      </c>
      <c r="J869" s="98">
        <f>J868-J867</f>
        <v>1315.2756872244213</v>
      </c>
      <c r="K869" s="98"/>
      <c r="L869" s="98"/>
      <c r="M869" s="98"/>
      <c r="N869" s="98"/>
      <c r="O869" s="98"/>
      <c r="P869" s="98"/>
      <c r="Q869" s="98"/>
      <c r="R869" s="98"/>
      <c r="S869" s="98"/>
    </row>
    <row r="871" spans="1:19" ht="60" x14ac:dyDescent="0.25">
      <c r="A871" s="21" t="s">
        <v>63</v>
      </c>
      <c r="B871" s="21" t="s">
        <v>93</v>
      </c>
      <c r="C871" s="21" t="s">
        <v>94</v>
      </c>
      <c r="D871" s="92" t="str">
        <f>FoodDB!$C$1</f>
        <v>Fat
(g)</v>
      </c>
      <c r="E871" s="92" t="str">
        <f>FoodDB!$D$1</f>
        <v xml:space="preserve"> Carbs
(g)</v>
      </c>
      <c r="F871" s="92" t="str">
        <f>FoodDB!$E$1</f>
        <v>Protein
(g)</v>
      </c>
      <c r="G871" s="92" t="str">
        <f>FoodDB!$F$1</f>
        <v>Fat
(Cal)</v>
      </c>
      <c r="H871" s="92" t="str">
        <f>FoodDB!$G$1</f>
        <v>Carb
(Cal)</v>
      </c>
      <c r="I871" s="92" t="str">
        <f>FoodDB!$H$1</f>
        <v>Protein
(Cal)</v>
      </c>
      <c r="J871" s="92" t="str">
        <f>FoodDB!$I$1</f>
        <v>Total
Calories</v>
      </c>
      <c r="K871" s="92"/>
      <c r="L871" s="92" t="s">
        <v>110</v>
      </c>
      <c r="M871" s="92" t="s">
        <v>111</v>
      </c>
      <c r="N871" s="92" t="s">
        <v>112</v>
      </c>
      <c r="O871" s="92" t="s">
        <v>113</v>
      </c>
      <c r="P871" s="92" t="s">
        <v>118</v>
      </c>
      <c r="Q871" s="92" t="s">
        <v>119</v>
      </c>
      <c r="R871" s="92" t="s">
        <v>120</v>
      </c>
      <c r="S871" s="92" t="s">
        <v>121</v>
      </c>
    </row>
    <row r="872" spans="1:19" x14ac:dyDescent="0.25">
      <c r="A872" s="93">
        <f>A860+1</f>
        <v>43066</v>
      </c>
      <c r="B872" s="94" t="s">
        <v>108</v>
      </c>
      <c r="C872" s="95">
        <v>1</v>
      </c>
      <c r="D872" s="98">
        <f>$C872*VLOOKUP($B872,FoodDB!$A$2:$I$1016,3,0)</f>
        <v>0</v>
      </c>
      <c r="E872" s="98">
        <f>$C872*VLOOKUP($B872,FoodDB!$A$2:$I$1016,4,0)</f>
        <v>0</v>
      </c>
      <c r="F872" s="98">
        <f>$C872*VLOOKUP($B872,FoodDB!$A$2:$I$1016,5,0)</f>
        <v>0</v>
      </c>
      <c r="G872" s="98">
        <f>$C872*VLOOKUP($B872,FoodDB!$A$2:$I$1016,6,0)</f>
        <v>0</v>
      </c>
      <c r="H872" s="98">
        <f>$C872*VLOOKUP($B872,FoodDB!$A$2:$I$1016,7,0)</f>
        <v>0</v>
      </c>
      <c r="I872" s="98">
        <f>$C872*VLOOKUP($B872,FoodDB!$A$2:$I$1016,8,0)</f>
        <v>0</v>
      </c>
      <c r="J872" s="98">
        <f>$C872*VLOOKUP($B872,FoodDB!$A$2:$I$1016,9,0)</f>
        <v>0</v>
      </c>
      <c r="K872" s="98"/>
      <c r="L872" s="98">
        <f>SUM(G872:G878)</f>
        <v>0</v>
      </c>
      <c r="M872" s="98">
        <f>SUM(H872:H878)</f>
        <v>0</v>
      </c>
      <c r="N872" s="98">
        <f>SUM(I872:I878)</f>
        <v>0</v>
      </c>
      <c r="O872" s="98">
        <f>SUM(L872:N872)</f>
        <v>0</v>
      </c>
      <c r="P872" s="98">
        <f>VLOOKUP($A872,LossChart!$A$3:$AB$105,14,0)-L872</f>
        <v>762.76059772440976</v>
      </c>
      <c r="Q872" s="98">
        <f>VLOOKUP($A872,LossChart!$A$3:$AB$105,15,0)-M872</f>
        <v>80</v>
      </c>
      <c r="R872" s="98">
        <f>VLOOKUP($A872,LossChart!$A$3:$AB$105,16,0)-N872</f>
        <v>477.30407413615825</v>
      </c>
      <c r="S872" s="98">
        <f>VLOOKUP($A872,LossChart!$A$3:$AB$105,17,0)-O872</f>
        <v>1320.0646718605681</v>
      </c>
    </row>
    <row r="873" spans="1:19" x14ac:dyDescent="0.25">
      <c r="B873" s="94" t="s">
        <v>108</v>
      </c>
      <c r="C873" s="95">
        <v>1</v>
      </c>
      <c r="D873" s="98">
        <f>$C873*VLOOKUP($B873,FoodDB!$A$2:$I$1016,3,0)</f>
        <v>0</v>
      </c>
      <c r="E873" s="98">
        <f>$C873*VLOOKUP($B873,FoodDB!$A$2:$I$1016,4,0)</f>
        <v>0</v>
      </c>
      <c r="F873" s="98">
        <f>$C873*VLOOKUP($B873,FoodDB!$A$2:$I$1016,5,0)</f>
        <v>0</v>
      </c>
      <c r="G873" s="98">
        <f>$C873*VLOOKUP($B873,FoodDB!$A$2:$I$1016,6,0)</f>
        <v>0</v>
      </c>
      <c r="H873" s="98">
        <f>$C873*VLOOKUP($B873,FoodDB!$A$2:$I$1016,7,0)</f>
        <v>0</v>
      </c>
      <c r="I873" s="98">
        <f>$C873*VLOOKUP($B873,FoodDB!$A$2:$I$1016,8,0)</f>
        <v>0</v>
      </c>
      <c r="J873" s="98">
        <f>$C873*VLOOKUP($B873,FoodDB!$A$2:$I$1016,9,0)</f>
        <v>0</v>
      </c>
      <c r="K873" s="98"/>
      <c r="L873" s="98"/>
      <c r="M873" s="98"/>
      <c r="N873" s="98"/>
      <c r="O873" s="98"/>
      <c r="P873" s="98"/>
      <c r="Q873" s="98"/>
      <c r="R873" s="98"/>
      <c r="S873" s="98"/>
    </row>
    <row r="874" spans="1:19" x14ac:dyDescent="0.25">
      <c r="B874" s="94" t="s">
        <v>108</v>
      </c>
      <c r="C874" s="95">
        <v>1</v>
      </c>
      <c r="D874" s="98">
        <f>$C874*VLOOKUP($B874,FoodDB!$A$2:$I$1016,3,0)</f>
        <v>0</v>
      </c>
      <c r="E874" s="98">
        <f>$C874*VLOOKUP($B874,FoodDB!$A$2:$I$1016,4,0)</f>
        <v>0</v>
      </c>
      <c r="F874" s="98">
        <f>$C874*VLOOKUP($B874,FoodDB!$A$2:$I$1016,5,0)</f>
        <v>0</v>
      </c>
      <c r="G874" s="98">
        <f>$C874*VLOOKUP($B874,FoodDB!$A$2:$I$1016,6,0)</f>
        <v>0</v>
      </c>
      <c r="H874" s="98">
        <f>$C874*VLOOKUP($B874,FoodDB!$A$2:$I$1016,7,0)</f>
        <v>0</v>
      </c>
      <c r="I874" s="98">
        <f>$C874*VLOOKUP($B874,FoodDB!$A$2:$I$1016,8,0)</f>
        <v>0</v>
      </c>
      <c r="J874" s="98">
        <f>$C874*VLOOKUP($B874,FoodDB!$A$2:$I$1016,9,0)</f>
        <v>0</v>
      </c>
      <c r="K874" s="98"/>
      <c r="L874" s="98"/>
      <c r="M874" s="98"/>
      <c r="N874" s="98"/>
      <c r="O874" s="98"/>
      <c r="P874" s="98"/>
      <c r="Q874" s="98"/>
      <c r="R874" s="98"/>
      <c r="S874" s="98"/>
    </row>
    <row r="875" spans="1:19" x14ac:dyDescent="0.25">
      <c r="B875" s="94" t="s">
        <v>108</v>
      </c>
      <c r="C875" s="95">
        <v>1</v>
      </c>
      <c r="D875" s="98">
        <f>$C875*VLOOKUP($B875,FoodDB!$A$2:$I$1016,3,0)</f>
        <v>0</v>
      </c>
      <c r="E875" s="98">
        <f>$C875*VLOOKUP($B875,FoodDB!$A$2:$I$1016,4,0)</f>
        <v>0</v>
      </c>
      <c r="F875" s="98">
        <f>$C875*VLOOKUP($B875,FoodDB!$A$2:$I$1016,5,0)</f>
        <v>0</v>
      </c>
      <c r="G875" s="98">
        <f>$C875*VLOOKUP($B875,FoodDB!$A$2:$I$1016,6,0)</f>
        <v>0</v>
      </c>
      <c r="H875" s="98">
        <f>$C875*VLOOKUP($B875,FoodDB!$A$2:$I$1016,7,0)</f>
        <v>0</v>
      </c>
      <c r="I875" s="98">
        <f>$C875*VLOOKUP($B875,FoodDB!$A$2:$I$1016,8,0)</f>
        <v>0</v>
      </c>
      <c r="J875" s="98">
        <f>$C875*VLOOKUP($B875,FoodDB!$A$2:$I$1016,9,0)</f>
        <v>0</v>
      </c>
      <c r="K875" s="98"/>
      <c r="L875" s="98"/>
      <c r="M875" s="98"/>
      <c r="N875" s="98"/>
      <c r="O875" s="98"/>
      <c r="P875" s="98"/>
      <c r="Q875" s="98"/>
      <c r="R875" s="98"/>
      <c r="S875" s="98"/>
    </row>
    <row r="876" spans="1:19" x14ac:dyDescent="0.25">
      <c r="B876" s="94" t="s">
        <v>108</v>
      </c>
      <c r="C876" s="95">
        <v>1</v>
      </c>
      <c r="D876" s="98">
        <f>$C876*VLOOKUP($B876,FoodDB!$A$2:$I$1016,3,0)</f>
        <v>0</v>
      </c>
      <c r="E876" s="98">
        <f>$C876*VLOOKUP($B876,FoodDB!$A$2:$I$1016,4,0)</f>
        <v>0</v>
      </c>
      <c r="F876" s="98">
        <f>$C876*VLOOKUP($B876,FoodDB!$A$2:$I$1016,5,0)</f>
        <v>0</v>
      </c>
      <c r="G876" s="98">
        <f>$C876*VLOOKUP($B876,FoodDB!$A$2:$I$1016,6,0)</f>
        <v>0</v>
      </c>
      <c r="H876" s="98">
        <f>$C876*VLOOKUP($B876,FoodDB!$A$2:$I$1016,7,0)</f>
        <v>0</v>
      </c>
      <c r="I876" s="98">
        <f>$C876*VLOOKUP($B876,FoodDB!$A$2:$I$1016,8,0)</f>
        <v>0</v>
      </c>
      <c r="J876" s="98">
        <f>$C876*VLOOKUP($B876,FoodDB!$A$2:$I$1016,9,0)</f>
        <v>0</v>
      </c>
      <c r="K876" s="98"/>
      <c r="L876" s="98"/>
      <c r="M876" s="98"/>
      <c r="N876" s="98"/>
      <c r="O876" s="98"/>
      <c r="P876" s="98"/>
      <c r="Q876" s="98"/>
      <c r="R876" s="98"/>
      <c r="S876" s="98"/>
    </row>
    <row r="877" spans="1:19" x14ac:dyDescent="0.25">
      <c r="B877" s="94" t="s">
        <v>108</v>
      </c>
      <c r="C877" s="95">
        <v>1</v>
      </c>
      <c r="D877" s="98">
        <f>$C877*VLOOKUP($B877,FoodDB!$A$2:$I$1016,3,0)</f>
        <v>0</v>
      </c>
      <c r="E877" s="98">
        <f>$C877*VLOOKUP($B877,FoodDB!$A$2:$I$1016,4,0)</f>
        <v>0</v>
      </c>
      <c r="F877" s="98">
        <f>$C877*VLOOKUP($B877,FoodDB!$A$2:$I$1016,5,0)</f>
        <v>0</v>
      </c>
      <c r="G877" s="98">
        <f>$C877*VLOOKUP($B877,FoodDB!$A$2:$I$1016,6,0)</f>
        <v>0</v>
      </c>
      <c r="H877" s="98">
        <f>$C877*VLOOKUP($B877,FoodDB!$A$2:$I$1016,7,0)</f>
        <v>0</v>
      </c>
      <c r="I877" s="98">
        <f>$C877*VLOOKUP($B877,FoodDB!$A$2:$I$1016,8,0)</f>
        <v>0</v>
      </c>
      <c r="J877" s="98">
        <f>$C877*VLOOKUP($B877,FoodDB!$A$2:$I$1016,9,0)</f>
        <v>0</v>
      </c>
      <c r="K877" s="98"/>
      <c r="L877" s="98"/>
      <c r="M877" s="98"/>
      <c r="N877" s="98"/>
      <c r="O877" s="98"/>
      <c r="P877" s="98"/>
      <c r="Q877" s="98"/>
      <c r="R877" s="98"/>
      <c r="S877" s="98"/>
    </row>
    <row r="878" spans="1:19" x14ac:dyDescent="0.25">
      <c r="B878" s="94" t="s">
        <v>108</v>
      </c>
      <c r="C878" s="95">
        <v>1</v>
      </c>
      <c r="D878" s="98">
        <f>$C878*VLOOKUP($B878,FoodDB!$A$2:$I$1016,3,0)</f>
        <v>0</v>
      </c>
      <c r="E878" s="98">
        <f>$C878*VLOOKUP($B878,FoodDB!$A$2:$I$1016,4,0)</f>
        <v>0</v>
      </c>
      <c r="F878" s="98">
        <f>$C878*VLOOKUP($B878,FoodDB!$A$2:$I$1016,5,0)</f>
        <v>0</v>
      </c>
      <c r="G878" s="98">
        <f>$C878*VLOOKUP($B878,FoodDB!$A$2:$I$1016,6,0)</f>
        <v>0</v>
      </c>
      <c r="H878" s="98">
        <f>$C878*VLOOKUP($B878,FoodDB!$A$2:$I$1016,7,0)</f>
        <v>0</v>
      </c>
      <c r="I878" s="98">
        <f>$C878*VLOOKUP($B878,FoodDB!$A$2:$I$1016,8,0)</f>
        <v>0</v>
      </c>
      <c r="J878" s="98">
        <f>$C878*VLOOKUP($B878,FoodDB!$A$2:$I$1016,9,0)</f>
        <v>0</v>
      </c>
      <c r="K878" s="98"/>
      <c r="L878" s="98"/>
      <c r="M878" s="98"/>
      <c r="N878" s="98"/>
      <c r="O878" s="98"/>
      <c r="P878" s="98"/>
      <c r="Q878" s="98"/>
      <c r="R878" s="98"/>
      <c r="S878" s="98"/>
    </row>
    <row r="879" spans="1:19" x14ac:dyDescent="0.25">
      <c r="A879" t="s">
        <v>98</v>
      </c>
      <c r="D879" s="98"/>
      <c r="E879" s="98"/>
      <c r="F879" s="98"/>
      <c r="G879" s="98">
        <f>SUM(G872:G878)</f>
        <v>0</v>
      </c>
      <c r="H879" s="98">
        <f>SUM(H872:H878)</f>
        <v>0</v>
      </c>
      <c r="I879" s="98">
        <f>SUM(I872:I878)</f>
        <v>0</v>
      </c>
      <c r="J879" s="98">
        <f>SUM(G879:I879)</f>
        <v>0</v>
      </c>
      <c r="K879" s="98"/>
      <c r="L879" s="98"/>
      <c r="M879" s="98"/>
      <c r="N879" s="98"/>
      <c r="O879" s="98"/>
      <c r="P879" s="98"/>
      <c r="Q879" s="98"/>
      <c r="R879" s="98"/>
      <c r="S879" s="98"/>
    </row>
    <row r="880" spans="1:19" x14ac:dyDescent="0.25">
      <c r="A880" t="s">
        <v>102</v>
      </c>
      <c r="B880" t="s">
        <v>103</v>
      </c>
      <c r="D880" s="98"/>
      <c r="E880" s="98"/>
      <c r="F880" s="98"/>
      <c r="G880" s="98">
        <f>VLOOKUP($A872,LossChart!$A$3:$AB$105,14,0)</f>
        <v>762.76059772440976</v>
      </c>
      <c r="H880" s="98">
        <f>VLOOKUP($A872,LossChart!$A$3:$AB$105,15,0)</f>
        <v>80</v>
      </c>
      <c r="I880" s="98">
        <f>VLOOKUP($A872,LossChart!$A$3:$AB$105,16,0)</f>
        <v>477.30407413615825</v>
      </c>
      <c r="J880" s="98">
        <f>VLOOKUP($A872,LossChart!$A$3:$AB$105,17,0)</f>
        <v>1320.0646718605681</v>
      </c>
      <c r="K880" s="98"/>
      <c r="L880" s="98"/>
      <c r="M880" s="98"/>
      <c r="N880" s="98"/>
      <c r="O880" s="98"/>
      <c r="P880" s="98"/>
      <c r="Q880" s="98"/>
      <c r="R880" s="98"/>
      <c r="S880" s="98"/>
    </row>
    <row r="881" spans="1:19" x14ac:dyDescent="0.25">
      <c r="A881" t="s">
        <v>104</v>
      </c>
      <c r="D881" s="98"/>
      <c r="E881" s="98"/>
      <c r="F881" s="98"/>
      <c r="G881" s="98">
        <f>G880-G879</f>
        <v>762.76059772440976</v>
      </c>
      <c r="H881" s="98">
        <f>H880-H879</f>
        <v>80</v>
      </c>
      <c r="I881" s="98">
        <f>I880-I879</f>
        <v>477.30407413615825</v>
      </c>
      <c r="J881" s="98">
        <f>J880-J879</f>
        <v>1320.0646718605681</v>
      </c>
      <c r="K881" s="98"/>
      <c r="L881" s="98"/>
      <c r="M881" s="98"/>
      <c r="N881" s="98"/>
      <c r="O881" s="98"/>
      <c r="P881" s="98"/>
      <c r="Q881" s="98"/>
      <c r="R881" s="98"/>
      <c r="S881" s="98"/>
    </row>
    <row r="883" spans="1:19" ht="60" x14ac:dyDescent="0.25">
      <c r="A883" s="21" t="s">
        <v>63</v>
      </c>
      <c r="B883" s="21" t="s">
        <v>93</v>
      </c>
      <c r="C883" s="21" t="s">
        <v>94</v>
      </c>
      <c r="D883" s="92" t="str">
        <f>FoodDB!$C$1</f>
        <v>Fat
(g)</v>
      </c>
      <c r="E883" s="92" t="str">
        <f>FoodDB!$D$1</f>
        <v xml:space="preserve"> Carbs
(g)</v>
      </c>
      <c r="F883" s="92" t="str">
        <f>FoodDB!$E$1</f>
        <v>Protein
(g)</v>
      </c>
      <c r="G883" s="92" t="str">
        <f>FoodDB!$F$1</f>
        <v>Fat
(Cal)</v>
      </c>
      <c r="H883" s="92" t="str">
        <f>FoodDB!$G$1</f>
        <v>Carb
(Cal)</v>
      </c>
      <c r="I883" s="92" t="str">
        <f>FoodDB!$H$1</f>
        <v>Protein
(Cal)</v>
      </c>
      <c r="J883" s="92" t="str">
        <f>FoodDB!$I$1</f>
        <v>Total
Calories</v>
      </c>
      <c r="K883" s="92"/>
      <c r="L883" s="92" t="s">
        <v>110</v>
      </c>
      <c r="M883" s="92" t="s">
        <v>111</v>
      </c>
      <c r="N883" s="92" t="s">
        <v>112</v>
      </c>
      <c r="O883" s="92" t="s">
        <v>113</v>
      </c>
      <c r="P883" s="92" t="s">
        <v>118</v>
      </c>
      <c r="Q883" s="92" t="s">
        <v>119</v>
      </c>
      <c r="R883" s="92" t="s">
        <v>120</v>
      </c>
      <c r="S883" s="92" t="s">
        <v>121</v>
      </c>
    </row>
    <row r="884" spans="1:19" x14ac:dyDescent="0.25">
      <c r="A884" s="93">
        <f>A872+1</f>
        <v>43067</v>
      </c>
      <c r="B884" s="94" t="s">
        <v>108</v>
      </c>
      <c r="C884" s="95">
        <v>1</v>
      </c>
      <c r="D884" s="98">
        <f>$C884*VLOOKUP($B884,FoodDB!$A$2:$I$1016,3,0)</f>
        <v>0</v>
      </c>
      <c r="E884" s="98">
        <f>$C884*VLOOKUP($B884,FoodDB!$A$2:$I$1016,4,0)</f>
        <v>0</v>
      </c>
      <c r="F884" s="98">
        <f>$C884*VLOOKUP($B884,FoodDB!$A$2:$I$1016,5,0)</f>
        <v>0</v>
      </c>
      <c r="G884" s="98">
        <f>$C884*VLOOKUP($B884,FoodDB!$A$2:$I$1016,6,0)</f>
        <v>0</v>
      </c>
      <c r="H884" s="98">
        <f>$C884*VLOOKUP($B884,FoodDB!$A$2:$I$1016,7,0)</f>
        <v>0</v>
      </c>
      <c r="I884" s="98">
        <f>$C884*VLOOKUP($B884,FoodDB!$A$2:$I$1016,8,0)</f>
        <v>0</v>
      </c>
      <c r="J884" s="98">
        <f>$C884*VLOOKUP($B884,FoodDB!$A$2:$I$1016,9,0)</f>
        <v>0</v>
      </c>
      <c r="K884" s="98"/>
      <c r="L884" s="98">
        <f>SUM(G884:G890)</f>
        <v>0</v>
      </c>
      <c r="M884" s="98">
        <f>SUM(H884:H890)</f>
        <v>0</v>
      </c>
      <c r="N884" s="98">
        <f>SUM(I884:I890)</f>
        <v>0</v>
      </c>
      <c r="O884" s="98">
        <f>SUM(L884:N884)</f>
        <v>0</v>
      </c>
      <c r="P884" s="98">
        <f>VLOOKUP($A884,LossChart!$A$3:$AB$105,14,0)-L884</f>
        <v>767.50716563949368</v>
      </c>
      <c r="Q884" s="98">
        <f>VLOOKUP($A884,LossChart!$A$3:$AB$105,15,0)-M884</f>
        <v>80</v>
      </c>
      <c r="R884" s="98">
        <f>VLOOKUP($A884,LossChart!$A$3:$AB$105,16,0)-N884</f>
        <v>477.30407413615825</v>
      </c>
      <c r="S884" s="98">
        <f>VLOOKUP($A884,LossChart!$A$3:$AB$105,17,0)-O884</f>
        <v>1324.811239775652</v>
      </c>
    </row>
    <row r="885" spans="1:19" x14ac:dyDescent="0.25">
      <c r="B885" s="94" t="s">
        <v>108</v>
      </c>
      <c r="C885" s="95">
        <v>1</v>
      </c>
      <c r="D885" s="98">
        <f>$C885*VLOOKUP($B885,FoodDB!$A$2:$I$1016,3,0)</f>
        <v>0</v>
      </c>
      <c r="E885" s="98">
        <f>$C885*VLOOKUP($B885,FoodDB!$A$2:$I$1016,4,0)</f>
        <v>0</v>
      </c>
      <c r="F885" s="98">
        <f>$C885*VLOOKUP($B885,FoodDB!$A$2:$I$1016,5,0)</f>
        <v>0</v>
      </c>
      <c r="G885" s="98">
        <f>$C885*VLOOKUP($B885,FoodDB!$A$2:$I$1016,6,0)</f>
        <v>0</v>
      </c>
      <c r="H885" s="98">
        <f>$C885*VLOOKUP($B885,FoodDB!$A$2:$I$1016,7,0)</f>
        <v>0</v>
      </c>
      <c r="I885" s="98">
        <f>$C885*VLOOKUP($B885,FoodDB!$A$2:$I$1016,8,0)</f>
        <v>0</v>
      </c>
      <c r="J885" s="98">
        <f>$C885*VLOOKUP($B885,FoodDB!$A$2:$I$1016,9,0)</f>
        <v>0</v>
      </c>
      <c r="K885" s="98"/>
      <c r="L885" s="98"/>
      <c r="M885" s="98"/>
      <c r="N885" s="98"/>
      <c r="O885" s="98"/>
      <c r="P885" s="98"/>
      <c r="Q885" s="98"/>
      <c r="R885" s="98"/>
      <c r="S885" s="98"/>
    </row>
    <row r="886" spans="1:19" x14ac:dyDescent="0.25">
      <c r="B886" s="94" t="s">
        <v>108</v>
      </c>
      <c r="C886" s="95">
        <v>1</v>
      </c>
      <c r="D886" s="98">
        <f>$C886*VLOOKUP($B886,FoodDB!$A$2:$I$1016,3,0)</f>
        <v>0</v>
      </c>
      <c r="E886" s="98">
        <f>$C886*VLOOKUP($B886,FoodDB!$A$2:$I$1016,4,0)</f>
        <v>0</v>
      </c>
      <c r="F886" s="98">
        <f>$C886*VLOOKUP($B886,FoodDB!$A$2:$I$1016,5,0)</f>
        <v>0</v>
      </c>
      <c r="G886" s="98">
        <f>$C886*VLOOKUP($B886,FoodDB!$A$2:$I$1016,6,0)</f>
        <v>0</v>
      </c>
      <c r="H886" s="98">
        <f>$C886*VLOOKUP($B886,FoodDB!$A$2:$I$1016,7,0)</f>
        <v>0</v>
      </c>
      <c r="I886" s="98">
        <f>$C886*VLOOKUP($B886,FoodDB!$A$2:$I$1016,8,0)</f>
        <v>0</v>
      </c>
      <c r="J886" s="98">
        <f>$C886*VLOOKUP($B886,FoodDB!$A$2:$I$1016,9,0)</f>
        <v>0</v>
      </c>
      <c r="K886" s="98"/>
      <c r="L886" s="98"/>
      <c r="M886" s="98"/>
      <c r="N886" s="98"/>
      <c r="O886" s="98"/>
      <c r="P886" s="98"/>
      <c r="Q886" s="98"/>
      <c r="R886" s="98"/>
      <c r="S886" s="98"/>
    </row>
    <row r="887" spans="1:19" x14ac:dyDescent="0.25">
      <c r="B887" s="94" t="s">
        <v>108</v>
      </c>
      <c r="C887" s="95">
        <v>1</v>
      </c>
      <c r="D887" s="98">
        <f>$C887*VLOOKUP($B887,FoodDB!$A$2:$I$1016,3,0)</f>
        <v>0</v>
      </c>
      <c r="E887" s="98">
        <f>$C887*VLOOKUP($B887,FoodDB!$A$2:$I$1016,4,0)</f>
        <v>0</v>
      </c>
      <c r="F887" s="98">
        <f>$C887*VLOOKUP($B887,FoodDB!$A$2:$I$1016,5,0)</f>
        <v>0</v>
      </c>
      <c r="G887" s="98">
        <f>$C887*VLOOKUP($B887,FoodDB!$A$2:$I$1016,6,0)</f>
        <v>0</v>
      </c>
      <c r="H887" s="98">
        <f>$C887*VLOOKUP($B887,FoodDB!$A$2:$I$1016,7,0)</f>
        <v>0</v>
      </c>
      <c r="I887" s="98">
        <f>$C887*VLOOKUP($B887,FoodDB!$A$2:$I$1016,8,0)</f>
        <v>0</v>
      </c>
      <c r="J887" s="98">
        <f>$C887*VLOOKUP($B887,FoodDB!$A$2:$I$1016,9,0)</f>
        <v>0</v>
      </c>
      <c r="K887" s="98"/>
      <c r="L887" s="98"/>
      <c r="M887" s="98"/>
      <c r="N887" s="98"/>
      <c r="O887" s="98"/>
      <c r="P887" s="98"/>
      <c r="Q887" s="98"/>
      <c r="R887" s="98"/>
      <c r="S887" s="98"/>
    </row>
    <row r="888" spans="1:19" x14ac:dyDescent="0.25">
      <c r="B888" s="94" t="s">
        <v>108</v>
      </c>
      <c r="C888" s="95">
        <v>1</v>
      </c>
      <c r="D888" s="98">
        <f>$C888*VLOOKUP($B888,FoodDB!$A$2:$I$1016,3,0)</f>
        <v>0</v>
      </c>
      <c r="E888" s="98">
        <f>$C888*VLOOKUP($B888,FoodDB!$A$2:$I$1016,4,0)</f>
        <v>0</v>
      </c>
      <c r="F888" s="98">
        <f>$C888*VLOOKUP($B888,FoodDB!$A$2:$I$1016,5,0)</f>
        <v>0</v>
      </c>
      <c r="G888" s="98">
        <f>$C888*VLOOKUP($B888,FoodDB!$A$2:$I$1016,6,0)</f>
        <v>0</v>
      </c>
      <c r="H888" s="98">
        <f>$C888*VLOOKUP($B888,FoodDB!$A$2:$I$1016,7,0)</f>
        <v>0</v>
      </c>
      <c r="I888" s="98">
        <f>$C888*VLOOKUP($B888,FoodDB!$A$2:$I$1016,8,0)</f>
        <v>0</v>
      </c>
      <c r="J888" s="98">
        <f>$C888*VLOOKUP($B888,FoodDB!$A$2:$I$1016,9,0)</f>
        <v>0</v>
      </c>
      <c r="K888" s="98"/>
      <c r="L888" s="98"/>
      <c r="M888" s="98"/>
      <c r="N888" s="98"/>
      <c r="O888" s="98"/>
      <c r="P888" s="98"/>
      <c r="Q888" s="98"/>
      <c r="R888" s="98"/>
      <c r="S888" s="98"/>
    </row>
    <row r="889" spans="1:19" x14ac:dyDescent="0.25">
      <c r="B889" s="94" t="s">
        <v>108</v>
      </c>
      <c r="C889" s="95">
        <v>1</v>
      </c>
      <c r="D889" s="98">
        <f>$C889*VLOOKUP($B889,FoodDB!$A$2:$I$1016,3,0)</f>
        <v>0</v>
      </c>
      <c r="E889" s="98">
        <f>$C889*VLOOKUP($B889,FoodDB!$A$2:$I$1016,4,0)</f>
        <v>0</v>
      </c>
      <c r="F889" s="98">
        <f>$C889*VLOOKUP($B889,FoodDB!$A$2:$I$1016,5,0)</f>
        <v>0</v>
      </c>
      <c r="G889" s="98">
        <f>$C889*VLOOKUP($B889,FoodDB!$A$2:$I$1016,6,0)</f>
        <v>0</v>
      </c>
      <c r="H889" s="98">
        <f>$C889*VLOOKUP($B889,FoodDB!$A$2:$I$1016,7,0)</f>
        <v>0</v>
      </c>
      <c r="I889" s="98">
        <f>$C889*VLOOKUP($B889,FoodDB!$A$2:$I$1016,8,0)</f>
        <v>0</v>
      </c>
      <c r="J889" s="98">
        <f>$C889*VLOOKUP($B889,FoodDB!$A$2:$I$1016,9,0)</f>
        <v>0</v>
      </c>
      <c r="K889" s="98"/>
      <c r="L889" s="98"/>
      <c r="M889" s="98"/>
      <c r="N889" s="98"/>
      <c r="O889" s="98"/>
      <c r="P889" s="98"/>
      <c r="Q889" s="98"/>
      <c r="R889" s="98"/>
      <c r="S889" s="98"/>
    </row>
    <row r="890" spans="1:19" x14ac:dyDescent="0.25">
      <c r="B890" s="94" t="s">
        <v>108</v>
      </c>
      <c r="C890" s="95">
        <v>1</v>
      </c>
      <c r="D890" s="98">
        <f>$C890*VLOOKUP($B890,FoodDB!$A$2:$I$1016,3,0)</f>
        <v>0</v>
      </c>
      <c r="E890" s="98">
        <f>$C890*VLOOKUP($B890,FoodDB!$A$2:$I$1016,4,0)</f>
        <v>0</v>
      </c>
      <c r="F890" s="98">
        <f>$C890*VLOOKUP($B890,FoodDB!$A$2:$I$1016,5,0)</f>
        <v>0</v>
      </c>
      <c r="G890" s="98">
        <f>$C890*VLOOKUP($B890,FoodDB!$A$2:$I$1016,6,0)</f>
        <v>0</v>
      </c>
      <c r="H890" s="98">
        <f>$C890*VLOOKUP($B890,FoodDB!$A$2:$I$1016,7,0)</f>
        <v>0</v>
      </c>
      <c r="I890" s="98">
        <f>$C890*VLOOKUP($B890,FoodDB!$A$2:$I$1016,8,0)</f>
        <v>0</v>
      </c>
      <c r="J890" s="98">
        <f>$C890*VLOOKUP($B890,FoodDB!$A$2:$I$1016,9,0)</f>
        <v>0</v>
      </c>
      <c r="K890" s="98"/>
      <c r="L890" s="98"/>
      <c r="M890" s="98"/>
      <c r="N890" s="98"/>
      <c r="O890" s="98"/>
      <c r="P890" s="98"/>
      <c r="Q890" s="98"/>
      <c r="R890" s="98"/>
      <c r="S890" s="98"/>
    </row>
    <row r="891" spans="1:19" x14ac:dyDescent="0.25">
      <c r="A891" t="s">
        <v>98</v>
      </c>
      <c r="D891" s="98"/>
      <c r="E891" s="98"/>
      <c r="F891" s="98"/>
      <c r="G891" s="98">
        <f>SUM(G884:G890)</f>
        <v>0</v>
      </c>
      <c r="H891" s="98">
        <f>SUM(H884:H890)</f>
        <v>0</v>
      </c>
      <c r="I891" s="98">
        <f>SUM(I884:I890)</f>
        <v>0</v>
      </c>
      <c r="J891" s="98">
        <f>SUM(G891:I891)</f>
        <v>0</v>
      </c>
      <c r="K891" s="98"/>
      <c r="L891" s="98"/>
      <c r="M891" s="98"/>
      <c r="N891" s="98"/>
      <c r="O891" s="98"/>
      <c r="P891" s="98"/>
      <c r="Q891" s="98"/>
      <c r="R891" s="98"/>
      <c r="S891" s="98"/>
    </row>
    <row r="892" spans="1:19" x14ac:dyDescent="0.25">
      <c r="A892" t="s">
        <v>102</v>
      </c>
      <c r="B892" t="s">
        <v>103</v>
      </c>
      <c r="D892" s="98"/>
      <c r="E892" s="98"/>
      <c r="F892" s="98"/>
      <c r="G892" s="98">
        <f>VLOOKUP($A884,LossChart!$A$3:$AB$105,14,0)</f>
        <v>767.50716563949368</v>
      </c>
      <c r="H892" s="98">
        <f>VLOOKUP($A884,LossChart!$A$3:$AB$105,15,0)</f>
        <v>80</v>
      </c>
      <c r="I892" s="98">
        <f>VLOOKUP($A884,LossChart!$A$3:$AB$105,16,0)</f>
        <v>477.30407413615825</v>
      </c>
      <c r="J892" s="98">
        <f>VLOOKUP($A884,LossChart!$A$3:$AB$105,17,0)</f>
        <v>1324.811239775652</v>
      </c>
      <c r="K892" s="98"/>
      <c r="L892" s="98"/>
      <c r="M892" s="98"/>
      <c r="N892" s="98"/>
      <c r="O892" s="98"/>
      <c r="P892" s="98"/>
      <c r="Q892" s="98"/>
      <c r="R892" s="98"/>
      <c r="S892" s="98"/>
    </row>
    <row r="893" spans="1:19" x14ac:dyDescent="0.25">
      <c r="A893" t="s">
        <v>104</v>
      </c>
      <c r="D893" s="98"/>
      <c r="E893" s="98"/>
      <c r="F893" s="98"/>
      <c r="G893" s="98">
        <f>G892-G891</f>
        <v>767.50716563949368</v>
      </c>
      <c r="H893" s="98">
        <f>H892-H891</f>
        <v>80</v>
      </c>
      <c r="I893" s="98">
        <f>I892-I891</f>
        <v>477.30407413615825</v>
      </c>
      <c r="J893" s="98">
        <f>J892-J891</f>
        <v>1324.811239775652</v>
      </c>
      <c r="K893" s="98"/>
      <c r="L893" s="98"/>
      <c r="M893" s="98"/>
      <c r="N893" s="98"/>
      <c r="O893" s="98"/>
      <c r="P893" s="98"/>
      <c r="Q893" s="98"/>
      <c r="R893" s="98"/>
      <c r="S893" s="98"/>
    </row>
    <row r="895" spans="1:19" ht="60" x14ac:dyDescent="0.25">
      <c r="A895" s="21" t="s">
        <v>63</v>
      </c>
      <c r="B895" s="21" t="s">
        <v>93</v>
      </c>
      <c r="C895" s="21" t="s">
        <v>94</v>
      </c>
      <c r="D895" s="92" t="str">
        <f>FoodDB!$C$1</f>
        <v>Fat
(g)</v>
      </c>
      <c r="E895" s="92" t="str">
        <f>FoodDB!$D$1</f>
        <v xml:space="preserve"> Carbs
(g)</v>
      </c>
      <c r="F895" s="92" t="str">
        <f>FoodDB!$E$1</f>
        <v>Protein
(g)</v>
      </c>
      <c r="G895" s="92" t="str">
        <f>FoodDB!$F$1</f>
        <v>Fat
(Cal)</v>
      </c>
      <c r="H895" s="92" t="str">
        <f>FoodDB!$G$1</f>
        <v>Carb
(Cal)</v>
      </c>
      <c r="I895" s="92" t="str">
        <f>FoodDB!$H$1</f>
        <v>Protein
(Cal)</v>
      </c>
      <c r="J895" s="92" t="str">
        <f>FoodDB!$I$1</f>
        <v>Total
Calories</v>
      </c>
      <c r="K895" s="92"/>
      <c r="L895" s="92" t="s">
        <v>110</v>
      </c>
      <c r="M895" s="92" t="s">
        <v>111</v>
      </c>
      <c r="N895" s="92" t="s">
        <v>112</v>
      </c>
      <c r="O895" s="92" t="s">
        <v>113</v>
      </c>
      <c r="P895" s="92" t="s">
        <v>118</v>
      </c>
      <c r="Q895" s="92" t="s">
        <v>119</v>
      </c>
      <c r="R895" s="92" t="s">
        <v>120</v>
      </c>
      <c r="S895" s="92" t="s">
        <v>121</v>
      </c>
    </row>
    <row r="896" spans="1:19" x14ac:dyDescent="0.25">
      <c r="A896" s="93">
        <f>A884+1</f>
        <v>43068</v>
      </c>
      <c r="B896" s="94" t="s">
        <v>108</v>
      </c>
      <c r="C896" s="95">
        <v>1</v>
      </c>
      <c r="D896" s="98">
        <f>$C896*VLOOKUP($B896,FoodDB!$A$2:$I$1016,3,0)</f>
        <v>0</v>
      </c>
      <c r="E896" s="98">
        <f>$C896*VLOOKUP($B896,FoodDB!$A$2:$I$1016,4,0)</f>
        <v>0</v>
      </c>
      <c r="F896" s="98">
        <f>$C896*VLOOKUP($B896,FoodDB!$A$2:$I$1016,5,0)</f>
        <v>0</v>
      </c>
      <c r="G896" s="98">
        <f>$C896*VLOOKUP($B896,FoodDB!$A$2:$I$1016,6,0)</f>
        <v>0</v>
      </c>
      <c r="H896" s="98">
        <f>$C896*VLOOKUP($B896,FoodDB!$A$2:$I$1016,7,0)</f>
        <v>0</v>
      </c>
      <c r="I896" s="98">
        <f>$C896*VLOOKUP($B896,FoodDB!$A$2:$I$1016,8,0)</f>
        <v>0</v>
      </c>
      <c r="J896" s="98">
        <f>$C896*VLOOKUP($B896,FoodDB!$A$2:$I$1016,9,0)</f>
        <v>0</v>
      </c>
      <c r="K896" s="98"/>
      <c r="L896" s="98">
        <f>SUM(G896:G902)</f>
        <v>0</v>
      </c>
      <c r="M896" s="98">
        <f>SUM(H896:H902)</f>
        <v>0</v>
      </c>
      <c r="N896" s="98">
        <f>SUM(I896:I902)</f>
        <v>0</v>
      </c>
      <c r="O896" s="98">
        <f>SUM(L896:N896)</f>
        <v>0</v>
      </c>
      <c r="P896" s="98">
        <f>VLOOKUP($A896,LossChart!$A$3:$AB$105,14,0)-L896</f>
        <v>772.21169252447271</v>
      </c>
      <c r="Q896" s="98">
        <f>VLOOKUP($A896,LossChart!$A$3:$AB$105,15,0)-M896</f>
        <v>80</v>
      </c>
      <c r="R896" s="98">
        <f>VLOOKUP($A896,LossChart!$A$3:$AB$105,16,0)-N896</f>
        <v>477.30407413615825</v>
      </c>
      <c r="S896" s="98">
        <f>VLOOKUP($A896,LossChart!$A$3:$AB$105,17,0)-O896</f>
        <v>1329.515766660631</v>
      </c>
    </row>
    <row r="897" spans="1:19" x14ac:dyDescent="0.25">
      <c r="B897" s="94" t="s">
        <v>108</v>
      </c>
      <c r="C897" s="95">
        <v>1</v>
      </c>
      <c r="D897" s="98">
        <f>$C897*VLOOKUP($B897,FoodDB!$A$2:$I$1016,3,0)</f>
        <v>0</v>
      </c>
      <c r="E897" s="98">
        <f>$C897*VLOOKUP($B897,FoodDB!$A$2:$I$1016,4,0)</f>
        <v>0</v>
      </c>
      <c r="F897" s="98">
        <f>$C897*VLOOKUP($B897,FoodDB!$A$2:$I$1016,5,0)</f>
        <v>0</v>
      </c>
      <c r="G897" s="98">
        <f>$C897*VLOOKUP($B897,FoodDB!$A$2:$I$1016,6,0)</f>
        <v>0</v>
      </c>
      <c r="H897" s="98">
        <f>$C897*VLOOKUP($B897,FoodDB!$A$2:$I$1016,7,0)</f>
        <v>0</v>
      </c>
      <c r="I897" s="98">
        <f>$C897*VLOOKUP($B897,FoodDB!$A$2:$I$1016,8,0)</f>
        <v>0</v>
      </c>
      <c r="J897" s="98">
        <f>$C897*VLOOKUP($B897,FoodDB!$A$2:$I$1016,9,0)</f>
        <v>0</v>
      </c>
      <c r="K897" s="98"/>
      <c r="L897" s="98"/>
      <c r="M897" s="98"/>
      <c r="N897" s="98"/>
      <c r="O897" s="98"/>
      <c r="P897" s="98"/>
      <c r="Q897" s="98"/>
      <c r="R897" s="98"/>
      <c r="S897" s="98"/>
    </row>
    <row r="898" spans="1:19" x14ac:dyDescent="0.25">
      <c r="B898" s="94" t="s">
        <v>108</v>
      </c>
      <c r="C898" s="95">
        <v>1</v>
      </c>
      <c r="D898" s="98">
        <f>$C898*VLOOKUP($B898,FoodDB!$A$2:$I$1016,3,0)</f>
        <v>0</v>
      </c>
      <c r="E898" s="98">
        <f>$C898*VLOOKUP($B898,FoodDB!$A$2:$I$1016,4,0)</f>
        <v>0</v>
      </c>
      <c r="F898" s="98">
        <f>$C898*VLOOKUP($B898,FoodDB!$A$2:$I$1016,5,0)</f>
        <v>0</v>
      </c>
      <c r="G898" s="98">
        <f>$C898*VLOOKUP($B898,FoodDB!$A$2:$I$1016,6,0)</f>
        <v>0</v>
      </c>
      <c r="H898" s="98">
        <f>$C898*VLOOKUP($B898,FoodDB!$A$2:$I$1016,7,0)</f>
        <v>0</v>
      </c>
      <c r="I898" s="98">
        <f>$C898*VLOOKUP($B898,FoodDB!$A$2:$I$1016,8,0)</f>
        <v>0</v>
      </c>
      <c r="J898" s="98">
        <f>$C898*VLOOKUP($B898,FoodDB!$A$2:$I$1016,9,0)</f>
        <v>0</v>
      </c>
      <c r="K898" s="98"/>
      <c r="L898" s="98"/>
      <c r="M898" s="98"/>
      <c r="N898" s="98"/>
      <c r="O898" s="98"/>
      <c r="P898" s="98"/>
      <c r="Q898" s="98"/>
      <c r="R898" s="98"/>
      <c r="S898" s="98"/>
    </row>
    <row r="899" spans="1:19" x14ac:dyDescent="0.25">
      <c r="B899" s="94" t="s">
        <v>108</v>
      </c>
      <c r="C899" s="95">
        <v>1</v>
      </c>
      <c r="D899" s="98">
        <f>$C899*VLOOKUP($B899,FoodDB!$A$2:$I$1016,3,0)</f>
        <v>0</v>
      </c>
      <c r="E899" s="98">
        <f>$C899*VLOOKUP($B899,FoodDB!$A$2:$I$1016,4,0)</f>
        <v>0</v>
      </c>
      <c r="F899" s="98">
        <f>$C899*VLOOKUP($B899,FoodDB!$A$2:$I$1016,5,0)</f>
        <v>0</v>
      </c>
      <c r="G899" s="98">
        <f>$C899*VLOOKUP($B899,FoodDB!$A$2:$I$1016,6,0)</f>
        <v>0</v>
      </c>
      <c r="H899" s="98">
        <f>$C899*VLOOKUP($B899,FoodDB!$A$2:$I$1016,7,0)</f>
        <v>0</v>
      </c>
      <c r="I899" s="98">
        <f>$C899*VLOOKUP($B899,FoodDB!$A$2:$I$1016,8,0)</f>
        <v>0</v>
      </c>
      <c r="J899" s="98">
        <f>$C899*VLOOKUP($B899,FoodDB!$A$2:$I$1016,9,0)</f>
        <v>0</v>
      </c>
      <c r="K899" s="98"/>
      <c r="L899" s="98"/>
      <c r="M899" s="98"/>
      <c r="N899" s="98"/>
      <c r="O899" s="98"/>
      <c r="P899" s="98"/>
      <c r="Q899" s="98"/>
      <c r="R899" s="98"/>
      <c r="S899" s="98"/>
    </row>
    <row r="900" spans="1:19" x14ac:dyDescent="0.25">
      <c r="B900" s="94" t="s">
        <v>108</v>
      </c>
      <c r="C900" s="95">
        <v>1</v>
      </c>
      <c r="D900" s="98">
        <f>$C900*VLOOKUP($B900,FoodDB!$A$2:$I$1016,3,0)</f>
        <v>0</v>
      </c>
      <c r="E900" s="98">
        <f>$C900*VLOOKUP($B900,FoodDB!$A$2:$I$1016,4,0)</f>
        <v>0</v>
      </c>
      <c r="F900" s="98">
        <f>$C900*VLOOKUP($B900,FoodDB!$A$2:$I$1016,5,0)</f>
        <v>0</v>
      </c>
      <c r="G900" s="98">
        <f>$C900*VLOOKUP($B900,FoodDB!$A$2:$I$1016,6,0)</f>
        <v>0</v>
      </c>
      <c r="H900" s="98">
        <f>$C900*VLOOKUP($B900,FoodDB!$A$2:$I$1016,7,0)</f>
        <v>0</v>
      </c>
      <c r="I900" s="98">
        <f>$C900*VLOOKUP($B900,FoodDB!$A$2:$I$1016,8,0)</f>
        <v>0</v>
      </c>
      <c r="J900" s="98">
        <f>$C900*VLOOKUP($B900,FoodDB!$A$2:$I$1016,9,0)</f>
        <v>0</v>
      </c>
      <c r="K900" s="98"/>
      <c r="L900" s="98"/>
      <c r="M900" s="98"/>
      <c r="N900" s="98"/>
      <c r="O900" s="98"/>
      <c r="P900" s="98"/>
      <c r="Q900" s="98"/>
      <c r="R900" s="98"/>
      <c r="S900" s="98"/>
    </row>
    <row r="901" spans="1:19" x14ac:dyDescent="0.25">
      <c r="B901" s="94" t="s">
        <v>108</v>
      </c>
      <c r="C901" s="95">
        <v>1</v>
      </c>
      <c r="D901" s="98">
        <f>$C901*VLOOKUP($B901,FoodDB!$A$2:$I$1016,3,0)</f>
        <v>0</v>
      </c>
      <c r="E901" s="98">
        <f>$C901*VLOOKUP($B901,FoodDB!$A$2:$I$1016,4,0)</f>
        <v>0</v>
      </c>
      <c r="F901" s="98">
        <f>$C901*VLOOKUP($B901,FoodDB!$A$2:$I$1016,5,0)</f>
        <v>0</v>
      </c>
      <c r="G901" s="98">
        <f>$C901*VLOOKUP($B901,FoodDB!$A$2:$I$1016,6,0)</f>
        <v>0</v>
      </c>
      <c r="H901" s="98">
        <f>$C901*VLOOKUP($B901,FoodDB!$A$2:$I$1016,7,0)</f>
        <v>0</v>
      </c>
      <c r="I901" s="98">
        <f>$C901*VLOOKUP($B901,FoodDB!$A$2:$I$1016,8,0)</f>
        <v>0</v>
      </c>
      <c r="J901" s="98">
        <f>$C901*VLOOKUP($B901,FoodDB!$A$2:$I$1016,9,0)</f>
        <v>0</v>
      </c>
      <c r="K901" s="98"/>
      <c r="L901" s="98"/>
      <c r="M901" s="98"/>
      <c r="N901" s="98"/>
      <c r="O901" s="98"/>
      <c r="P901" s="98"/>
      <c r="Q901" s="98"/>
      <c r="R901" s="98"/>
      <c r="S901" s="98"/>
    </row>
    <row r="902" spans="1:19" x14ac:dyDescent="0.25">
      <c r="B902" s="94" t="s">
        <v>108</v>
      </c>
      <c r="C902" s="95">
        <v>1</v>
      </c>
      <c r="D902" s="98">
        <f>$C902*VLOOKUP($B902,FoodDB!$A$2:$I$1016,3,0)</f>
        <v>0</v>
      </c>
      <c r="E902" s="98">
        <f>$C902*VLOOKUP($B902,FoodDB!$A$2:$I$1016,4,0)</f>
        <v>0</v>
      </c>
      <c r="F902" s="98">
        <f>$C902*VLOOKUP($B902,FoodDB!$A$2:$I$1016,5,0)</f>
        <v>0</v>
      </c>
      <c r="G902" s="98">
        <f>$C902*VLOOKUP($B902,FoodDB!$A$2:$I$1016,6,0)</f>
        <v>0</v>
      </c>
      <c r="H902" s="98">
        <f>$C902*VLOOKUP($B902,FoodDB!$A$2:$I$1016,7,0)</f>
        <v>0</v>
      </c>
      <c r="I902" s="98">
        <f>$C902*VLOOKUP($B902,FoodDB!$A$2:$I$1016,8,0)</f>
        <v>0</v>
      </c>
      <c r="J902" s="98">
        <f>$C902*VLOOKUP($B902,FoodDB!$A$2:$I$1016,9,0)</f>
        <v>0</v>
      </c>
      <c r="K902" s="98"/>
      <c r="L902" s="98"/>
      <c r="M902" s="98"/>
      <c r="N902" s="98"/>
      <c r="O902" s="98"/>
      <c r="P902" s="98"/>
      <c r="Q902" s="98"/>
      <c r="R902" s="98"/>
      <c r="S902" s="98"/>
    </row>
    <row r="903" spans="1:19" x14ac:dyDescent="0.25">
      <c r="A903" t="s">
        <v>98</v>
      </c>
      <c r="D903" s="98"/>
      <c r="E903" s="98"/>
      <c r="F903" s="98"/>
      <c r="G903" s="98">
        <f>SUM(G896:G902)</f>
        <v>0</v>
      </c>
      <c r="H903" s="98">
        <f>SUM(H896:H902)</f>
        <v>0</v>
      </c>
      <c r="I903" s="98">
        <f>SUM(I896:I902)</f>
        <v>0</v>
      </c>
      <c r="J903" s="98">
        <f>SUM(G903:I903)</f>
        <v>0</v>
      </c>
      <c r="K903" s="98"/>
      <c r="L903" s="98"/>
      <c r="M903" s="98"/>
      <c r="N903" s="98"/>
      <c r="O903" s="98"/>
      <c r="P903" s="98"/>
      <c r="Q903" s="98"/>
      <c r="R903" s="98"/>
      <c r="S903" s="98"/>
    </row>
    <row r="904" spans="1:19" x14ac:dyDescent="0.25">
      <c r="A904" t="s">
        <v>102</v>
      </c>
      <c r="B904" t="s">
        <v>103</v>
      </c>
      <c r="D904" s="98"/>
      <c r="E904" s="98"/>
      <c r="F904" s="98"/>
      <c r="G904" s="98">
        <f>VLOOKUP($A896,LossChart!$A$3:$AB$105,14,0)</f>
        <v>772.21169252447271</v>
      </c>
      <c r="H904" s="98">
        <f>VLOOKUP($A896,LossChart!$A$3:$AB$105,15,0)</f>
        <v>80</v>
      </c>
      <c r="I904" s="98">
        <f>VLOOKUP($A896,LossChart!$A$3:$AB$105,16,0)</f>
        <v>477.30407413615825</v>
      </c>
      <c r="J904" s="98">
        <f>VLOOKUP($A896,LossChart!$A$3:$AB$105,17,0)</f>
        <v>1329.515766660631</v>
      </c>
      <c r="K904" s="98"/>
      <c r="L904" s="98"/>
      <c r="M904" s="98"/>
      <c r="N904" s="98"/>
      <c r="O904" s="98"/>
      <c r="P904" s="98"/>
      <c r="Q904" s="98"/>
      <c r="R904" s="98"/>
      <c r="S904" s="98"/>
    </row>
    <row r="905" spans="1:19" x14ac:dyDescent="0.25">
      <c r="A905" t="s">
        <v>104</v>
      </c>
      <c r="D905" s="98"/>
      <c r="E905" s="98"/>
      <c r="F905" s="98"/>
      <c r="G905" s="98">
        <f>G904-G903</f>
        <v>772.21169252447271</v>
      </c>
      <c r="H905" s="98">
        <f>H904-H903</f>
        <v>80</v>
      </c>
      <c r="I905" s="98">
        <f>I904-I903</f>
        <v>477.30407413615825</v>
      </c>
      <c r="J905" s="98">
        <f>J904-J903</f>
        <v>1329.515766660631</v>
      </c>
      <c r="K905" s="98"/>
      <c r="L905" s="98"/>
      <c r="M905" s="98"/>
      <c r="N905" s="98"/>
      <c r="O905" s="98"/>
      <c r="P905" s="98"/>
      <c r="Q905" s="98"/>
      <c r="R905" s="98"/>
      <c r="S905" s="98"/>
    </row>
    <row r="907" spans="1:19" ht="60" x14ac:dyDescent="0.25">
      <c r="A907" s="21" t="s">
        <v>63</v>
      </c>
      <c r="B907" s="21" t="s">
        <v>93</v>
      </c>
      <c r="C907" s="21" t="s">
        <v>94</v>
      </c>
      <c r="D907" s="92" t="str">
        <f>FoodDB!$C$1</f>
        <v>Fat
(g)</v>
      </c>
      <c r="E907" s="92" t="str">
        <f>FoodDB!$D$1</f>
        <v xml:space="preserve"> Carbs
(g)</v>
      </c>
      <c r="F907" s="92" t="str">
        <f>FoodDB!$E$1</f>
        <v>Protein
(g)</v>
      </c>
      <c r="G907" s="92" t="str">
        <f>FoodDB!$F$1</f>
        <v>Fat
(Cal)</v>
      </c>
      <c r="H907" s="92" t="str">
        <f>FoodDB!$G$1</f>
        <v>Carb
(Cal)</v>
      </c>
      <c r="I907" s="92" t="str">
        <f>FoodDB!$H$1</f>
        <v>Protein
(Cal)</v>
      </c>
      <c r="J907" s="92" t="str">
        <f>FoodDB!$I$1</f>
        <v>Total
Calories</v>
      </c>
      <c r="K907" s="92"/>
      <c r="L907" s="92" t="s">
        <v>110</v>
      </c>
      <c r="M907" s="92" t="s">
        <v>111</v>
      </c>
      <c r="N907" s="92" t="s">
        <v>112</v>
      </c>
      <c r="O907" s="92" t="s">
        <v>113</v>
      </c>
      <c r="P907" s="92" t="s">
        <v>118</v>
      </c>
      <c r="Q907" s="92" t="s">
        <v>119</v>
      </c>
      <c r="R907" s="92" t="s">
        <v>120</v>
      </c>
      <c r="S907" s="92" t="s">
        <v>121</v>
      </c>
    </row>
    <row r="908" spans="1:19" x14ac:dyDescent="0.25">
      <c r="A908" s="93">
        <f>A896+1</f>
        <v>43069</v>
      </c>
      <c r="B908" s="94" t="s">
        <v>108</v>
      </c>
      <c r="C908" s="95">
        <v>1</v>
      </c>
      <c r="D908" s="98">
        <f>$C908*VLOOKUP($B908,FoodDB!$A$2:$I$1016,3,0)</f>
        <v>0</v>
      </c>
      <c r="E908" s="98">
        <f>$C908*VLOOKUP($B908,FoodDB!$A$2:$I$1016,4,0)</f>
        <v>0</v>
      </c>
      <c r="F908" s="98">
        <f>$C908*VLOOKUP($B908,FoodDB!$A$2:$I$1016,5,0)</f>
        <v>0</v>
      </c>
      <c r="G908" s="98">
        <f>$C908*VLOOKUP($B908,FoodDB!$A$2:$I$1016,6,0)</f>
        <v>0</v>
      </c>
      <c r="H908" s="98">
        <f>$C908*VLOOKUP($B908,FoodDB!$A$2:$I$1016,7,0)</f>
        <v>0</v>
      </c>
      <c r="I908" s="98">
        <f>$C908*VLOOKUP($B908,FoodDB!$A$2:$I$1016,8,0)</f>
        <v>0</v>
      </c>
      <c r="J908" s="98">
        <f>$C908*VLOOKUP($B908,FoodDB!$A$2:$I$1016,9,0)</f>
        <v>0</v>
      </c>
      <c r="K908" s="98"/>
      <c r="L908" s="98">
        <f>SUM(G908:G914)</f>
        <v>0</v>
      </c>
      <c r="M908" s="98">
        <f>SUM(H908:H914)</f>
        <v>0</v>
      </c>
      <c r="N908" s="98">
        <f>SUM(I908:I914)</f>
        <v>0</v>
      </c>
      <c r="O908" s="98">
        <f>SUM(L908:N908)</f>
        <v>0</v>
      </c>
      <c r="P908" s="98">
        <f>VLOOKUP($A908,LossChart!$A$3:$AB$105,14,0)-L908</f>
        <v>776.8745507427559</v>
      </c>
      <c r="Q908" s="98">
        <f>VLOOKUP($A908,LossChart!$A$3:$AB$105,15,0)-M908</f>
        <v>80</v>
      </c>
      <c r="R908" s="98">
        <f>VLOOKUP($A908,LossChart!$A$3:$AB$105,16,0)-N908</f>
        <v>477.30407413615825</v>
      </c>
      <c r="S908" s="98">
        <f>VLOOKUP($A908,LossChart!$A$3:$AB$105,17,0)-O908</f>
        <v>1334.1786248789142</v>
      </c>
    </row>
    <row r="909" spans="1:19" x14ac:dyDescent="0.25">
      <c r="B909" s="94" t="s">
        <v>108</v>
      </c>
      <c r="C909" s="95">
        <v>1</v>
      </c>
      <c r="D909" s="98">
        <f>$C909*VLOOKUP($B909,FoodDB!$A$2:$I$1016,3,0)</f>
        <v>0</v>
      </c>
      <c r="E909" s="98">
        <f>$C909*VLOOKUP($B909,FoodDB!$A$2:$I$1016,4,0)</f>
        <v>0</v>
      </c>
      <c r="F909" s="98">
        <f>$C909*VLOOKUP($B909,FoodDB!$A$2:$I$1016,5,0)</f>
        <v>0</v>
      </c>
      <c r="G909" s="98">
        <f>$C909*VLOOKUP($B909,FoodDB!$A$2:$I$1016,6,0)</f>
        <v>0</v>
      </c>
      <c r="H909" s="98">
        <f>$C909*VLOOKUP($B909,FoodDB!$A$2:$I$1016,7,0)</f>
        <v>0</v>
      </c>
      <c r="I909" s="98">
        <f>$C909*VLOOKUP($B909,FoodDB!$A$2:$I$1016,8,0)</f>
        <v>0</v>
      </c>
      <c r="J909" s="98">
        <f>$C909*VLOOKUP($B909,FoodDB!$A$2:$I$1016,9,0)</f>
        <v>0</v>
      </c>
      <c r="K909" s="98"/>
      <c r="L909" s="98"/>
      <c r="M909" s="98"/>
      <c r="N909" s="98"/>
      <c r="O909" s="98"/>
      <c r="P909" s="98"/>
      <c r="Q909" s="98"/>
      <c r="R909" s="98"/>
      <c r="S909" s="98"/>
    </row>
    <row r="910" spans="1:19" x14ac:dyDescent="0.25">
      <c r="B910" s="94" t="s">
        <v>108</v>
      </c>
      <c r="C910" s="95">
        <v>1</v>
      </c>
      <c r="D910" s="98">
        <f>$C910*VLOOKUP($B910,FoodDB!$A$2:$I$1016,3,0)</f>
        <v>0</v>
      </c>
      <c r="E910" s="98">
        <f>$C910*VLOOKUP($B910,FoodDB!$A$2:$I$1016,4,0)</f>
        <v>0</v>
      </c>
      <c r="F910" s="98">
        <f>$C910*VLOOKUP($B910,FoodDB!$A$2:$I$1016,5,0)</f>
        <v>0</v>
      </c>
      <c r="G910" s="98">
        <f>$C910*VLOOKUP($B910,FoodDB!$A$2:$I$1016,6,0)</f>
        <v>0</v>
      </c>
      <c r="H910" s="98">
        <f>$C910*VLOOKUP($B910,FoodDB!$A$2:$I$1016,7,0)</f>
        <v>0</v>
      </c>
      <c r="I910" s="98">
        <f>$C910*VLOOKUP($B910,FoodDB!$A$2:$I$1016,8,0)</f>
        <v>0</v>
      </c>
      <c r="J910" s="98">
        <f>$C910*VLOOKUP($B910,FoodDB!$A$2:$I$1016,9,0)</f>
        <v>0</v>
      </c>
      <c r="K910" s="98"/>
      <c r="L910" s="98"/>
      <c r="M910" s="98"/>
      <c r="N910" s="98"/>
      <c r="O910" s="98"/>
      <c r="P910" s="98"/>
      <c r="Q910" s="98"/>
      <c r="R910" s="98"/>
      <c r="S910" s="98"/>
    </row>
    <row r="911" spans="1:19" x14ac:dyDescent="0.25">
      <c r="B911" s="94" t="s">
        <v>108</v>
      </c>
      <c r="C911" s="95">
        <v>1</v>
      </c>
      <c r="D911" s="98">
        <f>$C911*VLOOKUP($B911,FoodDB!$A$2:$I$1016,3,0)</f>
        <v>0</v>
      </c>
      <c r="E911" s="98">
        <f>$C911*VLOOKUP($B911,FoodDB!$A$2:$I$1016,4,0)</f>
        <v>0</v>
      </c>
      <c r="F911" s="98">
        <f>$C911*VLOOKUP($B911,FoodDB!$A$2:$I$1016,5,0)</f>
        <v>0</v>
      </c>
      <c r="G911" s="98">
        <f>$C911*VLOOKUP($B911,FoodDB!$A$2:$I$1016,6,0)</f>
        <v>0</v>
      </c>
      <c r="H911" s="98">
        <f>$C911*VLOOKUP($B911,FoodDB!$A$2:$I$1016,7,0)</f>
        <v>0</v>
      </c>
      <c r="I911" s="98">
        <f>$C911*VLOOKUP($B911,FoodDB!$A$2:$I$1016,8,0)</f>
        <v>0</v>
      </c>
      <c r="J911" s="98">
        <f>$C911*VLOOKUP($B911,FoodDB!$A$2:$I$1016,9,0)</f>
        <v>0</v>
      </c>
      <c r="K911" s="98"/>
      <c r="L911" s="98"/>
      <c r="M911" s="98"/>
      <c r="N911" s="98"/>
      <c r="O911" s="98"/>
      <c r="P911" s="98"/>
      <c r="Q911" s="98"/>
      <c r="R911" s="98"/>
      <c r="S911" s="98"/>
    </row>
    <row r="912" spans="1:19" x14ac:dyDescent="0.25">
      <c r="B912" s="94" t="s">
        <v>108</v>
      </c>
      <c r="C912" s="95">
        <v>1</v>
      </c>
      <c r="D912" s="98">
        <f>$C912*VLOOKUP($B912,FoodDB!$A$2:$I$1016,3,0)</f>
        <v>0</v>
      </c>
      <c r="E912" s="98">
        <f>$C912*VLOOKUP($B912,FoodDB!$A$2:$I$1016,4,0)</f>
        <v>0</v>
      </c>
      <c r="F912" s="98">
        <f>$C912*VLOOKUP($B912,FoodDB!$A$2:$I$1016,5,0)</f>
        <v>0</v>
      </c>
      <c r="G912" s="98">
        <f>$C912*VLOOKUP($B912,FoodDB!$A$2:$I$1016,6,0)</f>
        <v>0</v>
      </c>
      <c r="H912" s="98">
        <f>$C912*VLOOKUP($B912,FoodDB!$A$2:$I$1016,7,0)</f>
        <v>0</v>
      </c>
      <c r="I912" s="98">
        <f>$C912*VLOOKUP($B912,FoodDB!$A$2:$I$1016,8,0)</f>
        <v>0</v>
      </c>
      <c r="J912" s="98">
        <f>$C912*VLOOKUP($B912,FoodDB!$A$2:$I$1016,9,0)</f>
        <v>0</v>
      </c>
      <c r="K912" s="98"/>
      <c r="L912" s="98"/>
      <c r="M912" s="98"/>
      <c r="N912" s="98"/>
      <c r="O912" s="98"/>
      <c r="P912" s="98"/>
      <c r="Q912" s="98"/>
      <c r="R912" s="98"/>
      <c r="S912" s="98"/>
    </row>
    <row r="913" spans="1:19" x14ac:dyDescent="0.25">
      <c r="B913" s="94" t="s">
        <v>108</v>
      </c>
      <c r="C913" s="95">
        <v>1</v>
      </c>
      <c r="D913" s="98">
        <f>$C913*VLOOKUP($B913,FoodDB!$A$2:$I$1016,3,0)</f>
        <v>0</v>
      </c>
      <c r="E913" s="98">
        <f>$C913*VLOOKUP($B913,FoodDB!$A$2:$I$1016,4,0)</f>
        <v>0</v>
      </c>
      <c r="F913" s="98">
        <f>$C913*VLOOKUP($B913,FoodDB!$A$2:$I$1016,5,0)</f>
        <v>0</v>
      </c>
      <c r="G913" s="98">
        <f>$C913*VLOOKUP($B913,FoodDB!$A$2:$I$1016,6,0)</f>
        <v>0</v>
      </c>
      <c r="H913" s="98">
        <f>$C913*VLOOKUP($B913,FoodDB!$A$2:$I$1016,7,0)</f>
        <v>0</v>
      </c>
      <c r="I913" s="98">
        <f>$C913*VLOOKUP($B913,FoodDB!$A$2:$I$1016,8,0)</f>
        <v>0</v>
      </c>
      <c r="J913" s="98">
        <f>$C913*VLOOKUP($B913,FoodDB!$A$2:$I$1016,9,0)</f>
        <v>0</v>
      </c>
      <c r="K913" s="98"/>
      <c r="L913" s="98"/>
      <c r="M913" s="98"/>
      <c r="N913" s="98"/>
      <c r="O913" s="98"/>
      <c r="P913" s="98"/>
      <c r="Q913" s="98"/>
      <c r="R913" s="98"/>
      <c r="S913" s="98"/>
    </row>
    <row r="914" spans="1:19" x14ac:dyDescent="0.25">
      <c r="B914" s="94" t="s">
        <v>108</v>
      </c>
      <c r="C914" s="95">
        <v>1</v>
      </c>
      <c r="D914" s="98">
        <f>$C914*VLOOKUP($B914,FoodDB!$A$2:$I$1016,3,0)</f>
        <v>0</v>
      </c>
      <c r="E914" s="98">
        <f>$C914*VLOOKUP($B914,FoodDB!$A$2:$I$1016,4,0)</f>
        <v>0</v>
      </c>
      <c r="F914" s="98">
        <f>$C914*VLOOKUP($B914,FoodDB!$A$2:$I$1016,5,0)</f>
        <v>0</v>
      </c>
      <c r="G914" s="98">
        <f>$C914*VLOOKUP($B914,FoodDB!$A$2:$I$1016,6,0)</f>
        <v>0</v>
      </c>
      <c r="H914" s="98">
        <f>$C914*VLOOKUP($B914,FoodDB!$A$2:$I$1016,7,0)</f>
        <v>0</v>
      </c>
      <c r="I914" s="98">
        <f>$C914*VLOOKUP($B914,FoodDB!$A$2:$I$1016,8,0)</f>
        <v>0</v>
      </c>
      <c r="J914" s="98">
        <f>$C914*VLOOKUP($B914,FoodDB!$A$2:$I$1016,9,0)</f>
        <v>0</v>
      </c>
      <c r="K914" s="98"/>
      <c r="L914" s="98"/>
      <c r="M914" s="98"/>
      <c r="N914" s="98"/>
      <c r="O914" s="98"/>
      <c r="P914" s="98"/>
      <c r="Q914" s="98"/>
      <c r="R914" s="98"/>
      <c r="S914" s="98"/>
    </row>
    <row r="915" spans="1:19" x14ac:dyDescent="0.25">
      <c r="A915" t="s">
        <v>98</v>
      </c>
      <c r="D915" s="98"/>
      <c r="E915" s="98"/>
      <c r="F915" s="98"/>
      <c r="G915" s="98">
        <f>SUM(G908:G914)</f>
        <v>0</v>
      </c>
      <c r="H915" s="98">
        <f>SUM(H908:H914)</f>
        <v>0</v>
      </c>
      <c r="I915" s="98">
        <f>SUM(I908:I914)</f>
        <v>0</v>
      </c>
      <c r="J915" s="98">
        <f>SUM(G915:I915)</f>
        <v>0</v>
      </c>
      <c r="K915" s="98"/>
      <c r="L915" s="98"/>
      <c r="M915" s="98"/>
      <c r="N915" s="98"/>
      <c r="O915" s="98"/>
      <c r="P915" s="98"/>
      <c r="Q915" s="98"/>
      <c r="R915" s="98"/>
      <c r="S915" s="98"/>
    </row>
    <row r="916" spans="1:19" x14ac:dyDescent="0.25">
      <c r="A916" t="s">
        <v>102</v>
      </c>
      <c r="B916" t="s">
        <v>103</v>
      </c>
      <c r="D916" s="98"/>
      <c r="E916" s="98"/>
      <c r="F916" s="98"/>
      <c r="G916" s="98">
        <f>VLOOKUP($A908,LossChart!$A$3:$AB$105,14,0)</f>
        <v>776.8745507427559</v>
      </c>
      <c r="H916" s="98">
        <f>VLOOKUP($A908,LossChart!$A$3:$AB$105,15,0)</f>
        <v>80</v>
      </c>
      <c r="I916" s="98">
        <f>VLOOKUP($A908,LossChart!$A$3:$AB$105,16,0)</f>
        <v>477.30407413615825</v>
      </c>
      <c r="J916" s="98">
        <f>VLOOKUP($A908,LossChart!$A$3:$AB$105,17,0)</f>
        <v>1334.1786248789142</v>
      </c>
      <c r="K916" s="98"/>
      <c r="L916" s="98"/>
      <c r="M916" s="98"/>
      <c r="N916" s="98"/>
      <c r="O916" s="98"/>
      <c r="P916" s="98"/>
      <c r="Q916" s="98"/>
      <c r="R916" s="98"/>
      <c r="S916" s="98"/>
    </row>
    <row r="917" spans="1:19" x14ac:dyDescent="0.25">
      <c r="A917" t="s">
        <v>104</v>
      </c>
      <c r="D917" s="98"/>
      <c r="E917" s="98"/>
      <c r="F917" s="98"/>
      <c r="G917" s="98">
        <f>G916-G915</f>
        <v>776.8745507427559</v>
      </c>
      <c r="H917" s="98">
        <f>H916-H915</f>
        <v>80</v>
      </c>
      <c r="I917" s="98">
        <f>I916-I915</f>
        <v>477.30407413615825</v>
      </c>
      <c r="J917" s="98">
        <f>J916-J915</f>
        <v>1334.1786248789142</v>
      </c>
      <c r="K917" s="98"/>
      <c r="L917" s="98"/>
      <c r="M917" s="98"/>
      <c r="N917" s="98"/>
      <c r="O917" s="98"/>
      <c r="P917" s="98"/>
      <c r="Q917" s="98"/>
      <c r="R917" s="98"/>
      <c r="S917" s="98"/>
    </row>
    <row r="919" spans="1:19" ht="60" x14ac:dyDescent="0.25">
      <c r="A919" s="21" t="s">
        <v>63</v>
      </c>
      <c r="B919" s="21" t="s">
        <v>93</v>
      </c>
      <c r="C919" s="21" t="s">
        <v>94</v>
      </c>
      <c r="D919" s="92" t="str">
        <f>FoodDB!$C$1</f>
        <v>Fat
(g)</v>
      </c>
      <c r="E919" s="92" t="str">
        <f>FoodDB!$D$1</f>
        <v xml:space="preserve"> Carbs
(g)</v>
      </c>
      <c r="F919" s="92" t="str">
        <f>FoodDB!$E$1</f>
        <v>Protein
(g)</v>
      </c>
      <c r="G919" s="92" t="str">
        <f>FoodDB!$F$1</f>
        <v>Fat
(Cal)</v>
      </c>
      <c r="H919" s="92" t="str">
        <f>FoodDB!$G$1</f>
        <v>Carb
(Cal)</v>
      </c>
      <c r="I919" s="92" t="str">
        <f>FoodDB!$H$1</f>
        <v>Protein
(Cal)</v>
      </c>
      <c r="J919" s="92" t="str">
        <f>FoodDB!$I$1</f>
        <v>Total
Calories</v>
      </c>
      <c r="K919" s="92"/>
      <c r="L919" s="92" t="s">
        <v>110</v>
      </c>
      <c r="M919" s="92" t="s">
        <v>111</v>
      </c>
      <c r="N919" s="92" t="s">
        <v>112</v>
      </c>
      <c r="O919" s="92" t="s">
        <v>113</v>
      </c>
      <c r="P919" s="92" t="s">
        <v>118</v>
      </c>
      <c r="Q919" s="92" t="s">
        <v>119</v>
      </c>
      <c r="R919" s="92" t="s">
        <v>120</v>
      </c>
      <c r="S919" s="92" t="s">
        <v>121</v>
      </c>
    </row>
    <row r="920" spans="1:19" x14ac:dyDescent="0.25">
      <c r="A920" s="93">
        <f>A908+1</f>
        <v>43070</v>
      </c>
      <c r="B920" s="94" t="s">
        <v>108</v>
      </c>
      <c r="C920" s="95">
        <v>1</v>
      </c>
      <c r="D920" s="98">
        <f>$C920*VLOOKUP($B920,FoodDB!$A$2:$I$1016,3,0)</f>
        <v>0</v>
      </c>
      <c r="E920" s="98">
        <f>$C920*VLOOKUP($B920,FoodDB!$A$2:$I$1016,4,0)</f>
        <v>0</v>
      </c>
      <c r="F920" s="98">
        <f>$C920*VLOOKUP($B920,FoodDB!$A$2:$I$1016,5,0)</f>
        <v>0</v>
      </c>
      <c r="G920" s="98">
        <f>$C920*VLOOKUP($B920,FoodDB!$A$2:$I$1016,6,0)</f>
        <v>0</v>
      </c>
      <c r="H920" s="98">
        <f>$C920*VLOOKUP($B920,FoodDB!$A$2:$I$1016,7,0)</f>
        <v>0</v>
      </c>
      <c r="I920" s="98">
        <f>$C920*VLOOKUP($B920,FoodDB!$A$2:$I$1016,8,0)</f>
        <v>0</v>
      </c>
      <c r="J920" s="98">
        <f>$C920*VLOOKUP($B920,FoodDB!$A$2:$I$1016,9,0)</f>
        <v>0</v>
      </c>
      <c r="K920" s="98"/>
      <c r="L920" s="98">
        <f>SUM(G920:G926)</f>
        <v>0</v>
      </c>
      <c r="M920" s="98">
        <f>SUM(H920:H926)</f>
        <v>0</v>
      </c>
      <c r="N920" s="98">
        <f>SUM(I920:I926)</f>
        <v>0</v>
      </c>
      <c r="O920" s="98">
        <f>SUM(L920:N920)</f>
        <v>0</v>
      </c>
      <c r="P920" s="98">
        <f>VLOOKUP($A920,LossChart!$A$3:$AB$105,14,0)-L920</f>
        <v>781.49610935967667</v>
      </c>
      <c r="Q920" s="98">
        <f>VLOOKUP($A920,LossChart!$A$3:$AB$105,15,0)-M920</f>
        <v>80</v>
      </c>
      <c r="R920" s="98">
        <f>VLOOKUP($A920,LossChart!$A$3:$AB$105,16,0)-N920</f>
        <v>477.30407413615825</v>
      </c>
      <c r="S920" s="98">
        <f>VLOOKUP($A920,LossChart!$A$3:$AB$105,17,0)-O920</f>
        <v>1338.800183495835</v>
      </c>
    </row>
    <row r="921" spans="1:19" x14ac:dyDescent="0.25">
      <c r="B921" s="94" t="s">
        <v>108</v>
      </c>
      <c r="C921" s="95">
        <v>1</v>
      </c>
      <c r="D921" s="98">
        <f>$C921*VLOOKUP($B921,FoodDB!$A$2:$I$1016,3,0)</f>
        <v>0</v>
      </c>
      <c r="E921" s="98">
        <f>$C921*VLOOKUP($B921,FoodDB!$A$2:$I$1016,4,0)</f>
        <v>0</v>
      </c>
      <c r="F921" s="98">
        <f>$C921*VLOOKUP($B921,FoodDB!$A$2:$I$1016,5,0)</f>
        <v>0</v>
      </c>
      <c r="G921" s="98">
        <f>$C921*VLOOKUP($B921,FoodDB!$A$2:$I$1016,6,0)</f>
        <v>0</v>
      </c>
      <c r="H921" s="98">
        <f>$C921*VLOOKUP($B921,FoodDB!$A$2:$I$1016,7,0)</f>
        <v>0</v>
      </c>
      <c r="I921" s="98">
        <f>$C921*VLOOKUP($B921,FoodDB!$A$2:$I$1016,8,0)</f>
        <v>0</v>
      </c>
      <c r="J921" s="98">
        <f>$C921*VLOOKUP($B921,FoodDB!$A$2:$I$1016,9,0)</f>
        <v>0</v>
      </c>
      <c r="K921" s="98"/>
      <c r="L921" s="98"/>
      <c r="M921" s="98"/>
      <c r="N921" s="98"/>
      <c r="O921" s="98"/>
      <c r="P921" s="98"/>
      <c r="Q921" s="98"/>
      <c r="R921" s="98"/>
      <c r="S921" s="98"/>
    </row>
    <row r="922" spans="1:19" x14ac:dyDescent="0.25">
      <c r="B922" s="94" t="s">
        <v>108</v>
      </c>
      <c r="C922" s="95">
        <v>1</v>
      </c>
      <c r="D922" s="98">
        <f>$C922*VLOOKUP($B922,FoodDB!$A$2:$I$1016,3,0)</f>
        <v>0</v>
      </c>
      <c r="E922" s="98">
        <f>$C922*VLOOKUP($B922,FoodDB!$A$2:$I$1016,4,0)</f>
        <v>0</v>
      </c>
      <c r="F922" s="98">
        <f>$C922*VLOOKUP($B922,FoodDB!$A$2:$I$1016,5,0)</f>
        <v>0</v>
      </c>
      <c r="G922" s="98">
        <f>$C922*VLOOKUP($B922,FoodDB!$A$2:$I$1016,6,0)</f>
        <v>0</v>
      </c>
      <c r="H922" s="98">
        <f>$C922*VLOOKUP($B922,FoodDB!$A$2:$I$1016,7,0)</f>
        <v>0</v>
      </c>
      <c r="I922" s="98">
        <f>$C922*VLOOKUP($B922,FoodDB!$A$2:$I$1016,8,0)</f>
        <v>0</v>
      </c>
      <c r="J922" s="98">
        <f>$C922*VLOOKUP($B922,FoodDB!$A$2:$I$1016,9,0)</f>
        <v>0</v>
      </c>
      <c r="K922" s="98"/>
      <c r="L922" s="98"/>
      <c r="M922" s="98"/>
      <c r="N922" s="98"/>
      <c r="O922" s="98"/>
      <c r="P922" s="98"/>
      <c r="Q922" s="98"/>
      <c r="R922" s="98"/>
      <c r="S922" s="98"/>
    </row>
    <row r="923" spans="1:19" x14ac:dyDescent="0.25">
      <c r="B923" s="94" t="s">
        <v>108</v>
      </c>
      <c r="C923" s="95">
        <v>1</v>
      </c>
      <c r="D923" s="98">
        <f>$C923*VLOOKUP($B923,FoodDB!$A$2:$I$1016,3,0)</f>
        <v>0</v>
      </c>
      <c r="E923" s="98">
        <f>$C923*VLOOKUP($B923,FoodDB!$A$2:$I$1016,4,0)</f>
        <v>0</v>
      </c>
      <c r="F923" s="98">
        <f>$C923*VLOOKUP($B923,FoodDB!$A$2:$I$1016,5,0)</f>
        <v>0</v>
      </c>
      <c r="G923" s="98">
        <f>$C923*VLOOKUP($B923,FoodDB!$A$2:$I$1016,6,0)</f>
        <v>0</v>
      </c>
      <c r="H923" s="98">
        <f>$C923*VLOOKUP($B923,FoodDB!$A$2:$I$1016,7,0)</f>
        <v>0</v>
      </c>
      <c r="I923" s="98">
        <f>$C923*VLOOKUP($B923,FoodDB!$A$2:$I$1016,8,0)</f>
        <v>0</v>
      </c>
      <c r="J923" s="98">
        <f>$C923*VLOOKUP($B923,FoodDB!$A$2:$I$1016,9,0)</f>
        <v>0</v>
      </c>
      <c r="K923" s="98"/>
      <c r="L923" s="98"/>
      <c r="M923" s="98"/>
      <c r="N923" s="98"/>
      <c r="O923" s="98"/>
      <c r="P923" s="98"/>
      <c r="Q923" s="98"/>
      <c r="R923" s="98"/>
      <c r="S923" s="98"/>
    </row>
    <row r="924" spans="1:19" x14ac:dyDescent="0.25">
      <c r="B924" s="94" t="s">
        <v>108</v>
      </c>
      <c r="C924" s="95">
        <v>1</v>
      </c>
      <c r="D924" s="98">
        <f>$C924*VLOOKUP($B924,FoodDB!$A$2:$I$1016,3,0)</f>
        <v>0</v>
      </c>
      <c r="E924" s="98">
        <f>$C924*VLOOKUP($B924,FoodDB!$A$2:$I$1016,4,0)</f>
        <v>0</v>
      </c>
      <c r="F924" s="98">
        <f>$C924*VLOOKUP($B924,FoodDB!$A$2:$I$1016,5,0)</f>
        <v>0</v>
      </c>
      <c r="G924" s="98">
        <f>$C924*VLOOKUP($B924,FoodDB!$A$2:$I$1016,6,0)</f>
        <v>0</v>
      </c>
      <c r="H924" s="98">
        <f>$C924*VLOOKUP($B924,FoodDB!$A$2:$I$1016,7,0)</f>
        <v>0</v>
      </c>
      <c r="I924" s="98">
        <f>$C924*VLOOKUP($B924,FoodDB!$A$2:$I$1016,8,0)</f>
        <v>0</v>
      </c>
      <c r="J924" s="98">
        <f>$C924*VLOOKUP($B924,FoodDB!$A$2:$I$1016,9,0)</f>
        <v>0</v>
      </c>
      <c r="K924" s="98"/>
      <c r="L924" s="98"/>
      <c r="M924" s="98"/>
      <c r="N924" s="98"/>
      <c r="O924" s="98"/>
      <c r="P924" s="98"/>
      <c r="Q924" s="98"/>
      <c r="R924" s="98"/>
      <c r="S924" s="98"/>
    </row>
    <row r="925" spans="1:19" x14ac:dyDescent="0.25">
      <c r="B925" s="94" t="s">
        <v>108</v>
      </c>
      <c r="C925" s="95">
        <v>1</v>
      </c>
      <c r="D925" s="98">
        <f>$C925*VLOOKUP($B925,FoodDB!$A$2:$I$1016,3,0)</f>
        <v>0</v>
      </c>
      <c r="E925" s="98">
        <f>$C925*VLOOKUP($B925,FoodDB!$A$2:$I$1016,4,0)</f>
        <v>0</v>
      </c>
      <c r="F925" s="98">
        <f>$C925*VLOOKUP($B925,FoodDB!$A$2:$I$1016,5,0)</f>
        <v>0</v>
      </c>
      <c r="G925" s="98">
        <f>$C925*VLOOKUP($B925,FoodDB!$A$2:$I$1016,6,0)</f>
        <v>0</v>
      </c>
      <c r="H925" s="98">
        <f>$C925*VLOOKUP($B925,FoodDB!$A$2:$I$1016,7,0)</f>
        <v>0</v>
      </c>
      <c r="I925" s="98">
        <f>$C925*VLOOKUP($B925,FoodDB!$A$2:$I$1016,8,0)</f>
        <v>0</v>
      </c>
      <c r="J925" s="98">
        <f>$C925*VLOOKUP($B925,FoodDB!$A$2:$I$1016,9,0)</f>
        <v>0</v>
      </c>
      <c r="K925" s="98"/>
      <c r="L925" s="98"/>
      <c r="M925" s="98"/>
      <c r="N925" s="98"/>
      <c r="O925" s="98"/>
      <c r="P925" s="98"/>
      <c r="Q925" s="98"/>
      <c r="R925" s="98"/>
      <c r="S925" s="98"/>
    </row>
    <row r="926" spans="1:19" x14ac:dyDescent="0.25">
      <c r="B926" s="94" t="s">
        <v>108</v>
      </c>
      <c r="C926" s="95">
        <v>1</v>
      </c>
      <c r="D926" s="98">
        <f>$C926*VLOOKUP($B926,FoodDB!$A$2:$I$1016,3,0)</f>
        <v>0</v>
      </c>
      <c r="E926" s="98">
        <f>$C926*VLOOKUP($B926,FoodDB!$A$2:$I$1016,4,0)</f>
        <v>0</v>
      </c>
      <c r="F926" s="98">
        <f>$C926*VLOOKUP($B926,FoodDB!$A$2:$I$1016,5,0)</f>
        <v>0</v>
      </c>
      <c r="G926" s="98">
        <f>$C926*VLOOKUP($B926,FoodDB!$A$2:$I$1016,6,0)</f>
        <v>0</v>
      </c>
      <c r="H926" s="98">
        <f>$C926*VLOOKUP($B926,FoodDB!$A$2:$I$1016,7,0)</f>
        <v>0</v>
      </c>
      <c r="I926" s="98">
        <f>$C926*VLOOKUP($B926,FoodDB!$A$2:$I$1016,8,0)</f>
        <v>0</v>
      </c>
      <c r="J926" s="98">
        <f>$C926*VLOOKUP($B926,FoodDB!$A$2:$I$1016,9,0)</f>
        <v>0</v>
      </c>
      <c r="K926" s="98"/>
      <c r="L926" s="98"/>
      <c r="M926" s="98"/>
      <c r="N926" s="98"/>
      <c r="O926" s="98"/>
      <c r="P926" s="98"/>
      <c r="Q926" s="98"/>
      <c r="R926" s="98"/>
      <c r="S926" s="98"/>
    </row>
    <row r="927" spans="1:19" x14ac:dyDescent="0.25">
      <c r="A927" t="s">
        <v>98</v>
      </c>
      <c r="D927" s="98"/>
      <c r="E927" s="98"/>
      <c r="F927" s="98"/>
      <c r="G927" s="98">
        <f>SUM(G920:G926)</f>
        <v>0</v>
      </c>
      <c r="H927" s="98">
        <f>SUM(H920:H926)</f>
        <v>0</v>
      </c>
      <c r="I927" s="98">
        <f>SUM(I920:I926)</f>
        <v>0</v>
      </c>
      <c r="J927" s="98">
        <f>SUM(G927:I927)</f>
        <v>0</v>
      </c>
      <c r="K927" s="98"/>
      <c r="L927" s="98"/>
      <c r="M927" s="98"/>
      <c r="N927" s="98"/>
      <c r="O927" s="98"/>
      <c r="P927" s="98"/>
      <c r="Q927" s="98"/>
      <c r="R927" s="98"/>
      <c r="S927" s="98"/>
    </row>
    <row r="928" spans="1:19" x14ac:dyDescent="0.25">
      <c r="A928" t="s">
        <v>102</v>
      </c>
      <c r="B928" t="s">
        <v>103</v>
      </c>
      <c r="D928" s="98"/>
      <c r="E928" s="98"/>
      <c r="F928" s="98"/>
      <c r="G928" s="98">
        <f>VLOOKUP($A920,LossChart!$A$3:$AB$105,14,0)</f>
        <v>781.49610935967667</v>
      </c>
      <c r="H928" s="98">
        <f>VLOOKUP($A920,LossChart!$A$3:$AB$105,15,0)</f>
        <v>80</v>
      </c>
      <c r="I928" s="98">
        <f>VLOOKUP($A920,LossChart!$A$3:$AB$105,16,0)</f>
        <v>477.30407413615825</v>
      </c>
      <c r="J928" s="98">
        <f>VLOOKUP($A920,LossChart!$A$3:$AB$105,17,0)</f>
        <v>1338.800183495835</v>
      </c>
      <c r="K928" s="98"/>
      <c r="L928" s="98"/>
      <c r="M928" s="98"/>
      <c r="N928" s="98"/>
      <c r="O928" s="98"/>
      <c r="P928" s="98"/>
      <c r="Q928" s="98"/>
      <c r="R928" s="98"/>
      <c r="S928" s="98"/>
    </row>
    <row r="929" spans="1:19" x14ac:dyDescent="0.25">
      <c r="A929" t="s">
        <v>104</v>
      </c>
      <c r="D929" s="98"/>
      <c r="E929" s="98"/>
      <c r="F929" s="98"/>
      <c r="G929" s="98">
        <f>G928-G927</f>
        <v>781.49610935967667</v>
      </c>
      <c r="H929" s="98">
        <f>H928-H927</f>
        <v>80</v>
      </c>
      <c r="I929" s="98">
        <f>I928-I927</f>
        <v>477.30407413615825</v>
      </c>
      <c r="J929" s="98">
        <f>J928-J927</f>
        <v>1338.800183495835</v>
      </c>
      <c r="K929" s="98"/>
      <c r="L929" s="98"/>
      <c r="M929" s="98"/>
      <c r="N929" s="98"/>
      <c r="O929" s="98"/>
      <c r="P929" s="98"/>
      <c r="Q929" s="98"/>
      <c r="R929" s="98"/>
      <c r="S929" s="98"/>
    </row>
    <row r="931" spans="1:19" ht="60" x14ac:dyDescent="0.25">
      <c r="A931" s="21" t="s">
        <v>63</v>
      </c>
      <c r="B931" s="21" t="s">
        <v>93</v>
      </c>
      <c r="C931" s="21" t="s">
        <v>94</v>
      </c>
      <c r="D931" s="92" t="str">
        <f>FoodDB!$C$1</f>
        <v>Fat
(g)</v>
      </c>
      <c r="E931" s="92" t="str">
        <f>FoodDB!$D$1</f>
        <v xml:space="preserve"> Carbs
(g)</v>
      </c>
      <c r="F931" s="92" t="str">
        <f>FoodDB!$E$1</f>
        <v>Protein
(g)</v>
      </c>
      <c r="G931" s="92" t="str">
        <f>FoodDB!$F$1</f>
        <v>Fat
(Cal)</v>
      </c>
      <c r="H931" s="92" t="str">
        <f>FoodDB!$G$1</f>
        <v>Carb
(Cal)</v>
      </c>
      <c r="I931" s="92" t="str">
        <f>FoodDB!$H$1</f>
        <v>Protein
(Cal)</v>
      </c>
      <c r="J931" s="92" t="str">
        <f>FoodDB!$I$1</f>
        <v>Total
Calories</v>
      </c>
      <c r="K931" s="92"/>
      <c r="L931" s="92" t="s">
        <v>110</v>
      </c>
      <c r="M931" s="92" t="s">
        <v>111</v>
      </c>
      <c r="N931" s="92" t="s">
        <v>112</v>
      </c>
      <c r="O931" s="92" t="s">
        <v>113</v>
      </c>
      <c r="P931" s="92" t="s">
        <v>118</v>
      </c>
      <c r="Q931" s="92" t="s">
        <v>119</v>
      </c>
      <c r="R931" s="92" t="s">
        <v>120</v>
      </c>
      <c r="S931" s="92" t="s">
        <v>121</v>
      </c>
    </row>
    <row r="932" spans="1:19" x14ac:dyDescent="0.25">
      <c r="A932" s="93">
        <f>A920+1</f>
        <v>43071</v>
      </c>
      <c r="B932" s="94" t="s">
        <v>108</v>
      </c>
      <c r="C932" s="95">
        <v>1</v>
      </c>
      <c r="D932" s="98">
        <f>$C932*VLOOKUP($B932,FoodDB!$A$2:$I$1016,3,0)</f>
        <v>0</v>
      </c>
      <c r="E932" s="98">
        <f>$C932*VLOOKUP($B932,FoodDB!$A$2:$I$1016,4,0)</f>
        <v>0</v>
      </c>
      <c r="F932" s="98">
        <f>$C932*VLOOKUP($B932,FoodDB!$A$2:$I$1016,5,0)</f>
        <v>0</v>
      </c>
      <c r="G932" s="98">
        <f>$C932*VLOOKUP($B932,FoodDB!$A$2:$I$1016,6,0)</f>
        <v>0</v>
      </c>
      <c r="H932" s="98">
        <f>$C932*VLOOKUP($B932,FoodDB!$A$2:$I$1016,7,0)</f>
        <v>0</v>
      </c>
      <c r="I932" s="98">
        <f>$C932*VLOOKUP($B932,FoodDB!$A$2:$I$1016,8,0)</f>
        <v>0</v>
      </c>
      <c r="J932" s="98">
        <f>$C932*VLOOKUP($B932,FoodDB!$A$2:$I$1016,9,0)</f>
        <v>0</v>
      </c>
      <c r="K932" s="98"/>
      <c r="L932" s="98">
        <f>SUM(G932:G938)</f>
        <v>0</v>
      </c>
      <c r="M932" s="98">
        <f>SUM(H932:H938)</f>
        <v>0</v>
      </c>
      <c r="N932" s="98">
        <f>SUM(I932:I938)</f>
        <v>0</v>
      </c>
      <c r="O932" s="98">
        <f>SUM(L932:N932)</f>
        <v>0</v>
      </c>
      <c r="P932" s="98">
        <f>VLOOKUP($A932,LossChart!$A$3:$AB$105,14,0)-L932</f>
        <v>786.07673417170554</v>
      </c>
      <c r="Q932" s="98">
        <f>VLOOKUP($A932,LossChart!$A$3:$AB$105,15,0)-M932</f>
        <v>80</v>
      </c>
      <c r="R932" s="98">
        <f>VLOOKUP($A932,LossChart!$A$3:$AB$105,16,0)-N932</f>
        <v>477.30407413615825</v>
      </c>
      <c r="S932" s="98">
        <f>VLOOKUP($A932,LossChart!$A$3:$AB$105,17,0)-O932</f>
        <v>1343.3808083078638</v>
      </c>
    </row>
    <row r="933" spans="1:19" x14ac:dyDescent="0.25">
      <c r="B933" s="94" t="s">
        <v>108</v>
      </c>
      <c r="C933" s="95">
        <v>1</v>
      </c>
      <c r="D933" s="98">
        <f>$C933*VLOOKUP($B933,FoodDB!$A$2:$I$1016,3,0)</f>
        <v>0</v>
      </c>
      <c r="E933" s="98">
        <f>$C933*VLOOKUP($B933,FoodDB!$A$2:$I$1016,4,0)</f>
        <v>0</v>
      </c>
      <c r="F933" s="98">
        <f>$C933*VLOOKUP($B933,FoodDB!$A$2:$I$1016,5,0)</f>
        <v>0</v>
      </c>
      <c r="G933" s="98">
        <f>$C933*VLOOKUP($B933,FoodDB!$A$2:$I$1016,6,0)</f>
        <v>0</v>
      </c>
      <c r="H933" s="98">
        <f>$C933*VLOOKUP($B933,FoodDB!$A$2:$I$1016,7,0)</f>
        <v>0</v>
      </c>
      <c r="I933" s="98">
        <f>$C933*VLOOKUP($B933,FoodDB!$A$2:$I$1016,8,0)</f>
        <v>0</v>
      </c>
      <c r="J933" s="98">
        <f>$C933*VLOOKUP($B933,FoodDB!$A$2:$I$1016,9,0)</f>
        <v>0</v>
      </c>
      <c r="K933" s="98"/>
      <c r="L933" s="98"/>
      <c r="M933" s="98"/>
      <c r="N933" s="98"/>
      <c r="O933" s="98"/>
      <c r="P933" s="98"/>
      <c r="Q933" s="98"/>
      <c r="R933" s="98"/>
      <c r="S933" s="98"/>
    </row>
    <row r="934" spans="1:19" x14ac:dyDescent="0.25">
      <c r="B934" s="94" t="s">
        <v>108</v>
      </c>
      <c r="C934" s="95">
        <v>1</v>
      </c>
      <c r="D934" s="98">
        <f>$C934*VLOOKUP($B934,FoodDB!$A$2:$I$1016,3,0)</f>
        <v>0</v>
      </c>
      <c r="E934" s="98">
        <f>$C934*VLOOKUP($B934,FoodDB!$A$2:$I$1016,4,0)</f>
        <v>0</v>
      </c>
      <c r="F934" s="98">
        <f>$C934*VLOOKUP($B934,FoodDB!$A$2:$I$1016,5,0)</f>
        <v>0</v>
      </c>
      <c r="G934" s="98">
        <f>$C934*VLOOKUP($B934,FoodDB!$A$2:$I$1016,6,0)</f>
        <v>0</v>
      </c>
      <c r="H934" s="98">
        <f>$C934*VLOOKUP($B934,FoodDB!$A$2:$I$1016,7,0)</f>
        <v>0</v>
      </c>
      <c r="I934" s="98">
        <f>$C934*VLOOKUP($B934,FoodDB!$A$2:$I$1016,8,0)</f>
        <v>0</v>
      </c>
      <c r="J934" s="98">
        <f>$C934*VLOOKUP($B934,FoodDB!$A$2:$I$1016,9,0)</f>
        <v>0</v>
      </c>
      <c r="K934" s="98"/>
      <c r="L934" s="98"/>
      <c r="M934" s="98"/>
      <c r="N934" s="98"/>
      <c r="O934" s="98"/>
      <c r="P934" s="98"/>
      <c r="Q934" s="98"/>
      <c r="R934" s="98"/>
      <c r="S934" s="98"/>
    </row>
    <row r="935" spans="1:19" x14ac:dyDescent="0.25">
      <c r="B935" s="94" t="s">
        <v>108</v>
      </c>
      <c r="C935" s="95">
        <v>1</v>
      </c>
      <c r="D935" s="98">
        <f>$C935*VLOOKUP($B935,FoodDB!$A$2:$I$1016,3,0)</f>
        <v>0</v>
      </c>
      <c r="E935" s="98">
        <f>$C935*VLOOKUP($B935,FoodDB!$A$2:$I$1016,4,0)</f>
        <v>0</v>
      </c>
      <c r="F935" s="98">
        <f>$C935*VLOOKUP($B935,FoodDB!$A$2:$I$1016,5,0)</f>
        <v>0</v>
      </c>
      <c r="G935" s="98">
        <f>$C935*VLOOKUP($B935,FoodDB!$A$2:$I$1016,6,0)</f>
        <v>0</v>
      </c>
      <c r="H935" s="98">
        <f>$C935*VLOOKUP($B935,FoodDB!$A$2:$I$1016,7,0)</f>
        <v>0</v>
      </c>
      <c r="I935" s="98">
        <f>$C935*VLOOKUP($B935,FoodDB!$A$2:$I$1016,8,0)</f>
        <v>0</v>
      </c>
      <c r="J935" s="98">
        <f>$C935*VLOOKUP($B935,FoodDB!$A$2:$I$1016,9,0)</f>
        <v>0</v>
      </c>
      <c r="K935" s="98"/>
      <c r="L935" s="98"/>
      <c r="M935" s="98"/>
      <c r="N935" s="98"/>
      <c r="O935" s="98"/>
      <c r="P935" s="98"/>
      <c r="Q935" s="98"/>
      <c r="R935" s="98"/>
      <c r="S935" s="98"/>
    </row>
    <row r="936" spans="1:19" x14ac:dyDescent="0.25">
      <c r="B936" s="94" t="s">
        <v>108</v>
      </c>
      <c r="C936" s="95">
        <v>1</v>
      </c>
      <c r="D936" s="98">
        <f>$C936*VLOOKUP($B936,FoodDB!$A$2:$I$1016,3,0)</f>
        <v>0</v>
      </c>
      <c r="E936" s="98">
        <f>$C936*VLOOKUP($B936,FoodDB!$A$2:$I$1016,4,0)</f>
        <v>0</v>
      </c>
      <c r="F936" s="98">
        <f>$C936*VLOOKUP($B936,FoodDB!$A$2:$I$1016,5,0)</f>
        <v>0</v>
      </c>
      <c r="G936" s="98">
        <f>$C936*VLOOKUP($B936,FoodDB!$A$2:$I$1016,6,0)</f>
        <v>0</v>
      </c>
      <c r="H936" s="98">
        <f>$C936*VLOOKUP($B936,FoodDB!$A$2:$I$1016,7,0)</f>
        <v>0</v>
      </c>
      <c r="I936" s="98">
        <f>$C936*VLOOKUP($B936,FoodDB!$A$2:$I$1016,8,0)</f>
        <v>0</v>
      </c>
      <c r="J936" s="98">
        <f>$C936*VLOOKUP($B936,FoodDB!$A$2:$I$1016,9,0)</f>
        <v>0</v>
      </c>
      <c r="K936" s="98"/>
      <c r="L936" s="98"/>
      <c r="M936" s="98"/>
      <c r="N936" s="98"/>
      <c r="O936" s="98"/>
      <c r="P936" s="98"/>
      <c r="Q936" s="98"/>
      <c r="R936" s="98"/>
      <c r="S936" s="98"/>
    </row>
    <row r="937" spans="1:19" x14ac:dyDescent="0.25">
      <c r="B937" s="94" t="s">
        <v>108</v>
      </c>
      <c r="C937" s="95">
        <v>1</v>
      </c>
      <c r="D937" s="98">
        <f>$C937*VLOOKUP($B937,FoodDB!$A$2:$I$1016,3,0)</f>
        <v>0</v>
      </c>
      <c r="E937" s="98">
        <f>$C937*VLOOKUP($B937,FoodDB!$A$2:$I$1016,4,0)</f>
        <v>0</v>
      </c>
      <c r="F937" s="98">
        <f>$C937*VLOOKUP($B937,FoodDB!$A$2:$I$1016,5,0)</f>
        <v>0</v>
      </c>
      <c r="G937" s="98">
        <f>$C937*VLOOKUP($B937,FoodDB!$A$2:$I$1016,6,0)</f>
        <v>0</v>
      </c>
      <c r="H937" s="98">
        <f>$C937*VLOOKUP($B937,FoodDB!$A$2:$I$1016,7,0)</f>
        <v>0</v>
      </c>
      <c r="I937" s="98">
        <f>$C937*VLOOKUP($B937,FoodDB!$A$2:$I$1016,8,0)</f>
        <v>0</v>
      </c>
      <c r="J937" s="98">
        <f>$C937*VLOOKUP($B937,FoodDB!$A$2:$I$1016,9,0)</f>
        <v>0</v>
      </c>
      <c r="K937" s="98"/>
      <c r="L937" s="98"/>
      <c r="M937" s="98"/>
      <c r="N937" s="98"/>
      <c r="O937" s="98"/>
      <c r="P937" s="98"/>
      <c r="Q937" s="98"/>
      <c r="R937" s="98"/>
      <c r="S937" s="98"/>
    </row>
    <row r="938" spans="1:19" x14ac:dyDescent="0.25">
      <c r="B938" s="94" t="s">
        <v>108</v>
      </c>
      <c r="C938" s="95">
        <v>1</v>
      </c>
      <c r="D938" s="98">
        <f>$C938*VLOOKUP($B938,FoodDB!$A$2:$I$1016,3,0)</f>
        <v>0</v>
      </c>
      <c r="E938" s="98">
        <f>$C938*VLOOKUP($B938,FoodDB!$A$2:$I$1016,4,0)</f>
        <v>0</v>
      </c>
      <c r="F938" s="98">
        <f>$C938*VLOOKUP($B938,FoodDB!$A$2:$I$1016,5,0)</f>
        <v>0</v>
      </c>
      <c r="G938" s="98">
        <f>$C938*VLOOKUP($B938,FoodDB!$A$2:$I$1016,6,0)</f>
        <v>0</v>
      </c>
      <c r="H938" s="98">
        <f>$C938*VLOOKUP($B938,FoodDB!$A$2:$I$1016,7,0)</f>
        <v>0</v>
      </c>
      <c r="I938" s="98">
        <f>$C938*VLOOKUP($B938,FoodDB!$A$2:$I$1016,8,0)</f>
        <v>0</v>
      </c>
      <c r="J938" s="98">
        <f>$C938*VLOOKUP($B938,FoodDB!$A$2:$I$1016,9,0)</f>
        <v>0</v>
      </c>
      <c r="K938" s="98"/>
      <c r="L938" s="98"/>
      <c r="M938" s="98"/>
      <c r="N938" s="98"/>
      <c r="O938" s="98"/>
      <c r="P938" s="98"/>
      <c r="Q938" s="98"/>
      <c r="R938" s="98"/>
      <c r="S938" s="98"/>
    </row>
    <row r="939" spans="1:19" x14ac:dyDescent="0.25">
      <c r="A939" t="s">
        <v>98</v>
      </c>
      <c r="D939" s="98"/>
      <c r="E939" s="98"/>
      <c r="F939" s="98"/>
      <c r="G939" s="98">
        <f>SUM(G932:G938)</f>
        <v>0</v>
      </c>
      <c r="H939" s="98">
        <f>SUM(H932:H938)</f>
        <v>0</v>
      </c>
      <c r="I939" s="98">
        <f>SUM(I932:I938)</f>
        <v>0</v>
      </c>
      <c r="J939" s="98">
        <f>SUM(G939:I939)</f>
        <v>0</v>
      </c>
      <c r="K939" s="98"/>
      <c r="L939" s="98"/>
      <c r="M939" s="98"/>
      <c r="N939" s="98"/>
      <c r="O939" s="98"/>
      <c r="P939" s="98"/>
      <c r="Q939" s="98"/>
      <c r="R939" s="98"/>
      <c r="S939" s="98"/>
    </row>
    <row r="940" spans="1:19" x14ac:dyDescent="0.25">
      <c r="A940" t="s">
        <v>102</v>
      </c>
      <c r="B940" t="s">
        <v>103</v>
      </c>
      <c r="D940" s="98"/>
      <c r="E940" s="98"/>
      <c r="F940" s="98"/>
      <c r="G940" s="98">
        <f>VLOOKUP($A932,LossChart!$A$3:$AB$105,14,0)</f>
        <v>786.07673417170554</v>
      </c>
      <c r="H940" s="98">
        <f>VLOOKUP($A932,LossChart!$A$3:$AB$105,15,0)</f>
        <v>80</v>
      </c>
      <c r="I940" s="98">
        <f>VLOOKUP($A932,LossChart!$A$3:$AB$105,16,0)</f>
        <v>477.30407413615825</v>
      </c>
      <c r="J940" s="98">
        <f>VLOOKUP($A932,LossChart!$A$3:$AB$105,17,0)</f>
        <v>1343.3808083078638</v>
      </c>
      <c r="K940" s="98"/>
      <c r="L940" s="98"/>
      <c r="M940" s="98"/>
      <c r="N940" s="98"/>
      <c r="O940" s="98"/>
      <c r="P940" s="98"/>
      <c r="Q940" s="98"/>
      <c r="R940" s="98"/>
      <c r="S940" s="98"/>
    </row>
    <row r="941" spans="1:19" x14ac:dyDescent="0.25">
      <c r="A941" t="s">
        <v>104</v>
      </c>
      <c r="D941" s="98"/>
      <c r="E941" s="98"/>
      <c r="F941" s="98"/>
      <c r="G941" s="98">
        <f>G940-G939</f>
        <v>786.07673417170554</v>
      </c>
      <c r="H941" s="98">
        <f>H940-H939</f>
        <v>80</v>
      </c>
      <c r="I941" s="98">
        <f>I940-I939</f>
        <v>477.30407413615825</v>
      </c>
      <c r="J941" s="98">
        <f>J940-J939</f>
        <v>1343.3808083078638</v>
      </c>
      <c r="K941" s="98"/>
      <c r="L941" s="98"/>
      <c r="M941" s="98"/>
      <c r="N941" s="98"/>
      <c r="O941" s="98"/>
      <c r="P941" s="98"/>
      <c r="Q941" s="98"/>
      <c r="R941" s="98"/>
      <c r="S941" s="98"/>
    </row>
    <row r="943" spans="1:19" ht="60" x14ac:dyDescent="0.25">
      <c r="A943" s="21" t="s">
        <v>63</v>
      </c>
      <c r="B943" s="21" t="s">
        <v>93</v>
      </c>
      <c r="C943" s="21" t="s">
        <v>94</v>
      </c>
      <c r="D943" s="92" t="str">
        <f>FoodDB!$C$1</f>
        <v>Fat
(g)</v>
      </c>
      <c r="E943" s="92" t="str">
        <f>FoodDB!$D$1</f>
        <v xml:space="preserve"> Carbs
(g)</v>
      </c>
      <c r="F943" s="92" t="str">
        <f>FoodDB!$E$1</f>
        <v>Protein
(g)</v>
      </c>
      <c r="G943" s="92" t="str">
        <f>FoodDB!$F$1</f>
        <v>Fat
(Cal)</v>
      </c>
      <c r="H943" s="92" t="str">
        <f>FoodDB!$G$1</f>
        <v>Carb
(Cal)</v>
      </c>
      <c r="I943" s="92" t="str">
        <f>FoodDB!$H$1</f>
        <v>Protein
(Cal)</v>
      </c>
      <c r="J943" s="92" t="str">
        <f>FoodDB!$I$1</f>
        <v>Total
Calories</v>
      </c>
      <c r="K943" s="92"/>
      <c r="L943" s="92" t="s">
        <v>110</v>
      </c>
      <c r="M943" s="92" t="s">
        <v>111</v>
      </c>
      <c r="N943" s="92" t="s">
        <v>112</v>
      </c>
      <c r="O943" s="92" t="s">
        <v>113</v>
      </c>
      <c r="P943" s="92" t="s">
        <v>118</v>
      </c>
      <c r="Q943" s="92" t="s">
        <v>119</v>
      </c>
      <c r="R943" s="92" t="s">
        <v>120</v>
      </c>
      <c r="S943" s="92" t="s">
        <v>121</v>
      </c>
    </row>
    <row r="944" spans="1:19" x14ac:dyDescent="0.25">
      <c r="A944" s="93">
        <f>A932+1</f>
        <v>43072</v>
      </c>
      <c r="B944" s="94" t="s">
        <v>108</v>
      </c>
      <c r="C944" s="95">
        <v>1</v>
      </c>
      <c r="D944" s="98">
        <f>$C944*VLOOKUP($B944,FoodDB!$A$2:$I$1016,3,0)</f>
        <v>0</v>
      </c>
      <c r="E944" s="98">
        <f>$C944*VLOOKUP($B944,FoodDB!$A$2:$I$1016,4,0)</f>
        <v>0</v>
      </c>
      <c r="F944" s="98">
        <f>$C944*VLOOKUP($B944,FoodDB!$A$2:$I$1016,5,0)</f>
        <v>0</v>
      </c>
      <c r="G944" s="98">
        <f>$C944*VLOOKUP($B944,FoodDB!$A$2:$I$1016,6,0)</f>
        <v>0</v>
      </c>
      <c r="H944" s="98">
        <f>$C944*VLOOKUP($B944,FoodDB!$A$2:$I$1016,7,0)</f>
        <v>0</v>
      </c>
      <c r="I944" s="98">
        <f>$C944*VLOOKUP($B944,FoodDB!$A$2:$I$1016,8,0)</f>
        <v>0</v>
      </c>
      <c r="J944" s="98">
        <f>$C944*VLOOKUP($B944,FoodDB!$A$2:$I$1016,9,0)</f>
        <v>0</v>
      </c>
      <c r="K944" s="98"/>
      <c r="L944" s="98">
        <f>SUM(G944:G950)</f>
        <v>0</v>
      </c>
      <c r="M944" s="98">
        <f>SUM(H944:H950)</f>
        <v>0</v>
      </c>
      <c r="N944" s="98">
        <f>SUM(I944:I950)</f>
        <v>0</v>
      </c>
      <c r="O944" s="98">
        <f>SUM(L944:N944)</f>
        <v>0</v>
      </c>
      <c r="P944" s="98">
        <f>VLOOKUP($A944,LossChart!$A$3:$AB$105,14,0)-L944</f>
        <v>790.61678773539893</v>
      </c>
      <c r="Q944" s="98">
        <f>VLOOKUP($A944,LossChart!$A$3:$AB$105,15,0)-M944</f>
        <v>80</v>
      </c>
      <c r="R944" s="98">
        <f>VLOOKUP($A944,LossChart!$A$3:$AB$105,16,0)-N944</f>
        <v>477.30407413615825</v>
      </c>
      <c r="S944" s="98">
        <f>VLOOKUP($A944,LossChart!$A$3:$AB$105,17,0)-O944</f>
        <v>1347.9208618715572</v>
      </c>
    </row>
    <row r="945" spans="1:19" x14ac:dyDescent="0.25">
      <c r="B945" s="94" t="s">
        <v>108</v>
      </c>
      <c r="C945" s="95">
        <v>1</v>
      </c>
      <c r="D945" s="98">
        <f>$C945*VLOOKUP($B945,FoodDB!$A$2:$I$1016,3,0)</f>
        <v>0</v>
      </c>
      <c r="E945" s="98">
        <f>$C945*VLOOKUP($B945,FoodDB!$A$2:$I$1016,4,0)</f>
        <v>0</v>
      </c>
      <c r="F945" s="98">
        <f>$C945*VLOOKUP($B945,FoodDB!$A$2:$I$1016,5,0)</f>
        <v>0</v>
      </c>
      <c r="G945" s="98">
        <f>$C945*VLOOKUP($B945,FoodDB!$A$2:$I$1016,6,0)</f>
        <v>0</v>
      </c>
      <c r="H945" s="98">
        <f>$C945*VLOOKUP($B945,FoodDB!$A$2:$I$1016,7,0)</f>
        <v>0</v>
      </c>
      <c r="I945" s="98">
        <f>$C945*VLOOKUP($B945,FoodDB!$A$2:$I$1016,8,0)</f>
        <v>0</v>
      </c>
      <c r="J945" s="98">
        <f>$C945*VLOOKUP($B945,FoodDB!$A$2:$I$1016,9,0)</f>
        <v>0</v>
      </c>
      <c r="K945" s="98"/>
      <c r="L945" s="98"/>
      <c r="M945" s="98"/>
      <c r="N945" s="98"/>
      <c r="O945" s="98"/>
      <c r="P945" s="98"/>
      <c r="Q945" s="98"/>
      <c r="R945" s="98"/>
      <c r="S945" s="98"/>
    </row>
    <row r="946" spans="1:19" x14ac:dyDescent="0.25">
      <c r="B946" s="94" t="s">
        <v>108</v>
      </c>
      <c r="C946" s="95">
        <v>1</v>
      </c>
      <c r="D946" s="98">
        <f>$C946*VLOOKUP($B946,FoodDB!$A$2:$I$1016,3,0)</f>
        <v>0</v>
      </c>
      <c r="E946" s="98">
        <f>$C946*VLOOKUP($B946,FoodDB!$A$2:$I$1016,4,0)</f>
        <v>0</v>
      </c>
      <c r="F946" s="98">
        <f>$C946*VLOOKUP($B946,FoodDB!$A$2:$I$1016,5,0)</f>
        <v>0</v>
      </c>
      <c r="G946" s="98">
        <f>$C946*VLOOKUP($B946,FoodDB!$A$2:$I$1016,6,0)</f>
        <v>0</v>
      </c>
      <c r="H946" s="98">
        <f>$C946*VLOOKUP($B946,FoodDB!$A$2:$I$1016,7,0)</f>
        <v>0</v>
      </c>
      <c r="I946" s="98">
        <f>$C946*VLOOKUP($B946,FoodDB!$A$2:$I$1016,8,0)</f>
        <v>0</v>
      </c>
      <c r="J946" s="98">
        <f>$C946*VLOOKUP($B946,FoodDB!$A$2:$I$1016,9,0)</f>
        <v>0</v>
      </c>
      <c r="K946" s="98"/>
      <c r="L946" s="98"/>
      <c r="M946" s="98"/>
      <c r="N946" s="98"/>
      <c r="O946" s="98"/>
      <c r="P946" s="98"/>
      <c r="Q946" s="98"/>
      <c r="R946" s="98"/>
      <c r="S946" s="98"/>
    </row>
    <row r="947" spans="1:19" x14ac:dyDescent="0.25">
      <c r="B947" s="94" t="s">
        <v>108</v>
      </c>
      <c r="C947" s="95">
        <v>1</v>
      </c>
      <c r="D947" s="98">
        <f>$C947*VLOOKUP($B947,FoodDB!$A$2:$I$1016,3,0)</f>
        <v>0</v>
      </c>
      <c r="E947" s="98">
        <f>$C947*VLOOKUP($B947,FoodDB!$A$2:$I$1016,4,0)</f>
        <v>0</v>
      </c>
      <c r="F947" s="98">
        <f>$C947*VLOOKUP($B947,FoodDB!$A$2:$I$1016,5,0)</f>
        <v>0</v>
      </c>
      <c r="G947" s="98">
        <f>$C947*VLOOKUP($B947,FoodDB!$A$2:$I$1016,6,0)</f>
        <v>0</v>
      </c>
      <c r="H947" s="98">
        <f>$C947*VLOOKUP($B947,FoodDB!$A$2:$I$1016,7,0)</f>
        <v>0</v>
      </c>
      <c r="I947" s="98">
        <f>$C947*VLOOKUP($B947,FoodDB!$A$2:$I$1016,8,0)</f>
        <v>0</v>
      </c>
      <c r="J947" s="98">
        <f>$C947*VLOOKUP($B947,FoodDB!$A$2:$I$1016,9,0)</f>
        <v>0</v>
      </c>
      <c r="K947" s="98"/>
      <c r="L947" s="98"/>
      <c r="M947" s="98"/>
      <c r="N947" s="98"/>
      <c r="O947" s="98"/>
      <c r="P947" s="98"/>
      <c r="Q947" s="98"/>
      <c r="R947" s="98"/>
      <c r="S947" s="98"/>
    </row>
    <row r="948" spans="1:19" x14ac:dyDescent="0.25">
      <c r="B948" s="94" t="s">
        <v>108</v>
      </c>
      <c r="C948" s="95">
        <v>1</v>
      </c>
      <c r="D948" s="98">
        <f>$C948*VLOOKUP($B948,FoodDB!$A$2:$I$1016,3,0)</f>
        <v>0</v>
      </c>
      <c r="E948" s="98">
        <f>$C948*VLOOKUP($B948,FoodDB!$A$2:$I$1016,4,0)</f>
        <v>0</v>
      </c>
      <c r="F948" s="98">
        <f>$C948*VLOOKUP($B948,FoodDB!$A$2:$I$1016,5,0)</f>
        <v>0</v>
      </c>
      <c r="G948" s="98">
        <f>$C948*VLOOKUP($B948,FoodDB!$A$2:$I$1016,6,0)</f>
        <v>0</v>
      </c>
      <c r="H948" s="98">
        <f>$C948*VLOOKUP($B948,FoodDB!$A$2:$I$1016,7,0)</f>
        <v>0</v>
      </c>
      <c r="I948" s="98">
        <f>$C948*VLOOKUP($B948,FoodDB!$A$2:$I$1016,8,0)</f>
        <v>0</v>
      </c>
      <c r="J948" s="98">
        <f>$C948*VLOOKUP($B948,FoodDB!$A$2:$I$1016,9,0)</f>
        <v>0</v>
      </c>
      <c r="K948" s="98"/>
      <c r="L948" s="98"/>
      <c r="M948" s="98"/>
      <c r="N948" s="98"/>
      <c r="O948" s="98"/>
      <c r="P948" s="98"/>
      <c r="Q948" s="98"/>
      <c r="R948" s="98"/>
      <c r="S948" s="98"/>
    </row>
    <row r="949" spans="1:19" x14ac:dyDescent="0.25">
      <c r="B949" s="94" t="s">
        <v>108</v>
      </c>
      <c r="C949" s="95">
        <v>1</v>
      </c>
      <c r="D949" s="98">
        <f>$C949*VLOOKUP($B949,FoodDB!$A$2:$I$1016,3,0)</f>
        <v>0</v>
      </c>
      <c r="E949" s="98">
        <f>$C949*VLOOKUP($B949,FoodDB!$A$2:$I$1016,4,0)</f>
        <v>0</v>
      </c>
      <c r="F949" s="98">
        <f>$C949*VLOOKUP($B949,FoodDB!$A$2:$I$1016,5,0)</f>
        <v>0</v>
      </c>
      <c r="G949" s="98">
        <f>$C949*VLOOKUP($B949,FoodDB!$A$2:$I$1016,6,0)</f>
        <v>0</v>
      </c>
      <c r="H949" s="98">
        <f>$C949*VLOOKUP($B949,FoodDB!$A$2:$I$1016,7,0)</f>
        <v>0</v>
      </c>
      <c r="I949" s="98">
        <f>$C949*VLOOKUP($B949,FoodDB!$A$2:$I$1016,8,0)</f>
        <v>0</v>
      </c>
      <c r="J949" s="98">
        <f>$C949*VLOOKUP($B949,FoodDB!$A$2:$I$1016,9,0)</f>
        <v>0</v>
      </c>
      <c r="K949" s="98"/>
      <c r="L949" s="98"/>
      <c r="M949" s="98"/>
      <c r="N949" s="98"/>
      <c r="O949" s="98"/>
      <c r="P949" s="98"/>
      <c r="Q949" s="98"/>
      <c r="R949" s="98"/>
      <c r="S949" s="98"/>
    </row>
    <row r="950" spans="1:19" x14ac:dyDescent="0.25">
      <c r="B950" s="94" t="s">
        <v>108</v>
      </c>
      <c r="C950" s="95">
        <v>1</v>
      </c>
      <c r="D950" s="98">
        <f>$C950*VLOOKUP($B950,FoodDB!$A$2:$I$1016,3,0)</f>
        <v>0</v>
      </c>
      <c r="E950" s="98">
        <f>$C950*VLOOKUP($B950,FoodDB!$A$2:$I$1016,4,0)</f>
        <v>0</v>
      </c>
      <c r="F950" s="98">
        <f>$C950*VLOOKUP($B950,FoodDB!$A$2:$I$1016,5,0)</f>
        <v>0</v>
      </c>
      <c r="G950" s="98">
        <f>$C950*VLOOKUP($B950,FoodDB!$A$2:$I$1016,6,0)</f>
        <v>0</v>
      </c>
      <c r="H950" s="98">
        <f>$C950*VLOOKUP($B950,FoodDB!$A$2:$I$1016,7,0)</f>
        <v>0</v>
      </c>
      <c r="I950" s="98">
        <f>$C950*VLOOKUP($B950,FoodDB!$A$2:$I$1016,8,0)</f>
        <v>0</v>
      </c>
      <c r="J950" s="98">
        <f>$C950*VLOOKUP($B950,FoodDB!$A$2:$I$1016,9,0)</f>
        <v>0</v>
      </c>
      <c r="K950" s="98"/>
      <c r="L950" s="98"/>
      <c r="M950" s="98"/>
      <c r="N950" s="98"/>
      <c r="O950" s="98"/>
      <c r="P950" s="98"/>
      <c r="Q950" s="98"/>
      <c r="R950" s="98"/>
      <c r="S950" s="98"/>
    </row>
    <row r="951" spans="1:19" x14ac:dyDescent="0.25">
      <c r="A951" t="s">
        <v>98</v>
      </c>
      <c r="D951" s="98"/>
      <c r="E951" s="98"/>
      <c r="F951" s="98"/>
      <c r="G951" s="98">
        <f>SUM(G944:G950)</f>
        <v>0</v>
      </c>
      <c r="H951" s="98">
        <f>SUM(H944:H950)</f>
        <v>0</v>
      </c>
      <c r="I951" s="98">
        <f>SUM(I944:I950)</f>
        <v>0</v>
      </c>
      <c r="J951" s="98">
        <f>SUM(G951:I951)</f>
        <v>0</v>
      </c>
      <c r="K951" s="98"/>
      <c r="L951" s="98"/>
      <c r="M951" s="98"/>
      <c r="N951" s="98"/>
      <c r="O951" s="98"/>
      <c r="P951" s="98"/>
      <c r="Q951" s="98"/>
      <c r="R951" s="98"/>
      <c r="S951" s="98"/>
    </row>
    <row r="952" spans="1:19" x14ac:dyDescent="0.25">
      <c r="A952" t="s">
        <v>102</v>
      </c>
      <c r="B952" t="s">
        <v>103</v>
      </c>
      <c r="D952" s="98"/>
      <c r="E952" s="98"/>
      <c r="F952" s="98"/>
      <c r="G952" s="98">
        <f>VLOOKUP($A944,LossChart!$A$3:$AB$105,14,0)</f>
        <v>790.61678773539893</v>
      </c>
      <c r="H952" s="98">
        <f>VLOOKUP($A944,LossChart!$A$3:$AB$105,15,0)</f>
        <v>80</v>
      </c>
      <c r="I952" s="98">
        <f>VLOOKUP($A944,LossChart!$A$3:$AB$105,16,0)</f>
        <v>477.30407413615825</v>
      </c>
      <c r="J952" s="98">
        <f>VLOOKUP($A944,LossChart!$A$3:$AB$105,17,0)</f>
        <v>1347.9208618715572</v>
      </c>
      <c r="K952" s="98"/>
      <c r="L952" s="98"/>
      <c r="M952" s="98"/>
      <c r="N952" s="98"/>
      <c r="O952" s="98"/>
      <c r="P952" s="98"/>
      <c r="Q952" s="98"/>
      <c r="R952" s="98"/>
      <c r="S952" s="98"/>
    </row>
    <row r="953" spans="1:19" x14ac:dyDescent="0.25">
      <c r="A953" t="s">
        <v>104</v>
      </c>
      <c r="D953" s="98"/>
      <c r="E953" s="98"/>
      <c r="F953" s="98"/>
      <c r="G953" s="98">
        <f>G952-G951</f>
        <v>790.61678773539893</v>
      </c>
      <c r="H953" s="98">
        <f>H952-H951</f>
        <v>80</v>
      </c>
      <c r="I953" s="98">
        <f>I952-I951</f>
        <v>477.30407413615825</v>
      </c>
      <c r="J953" s="98">
        <f>J952-J951</f>
        <v>1347.9208618715572</v>
      </c>
      <c r="K953" s="98"/>
      <c r="L953" s="98"/>
      <c r="M953" s="98"/>
      <c r="N953" s="98"/>
      <c r="O953" s="98"/>
      <c r="P953" s="98"/>
      <c r="Q953" s="98"/>
      <c r="R953" s="98"/>
      <c r="S953" s="98"/>
    </row>
    <row r="955" spans="1:19" ht="60" x14ac:dyDescent="0.25">
      <c r="A955" s="21" t="s">
        <v>63</v>
      </c>
      <c r="B955" s="21" t="s">
        <v>93</v>
      </c>
      <c r="C955" s="21" t="s">
        <v>94</v>
      </c>
      <c r="D955" s="92" t="str">
        <f>FoodDB!$C$1</f>
        <v>Fat
(g)</v>
      </c>
      <c r="E955" s="92" t="str">
        <f>FoodDB!$D$1</f>
        <v xml:space="preserve"> Carbs
(g)</v>
      </c>
      <c r="F955" s="92" t="str">
        <f>FoodDB!$E$1</f>
        <v>Protein
(g)</v>
      </c>
      <c r="G955" s="92" t="str">
        <f>FoodDB!$F$1</f>
        <v>Fat
(Cal)</v>
      </c>
      <c r="H955" s="92" t="str">
        <f>FoodDB!$G$1</f>
        <v>Carb
(Cal)</v>
      </c>
      <c r="I955" s="92" t="str">
        <f>FoodDB!$H$1</f>
        <v>Protein
(Cal)</v>
      </c>
      <c r="J955" s="92" t="str">
        <f>FoodDB!$I$1</f>
        <v>Total
Calories</v>
      </c>
      <c r="K955" s="92"/>
      <c r="L955" s="92" t="s">
        <v>110</v>
      </c>
      <c r="M955" s="92" t="s">
        <v>111</v>
      </c>
      <c r="N955" s="92" t="s">
        <v>112</v>
      </c>
      <c r="O955" s="92" t="s">
        <v>113</v>
      </c>
      <c r="P955" s="92" t="s">
        <v>118</v>
      </c>
      <c r="Q955" s="92" t="s">
        <v>119</v>
      </c>
      <c r="R955" s="92" t="s">
        <v>120</v>
      </c>
      <c r="S955" s="92" t="s">
        <v>121</v>
      </c>
    </row>
    <row r="956" spans="1:19" x14ac:dyDescent="0.25">
      <c r="A956" s="93">
        <f>A944+1</f>
        <v>43073</v>
      </c>
      <c r="B956" s="94" t="s">
        <v>108</v>
      </c>
      <c r="C956" s="95">
        <v>1</v>
      </c>
      <c r="D956" s="98">
        <f>$C956*VLOOKUP($B956,FoodDB!$A$2:$I$1016,3,0)</f>
        <v>0</v>
      </c>
      <c r="E956" s="98">
        <f>$C956*VLOOKUP($B956,FoodDB!$A$2:$I$1016,4,0)</f>
        <v>0</v>
      </c>
      <c r="F956" s="98">
        <f>$C956*VLOOKUP($B956,FoodDB!$A$2:$I$1016,5,0)</f>
        <v>0</v>
      </c>
      <c r="G956" s="98">
        <f>$C956*VLOOKUP($B956,FoodDB!$A$2:$I$1016,6,0)</f>
        <v>0</v>
      </c>
      <c r="H956" s="98">
        <f>$C956*VLOOKUP($B956,FoodDB!$A$2:$I$1016,7,0)</f>
        <v>0</v>
      </c>
      <c r="I956" s="98">
        <f>$C956*VLOOKUP($B956,FoodDB!$A$2:$I$1016,8,0)</f>
        <v>0</v>
      </c>
      <c r="J956" s="98">
        <f>$C956*VLOOKUP($B956,FoodDB!$A$2:$I$1016,9,0)</f>
        <v>0</v>
      </c>
      <c r="K956" s="98"/>
      <c r="L956" s="98">
        <f>SUM(G956:G962)</f>
        <v>0</v>
      </c>
      <c r="M956" s="98">
        <f>SUM(H956:H962)</f>
        <v>0</v>
      </c>
      <c r="N956" s="98">
        <f>SUM(I956:I962)</f>
        <v>0</v>
      </c>
      <c r="O956" s="98">
        <f>SUM(L956:N956)</f>
        <v>0</v>
      </c>
      <c r="P956" s="98">
        <f>VLOOKUP($A956,LossChart!$A$3:$AB$105,14,0)-L956</f>
        <v>795.11662939610005</v>
      </c>
      <c r="Q956" s="98">
        <f>VLOOKUP($A956,LossChart!$A$3:$AB$105,15,0)-M956</f>
        <v>80</v>
      </c>
      <c r="R956" s="98">
        <f>VLOOKUP($A956,LossChart!$A$3:$AB$105,16,0)-N956</f>
        <v>477.30407413615825</v>
      </c>
      <c r="S956" s="98">
        <f>VLOOKUP($A956,LossChart!$A$3:$AB$105,17,0)-O956</f>
        <v>1352.4207035322584</v>
      </c>
    </row>
    <row r="957" spans="1:19" x14ac:dyDescent="0.25">
      <c r="B957" s="94" t="s">
        <v>108</v>
      </c>
      <c r="C957" s="95">
        <v>1</v>
      </c>
      <c r="D957" s="98">
        <f>$C957*VLOOKUP($B957,FoodDB!$A$2:$I$1016,3,0)</f>
        <v>0</v>
      </c>
      <c r="E957" s="98">
        <f>$C957*VLOOKUP($B957,FoodDB!$A$2:$I$1016,4,0)</f>
        <v>0</v>
      </c>
      <c r="F957" s="98">
        <f>$C957*VLOOKUP($B957,FoodDB!$A$2:$I$1016,5,0)</f>
        <v>0</v>
      </c>
      <c r="G957" s="98">
        <f>$C957*VLOOKUP($B957,FoodDB!$A$2:$I$1016,6,0)</f>
        <v>0</v>
      </c>
      <c r="H957" s="98">
        <f>$C957*VLOOKUP($B957,FoodDB!$A$2:$I$1016,7,0)</f>
        <v>0</v>
      </c>
      <c r="I957" s="98">
        <f>$C957*VLOOKUP($B957,FoodDB!$A$2:$I$1016,8,0)</f>
        <v>0</v>
      </c>
      <c r="J957" s="98">
        <f>$C957*VLOOKUP($B957,FoodDB!$A$2:$I$1016,9,0)</f>
        <v>0</v>
      </c>
      <c r="K957" s="98"/>
      <c r="L957" s="98"/>
      <c r="M957" s="98"/>
      <c r="N957" s="98"/>
      <c r="O957" s="98"/>
      <c r="P957" s="98"/>
      <c r="Q957" s="98"/>
      <c r="R957" s="98"/>
      <c r="S957" s="98"/>
    </row>
    <row r="958" spans="1:19" x14ac:dyDescent="0.25">
      <c r="B958" s="94" t="s">
        <v>108</v>
      </c>
      <c r="C958" s="95">
        <v>1</v>
      </c>
      <c r="D958" s="98">
        <f>$C958*VLOOKUP($B958,FoodDB!$A$2:$I$1016,3,0)</f>
        <v>0</v>
      </c>
      <c r="E958" s="98">
        <f>$C958*VLOOKUP($B958,FoodDB!$A$2:$I$1016,4,0)</f>
        <v>0</v>
      </c>
      <c r="F958" s="98">
        <f>$C958*VLOOKUP($B958,FoodDB!$A$2:$I$1016,5,0)</f>
        <v>0</v>
      </c>
      <c r="G958" s="98">
        <f>$C958*VLOOKUP($B958,FoodDB!$A$2:$I$1016,6,0)</f>
        <v>0</v>
      </c>
      <c r="H958" s="98">
        <f>$C958*VLOOKUP($B958,FoodDB!$A$2:$I$1016,7,0)</f>
        <v>0</v>
      </c>
      <c r="I958" s="98">
        <f>$C958*VLOOKUP($B958,FoodDB!$A$2:$I$1016,8,0)</f>
        <v>0</v>
      </c>
      <c r="J958" s="98">
        <f>$C958*VLOOKUP($B958,FoodDB!$A$2:$I$1016,9,0)</f>
        <v>0</v>
      </c>
      <c r="K958" s="98"/>
      <c r="L958" s="98"/>
      <c r="M958" s="98"/>
      <c r="N958" s="98"/>
      <c r="O958" s="98"/>
      <c r="P958" s="98"/>
      <c r="Q958" s="98"/>
      <c r="R958" s="98"/>
      <c r="S958" s="98"/>
    </row>
    <row r="959" spans="1:19" x14ac:dyDescent="0.25">
      <c r="B959" s="94" t="s">
        <v>108</v>
      </c>
      <c r="C959" s="95">
        <v>1</v>
      </c>
      <c r="D959" s="98">
        <f>$C959*VLOOKUP($B959,FoodDB!$A$2:$I$1016,3,0)</f>
        <v>0</v>
      </c>
      <c r="E959" s="98">
        <f>$C959*VLOOKUP($B959,FoodDB!$A$2:$I$1016,4,0)</f>
        <v>0</v>
      </c>
      <c r="F959" s="98">
        <f>$C959*VLOOKUP($B959,FoodDB!$A$2:$I$1016,5,0)</f>
        <v>0</v>
      </c>
      <c r="G959" s="98">
        <f>$C959*VLOOKUP($B959,FoodDB!$A$2:$I$1016,6,0)</f>
        <v>0</v>
      </c>
      <c r="H959" s="98">
        <f>$C959*VLOOKUP($B959,FoodDB!$A$2:$I$1016,7,0)</f>
        <v>0</v>
      </c>
      <c r="I959" s="98">
        <f>$C959*VLOOKUP($B959,FoodDB!$A$2:$I$1016,8,0)</f>
        <v>0</v>
      </c>
      <c r="J959" s="98">
        <f>$C959*VLOOKUP($B959,FoodDB!$A$2:$I$1016,9,0)</f>
        <v>0</v>
      </c>
      <c r="K959" s="98"/>
      <c r="L959" s="98"/>
      <c r="M959" s="98"/>
      <c r="N959" s="98"/>
      <c r="O959" s="98"/>
      <c r="P959" s="98"/>
      <c r="Q959" s="98"/>
      <c r="R959" s="98"/>
      <c r="S959" s="98"/>
    </row>
    <row r="960" spans="1:19" x14ac:dyDescent="0.25">
      <c r="B960" s="94" t="s">
        <v>108</v>
      </c>
      <c r="C960" s="95">
        <v>1</v>
      </c>
      <c r="D960" s="98">
        <f>$C960*VLOOKUP($B960,FoodDB!$A$2:$I$1016,3,0)</f>
        <v>0</v>
      </c>
      <c r="E960" s="98">
        <f>$C960*VLOOKUP($B960,FoodDB!$A$2:$I$1016,4,0)</f>
        <v>0</v>
      </c>
      <c r="F960" s="98">
        <f>$C960*VLOOKUP($B960,FoodDB!$A$2:$I$1016,5,0)</f>
        <v>0</v>
      </c>
      <c r="G960" s="98">
        <f>$C960*VLOOKUP($B960,FoodDB!$A$2:$I$1016,6,0)</f>
        <v>0</v>
      </c>
      <c r="H960" s="98">
        <f>$C960*VLOOKUP($B960,FoodDB!$A$2:$I$1016,7,0)</f>
        <v>0</v>
      </c>
      <c r="I960" s="98">
        <f>$C960*VLOOKUP($B960,FoodDB!$A$2:$I$1016,8,0)</f>
        <v>0</v>
      </c>
      <c r="J960" s="98">
        <f>$C960*VLOOKUP($B960,FoodDB!$A$2:$I$1016,9,0)</f>
        <v>0</v>
      </c>
      <c r="K960" s="98"/>
      <c r="L960" s="98"/>
      <c r="M960" s="98"/>
      <c r="N960" s="98"/>
      <c r="O960" s="98"/>
      <c r="P960" s="98"/>
      <c r="Q960" s="98"/>
      <c r="R960" s="98"/>
      <c r="S960" s="98"/>
    </row>
    <row r="961" spans="1:19" x14ac:dyDescent="0.25">
      <c r="B961" s="94" t="s">
        <v>108</v>
      </c>
      <c r="C961" s="95">
        <v>1</v>
      </c>
      <c r="D961" s="98">
        <f>$C961*VLOOKUP($B961,FoodDB!$A$2:$I$1016,3,0)</f>
        <v>0</v>
      </c>
      <c r="E961" s="98">
        <f>$C961*VLOOKUP($B961,FoodDB!$A$2:$I$1016,4,0)</f>
        <v>0</v>
      </c>
      <c r="F961" s="98">
        <f>$C961*VLOOKUP($B961,FoodDB!$A$2:$I$1016,5,0)</f>
        <v>0</v>
      </c>
      <c r="G961" s="98">
        <f>$C961*VLOOKUP($B961,FoodDB!$A$2:$I$1016,6,0)</f>
        <v>0</v>
      </c>
      <c r="H961" s="98">
        <f>$C961*VLOOKUP($B961,FoodDB!$A$2:$I$1016,7,0)</f>
        <v>0</v>
      </c>
      <c r="I961" s="98">
        <f>$C961*VLOOKUP($B961,FoodDB!$A$2:$I$1016,8,0)</f>
        <v>0</v>
      </c>
      <c r="J961" s="98">
        <f>$C961*VLOOKUP($B961,FoodDB!$A$2:$I$1016,9,0)</f>
        <v>0</v>
      </c>
      <c r="K961" s="98"/>
      <c r="L961" s="98"/>
      <c r="M961" s="98"/>
      <c r="N961" s="98"/>
      <c r="O961" s="98"/>
      <c r="P961" s="98"/>
      <c r="Q961" s="98"/>
      <c r="R961" s="98"/>
      <c r="S961" s="98"/>
    </row>
    <row r="962" spans="1:19" x14ac:dyDescent="0.25">
      <c r="B962" s="94" t="s">
        <v>108</v>
      </c>
      <c r="C962" s="95">
        <v>1</v>
      </c>
      <c r="D962" s="98">
        <f>$C962*VLOOKUP($B962,FoodDB!$A$2:$I$1016,3,0)</f>
        <v>0</v>
      </c>
      <c r="E962" s="98">
        <f>$C962*VLOOKUP($B962,FoodDB!$A$2:$I$1016,4,0)</f>
        <v>0</v>
      </c>
      <c r="F962" s="98">
        <f>$C962*VLOOKUP($B962,FoodDB!$A$2:$I$1016,5,0)</f>
        <v>0</v>
      </c>
      <c r="G962" s="98">
        <f>$C962*VLOOKUP($B962,FoodDB!$A$2:$I$1016,6,0)</f>
        <v>0</v>
      </c>
      <c r="H962" s="98">
        <f>$C962*VLOOKUP($B962,FoodDB!$A$2:$I$1016,7,0)</f>
        <v>0</v>
      </c>
      <c r="I962" s="98">
        <f>$C962*VLOOKUP($B962,FoodDB!$A$2:$I$1016,8,0)</f>
        <v>0</v>
      </c>
      <c r="J962" s="98">
        <f>$C962*VLOOKUP($B962,FoodDB!$A$2:$I$1016,9,0)</f>
        <v>0</v>
      </c>
      <c r="K962" s="98"/>
      <c r="L962" s="98"/>
      <c r="M962" s="98"/>
      <c r="N962" s="98"/>
      <c r="O962" s="98"/>
      <c r="P962" s="98"/>
      <c r="Q962" s="98"/>
      <c r="R962" s="98"/>
      <c r="S962" s="98"/>
    </row>
    <row r="963" spans="1:19" x14ac:dyDescent="0.25">
      <c r="A963" t="s">
        <v>98</v>
      </c>
      <c r="D963" s="98"/>
      <c r="E963" s="98"/>
      <c r="F963" s="98"/>
      <c r="G963" s="98">
        <f>SUM(G956:G962)</f>
        <v>0</v>
      </c>
      <c r="H963" s="98">
        <f>SUM(H956:H962)</f>
        <v>0</v>
      </c>
      <c r="I963" s="98">
        <f>SUM(I956:I962)</f>
        <v>0</v>
      </c>
      <c r="J963" s="98">
        <f>SUM(G963:I963)</f>
        <v>0</v>
      </c>
      <c r="K963" s="98"/>
      <c r="L963" s="98"/>
      <c r="M963" s="98"/>
      <c r="N963" s="98"/>
      <c r="O963" s="98"/>
      <c r="P963" s="98"/>
      <c r="Q963" s="98"/>
      <c r="R963" s="98"/>
      <c r="S963" s="98"/>
    </row>
    <row r="964" spans="1:19" x14ac:dyDescent="0.25">
      <c r="A964" t="s">
        <v>102</v>
      </c>
      <c r="B964" t="s">
        <v>103</v>
      </c>
      <c r="D964" s="98"/>
      <c r="E964" s="98"/>
      <c r="F964" s="98"/>
      <c r="G964" s="98">
        <f>VLOOKUP($A956,LossChart!$A$3:$AB$105,14,0)</f>
        <v>795.11662939610005</v>
      </c>
      <c r="H964" s="98">
        <f>VLOOKUP($A956,LossChart!$A$3:$AB$105,15,0)</f>
        <v>80</v>
      </c>
      <c r="I964" s="98">
        <f>VLOOKUP($A956,LossChart!$A$3:$AB$105,16,0)</f>
        <v>477.30407413615825</v>
      </c>
      <c r="J964" s="98">
        <f>VLOOKUP($A956,LossChart!$A$3:$AB$105,17,0)</f>
        <v>1352.4207035322584</v>
      </c>
      <c r="K964" s="98"/>
      <c r="L964" s="98"/>
      <c r="M964" s="98"/>
      <c r="N964" s="98"/>
      <c r="O964" s="98"/>
      <c r="P964" s="98"/>
      <c r="Q964" s="98"/>
      <c r="R964" s="98"/>
      <c r="S964" s="98"/>
    </row>
    <row r="965" spans="1:19" x14ac:dyDescent="0.25">
      <c r="A965" t="s">
        <v>104</v>
      </c>
      <c r="D965" s="98"/>
      <c r="E965" s="98"/>
      <c r="F965" s="98"/>
      <c r="G965" s="98">
        <f>G964-G963</f>
        <v>795.11662939610005</v>
      </c>
      <c r="H965" s="98">
        <f>H964-H963</f>
        <v>80</v>
      </c>
      <c r="I965" s="98">
        <f>I964-I963</f>
        <v>477.30407413615825</v>
      </c>
      <c r="J965" s="98">
        <f>J964-J963</f>
        <v>1352.4207035322584</v>
      </c>
      <c r="K965" s="98"/>
      <c r="L965" s="98"/>
      <c r="M965" s="98"/>
      <c r="N965" s="98"/>
      <c r="O965" s="98"/>
      <c r="P965" s="98"/>
      <c r="Q965" s="98"/>
      <c r="R965" s="98"/>
      <c r="S965" s="98"/>
    </row>
    <row r="967" spans="1:19" ht="60" x14ac:dyDescent="0.25">
      <c r="A967" s="21" t="s">
        <v>63</v>
      </c>
      <c r="B967" s="21" t="s">
        <v>93</v>
      </c>
      <c r="C967" s="21" t="s">
        <v>94</v>
      </c>
      <c r="D967" s="92" t="str">
        <f>FoodDB!$C$1</f>
        <v>Fat
(g)</v>
      </c>
      <c r="E967" s="92" t="str">
        <f>FoodDB!$D$1</f>
        <v xml:space="preserve"> Carbs
(g)</v>
      </c>
      <c r="F967" s="92" t="str">
        <f>FoodDB!$E$1</f>
        <v>Protein
(g)</v>
      </c>
      <c r="G967" s="92" t="str">
        <f>FoodDB!$F$1</f>
        <v>Fat
(Cal)</v>
      </c>
      <c r="H967" s="92" t="str">
        <f>FoodDB!$G$1</f>
        <v>Carb
(Cal)</v>
      </c>
      <c r="I967" s="92" t="str">
        <f>FoodDB!$H$1</f>
        <v>Protein
(Cal)</v>
      </c>
      <c r="J967" s="92" t="str">
        <f>FoodDB!$I$1</f>
        <v>Total
Calories</v>
      </c>
      <c r="K967" s="92"/>
      <c r="L967" s="92" t="s">
        <v>110</v>
      </c>
      <c r="M967" s="92" t="s">
        <v>111</v>
      </c>
      <c r="N967" s="92" t="s">
        <v>112</v>
      </c>
      <c r="O967" s="92" t="s">
        <v>113</v>
      </c>
      <c r="P967" s="92" t="s">
        <v>118</v>
      </c>
      <c r="Q967" s="92" t="s">
        <v>119</v>
      </c>
      <c r="R967" s="92" t="s">
        <v>120</v>
      </c>
      <c r="S967" s="92" t="s">
        <v>121</v>
      </c>
    </row>
    <row r="968" spans="1:19" x14ac:dyDescent="0.25">
      <c r="A968" s="93">
        <f>A956+1</f>
        <v>43074</v>
      </c>
      <c r="B968" s="94" t="s">
        <v>108</v>
      </c>
      <c r="C968" s="95">
        <v>1</v>
      </c>
      <c r="D968" s="98">
        <f>$C968*VLOOKUP($B968,FoodDB!$A$2:$I$1016,3,0)</f>
        <v>0</v>
      </c>
      <c r="E968" s="98">
        <f>$C968*VLOOKUP($B968,FoodDB!$A$2:$I$1016,4,0)</f>
        <v>0</v>
      </c>
      <c r="F968" s="98">
        <f>$C968*VLOOKUP($B968,FoodDB!$A$2:$I$1016,5,0)</f>
        <v>0</v>
      </c>
      <c r="G968" s="98">
        <f>$C968*VLOOKUP($B968,FoodDB!$A$2:$I$1016,6,0)</f>
        <v>0</v>
      </c>
      <c r="H968" s="98">
        <f>$C968*VLOOKUP($B968,FoodDB!$A$2:$I$1016,7,0)</f>
        <v>0</v>
      </c>
      <c r="I968" s="98">
        <f>$C968*VLOOKUP($B968,FoodDB!$A$2:$I$1016,8,0)</f>
        <v>0</v>
      </c>
      <c r="J968" s="98">
        <f>$C968*VLOOKUP($B968,FoodDB!$A$2:$I$1016,9,0)</f>
        <v>0</v>
      </c>
      <c r="K968" s="98"/>
      <c r="L968" s="98">
        <f>SUM(G968:G974)</f>
        <v>0</v>
      </c>
      <c r="M968" s="98">
        <f>SUM(H968:H974)</f>
        <v>0</v>
      </c>
      <c r="N968" s="98">
        <f>SUM(I968:I974)</f>
        <v>0</v>
      </c>
      <c r="O968" s="98">
        <f>SUM(L968:N968)</f>
        <v>0</v>
      </c>
      <c r="P968" s="98">
        <f>VLOOKUP($A968,LossChart!$A$3:$AB$105,14,0)-L968</f>
        <v>799.576615316377</v>
      </c>
      <c r="Q968" s="98">
        <f>VLOOKUP($A968,LossChart!$A$3:$AB$105,15,0)-M968</f>
        <v>80</v>
      </c>
      <c r="R968" s="98">
        <f>VLOOKUP($A968,LossChart!$A$3:$AB$105,16,0)-N968</f>
        <v>477.30407413615825</v>
      </c>
      <c r="S968" s="98">
        <f>VLOOKUP($A968,LossChart!$A$3:$AB$105,17,0)-O968</f>
        <v>1356.8806894525353</v>
      </c>
    </row>
    <row r="969" spans="1:19" x14ac:dyDescent="0.25">
      <c r="B969" s="94" t="s">
        <v>108</v>
      </c>
      <c r="C969" s="95">
        <v>1</v>
      </c>
      <c r="D969" s="98">
        <f>$C969*VLOOKUP($B969,FoodDB!$A$2:$I$1016,3,0)</f>
        <v>0</v>
      </c>
      <c r="E969" s="98">
        <f>$C969*VLOOKUP($B969,FoodDB!$A$2:$I$1016,4,0)</f>
        <v>0</v>
      </c>
      <c r="F969" s="98">
        <f>$C969*VLOOKUP($B969,FoodDB!$A$2:$I$1016,5,0)</f>
        <v>0</v>
      </c>
      <c r="G969" s="98">
        <f>$C969*VLOOKUP($B969,FoodDB!$A$2:$I$1016,6,0)</f>
        <v>0</v>
      </c>
      <c r="H969" s="98">
        <f>$C969*VLOOKUP($B969,FoodDB!$A$2:$I$1016,7,0)</f>
        <v>0</v>
      </c>
      <c r="I969" s="98">
        <f>$C969*VLOOKUP($B969,FoodDB!$A$2:$I$1016,8,0)</f>
        <v>0</v>
      </c>
      <c r="J969" s="98">
        <f>$C969*VLOOKUP($B969,FoodDB!$A$2:$I$1016,9,0)</f>
        <v>0</v>
      </c>
      <c r="K969" s="98"/>
      <c r="L969" s="98"/>
      <c r="M969" s="98"/>
      <c r="N969" s="98"/>
      <c r="O969" s="98"/>
      <c r="P969" s="98"/>
      <c r="Q969" s="98"/>
      <c r="R969" s="98"/>
      <c r="S969" s="98"/>
    </row>
    <row r="970" spans="1:19" x14ac:dyDescent="0.25">
      <c r="B970" s="94" t="s">
        <v>108</v>
      </c>
      <c r="C970" s="95">
        <v>1</v>
      </c>
      <c r="D970" s="98">
        <f>$C970*VLOOKUP($B970,FoodDB!$A$2:$I$1016,3,0)</f>
        <v>0</v>
      </c>
      <c r="E970" s="98">
        <f>$C970*VLOOKUP($B970,FoodDB!$A$2:$I$1016,4,0)</f>
        <v>0</v>
      </c>
      <c r="F970" s="98">
        <f>$C970*VLOOKUP($B970,FoodDB!$A$2:$I$1016,5,0)</f>
        <v>0</v>
      </c>
      <c r="G970" s="98">
        <f>$C970*VLOOKUP($B970,FoodDB!$A$2:$I$1016,6,0)</f>
        <v>0</v>
      </c>
      <c r="H970" s="98">
        <f>$C970*VLOOKUP($B970,FoodDB!$A$2:$I$1016,7,0)</f>
        <v>0</v>
      </c>
      <c r="I970" s="98">
        <f>$C970*VLOOKUP($B970,FoodDB!$A$2:$I$1016,8,0)</f>
        <v>0</v>
      </c>
      <c r="J970" s="98">
        <f>$C970*VLOOKUP($B970,FoodDB!$A$2:$I$1016,9,0)</f>
        <v>0</v>
      </c>
      <c r="K970" s="98"/>
      <c r="L970" s="98"/>
      <c r="M970" s="98"/>
      <c r="N970" s="98"/>
      <c r="O970" s="98"/>
      <c r="P970" s="98"/>
      <c r="Q970" s="98"/>
      <c r="R970" s="98"/>
      <c r="S970" s="98"/>
    </row>
    <row r="971" spans="1:19" x14ac:dyDescent="0.25">
      <c r="B971" s="94" t="s">
        <v>108</v>
      </c>
      <c r="C971" s="95">
        <v>1</v>
      </c>
      <c r="D971" s="98">
        <f>$C971*VLOOKUP($B971,FoodDB!$A$2:$I$1016,3,0)</f>
        <v>0</v>
      </c>
      <c r="E971" s="98">
        <f>$C971*VLOOKUP($B971,FoodDB!$A$2:$I$1016,4,0)</f>
        <v>0</v>
      </c>
      <c r="F971" s="98">
        <f>$C971*VLOOKUP($B971,FoodDB!$A$2:$I$1016,5,0)</f>
        <v>0</v>
      </c>
      <c r="G971" s="98">
        <f>$C971*VLOOKUP($B971,FoodDB!$A$2:$I$1016,6,0)</f>
        <v>0</v>
      </c>
      <c r="H971" s="98">
        <f>$C971*VLOOKUP($B971,FoodDB!$A$2:$I$1016,7,0)</f>
        <v>0</v>
      </c>
      <c r="I971" s="98">
        <f>$C971*VLOOKUP($B971,FoodDB!$A$2:$I$1016,8,0)</f>
        <v>0</v>
      </c>
      <c r="J971" s="98">
        <f>$C971*VLOOKUP($B971,FoodDB!$A$2:$I$1016,9,0)</f>
        <v>0</v>
      </c>
      <c r="K971" s="98"/>
      <c r="L971" s="98"/>
      <c r="M971" s="98"/>
      <c r="N971" s="98"/>
      <c r="O971" s="98"/>
      <c r="P971" s="98"/>
      <c r="Q971" s="98"/>
      <c r="R971" s="98"/>
      <c r="S971" s="98"/>
    </row>
    <row r="972" spans="1:19" x14ac:dyDescent="0.25">
      <c r="B972" s="94" t="s">
        <v>108</v>
      </c>
      <c r="C972" s="95">
        <v>1</v>
      </c>
      <c r="D972" s="98">
        <f>$C972*VLOOKUP($B972,FoodDB!$A$2:$I$1016,3,0)</f>
        <v>0</v>
      </c>
      <c r="E972" s="98">
        <f>$C972*VLOOKUP($B972,FoodDB!$A$2:$I$1016,4,0)</f>
        <v>0</v>
      </c>
      <c r="F972" s="98">
        <f>$C972*VLOOKUP($B972,FoodDB!$A$2:$I$1016,5,0)</f>
        <v>0</v>
      </c>
      <c r="G972" s="98">
        <f>$C972*VLOOKUP($B972,FoodDB!$A$2:$I$1016,6,0)</f>
        <v>0</v>
      </c>
      <c r="H972" s="98">
        <f>$C972*VLOOKUP($B972,FoodDB!$A$2:$I$1016,7,0)</f>
        <v>0</v>
      </c>
      <c r="I972" s="98">
        <f>$C972*VLOOKUP($B972,FoodDB!$A$2:$I$1016,8,0)</f>
        <v>0</v>
      </c>
      <c r="J972" s="98">
        <f>$C972*VLOOKUP($B972,FoodDB!$A$2:$I$1016,9,0)</f>
        <v>0</v>
      </c>
      <c r="K972" s="98"/>
      <c r="L972" s="98"/>
      <c r="M972" s="98"/>
      <c r="N972" s="98"/>
      <c r="O972" s="98"/>
      <c r="P972" s="98"/>
      <c r="Q972" s="98"/>
      <c r="R972" s="98"/>
      <c r="S972" s="98"/>
    </row>
    <row r="973" spans="1:19" x14ac:dyDescent="0.25">
      <c r="B973" s="94" t="s">
        <v>108</v>
      </c>
      <c r="C973" s="95">
        <v>1</v>
      </c>
      <c r="D973" s="98">
        <f>$C973*VLOOKUP($B973,FoodDB!$A$2:$I$1016,3,0)</f>
        <v>0</v>
      </c>
      <c r="E973" s="98">
        <f>$C973*VLOOKUP($B973,FoodDB!$A$2:$I$1016,4,0)</f>
        <v>0</v>
      </c>
      <c r="F973" s="98">
        <f>$C973*VLOOKUP($B973,FoodDB!$A$2:$I$1016,5,0)</f>
        <v>0</v>
      </c>
      <c r="G973" s="98">
        <f>$C973*VLOOKUP($B973,FoodDB!$A$2:$I$1016,6,0)</f>
        <v>0</v>
      </c>
      <c r="H973" s="98">
        <f>$C973*VLOOKUP($B973,FoodDB!$A$2:$I$1016,7,0)</f>
        <v>0</v>
      </c>
      <c r="I973" s="98">
        <f>$C973*VLOOKUP($B973,FoodDB!$A$2:$I$1016,8,0)</f>
        <v>0</v>
      </c>
      <c r="J973" s="98">
        <f>$C973*VLOOKUP($B973,FoodDB!$A$2:$I$1016,9,0)</f>
        <v>0</v>
      </c>
      <c r="K973" s="98"/>
      <c r="L973" s="98"/>
      <c r="M973" s="98"/>
      <c r="N973" s="98"/>
      <c r="O973" s="98"/>
      <c r="P973" s="98"/>
      <c r="Q973" s="98"/>
      <c r="R973" s="98"/>
      <c r="S973" s="98"/>
    </row>
    <row r="974" spans="1:19" x14ac:dyDescent="0.25">
      <c r="B974" s="94" t="s">
        <v>108</v>
      </c>
      <c r="C974" s="95">
        <v>1</v>
      </c>
      <c r="D974" s="98">
        <f>$C974*VLOOKUP($B974,FoodDB!$A$2:$I$1016,3,0)</f>
        <v>0</v>
      </c>
      <c r="E974" s="98">
        <f>$C974*VLOOKUP($B974,FoodDB!$A$2:$I$1016,4,0)</f>
        <v>0</v>
      </c>
      <c r="F974" s="98">
        <f>$C974*VLOOKUP($B974,FoodDB!$A$2:$I$1016,5,0)</f>
        <v>0</v>
      </c>
      <c r="G974" s="98">
        <f>$C974*VLOOKUP($B974,FoodDB!$A$2:$I$1016,6,0)</f>
        <v>0</v>
      </c>
      <c r="H974" s="98">
        <f>$C974*VLOOKUP($B974,FoodDB!$A$2:$I$1016,7,0)</f>
        <v>0</v>
      </c>
      <c r="I974" s="98">
        <f>$C974*VLOOKUP($B974,FoodDB!$A$2:$I$1016,8,0)</f>
        <v>0</v>
      </c>
      <c r="J974" s="98">
        <f>$C974*VLOOKUP($B974,FoodDB!$A$2:$I$1016,9,0)</f>
        <v>0</v>
      </c>
      <c r="K974" s="98"/>
      <c r="L974" s="98"/>
      <c r="M974" s="98"/>
      <c r="N974" s="98"/>
      <c r="O974" s="98"/>
      <c r="P974" s="98"/>
      <c r="Q974" s="98"/>
      <c r="R974" s="98"/>
      <c r="S974" s="98"/>
    </row>
    <row r="975" spans="1:19" x14ac:dyDescent="0.25">
      <c r="A975" t="s">
        <v>98</v>
      </c>
      <c r="D975" s="98"/>
      <c r="E975" s="98"/>
      <c r="F975" s="98"/>
      <c r="G975" s="98">
        <f>SUM(G968:G974)</f>
        <v>0</v>
      </c>
      <c r="H975" s="98">
        <f>SUM(H968:H974)</f>
        <v>0</v>
      </c>
      <c r="I975" s="98">
        <f>SUM(I968:I974)</f>
        <v>0</v>
      </c>
      <c r="J975" s="98">
        <f>SUM(G975:I975)</f>
        <v>0</v>
      </c>
      <c r="K975" s="98"/>
      <c r="L975" s="98"/>
      <c r="M975" s="98"/>
      <c r="N975" s="98"/>
      <c r="O975" s="98"/>
      <c r="P975" s="98"/>
      <c r="Q975" s="98"/>
      <c r="R975" s="98"/>
      <c r="S975" s="98"/>
    </row>
    <row r="976" spans="1:19" x14ac:dyDescent="0.25">
      <c r="A976" t="s">
        <v>102</v>
      </c>
      <c r="B976" t="s">
        <v>103</v>
      </c>
      <c r="D976" s="98"/>
      <c r="E976" s="98"/>
      <c r="F976" s="98"/>
      <c r="G976" s="98">
        <f>VLOOKUP($A968,LossChart!$A$3:$AB$105,14,0)</f>
        <v>799.576615316377</v>
      </c>
      <c r="H976" s="98">
        <f>VLOOKUP($A968,LossChart!$A$3:$AB$105,15,0)</f>
        <v>80</v>
      </c>
      <c r="I976" s="98">
        <f>VLOOKUP($A968,LossChart!$A$3:$AB$105,16,0)</f>
        <v>477.30407413615825</v>
      </c>
      <c r="J976" s="98">
        <f>VLOOKUP($A968,LossChart!$A$3:$AB$105,17,0)</f>
        <v>1356.8806894525353</v>
      </c>
      <c r="K976" s="98"/>
      <c r="L976" s="98"/>
      <c r="M976" s="98"/>
      <c r="N976" s="98"/>
      <c r="O976" s="98"/>
      <c r="P976" s="98"/>
      <c r="Q976" s="98"/>
      <c r="R976" s="98"/>
      <c r="S976" s="98"/>
    </row>
    <row r="977" spans="1:19" x14ac:dyDescent="0.25">
      <c r="A977" t="s">
        <v>104</v>
      </c>
      <c r="D977" s="98"/>
      <c r="E977" s="98"/>
      <c r="F977" s="98"/>
      <c r="G977" s="98">
        <f>G976-G975</f>
        <v>799.576615316377</v>
      </c>
      <c r="H977" s="98">
        <f>H976-H975</f>
        <v>80</v>
      </c>
      <c r="I977" s="98">
        <f>I976-I975</f>
        <v>477.30407413615825</v>
      </c>
      <c r="J977" s="98">
        <f>J976-J975</f>
        <v>1356.8806894525353</v>
      </c>
      <c r="K977" s="98"/>
      <c r="L977" s="98"/>
      <c r="M977" s="98"/>
      <c r="N977" s="98"/>
      <c r="O977" s="98"/>
      <c r="P977" s="98"/>
      <c r="Q977" s="98"/>
      <c r="R977" s="98"/>
      <c r="S977" s="98"/>
    </row>
    <row r="979" spans="1:19" ht="60" x14ac:dyDescent="0.25">
      <c r="A979" s="21" t="s">
        <v>63</v>
      </c>
      <c r="B979" s="21" t="s">
        <v>93</v>
      </c>
      <c r="C979" s="21" t="s">
        <v>94</v>
      </c>
      <c r="D979" s="92" t="str">
        <f>FoodDB!$C$1</f>
        <v>Fat
(g)</v>
      </c>
      <c r="E979" s="92" t="str">
        <f>FoodDB!$D$1</f>
        <v xml:space="preserve"> Carbs
(g)</v>
      </c>
      <c r="F979" s="92" t="str">
        <f>FoodDB!$E$1</f>
        <v>Protein
(g)</v>
      </c>
      <c r="G979" s="92" t="str">
        <f>FoodDB!$F$1</f>
        <v>Fat
(Cal)</v>
      </c>
      <c r="H979" s="92" t="str">
        <f>FoodDB!$G$1</f>
        <v>Carb
(Cal)</v>
      </c>
      <c r="I979" s="92" t="str">
        <f>FoodDB!$H$1</f>
        <v>Protein
(Cal)</v>
      </c>
      <c r="J979" s="92" t="str">
        <f>FoodDB!$I$1</f>
        <v>Total
Calories</v>
      </c>
      <c r="K979" s="92"/>
      <c r="L979" s="92" t="s">
        <v>110</v>
      </c>
      <c r="M979" s="92" t="s">
        <v>111</v>
      </c>
      <c r="N979" s="92" t="s">
        <v>112</v>
      </c>
      <c r="O979" s="92" t="s">
        <v>113</v>
      </c>
      <c r="P979" s="92" t="s">
        <v>118</v>
      </c>
      <c r="Q979" s="92" t="s">
        <v>119</v>
      </c>
      <c r="R979" s="92" t="s">
        <v>120</v>
      </c>
      <c r="S979" s="92" t="s">
        <v>121</v>
      </c>
    </row>
    <row r="980" spans="1:19" x14ac:dyDescent="0.25">
      <c r="A980" s="93">
        <f>A968+1</f>
        <v>43075</v>
      </c>
      <c r="B980" s="94" t="s">
        <v>108</v>
      </c>
      <c r="C980" s="95">
        <v>1</v>
      </c>
      <c r="D980" s="98">
        <f>$C980*VLOOKUP($B980,FoodDB!$A$2:$I$1016,3,0)</f>
        <v>0</v>
      </c>
      <c r="E980" s="98">
        <f>$C980*VLOOKUP($B980,FoodDB!$A$2:$I$1016,4,0)</f>
        <v>0</v>
      </c>
      <c r="F980" s="98">
        <f>$C980*VLOOKUP($B980,FoodDB!$A$2:$I$1016,5,0)</f>
        <v>0</v>
      </c>
      <c r="G980" s="98">
        <f>$C980*VLOOKUP($B980,FoodDB!$A$2:$I$1016,6,0)</f>
        <v>0</v>
      </c>
      <c r="H980" s="98">
        <f>$C980*VLOOKUP($B980,FoodDB!$A$2:$I$1016,7,0)</f>
        <v>0</v>
      </c>
      <c r="I980" s="98">
        <f>$C980*VLOOKUP($B980,FoodDB!$A$2:$I$1016,8,0)</f>
        <v>0</v>
      </c>
      <c r="J980" s="98">
        <f>$C980*VLOOKUP($B980,FoodDB!$A$2:$I$1016,9,0)</f>
        <v>0</v>
      </c>
      <c r="K980" s="98"/>
      <c r="L980" s="98">
        <f>SUM(G980:G986)</f>
        <v>0</v>
      </c>
      <c r="M980" s="98">
        <f>SUM(H980:H986)</f>
        <v>0</v>
      </c>
      <c r="N980" s="98">
        <f>SUM(I980:I986)</f>
        <v>0</v>
      </c>
      <c r="O980" s="98">
        <f>SUM(L980:N980)</f>
        <v>0</v>
      </c>
      <c r="P980" s="98">
        <f>VLOOKUP($A980,LossChart!$A$3:$AB$105,14,0)-L980</f>
        <v>803.99709850421755</v>
      </c>
      <c r="Q980" s="98">
        <f>VLOOKUP($A980,LossChart!$A$3:$AB$105,15,0)-M980</f>
        <v>80</v>
      </c>
      <c r="R980" s="98">
        <f>VLOOKUP($A980,LossChart!$A$3:$AB$105,16,0)-N980</f>
        <v>477.30407413615825</v>
      </c>
      <c r="S980" s="98">
        <f>VLOOKUP($A980,LossChart!$A$3:$AB$105,17,0)-O980</f>
        <v>1361.3011726403759</v>
      </c>
    </row>
    <row r="981" spans="1:19" x14ac:dyDescent="0.25">
      <c r="B981" s="94" t="s">
        <v>108</v>
      </c>
      <c r="C981" s="95">
        <v>1</v>
      </c>
      <c r="D981" s="98">
        <f>$C981*VLOOKUP($B981,FoodDB!$A$2:$I$1016,3,0)</f>
        <v>0</v>
      </c>
      <c r="E981" s="98">
        <f>$C981*VLOOKUP($B981,FoodDB!$A$2:$I$1016,4,0)</f>
        <v>0</v>
      </c>
      <c r="F981" s="98">
        <f>$C981*VLOOKUP($B981,FoodDB!$A$2:$I$1016,5,0)</f>
        <v>0</v>
      </c>
      <c r="G981" s="98">
        <f>$C981*VLOOKUP($B981,FoodDB!$A$2:$I$1016,6,0)</f>
        <v>0</v>
      </c>
      <c r="H981" s="98">
        <f>$C981*VLOOKUP($B981,FoodDB!$A$2:$I$1016,7,0)</f>
        <v>0</v>
      </c>
      <c r="I981" s="98">
        <f>$C981*VLOOKUP($B981,FoodDB!$A$2:$I$1016,8,0)</f>
        <v>0</v>
      </c>
      <c r="J981" s="98">
        <f>$C981*VLOOKUP($B981,FoodDB!$A$2:$I$1016,9,0)</f>
        <v>0</v>
      </c>
      <c r="K981" s="98"/>
      <c r="L981" s="98"/>
      <c r="M981" s="98"/>
      <c r="N981" s="98"/>
      <c r="O981" s="98"/>
      <c r="P981" s="98"/>
      <c r="Q981" s="98"/>
      <c r="R981" s="98"/>
      <c r="S981" s="98"/>
    </row>
    <row r="982" spans="1:19" x14ac:dyDescent="0.25">
      <c r="B982" s="94" t="s">
        <v>108</v>
      </c>
      <c r="C982" s="95">
        <v>1</v>
      </c>
      <c r="D982" s="98">
        <f>$C982*VLOOKUP($B982,FoodDB!$A$2:$I$1016,3,0)</f>
        <v>0</v>
      </c>
      <c r="E982" s="98">
        <f>$C982*VLOOKUP($B982,FoodDB!$A$2:$I$1016,4,0)</f>
        <v>0</v>
      </c>
      <c r="F982" s="98">
        <f>$C982*VLOOKUP($B982,FoodDB!$A$2:$I$1016,5,0)</f>
        <v>0</v>
      </c>
      <c r="G982" s="98">
        <f>$C982*VLOOKUP($B982,FoodDB!$A$2:$I$1016,6,0)</f>
        <v>0</v>
      </c>
      <c r="H982" s="98">
        <f>$C982*VLOOKUP($B982,FoodDB!$A$2:$I$1016,7,0)</f>
        <v>0</v>
      </c>
      <c r="I982" s="98">
        <f>$C982*VLOOKUP($B982,FoodDB!$A$2:$I$1016,8,0)</f>
        <v>0</v>
      </c>
      <c r="J982" s="98">
        <f>$C982*VLOOKUP($B982,FoodDB!$A$2:$I$1016,9,0)</f>
        <v>0</v>
      </c>
      <c r="K982" s="98"/>
      <c r="L982" s="98"/>
      <c r="M982" s="98"/>
      <c r="N982" s="98"/>
      <c r="O982" s="98"/>
      <c r="P982" s="98"/>
      <c r="Q982" s="98"/>
      <c r="R982" s="98"/>
      <c r="S982" s="98"/>
    </row>
    <row r="983" spans="1:19" x14ac:dyDescent="0.25">
      <c r="B983" s="94" t="s">
        <v>108</v>
      </c>
      <c r="C983" s="95">
        <v>1</v>
      </c>
      <c r="D983" s="98">
        <f>$C983*VLOOKUP($B983,FoodDB!$A$2:$I$1016,3,0)</f>
        <v>0</v>
      </c>
      <c r="E983" s="98">
        <f>$C983*VLOOKUP($B983,FoodDB!$A$2:$I$1016,4,0)</f>
        <v>0</v>
      </c>
      <c r="F983" s="98">
        <f>$C983*VLOOKUP($B983,FoodDB!$A$2:$I$1016,5,0)</f>
        <v>0</v>
      </c>
      <c r="G983" s="98">
        <f>$C983*VLOOKUP($B983,FoodDB!$A$2:$I$1016,6,0)</f>
        <v>0</v>
      </c>
      <c r="H983" s="98">
        <f>$C983*VLOOKUP($B983,FoodDB!$A$2:$I$1016,7,0)</f>
        <v>0</v>
      </c>
      <c r="I983" s="98">
        <f>$C983*VLOOKUP($B983,FoodDB!$A$2:$I$1016,8,0)</f>
        <v>0</v>
      </c>
      <c r="J983" s="98">
        <f>$C983*VLOOKUP($B983,FoodDB!$A$2:$I$1016,9,0)</f>
        <v>0</v>
      </c>
      <c r="K983" s="98"/>
      <c r="L983" s="98"/>
      <c r="M983" s="98"/>
      <c r="N983" s="98"/>
      <c r="O983" s="98"/>
      <c r="P983" s="98"/>
      <c r="Q983" s="98"/>
      <c r="R983" s="98"/>
      <c r="S983" s="98"/>
    </row>
    <row r="984" spans="1:19" x14ac:dyDescent="0.25">
      <c r="B984" s="94" t="s">
        <v>108</v>
      </c>
      <c r="C984" s="95">
        <v>1</v>
      </c>
      <c r="D984" s="98">
        <f>$C984*VLOOKUP($B984,FoodDB!$A$2:$I$1016,3,0)</f>
        <v>0</v>
      </c>
      <c r="E984" s="98">
        <f>$C984*VLOOKUP($B984,FoodDB!$A$2:$I$1016,4,0)</f>
        <v>0</v>
      </c>
      <c r="F984" s="98">
        <f>$C984*VLOOKUP($B984,FoodDB!$A$2:$I$1016,5,0)</f>
        <v>0</v>
      </c>
      <c r="G984" s="98">
        <f>$C984*VLOOKUP($B984,FoodDB!$A$2:$I$1016,6,0)</f>
        <v>0</v>
      </c>
      <c r="H984" s="98">
        <f>$C984*VLOOKUP($B984,FoodDB!$A$2:$I$1016,7,0)</f>
        <v>0</v>
      </c>
      <c r="I984" s="98">
        <f>$C984*VLOOKUP($B984,FoodDB!$A$2:$I$1016,8,0)</f>
        <v>0</v>
      </c>
      <c r="J984" s="98">
        <f>$C984*VLOOKUP($B984,FoodDB!$A$2:$I$1016,9,0)</f>
        <v>0</v>
      </c>
      <c r="K984" s="98"/>
      <c r="L984" s="98"/>
      <c r="M984" s="98"/>
      <c r="N984" s="98"/>
      <c r="O984" s="98"/>
      <c r="P984" s="98"/>
      <c r="Q984" s="98"/>
      <c r="R984" s="98"/>
      <c r="S984" s="98"/>
    </row>
    <row r="985" spans="1:19" x14ac:dyDescent="0.25">
      <c r="B985" s="94" t="s">
        <v>108</v>
      </c>
      <c r="C985" s="95">
        <v>1</v>
      </c>
      <c r="D985" s="98">
        <f>$C985*VLOOKUP($B985,FoodDB!$A$2:$I$1016,3,0)</f>
        <v>0</v>
      </c>
      <c r="E985" s="98">
        <f>$C985*VLOOKUP($B985,FoodDB!$A$2:$I$1016,4,0)</f>
        <v>0</v>
      </c>
      <c r="F985" s="98">
        <f>$C985*VLOOKUP($B985,FoodDB!$A$2:$I$1016,5,0)</f>
        <v>0</v>
      </c>
      <c r="G985" s="98">
        <f>$C985*VLOOKUP($B985,FoodDB!$A$2:$I$1016,6,0)</f>
        <v>0</v>
      </c>
      <c r="H985" s="98">
        <f>$C985*VLOOKUP($B985,FoodDB!$A$2:$I$1016,7,0)</f>
        <v>0</v>
      </c>
      <c r="I985" s="98">
        <f>$C985*VLOOKUP($B985,FoodDB!$A$2:$I$1016,8,0)</f>
        <v>0</v>
      </c>
      <c r="J985" s="98">
        <f>$C985*VLOOKUP($B985,FoodDB!$A$2:$I$1016,9,0)</f>
        <v>0</v>
      </c>
      <c r="K985" s="98"/>
      <c r="L985" s="98"/>
      <c r="M985" s="98"/>
      <c r="N985" s="98"/>
      <c r="O985" s="98"/>
      <c r="P985" s="98"/>
      <c r="Q985" s="98"/>
      <c r="R985" s="98"/>
      <c r="S985" s="98"/>
    </row>
    <row r="986" spans="1:19" x14ac:dyDescent="0.25">
      <c r="B986" s="94" t="s">
        <v>108</v>
      </c>
      <c r="C986" s="95">
        <v>1</v>
      </c>
      <c r="D986" s="98">
        <f>$C986*VLOOKUP($B986,FoodDB!$A$2:$I$1016,3,0)</f>
        <v>0</v>
      </c>
      <c r="E986" s="98">
        <f>$C986*VLOOKUP($B986,FoodDB!$A$2:$I$1016,4,0)</f>
        <v>0</v>
      </c>
      <c r="F986" s="98">
        <f>$C986*VLOOKUP($B986,FoodDB!$A$2:$I$1016,5,0)</f>
        <v>0</v>
      </c>
      <c r="G986" s="98">
        <f>$C986*VLOOKUP($B986,FoodDB!$A$2:$I$1016,6,0)</f>
        <v>0</v>
      </c>
      <c r="H986" s="98">
        <f>$C986*VLOOKUP($B986,FoodDB!$A$2:$I$1016,7,0)</f>
        <v>0</v>
      </c>
      <c r="I986" s="98">
        <f>$C986*VLOOKUP($B986,FoodDB!$A$2:$I$1016,8,0)</f>
        <v>0</v>
      </c>
      <c r="J986" s="98">
        <f>$C986*VLOOKUP($B986,FoodDB!$A$2:$I$1016,9,0)</f>
        <v>0</v>
      </c>
      <c r="K986" s="98"/>
      <c r="L986" s="98"/>
      <c r="M986" s="98"/>
      <c r="N986" s="98"/>
      <c r="O986" s="98"/>
      <c r="P986" s="98"/>
      <c r="Q986" s="98"/>
      <c r="R986" s="98"/>
      <c r="S986" s="98"/>
    </row>
    <row r="987" spans="1:19" x14ac:dyDescent="0.25">
      <c r="A987" t="s">
        <v>98</v>
      </c>
      <c r="D987" s="98"/>
      <c r="E987" s="98"/>
      <c r="F987" s="98"/>
      <c r="G987" s="98">
        <f>SUM(G980:G986)</f>
        <v>0</v>
      </c>
      <c r="H987" s="98">
        <f>SUM(H980:H986)</f>
        <v>0</v>
      </c>
      <c r="I987" s="98">
        <f>SUM(I980:I986)</f>
        <v>0</v>
      </c>
      <c r="J987" s="98">
        <f>SUM(G987:I987)</f>
        <v>0</v>
      </c>
      <c r="K987" s="98"/>
      <c r="L987" s="98"/>
      <c r="M987" s="98"/>
      <c r="N987" s="98"/>
      <c r="O987" s="98"/>
      <c r="P987" s="98"/>
      <c r="Q987" s="98"/>
      <c r="R987" s="98"/>
      <c r="S987" s="98"/>
    </row>
    <row r="988" spans="1:19" x14ac:dyDescent="0.25">
      <c r="A988" t="s">
        <v>102</v>
      </c>
      <c r="B988" t="s">
        <v>103</v>
      </c>
      <c r="D988" s="98"/>
      <c r="E988" s="98"/>
      <c r="F988" s="98"/>
      <c r="G988" s="98">
        <f>VLOOKUP($A980,LossChart!$A$3:$AB$105,14,0)</f>
        <v>803.99709850421755</v>
      </c>
      <c r="H988" s="98">
        <f>VLOOKUP($A980,LossChart!$A$3:$AB$105,15,0)</f>
        <v>80</v>
      </c>
      <c r="I988" s="98">
        <f>VLOOKUP($A980,LossChart!$A$3:$AB$105,16,0)</f>
        <v>477.30407413615825</v>
      </c>
      <c r="J988" s="98">
        <f>VLOOKUP($A980,LossChart!$A$3:$AB$105,17,0)</f>
        <v>1361.3011726403759</v>
      </c>
      <c r="K988" s="98"/>
      <c r="L988" s="98"/>
      <c r="M988" s="98"/>
      <c r="N988" s="98"/>
      <c r="O988" s="98"/>
      <c r="P988" s="98"/>
      <c r="Q988" s="98"/>
      <c r="R988" s="98"/>
      <c r="S988" s="98"/>
    </row>
    <row r="989" spans="1:19" x14ac:dyDescent="0.25">
      <c r="A989" t="s">
        <v>104</v>
      </c>
      <c r="D989" s="98"/>
      <c r="E989" s="98"/>
      <c r="F989" s="98"/>
      <c r="G989" s="98">
        <f>G988-G987</f>
        <v>803.99709850421755</v>
      </c>
      <c r="H989" s="98">
        <f>H988-H987</f>
        <v>80</v>
      </c>
      <c r="I989" s="98">
        <f>I988-I987</f>
        <v>477.30407413615825</v>
      </c>
      <c r="J989" s="98">
        <f>J988-J987</f>
        <v>1361.3011726403759</v>
      </c>
      <c r="K989" s="98"/>
      <c r="L989" s="98"/>
      <c r="M989" s="98"/>
      <c r="N989" s="98"/>
      <c r="O989" s="98"/>
      <c r="P989" s="98"/>
      <c r="Q989" s="98"/>
      <c r="R989" s="98"/>
      <c r="S989" s="98"/>
    </row>
    <row r="991" spans="1:19" ht="60" x14ac:dyDescent="0.25">
      <c r="A991" s="21" t="s">
        <v>63</v>
      </c>
      <c r="B991" s="21" t="s">
        <v>93</v>
      </c>
      <c r="C991" s="21" t="s">
        <v>94</v>
      </c>
      <c r="D991" s="92" t="str">
        <f>FoodDB!$C$1</f>
        <v>Fat
(g)</v>
      </c>
      <c r="E991" s="92" t="str">
        <f>FoodDB!$D$1</f>
        <v xml:space="preserve"> Carbs
(g)</v>
      </c>
      <c r="F991" s="92" t="str">
        <f>FoodDB!$E$1</f>
        <v>Protein
(g)</v>
      </c>
      <c r="G991" s="92" t="str">
        <f>FoodDB!$F$1</f>
        <v>Fat
(Cal)</v>
      </c>
      <c r="H991" s="92" t="str">
        <f>FoodDB!$G$1</f>
        <v>Carb
(Cal)</v>
      </c>
      <c r="I991" s="92" t="str">
        <f>FoodDB!$H$1</f>
        <v>Protein
(Cal)</v>
      </c>
      <c r="J991" s="92" t="str">
        <f>FoodDB!$I$1</f>
        <v>Total
Calories</v>
      </c>
      <c r="K991" s="92"/>
      <c r="L991" s="92" t="s">
        <v>110</v>
      </c>
      <c r="M991" s="92" t="s">
        <v>111</v>
      </c>
      <c r="N991" s="92" t="s">
        <v>112</v>
      </c>
      <c r="O991" s="92" t="s">
        <v>113</v>
      </c>
      <c r="P991" s="92" t="s">
        <v>118</v>
      </c>
      <c r="Q991" s="92" t="s">
        <v>119</v>
      </c>
      <c r="R991" s="92" t="s">
        <v>120</v>
      </c>
      <c r="S991" s="92" t="s">
        <v>121</v>
      </c>
    </row>
    <row r="992" spans="1:19" x14ac:dyDescent="0.25">
      <c r="A992" s="93">
        <f>A980+1</f>
        <v>43076</v>
      </c>
      <c r="B992" s="94" t="s">
        <v>108</v>
      </c>
      <c r="C992" s="95">
        <v>1</v>
      </c>
      <c r="D992" s="98">
        <f>$C992*VLOOKUP($B992,FoodDB!$A$2:$I$1016,3,0)</f>
        <v>0</v>
      </c>
      <c r="E992" s="98">
        <f>$C992*VLOOKUP($B992,FoodDB!$A$2:$I$1016,4,0)</f>
        <v>0</v>
      </c>
      <c r="F992" s="98">
        <f>$C992*VLOOKUP($B992,FoodDB!$A$2:$I$1016,5,0)</f>
        <v>0</v>
      </c>
      <c r="G992" s="98">
        <f>$C992*VLOOKUP($B992,FoodDB!$A$2:$I$1016,6,0)</f>
        <v>0</v>
      </c>
      <c r="H992" s="98">
        <f>$C992*VLOOKUP($B992,FoodDB!$A$2:$I$1016,7,0)</f>
        <v>0</v>
      </c>
      <c r="I992" s="98">
        <f>$C992*VLOOKUP($B992,FoodDB!$A$2:$I$1016,8,0)</f>
        <v>0</v>
      </c>
      <c r="J992" s="98">
        <f>$C992*VLOOKUP($B992,FoodDB!$A$2:$I$1016,9,0)</f>
        <v>0</v>
      </c>
      <c r="K992" s="98"/>
      <c r="L992" s="98">
        <f>SUM(G992:G998)</f>
        <v>0</v>
      </c>
      <c r="M992" s="98">
        <f>SUM(H992:H998)</f>
        <v>0</v>
      </c>
      <c r="N992" s="98">
        <f>SUM(I992:I998)</f>
        <v>0</v>
      </c>
      <c r="O992" s="98">
        <f>SUM(L992:N992)</f>
        <v>0</v>
      </c>
      <c r="P992" s="98">
        <f>VLOOKUP($A992,LossChart!$A$3:$AB$105,14,0)-L992</f>
        <v>804.37842884096608</v>
      </c>
      <c r="Q992" s="98">
        <f>VLOOKUP($A992,LossChart!$A$3:$AB$105,15,0)-M992</f>
        <v>84</v>
      </c>
      <c r="R992" s="98">
        <f>VLOOKUP($A992,LossChart!$A$3:$AB$105,16,0)-N992</f>
        <v>477.30407413615825</v>
      </c>
      <c r="S992" s="98">
        <f>VLOOKUP($A992,LossChart!$A$3:$AB$105,17,0)-O992</f>
        <v>1365.6825029771244</v>
      </c>
    </row>
    <row r="993" spans="1:19" x14ac:dyDescent="0.25">
      <c r="B993" s="94" t="s">
        <v>108</v>
      </c>
      <c r="C993" s="95">
        <v>1</v>
      </c>
      <c r="D993" s="98">
        <f>$C993*VLOOKUP($B993,FoodDB!$A$2:$I$1016,3,0)</f>
        <v>0</v>
      </c>
      <c r="E993" s="98">
        <f>$C993*VLOOKUP($B993,FoodDB!$A$2:$I$1016,4,0)</f>
        <v>0</v>
      </c>
      <c r="F993" s="98">
        <f>$C993*VLOOKUP($B993,FoodDB!$A$2:$I$1016,5,0)</f>
        <v>0</v>
      </c>
      <c r="G993" s="98">
        <f>$C993*VLOOKUP($B993,FoodDB!$A$2:$I$1016,6,0)</f>
        <v>0</v>
      </c>
      <c r="H993" s="98">
        <f>$C993*VLOOKUP($B993,FoodDB!$A$2:$I$1016,7,0)</f>
        <v>0</v>
      </c>
      <c r="I993" s="98">
        <f>$C993*VLOOKUP($B993,FoodDB!$A$2:$I$1016,8,0)</f>
        <v>0</v>
      </c>
      <c r="J993" s="98">
        <f>$C993*VLOOKUP($B993,FoodDB!$A$2:$I$1016,9,0)</f>
        <v>0</v>
      </c>
      <c r="K993" s="98"/>
      <c r="L993" s="98"/>
      <c r="M993" s="98"/>
      <c r="N993" s="98"/>
      <c r="O993" s="98"/>
      <c r="P993" s="98"/>
      <c r="Q993" s="98"/>
      <c r="R993" s="98"/>
      <c r="S993" s="98"/>
    </row>
    <row r="994" spans="1:19" x14ac:dyDescent="0.25">
      <c r="B994" s="94" t="s">
        <v>108</v>
      </c>
      <c r="C994" s="95">
        <v>1</v>
      </c>
      <c r="D994" s="98">
        <f>$C994*VLOOKUP($B994,FoodDB!$A$2:$I$1016,3,0)</f>
        <v>0</v>
      </c>
      <c r="E994" s="98">
        <f>$C994*VLOOKUP($B994,FoodDB!$A$2:$I$1016,4,0)</f>
        <v>0</v>
      </c>
      <c r="F994" s="98">
        <f>$C994*VLOOKUP($B994,FoodDB!$A$2:$I$1016,5,0)</f>
        <v>0</v>
      </c>
      <c r="G994" s="98">
        <f>$C994*VLOOKUP($B994,FoodDB!$A$2:$I$1016,6,0)</f>
        <v>0</v>
      </c>
      <c r="H994" s="98">
        <f>$C994*VLOOKUP($B994,FoodDB!$A$2:$I$1016,7,0)</f>
        <v>0</v>
      </c>
      <c r="I994" s="98">
        <f>$C994*VLOOKUP($B994,FoodDB!$A$2:$I$1016,8,0)</f>
        <v>0</v>
      </c>
      <c r="J994" s="98">
        <f>$C994*VLOOKUP($B994,FoodDB!$A$2:$I$1016,9,0)</f>
        <v>0</v>
      </c>
      <c r="K994" s="98"/>
      <c r="L994" s="98"/>
      <c r="M994" s="98"/>
      <c r="N994" s="98"/>
      <c r="O994" s="98"/>
      <c r="P994" s="98"/>
      <c r="Q994" s="98"/>
      <c r="R994" s="98"/>
      <c r="S994" s="98"/>
    </row>
    <row r="995" spans="1:19" x14ac:dyDescent="0.25">
      <c r="B995" s="94" t="s">
        <v>108</v>
      </c>
      <c r="C995" s="95">
        <v>1</v>
      </c>
      <c r="D995" s="98">
        <f>$C995*VLOOKUP($B995,FoodDB!$A$2:$I$1016,3,0)</f>
        <v>0</v>
      </c>
      <c r="E995" s="98">
        <f>$C995*VLOOKUP($B995,FoodDB!$A$2:$I$1016,4,0)</f>
        <v>0</v>
      </c>
      <c r="F995" s="98">
        <f>$C995*VLOOKUP($B995,FoodDB!$A$2:$I$1016,5,0)</f>
        <v>0</v>
      </c>
      <c r="G995" s="98">
        <f>$C995*VLOOKUP($B995,FoodDB!$A$2:$I$1016,6,0)</f>
        <v>0</v>
      </c>
      <c r="H995" s="98">
        <f>$C995*VLOOKUP($B995,FoodDB!$A$2:$I$1016,7,0)</f>
        <v>0</v>
      </c>
      <c r="I995" s="98">
        <f>$C995*VLOOKUP($B995,FoodDB!$A$2:$I$1016,8,0)</f>
        <v>0</v>
      </c>
      <c r="J995" s="98">
        <f>$C995*VLOOKUP($B995,FoodDB!$A$2:$I$1016,9,0)</f>
        <v>0</v>
      </c>
      <c r="K995" s="98"/>
      <c r="L995" s="98"/>
      <c r="M995" s="98"/>
      <c r="N995" s="98"/>
      <c r="O995" s="98"/>
      <c r="P995" s="98"/>
      <c r="Q995" s="98"/>
      <c r="R995" s="98"/>
      <c r="S995" s="98"/>
    </row>
    <row r="996" spans="1:19" x14ac:dyDescent="0.25">
      <c r="B996" s="94" t="s">
        <v>108</v>
      </c>
      <c r="C996" s="95">
        <v>1</v>
      </c>
      <c r="D996" s="98">
        <f>$C996*VLOOKUP($B996,FoodDB!$A$2:$I$1016,3,0)</f>
        <v>0</v>
      </c>
      <c r="E996" s="98">
        <f>$C996*VLOOKUP($B996,FoodDB!$A$2:$I$1016,4,0)</f>
        <v>0</v>
      </c>
      <c r="F996" s="98">
        <f>$C996*VLOOKUP($B996,FoodDB!$A$2:$I$1016,5,0)</f>
        <v>0</v>
      </c>
      <c r="G996" s="98">
        <f>$C996*VLOOKUP($B996,FoodDB!$A$2:$I$1016,6,0)</f>
        <v>0</v>
      </c>
      <c r="H996" s="98">
        <f>$C996*VLOOKUP($B996,FoodDB!$A$2:$I$1016,7,0)</f>
        <v>0</v>
      </c>
      <c r="I996" s="98">
        <f>$C996*VLOOKUP($B996,FoodDB!$A$2:$I$1016,8,0)</f>
        <v>0</v>
      </c>
      <c r="J996" s="98">
        <f>$C996*VLOOKUP($B996,FoodDB!$A$2:$I$1016,9,0)</f>
        <v>0</v>
      </c>
      <c r="K996" s="98"/>
      <c r="L996" s="98"/>
      <c r="M996" s="98"/>
      <c r="N996" s="98"/>
      <c r="O996" s="98"/>
      <c r="P996" s="98"/>
      <c r="Q996" s="98"/>
      <c r="R996" s="98"/>
      <c r="S996" s="98"/>
    </row>
    <row r="997" spans="1:19" x14ac:dyDescent="0.25">
      <c r="B997" s="94" t="s">
        <v>108</v>
      </c>
      <c r="C997" s="95">
        <v>1</v>
      </c>
      <c r="D997" s="98">
        <f>$C997*VLOOKUP($B997,FoodDB!$A$2:$I$1016,3,0)</f>
        <v>0</v>
      </c>
      <c r="E997" s="98">
        <f>$C997*VLOOKUP($B997,FoodDB!$A$2:$I$1016,4,0)</f>
        <v>0</v>
      </c>
      <c r="F997" s="98">
        <f>$C997*VLOOKUP($B997,FoodDB!$A$2:$I$1016,5,0)</f>
        <v>0</v>
      </c>
      <c r="G997" s="98">
        <f>$C997*VLOOKUP($B997,FoodDB!$A$2:$I$1016,6,0)</f>
        <v>0</v>
      </c>
      <c r="H997" s="98">
        <f>$C997*VLOOKUP($B997,FoodDB!$A$2:$I$1016,7,0)</f>
        <v>0</v>
      </c>
      <c r="I997" s="98">
        <f>$C997*VLOOKUP($B997,FoodDB!$A$2:$I$1016,8,0)</f>
        <v>0</v>
      </c>
      <c r="J997" s="98">
        <f>$C997*VLOOKUP($B997,FoodDB!$A$2:$I$1016,9,0)</f>
        <v>0</v>
      </c>
      <c r="K997" s="98"/>
      <c r="L997" s="98"/>
      <c r="M997" s="98"/>
      <c r="N997" s="98"/>
      <c r="O997" s="98"/>
      <c r="P997" s="98"/>
      <c r="Q997" s="98"/>
      <c r="R997" s="98"/>
      <c r="S997" s="98"/>
    </row>
    <row r="998" spans="1:19" x14ac:dyDescent="0.25">
      <c r="B998" s="94" t="s">
        <v>108</v>
      </c>
      <c r="C998" s="95">
        <v>1</v>
      </c>
      <c r="D998" s="98">
        <f>$C998*VLOOKUP($B998,FoodDB!$A$2:$I$1016,3,0)</f>
        <v>0</v>
      </c>
      <c r="E998" s="98">
        <f>$C998*VLOOKUP($B998,FoodDB!$A$2:$I$1016,4,0)</f>
        <v>0</v>
      </c>
      <c r="F998" s="98">
        <f>$C998*VLOOKUP($B998,FoodDB!$A$2:$I$1016,5,0)</f>
        <v>0</v>
      </c>
      <c r="G998" s="98">
        <f>$C998*VLOOKUP($B998,FoodDB!$A$2:$I$1016,6,0)</f>
        <v>0</v>
      </c>
      <c r="H998" s="98">
        <f>$C998*VLOOKUP($B998,FoodDB!$A$2:$I$1016,7,0)</f>
        <v>0</v>
      </c>
      <c r="I998" s="98">
        <f>$C998*VLOOKUP($B998,FoodDB!$A$2:$I$1016,8,0)</f>
        <v>0</v>
      </c>
      <c r="J998" s="98">
        <f>$C998*VLOOKUP($B998,FoodDB!$A$2:$I$1016,9,0)</f>
        <v>0</v>
      </c>
      <c r="K998" s="98"/>
      <c r="L998" s="98"/>
      <c r="M998" s="98"/>
      <c r="N998" s="98"/>
      <c r="O998" s="98"/>
      <c r="P998" s="98"/>
      <c r="Q998" s="98"/>
      <c r="R998" s="98"/>
      <c r="S998" s="98"/>
    </row>
    <row r="999" spans="1:19" x14ac:dyDescent="0.25">
      <c r="A999" t="s">
        <v>98</v>
      </c>
      <c r="D999" s="98"/>
      <c r="E999" s="98"/>
      <c r="F999" s="98"/>
      <c r="G999" s="98">
        <f>SUM(G992:G998)</f>
        <v>0</v>
      </c>
      <c r="H999" s="98">
        <f>SUM(H992:H998)</f>
        <v>0</v>
      </c>
      <c r="I999" s="98">
        <f>SUM(I992:I998)</f>
        <v>0</v>
      </c>
      <c r="J999" s="98">
        <f>SUM(G999:I999)</f>
        <v>0</v>
      </c>
      <c r="K999" s="98"/>
      <c r="L999" s="98"/>
      <c r="M999" s="98"/>
      <c r="N999" s="98"/>
      <c r="O999" s="98"/>
      <c r="P999" s="98"/>
      <c r="Q999" s="98"/>
      <c r="R999" s="98"/>
      <c r="S999" s="98"/>
    </row>
    <row r="1000" spans="1:19" x14ac:dyDescent="0.25">
      <c r="A1000" t="s">
        <v>102</v>
      </c>
      <c r="B1000" t="s">
        <v>103</v>
      </c>
      <c r="D1000" s="98"/>
      <c r="E1000" s="98"/>
      <c r="F1000" s="98"/>
      <c r="G1000" s="98">
        <f>VLOOKUP($A992,LossChart!$A$3:$AB$105,14,0)</f>
        <v>804.37842884096608</v>
      </c>
      <c r="H1000" s="98">
        <f>VLOOKUP($A992,LossChart!$A$3:$AB$105,15,0)</f>
        <v>84</v>
      </c>
      <c r="I1000" s="98">
        <f>VLOOKUP($A992,LossChart!$A$3:$AB$105,16,0)</f>
        <v>477.30407413615825</v>
      </c>
      <c r="J1000" s="98">
        <f>VLOOKUP($A992,LossChart!$A$3:$AB$105,17,0)</f>
        <v>1365.6825029771244</v>
      </c>
      <c r="K1000" s="98"/>
      <c r="L1000" s="98"/>
      <c r="M1000" s="98"/>
      <c r="N1000" s="98"/>
      <c r="O1000" s="98"/>
      <c r="P1000" s="98"/>
      <c r="Q1000" s="98"/>
      <c r="R1000" s="98"/>
      <c r="S1000" s="98"/>
    </row>
    <row r="1001" spans="1:19" x14ac:dyDescent="0.25">
      <c r="A1001" t="s">
        <v>104</v>
      </c>
      <c r="D1001" s="98"/>
      <c r="E1001" s="98"/>
      <c r="F1001" s="98"/>
      <c r="G1001" s="98">
        <f>G1000-G999</f>
        <v>804.37842884096608</v>
      </c>
      <c r="H1001" s="98">
        <f>H1000-H999</f>
        <v>84</v>
      </c>
      <c r="I1001" s="98">
        <f>I1000-I999</f>
        <v>477.30407413615825</v>
      </c>
      <c r="J1001" s="98">
        <f>J1000-J999</f>
        <v>1365.6825029771244</v>
      </c>
      <c r="K1001" s="98"/>
      <c r="L1001" s="98"/>
      <c r="M1001" s="98"/>
      <c r="N1001" s="98"/>
      <c r="O1001" s="98"/>
      <c r="P1001" s="98"/>
      <c r="Q1001" s="98"/>
      <c r="R1001" s="98"/>
      <c r="S1001" s="98"/>
    </row>
    <row r="1003" spans="1:19" ht="60" x14ac:dyDescent="0.25">
      <c r="A1003" s="21" t="s">
        <v>63</v>
      </c>
      <c r="B1003" s="21" t="s">
        <v>93</v>
      </c>
      <c r="C1003" s="21" t="s">
        <v>94</v>
      </c>
      <c r="D1003" s="92" t="str">
        <f>FoodDB!$C$1</f>
        <v>Fat
(g)</v>
      </c>
      <c r="E1003" s="92" t="str">
        <f>FoodDB!$D$1</f>
        <v xml:space="preserve"> Carbs
(g)</v>
      </c>
      <c r="F1003" s="92" t="str">
        <f>FoodDB!$E$1</f>
        <v>Protein
(g)</v>
      </c>
      <c r="G1003" s="92" t="str">
        <f>FoodDB!$F$1</f>
        <v>Fat
(Cal)</v>
      </c>
      <c r="H1003" s="92" t="str">
        <f>FoodDB!$G$1</f>
        <v>Carb
(Cal)</v>
      </c>
      <c r="I1003" s="92" t="str">
        <f>FoodDB!$H$1</f>
        <v>Protein
(Cal)</v>
      </c>
      <c r="J1003" s="92" t="str">
        <f>FoodDB!$I$1</f>
        <v>Total
Calories</v>
      </c>
      <c r="K1003" s="92"/>
      <c r="L1003" s="92" t="s">
        <v>110</v>
      </c>
      <c r="M1003" s="92" t="s">
        <v>111</v>
      </c>
      <c r="N1003" s="92" t="s">
        <v>112</v>
      </c>
      <c r="O1003" s="92" t="s">
        <v>113</v>
      </c>
      <c r="P1003" s="92" t="s">
        <v>118</v>
      </c>
      <c r="Q1003" s="92" t="s">
        <v>119</v>
      </c>
      <c r="R1003" s="92" t="s">
        <v>120</v>
      </c>
      <c r="S1003" s="92" t="s">
        <v>121</v>
      </c>
    </row>
    <row r="1004" spans="1:19" x14ac:dyDescent="0.25">
      <c r="A1004" s="93">
        <f>A992+1</f>
        <v>43077</v>
      </c>
      <c r="B1004" s="94" t="s">
        <v>108</v>
      </c>
      <c r="C1004" s="95">
        <v>1</v>
      </c>
      <c r="D1004" s="98">
        <f>$C1004*VLOOKUP($B1004,FoodDB!$A$2:$I$1016,3,0)</f>
        <v>0</v>
      </c>
      <c r="E1004" s="98">
        <f>$C1004*VLOOKUP($B1004,FoodDB!$A$2:$I$1016,4,0)</f>
        <v>0</v>
      </c>
      <c r="F1004" s="98">
        <f>$C1004*VLOOKUP($B1004,FoodDB!$A$2:$I$1016,5,0)</f>
        <v>0</v>
      </c>
      <c r="G1004" s="98">
        <f>$C1004*VLOOKUP($B1004,FoodDB!$A$2:$I$1016,6,0)</f>
        <v>0</v>
      </c>
      <c r="H1004" s="98">
        <f>$C1004*VLOOKUP($B1004,FoodDB!$A$2:$I$1016,7,0)</f>
        <v>0</v>
      </c>
      <c r="I1004" s="98">
        <f>$C1004*VLOOKUP($B1004,FoodDB!$A$2:$I$1016,8,0)</f>
        <v>0</v>
      </c>
      <c r="J1004" s="98">
        <f>$C1004*VLOOKUP($B1004,FoodDB!$A$2:$I$1016,9,0)</f>
        <v>0</v>
      </c>
      <c r="K1004" s="98"/>
      <c r="L1004" s="98">
        <f>SUM(G1004:G1010)</f>
        <v>0</v>
      </c>
      <c r="M1004" s="98">
        <f>SUM(H1004:H1010)</f>
        <v>0</v>
      </c>
      <c r="N1004" s="98">
        <f>SUM(I1004:I1010)</f>
        <v>0</v>
      </c>
      <c r="O1004" s="98">
        <f>SUM(L1004:N1004)</f>
        <v>0</v>
      </c>
      <c r="P1004" s="98">
        <f>VLOOKUP($A1004,LossChart!$A$3:$AB$105,14,0)-L1004</f>
        <v>804.72095310901773</v>
      </c>
      <c r="Q1004" s="98">
        <f>VLOOKUP($A1004,LossChart!$A$3:$AB$105,15,0)-M1004</f>
        <v>88</v>
      </c>
      <c r="R1004" s="98">
        <f>VLOOKUP($A1004,LossChart!$A$3:$AB$105,16,0)-N1004</f>
        <v>477.30407413615825</v>
      </c>
      <c r="S1004" s="98">
        <f>VLOOKUP($A1004,LossChart!$A$3:$AB$105,17,0)-O1004</f>
        <v>1370.025027245176</v>
      </c>
    </row>
    <row r="1005" spans="1:19" x14ac:dyDescent="0.25">
      <c r="B1005" s="94" t="s">
        <v>108</v>
      </c>
      <c r="C1005" s="95">
        <v>1</v>
      </c>
      <c r="D1005" s="98">
        <f>$C1005*VLOOKUP($B1005,FoodDB!$A$2:$I$1016,3,0)</f>
        <v>0</v>
      </c>
      <c r="E1005" s="98">
        <f>$C1005*VLOOKUP($B1005,FoodDB!$A$2:$I$1016,4,0)</f>
        <v>0</v>
      </c>
      <c r="F1005" s="98">
        <f>$C1005*VLOOKUP($B1005,FoodDB!$A$2:$I$1016,5,0)</f>
        <v>0</v>
      </c>
      <c r="G1005" s="98">
        <f>$C1005*VLOOKUP($B1005,FoodDB!$A$2:$I$1016,6,0)</f>
        <v>0</v>
      </c>
      <c r="H1005" s="98">
        <f>$C1005*VLOOKUP($B1005,FoodDB!$A$2:$I$1016,7,0)</f>
        <v>0</v>
      </c>
      <c r="I1005" s="98">
        <f>$C1005*VLOOKUP($B1005,FoodDB!$A$2:$I$1016,8,0)</f>
        <v>0</v>
      </c>
      <c r="J1005" s="98">
        <f>$C1005*VLOOKUP($B1005,FoodDB!$A$2:$I$1016,9,0)</f>
        <v>0</v>
      </c>
      <c r="K1005" s="98"/>
      <c r="L1005" s="98"/>
      <c r="M1005" s="98"/>
      <c r="N1005" s="98"/>
      <c r="O1005" s="98"/>
      <c r="P1005" s="98"/>
      <c r="Q1005" s="98"/>
      <c r="R1005" s="98"/>
      <c r="S1005" s="98"/>
    </row>
    <row r="1006" spans="1:19" x14ac:dyDescent="0.25">
      <c r="B1006" s="94" t="s">
        <v>108</v>
      </c>
      <c r="C1006" s="95">
        <v>1</v>
      </c>
      <c r="D1006" s="98">
        <f>$C1006*VLOOKUP($B1006,FoodDB!$A$2:$I$1016,3,0)</f>
        <v>0</v>
      </c>
      <c r="E1006" s="98">
        <f>$C1006*VLOOKUP($B1006,FoodDB!$A$2:$I$1016,4,0)</f>
        <v>0</v>
      </c>
      <c r="F1006" s="98">
        <f>$C1006*VLOOKUP($B1006,FoodDB!$A$2:$I$1016,5,0)</f>
        <v>0</v>
      </c>
      <c r="G1006" s="98">
        <f>$C1006*VLOOKUP($B1006,FoodDB!$A$2:$I$1016,6,0)</f>
        <v>0</v>
      </c>
      <c r="H1006" s="98">
        <f>$C1006*VLOOKUP($B1006,FoodDB!$A$2:$I$1016,7,0)</f>
        <v>0</v>
      </c>
      <c r="I1006" s="98">
        <f>$C1006*VLOOKUP($B1006,FoodDB!$A$2:$I$1016,8,0)</f>
        <v>0</v>
      </c>
      <c r="J1006" s="98">
        <f>$C1006*VLOOKUP($B1006,FoodDB!$A$2:$I$1016,9,0)</f>
        <v>0</v>
      </c>
      <c r="K1006" s="98"/>
      <c r="L1006" s="98"/>
      <c r="M1006" s="98"/>
      <c r="N1006" s="98"/>
      <c r="O1006" s="98"/>
      <c r="P1006" s="98"/>
      <c r="Q1006" s="98"/>
      <c r="R1006" s="98"/>
      <c r="S1006" s="98"/>
    </row>
    <row r="1007" spans="1:19" x14ac:dyDescent="0.25">
      <c r="B1007" s="94" t="s">
        <v>108</v>
      </c>
      <c r="C1007" s="95">
        <v>1</v>
      </c>
      <c r="D1007" s="98">
        <f>$C1007*VLOOKUP($B1007,FoodDB!$A$2:$I$1016,3,0)</f>
        <v>0</v>
      </c>
      <c r="E1007" s="98">
        <f>$C1007*VLOOKUP($B1007,FoodDB!$A$2:$I$1016,4,0)</f>
        <v>0</v>
      </c>
      <c r="F1007" s="98">
        <f>$C1007*VLOOKUP($B1007,FoodDB!$A$2:$I$1016,5,0)</f>
        <v>0</v>
      </c>
      <c r="G1007" s="98">
        <f>$C1007*VLOOKUP($B1007,FoodDB!$A$2:$I$1016,6,0)</f>
        <v>0</v>
      </c>
      <c r="H1007" s="98">
        <f>$C1007*VLOOKUP($B1007,FoodDB!$A$2:$I$1016,7,0)</f>
        <v>0</v>
      </c>
      <c r="I1007" s="98">
        <f>$C1007*VLOOKUP($B1007,FoodDB!$A$2:$I$1016,8,0)</f>
        <v>0</v>
      </c>
      <c r="J1007" s="98">
        <f>$C1007*VLOOKUP($B1007,FoodDB!$A$2:$I$1016,9,0)</f>
        <v>0</v>
      </c>
      <c r="K1007" s="98"/>
      <c r="L1007" s="98"/>
      <c r="M1007" s="98"/>
      <c r="N1007" s="98"/>
      <c r="O1007" s="98"/>
      <c r="P1007" s="98"/>
      <c r="Q1007" s="98"/>
      <c r="R1007" s="98"/>
      <c r="S1007" s="98"/>
    </row>
    <row r="1008" spans="1:19" x14ac:dyDescent="0.25">
      <c r="B1008" s="94" t="s">
        <v>108</v>
      </c>
      <c r="C1008" s="95">
        <v>1</v>
      </c>
      <c r="D1008" s="98">
        <f>$C1008*VLOOKUP($B1008,FoodDB!$A$2:$I$1016,3,0)</f>
        <v>0</v>
      </c>
      <c r="E1008" s="98">
        <f>$C1008*VLOOKUP($B1008,FoodDB!$A$2:$I$1016,4,0)</f>
        <v>0</v>
      </c>
      <c r="F1008" s="98">
        <f>$C1008*VLOOKUP($B1008,FoodDB!$A$2:$I$1016,5,0)</f>
        <v>0</v>
      </c>
      <c r="G1008" s="98">
        <f>$C1008*VLOOKUP($B1008,FoodDB!$A$2:$I$1016,6,0)</f>
        <v>0</v>
      </c>
      <c r="H1008" s="98">
        <f>$C1008*VLOOKUP($B1008,FoodDB!$A$2:$I$1016,7,0)</f>
        <v>0</v>
      </c>
      <c r="I1008" s="98">
        <f>$C1008*VLOOKUP($B1008,FoodDB!$A$2:$I$1016,8,0)</f>
        <v>0</v>
      </c>
      <c r="J1008" s="98">
        <f>$C1008*VLOOKUP($B1008,FoodDB!$A$2:$I$1016,9,0)</f>
        <v>0</v>
      </c>
      <c r="K1008" s="98"/>
      <c r="L1008" s="98"/>
      <c r="M1008" s="98"/>
      <c r="N1008" s="98"/>
      <c r="O1008" s="98"/>
      <c r="P1008" s="98"/>
      <c r="Q1008" s="98"/>
      <c r="R1008" s="98"/>
      <c r="S1008" s="98"/>
    </row>
    <row r="1009" spans="1:19" x14ac:dyDescent="0.25">
      <c r="B1009" s="94" t="s">
        <v>108</v>
      </c>
      <c r="C1009" s="95">
        <v>1</v>
      </c>
      <c r="D1009" s="98">
        <f>$C1009*VLOOKUP($B1009,FoodDB!$A$2:$I$1016,3,0)</f>
        <v>0</v>
      </c>
      <c r="E1009" s="98">
        <f>$C1009*VLOOKUP($B1009,FoodDB!$A$2:$I$1016,4,0)</f>
        <v>0</v>
      </c>
      <c r="F1009" s="98">
        <f>$C1009*VLOOKUP($B1009,FoodDB!$A$2:$I$1016,5,0)</f>
        <v>0</v>
      </c>
      <c r="G1009" s="98">
        <f>$C1009*VLOOKUP($B1009,FoodDB!$A$2:$I$1016,6,0)</f>
        <v>0</v>
      </c>
      <c r="H1009" s="98">
        <f>$C1009*VLOOKUP($B1009,FoodDB!$A$2:$I$1016,7,0)</f>
        <v>0</v>
      </c>
      <c r="I1009" s="98">
        <f>$C1009*VLOOKUP($B1009,FoodDB!$A$2:$I$1016,8,0)</f>
        <v>0</v>
      </c>
      <c r="J1009" s="98">
        <f>$C1009*VLOOKUP($B1009,FoodDB!$A$2:$I$1016,9,0)</f>
        <v>0</v>
      </c>
      <c r="K1009" s="98"/>
      <c r="L1009" s="98"/>
      <c r="M1009" s="98"/>
      <c r="N1009" s="98"/>
      <c r="O1009" s="98"/>
      <c r="P1009" s="98"/>
      <c r="Q1009" s="98"/>
      <c r="R1009" s="98"/>
      <c r="S1009" s="98"/>
    </row>
    <row r="1010" spans="1:19" x14ac:dyDescent="0.25">
      <c r="B1010" s="94" t="s">
        <v>108</v>
      </c>
      <c r="C1010" s="95">
        <v>1</v>
      </c>
      <c r="D1010" s="98">
        <f>$C1010*VLOOKUP($B1010,FoodDB!$A$2:$I$1016,3,0)</f>
        <v>0</v>
      </c>
      <c r="E1010" s="98">
        <f>$C1010*VLOOKUP($B1010,FoodDB!$A$2:$I$1016,4,0)</f>
        <v>0</v>
      </c>
      <c r="F1010" s="98">
        <f>$C1010*VLOOKUP($B1010,FoodDB!$A$2:$I$1016,5,0)</f>
        <v>0</v>
      </c>
      <c r="G1010" s="98">
        <f>$C1010*VLOOKUP($B1010,FoodDB!$A$2:$I$1016,6,0)</f>
        <v>0</v>
      </c>
      <c r="H1010" s="98">
        <f>$C1010*VLOOKUP($B1010,FoodDB!$A$2:$I$1016,7,0)</f>
        <v>0</v>
      </c>
      <c r="I1010" s="98">
        <f>$C1010*VLOOKUP($B1010,FoodDB!$A$2:$I$1016,8,0)</f>
        <v>0</v>
      </c>
      <c r="J1010" s="98">
        <f>$C1010*VLOOKUP($B1010,FoodDB!$A$2:$I$1016,9,0)</f>
        <v>0</v>
      </c>
      <c r="K1010" s="98"/>
      <c r="L1010" s="98"/>
      <c r="M1010" s="98"/>
      <c r="N1010" s="98"/>
      <c r="O1010" s="98"/>
      <c r="P1010" s="98"/>
      <c r="Q1010" s="98"/>
      <c r="R1010" s="98"/>
      <c r="S1010" s="98"/>
    </row>
    <row r="1011" spans="1:19" x14ac:dyDescent="0.25">
      <c r="A1011" t="s">
        <v>98</v>
      </c>
      <c r="D1011" s="98"/>
      <c r="E1011" s="98"/>
      <c r="F1011" s="98"/>
      <c r="G1011" s="98">
        <f>SUM(G1004:G1010)</f>
        <v>0</v>
      </c>
      <c r="H1011" s="98">
        <f>SUM(H1004:H1010)</f>
        <v>0</v>
      </c>
      <c r="I1011" s="98">
        <f>SUM(I1004:I1010)</f>
        <v>0</v>
      </c>
      <c r="J1011" s="98">
        <f>SUM(G1011:I1011)</f>
        <v>0</v>
      </c>
      <c r="K1011" s="98"/>
      <c r="L1011" s="98"/>
      <c r="M1011" s="98"/>
      <c r="N1011" s="98"/>
      <c r="O1011" s="98"/>
      <c r="P1011" s="98"/>
      <c r="Q1011" s="98"/>
      <c r="R1011" s="98"/>
      <c r="S1011" s="98"/>
    </row>
    <row r="1012" spans="1:19" x14ac:dyDescent="0.25">
      <c r="A1012" t="s">
        <v>102</v>
      </c>
      <c r="B1012" t="s">
        <v>103</v>
      </c>
      <c r="D1012" s="98"/>
      <c r="E1012" s="98"/>
      <c r="F1012" s="98"/>
      <c r="G1012" s="98">
        <f>VLOOKUP($A1004,LossChart!$A$3:$AB$105,14,0)</f>
        <v>804.72095310901773</v>
      </c>
      <c r="H1012" s="98">
        <f>VLOOKUP($A1004,LossChart!$A$3:$AB$105,15,0)</f>
        <v>88</v>
      </c>
      <c r="I1012" s="98">
        <f>VLOOKUP($A1004,LossChart!$A$3:$AB$105,16,0)</f>
        <v>477.30407413615825</v>
      </c>
      <c r="J1012" s="98">
        <f>VLOOKUP($A1004,LossChart!$A$3:$AB$105,17,0)</f>
        <v>1370.025027245176</v>
      </c>
      <c r="K1012" s="98"/>
      <c r="L1012" s="98"/>
      <c r="M1012" s="98"/>
      <c r="N1012" s="98"/>
      <c r="O1012" s="98"/>
      <c r="P1012" s="98"/>
      <c r="Q1012" s="98"/>
      <c r="R1012" s="98"/>
      <c r="S1012" s="98"/>
    </row>
    <row r="1013" spans="1:19" x14ac:dyDescent="0.25">
      <c r="A1013" t="s">
        <v>104</v>
      </c>
      <c r="D1013" s="98"/>
      <c r="E1013" s="98"/>
      <c r="F1013" s="98"/>
      <c r="G1013" s="98">
        <f>G1012-G1011</f>
        <v>804.72095310901773</v>
      </c>
      <c r="H1013" s="98">
        <f>H1012-H1011</f>
        <v>88</v>
      </c>
      <c r="I1013" s="98">
        <f>I1012-I1011</f>
        <v>477.30407413615825</v>
      </c>
      <c r="J1013" s="98">
        <f>J1012-J1011</f>
        <v>1370.025027245176</v>
      </c>
      <c r="K1013" s="98"/>
      <c r="L1013" s="98"/>
      <c r="M1013" s="98"/>
      <c r="N1013" s="98"/>
      <c r="O1013" s="98"/>
      <c r="P1013" s="98"/>
      <c r="Q1013" s="98"/>
      <c r="R1013" s="98"/>
      <c r="S1013" s="98"/>
    </row>
    <row r="1015" spans="1:19" ht="60" x14ac:dyDescent="0.25">
      <c r="A1015" s="21" t="s">
        <v>63</v>
      </c>
      <c r="B1015" s="21" t="s">
        <v>93</v>
      </c>
      <c r="C1015" s="21" t="s">
        <v>94</v>
      </c>
      <c r="D1015" s="92" t="str">
        <f>FoodDB!$C$1</f>
        <v>Fat
(g)</v>
      </c>
      <c r="E1015" s="92" t="str">
        <f>FoodDB!$D$1</f>
        <v xml:space="preserve"> Carbs
(g)</v>
      </c>
      <c r="F1015" s="92" t="str">
        <f>FoodDB!$E$1</f>
        <v>Protein
(g)</v>
      </c>
      <c r="G1015" s="92" t="str">
        <f>FoodDB!$F$1</f>
        <v>Fat
(Cal)</v>
      </c>
      <c r="H1015" s="92" t="str">
        <f>FoodDB!$G$1</f>
        <v>Carb
(Cal)</v>
      </c>
      <c r="I1015" s="92" t="str">
        <f>FoodDB!$H$1</f>
        <v>Protein
(Cal)</v>
      </c>
      <c r="J1015" s="92" t="str">
        <f>FoodDB!$I$1</f>
        <v>Total
Calories</v>
      </c>
      <c r="K1015" s="92"/>
      <c r="L1015" s="92" t="s">
        <v>110</v>
      </c>
      <c r="M1015" s="92" t="s">
        <v>111</v>
      </c>
      <c r="N1015" s="92" t="s">
        <v>112</v>
      </c>
      <c r="O1015" s="92" t="s">
        <v>113</v>
      </c>
      <c r="P1015" s="92" t="s">
        <v>118</v>
      </c>
      <c r="Q1015" s="92" t="s">
        <v>119</v>
      </c>
      <c r="R1015" s="92" t="s">
        <v>120</v>
      </c>
      <c r="S1015" s="92" t="s">
        <v>121</v>
      </c>
    </row>
    <row r="1016" spans="1:19" x14ac:dyDescent="0.25">
      <c r="A1016" s="93">
        <f>A1004+1</f>
        <v>43078</v>
      </c>
      <c r="B1016" s="94" t="s">
        <v>108</v>
      </c>
      <c r="C1016" s="95">
        <v>1</v>
      </c>
      <c r="D1016" s="98">
        <f>$C1016*VLOOKUP($B1016,FoodDB!$A$2:$I$1016,3,0)</f>
        <v>0</v>
      </c>
      <c r="E1016" s="98">
        <f>$C1016*VLOOKUP($B1016,FoodDB!$A$2:$I$1016,4,0)</f>
        <v>0</v>
      </c>
      <c r="F1016" s="98">
        <f>$C1016*VLOOKUP($B1016,FoodDB!$A$2:$I$1016,5,0)</f>
        <v>0</v>
      </c>
      <c r="G1016" s="98">
        <f>$C1016*VLOOKUP($B1016,FoodDB!$A$2:$I$1016,6,0)</f>
        <v>0</v>
      </c>
      <c r="H1016" s="98">
        <f>$C1016*VLOOKUP($B1016,FoodDB!$A$2:$I$1016,7,0)</f>
        <v>0</v>
      </c>
      <c r="I1016" s="98">
        <f>$C1016*VLOOKUP($B1016,FoodDB!$A$2:$I$1016,8,0)</f>
        <v>0</v>
      </c>
      <c r="J1016" s="98">
        <f>$C1016*VLOOKUP($B1016,FoodDB!$A$2:$I$1016,9,0)</f>
        <v>0</v>
      </c>
      <c r="K1016" s="98"/>
      <c r="L1016" s="98">
        <f>SUM(G1016:G1022)</f>
        <v>0</v>
      </c>
      <c r="M1016" s="98">
        <f>SUM(H1016:H1022)</f>
        <v>0</v>
      </c>
      <c r="N1016" s="98">
        <f>SUM(I1016:I1022)</f>
        <v>0</v>
      </c>
      <c r="O1016" s="98">
        <f>SUM(L1016:N1016)</f>
        <v>0</v>
      </c>
      <c r="P1016" s="98">
        <f>VLOOKUP($A1016,LossChart!$A$3:$AB$105,14,0)-L1016</f>
        <v>805.02501501926668</v>
      </c>
      <c r="Q1016" s="98">
        <f>VLOOKUP($A1016,LossChart!$A$3:$AB$105,15,0)-M1016</f>
        <v>92</v>
      </c>
      <c r="R1016" s="98">
        <f>VLOOKUP($A1016,LossChart!$A$3:$AB$105,16,0)-N1016</f>
        <v>477.30407413615825</v>
      </c>
      <c r="S1016" s="98">
        <f>VLOOKUP($A1016,LossChart!$A$3:$AB$105,17,0)-O1016</f>
        <v>1374.329089155425</v>
      </c>
    </row>
    <row r="1017" spans="1:19" x14ac:dyDescent="0.25">
      <c r="B1017" s="94" t="s">
        <v>108</v>
      </c>
      <c r="C1017" s="95">
        <v>1</v>
      </c>
      <c r="D1017" s="98">
        <f>$C1017*VLOOKUP($B1017,FoodDB!$A$2:$I$1016,3,0)</f>
        <v>0</v>
      </c>
      <c r="E1017" s="98">
        <f>$C1017*VLOOKUP($B1017,FoodDB!$A$2:$I$1016,4,0)</f>
        <v>0</v>
      </c>
      <c r="F1017" s="98">
        <f>$C1017*VLOOKUP($B1017,FoodDB!$A$2:$I$1016,5,0)</f>
        <v>0</v>
      </c>
      <c r="G1017" s="98">
        <f>$C1017*VLOOKUP($B1017,FoodDB!$A$2:$I$1016,6,0)</f>
        <v>0</v>
      </c>
      <c r="H1017" s="98">
        <f>$C1017*VLOOKUP($B1017,FoodDB!$A$2:$I$1016,7,0)</f>
        <v>0</v>
      </c>
      <c r="I1017" s="98">
        <f>$C1017*VLOOKUP($B1017,FoodDB!$A$2:$I$1016,8,0)</f>
        <v>0</v>
      </c>
      <c r="J1017" s="98">
        <f>$C1017*VLOOKUP($B1017,FoodDB!$A$2:$I$1016,9,0)</f>
        <v>0</v>
      </c>
      <c r="K1017" s="98"/>
      <c r="L1017" s="98"/>
      <c r="M1017" s="98"/>
      <c r="N1017" s="98"/>
      <c r="O1017" s="98"/>
      <c r="P1017" s="98"/>
      <c r="Q1017" s="98"/>
      <c r="R1017" s="98"/>
      <c r="S1017" s="98"/>
    </row>
    <row r="1018" spans="1:19" x14ac:dyDescent="0.25">
      <c r="B1018" s="94" t="s">
        <v>108</v>
      </c>
      <c r="C1018" s="95">
        <v>1</v>
      </c>
      <c r="D1018" s="98">
        <f>$C1018*VLOOKUP($B1018,FoodDB!$A$2:$I$1016,3,0)</f>
        <v>0</v>
      </c>
      <c r="E1018" s="98">
        <f>$C1018*VLOOKUP($B1018,FoodDB!$A$2:$I$1016,4,0)</f>
        <v>0</v>
      </c>
      <c r="F1018" s="98">
        <f>$C1018*VLOOKUP($B1018,FoodDB!$A$2:$I$1016,5,0)</f>
        <v>0</v>
      </c>
      <c r="G1018" s="98">
        <f>$C1018*VLOOKUP($B1018,FoodDB!$A$2:$I$1016,6,0)</f>
        <v>0</v>
      </c>
      <c r="H1018" s="98">
        <f>$C1018*VLOOKUP($B1018,FoodDB!$A$2:$I$1016,7,0)</f>
        <v>0</v>
      </c>
      <c r="I1018" s="98">
        <f>$C1018*VLOOKUP($B1018,FoodDB!$A$2:$I$1016,8,0)</f>
        <v>0</v>
      </c>
      <c r="J1018" s="98">
        <f>$C1018*VLOOKUP($B1018,FoodDB!$A$2:$I$1016,9,0)</f>
        <v>0</v>
      </c>
      <c r="K1018" s="98"/>
      <c r="L1018" s="98"/>
      <c r="M1018" s="98"/>
      <c r="N1018" s="98"/>
      <c r="O1018" s="98"/>
      <c r="P1018" s="98"/>
      <c r="Q1018" s="98"/>
      <c r="R1018" s="98"/>
      <c r="S1018" s="98"/>
    </row>
    <row r="1019" spans="1:19" x14ac:dyDescent="0.25">
      <c r="B1019" s="94" t="s">
        <v>108</v>
      </c>
      <c r="C1019" s="95">
        <v>1</v>
      </c>
      <c r="D1019" s="98">
        <f>$C1019*VLOOKUP($B1019,FoodDB!$A$2:$I$1016,3,0)</f>
        <v>0</v>
      </c>
      <c r="E1019" s="98">
        <f>$C1019*VLOOKUP($B1019,FoodDB!$A$2:$I$1016,4,0)</f>
        <v>0</v>
      </c>
      <c r="F1019" s="98">
        <f>$C1019*VLOOKUP($B1019,FoodDB!$A$2:$I$1016,5,0)</f>
        <v>0</v>
      </c>
      <c r="G1019" s="98">
        <f>$C1019*VLOOKUP($B1019,FoodDB!$A$2:$I$1016,6,0)</f>
        <v>0</v>
      </c>
      <c r="H1019" s="98">
        <f>$C1019*VLOOKUP($B1019,FoodDB!$A$2:$I$1016,7,0)</f>
        <v>0</v>
      </c>
      <c r="I1019" s="98">
        <f>$C1019*VLOOKUP($B1019,FoodDB!$A$2:$I$1016,8,0)</f>
        <v>0</v>
      </c>
      <c r="J1019" s="98">
        <f>$C1019*VLOOKUP($B1019,FoodDB!$A$2:$I$1016,9,0)</f>
        <v>0</v>
      </c>
      <c r="K1019" s="98"/>
      <c r="L1019" s="98"/>
      <c r="M1019" s="98"/>
      <c r="N1019" s="98"/>
      <c r="O1019" s="98"/>
      <c r="P1019" s="98"/>
      <c r="Q1019" s="98"/>
      <c r="R1019" s="98"/>
      <c r="S1019" s="98"/>
    </row>
    <row r="1020" spans="1:19" x14ac:dyDescent="0.25">
      <c r="B1020" s="94" t="s">
        <v>108</v>
      </c>
      <c r="C1020" s="95">
        <v>1</v>
      </c>
      <c r="D1020" s="98">
        <f>$C1020*VLOOKUP($B1020,FoodDB!$A$2:$I$1016,3,0)</f>
        <v>0</v>
      </c>
      <c r="E1020" s="98">
        <f>$C1020*VLOOKUP($B1020,FoodDB!$A$2:$I$1016,4,0)</f>
        <v>0</v>
      </c>
      <c r="F1020" s="98">
        <f>$C1020*VLOOKUP($B1020,FoodDB!$A$2:$I$1016,5,0)</f>
        <v>0</v>
      </c>
      <c r="G1020" s="98">
        <f>$C1020*VLOOKUP($B1020,FoodDB!$A$2:$I$1016,6,0)</f>
        <v>0</v>
      </c>
      <c r="H1020" s="98">
        <f>$C1020*VLOOKUP($B1020,FoodDB!$A$2:$I$1016,7,0)</f>
        <v>0</v>
      </c>
      <c r="I1020" s="98">
        <f>$C1020*VLOOKUP($B1020,FoodDB!$A$2:$I$1016,8,0)</f>
        <v>0</v>
      </c>
      <c r="J1020" s="98">
        <f>$C1020*VLOOKUP($B1020,FoodDB!$A$2:$I$1016,9,0)</f>
        <v>0</v>
      </c>
      <c r="K1020" s="98"/>
      <c r="L1020" s="98"/>
      <c r="M1020" s="98"/>
      <c r="N1020" s="98"/>
      <c r="O1020" s="98"/>
      <c r="P1020" s="98"/>
      <c r="Q1020" s="98"/>
      <c r="R1020" s="98"/>
      <c r="S1020" s="98"/>
    </row>
    <row r="1021" spans="1:19" x14ac:dyDescent="0.25">
      <c r="B1021" s="94" t="s">
        <v>108</v>
      </c>
      <c r="C1021" s="95">
        <v>1</v>
      </c>
      <c r="D1021" s="98">
        <f>$C1021*VLOOKUP($B1021,FoodDB!$A$2:$I$1016,3,0)</f>
        <v>0</v>
      </c>
      <c r="E1021" s="98">
        <f>$C1021*VLOOKUP($B1021,FoodDB!$A$2:$I$1016,4,0)</f>
        <v>0</v>
      </c>
      <c r="F1021" s="98">
        <f>$C1021*VLOOKUP($B1021,FoodDB!$A$2:$I$1016,5,0)</f>
        <v>0</v>
      </c>
      <c r="G1021" s="98">
        <f>$C1021*VLOOKUP($B1021,FoodDB!$A$2:$I$1016,6,0)</f>
        <v>0</v>
      </c>
      <c r="H1021" s="98">
        <f>$C1021*VLOOKUP($B1021,FoodDB!$A$2:$I$1016,7,0)</f>
        <v>0</v>
      </c>
      <c r="I1021" s="98">
        <f>$C1021*VLOOKUP($B1021,FoodDB!$A$2:$I$1016,8,0)</f>
        <v>0</v>
      </c>
      <c r="J1021" s="98">
        <f>$C1021*VLOOKUP($B1021,FoodDB!$A$2:$I$1016,9,0)</f>
        <v>0</v>
      </c>
      <c r="K1021" s="98"/>
      <c r="L1021" s="98"/>
      <c r="M1021" s="98"/>
      <c r="N1021" s="98"/>
      <c r="O1021" s="98"/>
      <c r="P1021" s="98"/>
      <c r="Q1021" s="98"/>
      <c r="R1021" s="98"/>
      <c r="S1021" s="98"/>
    </row>
    <row r="1022" spans="1:19" x14ac:dyDescent="0.25">
      <c r="B1022" s="94" t="s">
        <v>108</v>
      </c>
      <c r="C1022" s="95">
        <v>1</v>
      </c>
      <c r="D1022" s="98">
        <f>$C1022*VLOOKUP($B1022,FoodDB!$A$2:$I$1016,3,0)</f>
        <v>0</v>
      </c>
      <c r="E1022" s="98">
        <f>$C1022*VLOOKUP($B1022,FoodDB!$A$2:$I$1016,4,0)</f>
        <v>0</v>
      </c>
      <c r="F1022" s="98">
        <f>$C1022*VLOOKUP($B1022,FoodDB!$A$2:$I$1016,5,0)</f>
        <v>0</v>
      </c>
      <c r="G1022" s="98">
        <f>$C1022*VLOOKUP($B1022,FoodDB!$A$2:$I$1016,6,0)</f>
        <v>0</v>
      </c>
      <c r="H1022" s="98">
        <f>$C1022*VLOOKUP($B1022,FoodDB!$A$2:$I$1016,7,0)</f>
        <v>0</v>
      </c>
      <c r="I1022" s="98">
        <f>$C1022*VLOOKUP($B1022,FoodDB!$A$2:$I$1016,8,0)</f>
        <v>0</v>
      </c>
      <c r="J1022" s="98">
        <f>$C1022*VLOOKUP($B1022,FoodDB!$A$2:$I$1016,9,0)</f>
        <v>0</v>
      </c>
      <c r="K1022" s="98"/>
      <c r="L1022" s="98"/>
      <c r="M1022" s="98"/>
      <c r="N1022" s="98"/>
      <c r="O1022" s="98"/>
      <c r="P1022" s="98"/>
      <c r="Q1022" s="98"/>
      <c r="R1022" s="98"/>
      <c r="S1022" s="98"/>
    </row>
    <row r="1023" spans="1:19" x14ac:dyDescent="0.25">
      <c r="A1023" t="s">
        <v>98</v>
      </c>
      <c r="D1023" s="98"/>
      <c r="E1023" s="98"/>
      <c r="F1023" s="98"/>
      <c r="G1023" s="98">
        <f>SUM(G1016:G1022)</f>
        <v>0</v>
      </c>
      <c r="H1023" s="98">
        <f>SUM(H1016:H1022)</f>
        <v>0</v>
      </c>
      <c r="I1023" s="98">
        <f>SUM(I1016:I1022)</f>
        <v>0</v>
      </c>
      <c r="J1023" s="98">
        <f>SUM(G1023:I1023)</f>
        <v>0</v>
      </c>
      <c r="K1023" s="98"/>
      <c r="L1023" s="98"/>
      <c r="M1023" s="98"/>
      <c r="N1023" s="98"/>
      <c r="O1023" s="98"/>
      <c r="P1023" s="98"/>
      <c r="Q1023" s="98"/>
      <c r="R1023" s="98"/>
      <c r="S1023" s="98"/>
    </row>
    <row r="1024" spans="1:19" x14ac:dyDescent="0.25">
      <c r="A1024" t="s">
        <v>102</v>
      </c>
      <c r="B1024" t="s">
        <v>103</v>
      </c>
      <c r="D1024" s="98"/>
      <c r="E1024" s="98"/>
      <c r="F1024" s="98"/>
      <c r="G1024" s="98">
        <f>VLOOKUP($A1016,LossChart!$A$3:$AB$105,14,0)</f>
        <v>805.02501501926668</v>
      </c>
      <c r="H1024" s="98">
        <f>VLOOKUP($A1016,LossChart!$A$3:$AB$105,15,0)</f>
        <v>92</v>
      </c>
      <c r="I1024" s="98">
        <f>VLOOKUP($A1016,LossChart!$A$3:$AB$105,16,0)</f>
        <v>477.30407413615825</v>
      </c>
      <c r="J1024" s="98">
        <f>VLOOKUP($A1016,LossChart!$A$3:$AB$105,17,0)</f>
        <v>1374.329089155425</v>
      </c>
      <c r="K1024" s="98"/>
      <c r="L1024" s="98"/>
      <c r="M1024" s="98"/>
      <c r="N1024" s="98"/>
      <c r="O1024" s="98"/>
      <c r="P1024" s="98"/>
      <c r="Q1024" s="98"/>
      <c r="R1024" s="98"/>
      <c r="S1024" s="98"/>
    </row>
    <row r="1025" spans="1:19" x14ac:dyDescent="0.25">
      <c r="A1025" t="s">
        <v>104</v>
      </c>
      <c r="D1025" s="98"/>
      <c r="E1025" s="98"/>
      <c r="F1025" s="98"/>
      <c r="G1025" s="98">
        <f>G1024-G1023</f>
        <v>805.02501501926668</v>
      </c>
      <c r="H1025" s="98">
        <f>H1024-H1023</f>
        <v>92</v>
      </c>
      <c r="I1025" s="98">
        <f>I1024-I1023</f>
        <v>477.30407413615825</v>
      </c>
      <c r="J1025" s="98">
        <f>J1024-J1023</f>
        <v>1374.329089155425</v>
      </c>
      <c r="K1025" s="98"/>
      <c r="L1025" s="98"/>
      <c r="M1025" s="98"/>
      <c r="N1025" s="98"/>
      <c r="O1025" s="98"/>
      <c r="P1025" s="98"/>
      <c r="Q1025" s="98"/>
      <c r="R1025" s="98"/>
      <c r="S1025" s="98"/>
    </row>
    <row r="1027" spans="1:19" ht="60" x14ac:dyDescent="0.25">
      <c r="A1027" s="21" t="s">
        <v>63</v>
      </c>
      <c r="B1027" s="21" t="s">
        <v>93</v>
      </c>
      <c r="C1027" s="21" t="s">
        <v>94</v>
      </c>
      <c r="D1027" s="92" t="str">
        <f>FoodDB!$C$1</f>
        <v>Fat
(g)</v>
      </c>
      <c r="E1027" s="92" t="str">
        <f>FoodDB!$D$1</f>
        <v xml:space="preserve"> Carbs
(g)</v>
      </c>
      <c r="F1027" s="92" t="str">
        <f>FoodDB!$E$1</f>
        <v>Protein
(g)</v>
      </c>
      <c r="G1027" s="92" t="str">
        <f>FoodDB!$F$1</f>
        <v>Fat
(Cal)</v>
      </c>
      <c r="H1027" s="92" t="str">
        <f>FoodDB!$G$1</f>
        <v>Carb
(Cal)</v>
      </c>
      <c r="I1027" s="92" t="str">
        <f>FoodDB!$H$1</f>
        <v>Protein
(Cal)</v>
      </c>
      <c r="J1027" s="92" t="str">
        <f>FoodDB!$I$1</f>
        <v>Total
Calories</v>
      </c>
      <c r="K1027" s="92"/>
      <c r="L1027" s="92" t="s">
        <v>110</v>
      </c>
      <c r="M1027" s="92" t="s">
        <v>111</v>
      </c>
      <c r="N1027" s="92" t="s">
        <v>112</v>
      </c>
      <c r="O1027" s="92" t="s">
        <v>113</v>
      </c>
      <c r="P1027" s="92" t="s">
        <v>118</v>
      </c>
      <c r="Q1027" s="92" t="s">
        <v>119</v>
      </c>
      <c r="R1027" s="92" t="s">
        <v>120</v>
      </c>
      <c r="S1027" s="92" t="s">
        <v>121</v>
      </c>
    </row>
    <row r="1028" spans="1:19" x14ac:dyDescent="0.25">
      <c r="A1028" s="93">
        <f>A1016+1</f>
        <v>43079</v>
      </c>
      <c r="B1028" s="94" t="s">
        <v>108</v>
      </c>
      <c r="C1028" s="95">
        <v>1</v>
      </c>
      <c r="D1028" s="98">
        <f>$C1028*VLOOKUP($B1028,FoodDB!$A$2:$I$1016,3,0)</f>
        <v>0</v>
      </c>
      <c r="E1028" s="98">
        <f>$C1028*VLOOKUP($B1028,FoodDB!$A$2:$I$1016,4,0)</f>
        <v>0</v>
      </c>
      <c r="F1028" s="98">
        <f>$C1028*VLOOKUP($B1028,FoodDB!$A$2:$I$1016,5,0)</f>
        <v>0</v>
      </c>
      <c r="G1028" s="98">
        <f>$C1028*VLOOKUP($B1028,FoodDB!$A$2:$I$1016,6,0)</f>
        <v>0</v>
      </c>
      <c r="H1028" s="98">
        <f>$C1028*VLOOKUP($B1028,FoodDB!$A$2:$I$1016,7,0)</f>
        <v>0</v>
      </c>
      <c r="I1028" s="98">
        <f>$C1028*VLOOKUP($B1028,FoodDB!$A$2:$I$1016,8,0)</f>
        <v>0</v>
      </c>
      <c r="J1028" s="98">
        <f>$C1028*VLOOKUP($B1028,FoodDB!$A$2:$I$1016,9,0)</f>
        <v>0</v>
      </c>
      <c r="K1028" s="98"/>
      <c r="L1028" s="98">
        <f>SUM(G1028:G1034)</f>
        <v>0</v>
      </c>
      <c r="M1028" s="98">
        <f>SUM(H1028:H1034)</f>
        <v>0</v>
      </c>
      <c r="N1028" s="98">
        <f>SUM(I1028:I1034)</f>
        <v>0</v>
      </c>
      <c r="O1028" s="98">
        <f>SUM(L1028:N1028)</f>
        <v>0</v>
      </c>
      <c r="P1028" s="98">
        <f>VLOOKUP($A1028,LossChart!$A$3:$AB$105,14,0)-L1028</f>
        <v>805.29095523831029</v>
      </c>
      <c r="Q1028" s="98">
        <f>VLOOKUP($A1028,LossChart!$A$3:$AB$105,15,0)-M1028</f>
        <v>96</v>
      </c>
      <c r="R1028" s="98">
        <f>VLOOKUP($A1028,LossChart!$A$3:$AB$105,16,0)-N1028</f>
        <v>477.30407413615825</v>
      </c>
      <c r="S1028" s="98">
        <f>VLOOKUP($A1028,LossChart!$A$3:$AB$105,17,0)-O1028</f>
        <v>1378.5950293744686</v>
      </c>
    </row>
    <row r="1029" spans="1:19" x14ac:dyDescent="0.25">
      <c r="B1029" s="94" t="s">
        <v>108</v>
      </c>
      <c r="C1029" s="95">
        <v>1</v>
      </c>
      <c r="D1029" s="98">
        <f>$C1029*VLOOKUP($B1029,FoodDB!$A$2:$I$1016,3,0)</f>
        <v>0</v>
      </c>
      <c r="E1029" s="98">
        <f>$C1029*VLOOKUP($B1029,FoodDB!$A$2:$I$1016,4,0)</f>
        <v>0</v>
      </c>
      <c r="F1029" s="98">
        <f>$C1029*VLOOKUP($B1029,FoodDB!$A$2:$I$1016,5,0)</f>
        <v>0</v>
      </c>
      <c r="G1029" s="98">
        <f>$C1029*VLOOKUP($B1029,FoodDB!$A$2:$I$1016,6,0)</f>
        <v>0</v>
      </c>
      <c r="H1029" s="98">
        <f>$C1029*VLOOKUP($B1029,FoodDB!$A$2:$I$1016,7,0)</f>
        <v>0</v>
      </c>
      <c r="I1029" s="98">
        <f>$C1029*VLOOKUP($B1029,FoodDB!$A$2:$I$1016,8,0)</f>
        <v>0</v>
      </c>
      <c r="J1029" s="98">
        <f>$C1029*VLOOKUP($B1029,FoodDB!$A$2:$I$1016,9,0)</f>
        <v>0</v>
      </c>
      <c r="K1029" s="98"/>
      <c r="L1029" s="98"/>
      <c r="M1029" s="98"/>
      <c r="N1029" s="98"/>
      <c r="O1029" s="98"/>
      <c r="P1029" s="98"/>
      <c r="Q1029" s="98"/>
      <c r="R1029" s="98"/>
      <c r="S1029" s="98"/>
    </row>
    <row r="1030" spans="1:19" x14ac:dyDescent="0.25">
      <c r="B1030" s="94" t="s">
        <v>108</v>
      </c>
      <c r="C1030" s="95">
        <v>1</v>
      </c>
      <c r="D1030" s="98">
        <f>$C1030*VLOOKUP($B1030,FoodDB!$A$2:$I$1016,3,0)</f>
        <v>0</v>
      </c>
      <c r="E1030" s="98">
        <f>$C1030*VLOOKUP($B1030,FoodDB!$A$2:$I$1016,4,0)</f>
        <v>0</v>
      </c>
      <c r="F1030" s="98">
        <f>$C1030*VLOOKUP($B1030,FoodDB!$A$2:$I$1016,5,0)</f>
        <v>0</v>
      </c>
      <c r="G1030" s="98">
        <f>$C1030*VLOOKUP($B1030,FoodDB!$A$2:$I$1016,6,0)</f>
        <v>0</v>
      </c>
      <c r="H1030" s="98">
        <f>$C1030*VLOOKUP($B1030,FoodDB!$A$2:$I$1016,7,0)</f>
        <v>0</v>
      </c>
      <c r="I1030" s="98">
        <f>$C1030*VLOOKUP($B1030,FoodDB!$A$2:$I$1016,8,0)</f>
        <v>0</v>
      </c>
      <c r="J1030" s="98">
        <f>$C1030*VLOOKUP($B1030,FoodDB!$A$2:$I$1016,9,0)</f>
        <v>0</v>
      </c>
      <c r="K1030" s="98"/>
      <c r="L1030" s="98"/>
      <c r="M1030" s="98"/>
      <c r="N1030" s="98"/>
      <c r="O1030" s="98"/>
      <c r="P1030" s="98"/>
      <c r="Q1030" s="98"/>
      <c r="R1030" s="98"/>
      <c r="S1030" s="98"/>
    </row>
    <row r="1031" spans="1:19" x14ac:dyDescent="0.25">
      <c r="B1031" s="94" t="s">
        <v>108</v>
      </c>
      <c r="C1031" s="95">
        <v>1</v>
      </c>
      <c r="D1031" s="98">
        <f>$C1031*VLOOKUP($B1031,FoodDB!$A$2:$I$1016,3,0)</f>
        <v>0</v>
      </c>
      <c r="E1031" s="98">
        <f>$C1031*VLOOKUP($B1031,FoodDB!$A$2:$I$1016,4,0)</f>
        <v>0</v>
      </c>
      <c r="F1031" s="98">
        <f>$C1031*VLOOKUP($B1031,FoodDB!$A$2:$I$1016,5,0)</f>
        <v>0</v>
      </c>
      <c r="G1031" s="98">
        <f>$C1031*VLOOKUP($B1031,FoodDB!$A$2:$I$1016,6,0)</f>
        <v>0</v>
      </c>
      <c r="H1031" s="98">
        <f>$C1031*VLOOKUP($B1031,FoodDB!$A$2:$I$1016,7,0)</f>
        <v>0</v>
      </c>
      <c r="I1031" s="98">
        <f>$C1031*VLOOKUP($B1031,FoodDB!$A$2:$I$1016,8,0)</f>
        <v>0</v>
      </c>
      <c r="J1031" s="98">
        <f>$C1031*VLOOKUP($B1031,FoodDB!$A$2:$I$1016,9,0)</f>
        <v>0</v>
      </c>
      <c r="K1031" s="98"/>
      <c r="L1031" s="98"/>
      <c r="M1031" s="98"/>
      <c r="N1031" s="98"/>
      <c r="O1031" s="98"/>
      <c r="P1031" s="98"/>
      <c r="Q1031" s="98"/>
      <c r="R1031" s="98"/>
      <c r="S1031" s="98"/>
    </row>
    <row r="1032" spans="1:19" x14ac:dyDescent="0.25">
      <c r="B1032" s="94" t="s">
        <v>108</v>
      </c>
      <c r="C1032" s="95">
        <v>1</v>
      </c>
      <c r="D1032" s="98">
        <f>$C1032*VLOOKUP($B1032,FoodDB!$A$2:$I$1016,3,0)</f>
        <v>0</v>
      </c>
      <c r="E1032" s="98">
        <f>$C1032*VLOOKUP($B1032,FoodDB!$A$2:$I$1016,4,0)</f>
        <v>0</v>
      </c>
      <c r="F1032" s="98">
        <f>$C1032*VLOOKUP($B1032,FoodDB!$A$2:$I$1016,5,0)</f>
        <v>0</v>
      </c>
      <c r="G1032" s="98">
        <f>$C1032*VLOOKUP($B1032,FoodDB!$A$2:$I$1016,6,0)</f>
        <v>0</v>
      </c>
      <c r="H1032" s="98">
        <f>$C1032*VLOOKUP($B1032,FoodDB!$A$2:$I$1016,7,0)</f>
        <v>0</v>
      </c>
      <c r="I1032" s="98">
        <f>$C1032*VLOOKUP($B1032,FoodDB!$A$2:$I$1016,8,0)</f>
        <v>0</v>
      </c>
      <c r="J1032" s="98">
        <f>$C1032*VLOOKUP($B1032,FoodDB!$A$2:$I$1016,9,0)</f>
        <v>0</v>
      </c>
      <c r="K1032" s="98"/>
      <c r="L1032" s="98"/>
      <c r="M1032" s="98"/>
      <c r="N1032" s="98"/>
      <c r="O1032" s="98"/>
      <c r="P1032" s="98"/>
      <c r="Q1032" s="98"/>
      <c r="R1032" s="98"/>
      <c r="S1032" s="98"/>
    </row>
    <row r="1033" spans="1:19" x14ac:dyDescent="0.25">
      <c r="B1033" s="94" t="s">
        <v>108</v>
      </c>
      <c r="C1033" s="95">
        <v>1</v>
      </c>
      <c r="D1033" s="98">
        <f>$C1033*VLOOKUP($B1033,FoodDB!$A$2:$I$1016,3,0)</f>
        <v>0</v>
      </c>
      <c r="E1033" s="98">
        <f>$C1033*VLOOKUP($B1033,FoodDB!$A$2:$I$1016,4,0)</f>
        <v>0</v>
      </c>
      <c r="F1033" s="98">
        <f>$C1033*VLOOKUP($B1033,FoodDB!$A$2:$I$1016,5,0)</f>
        <v>0</v>
      </c>
      <c r="G1033" s="98">
        <f>$C1033*VLOOKUP($B1033,FoodDB!$A$2:$I$1016,6,0)</f>
        <v>0</v>
      </c>
      <c r="H1033" s="98">
        <f>$C1033*VLOOKUP($B1033,FoodDB!$A$2:$I$1016,7,0)</f>
        <v>0</v>
      </c>
      <c r="I1033" s="98">
        <f>$C1033*VLOOKUP($B1033,FoodDB!$A$2:$I$1016,8,0)</f>
        <v>0</v>
      </c>
      <c r="J1033" s="98">
        <f>$C1033*VLOOKUP($B1033,FoodDB!$A$2:$I$1016,9,0)</f>
        <v>0</v>
      </c>
      <c r="K1033" s="98"/>
      <c r="L1033" s="98"/>
      <c r="M1033" s="98"/>
      <c r="N1033" s="98"/>
      <c r="O1033" s="98"/>
      <c r="P1033" s="98"/>
      <c r="Q1033" s="98"/>
      <c r="R1033" s="98"/>
      <c r="S1033" s="98"/>
    </row>
    <row r="1034" spans="1:19" x14ac:dyDescent="0.25">
      <c r="B1034" s="94" t="s">
        <v>108</v>
      </c>
      <c r="C1034" s="95">
        <v>1</v>
      </c>
      <c r="D1034" s="98">
        <f>$C1034*VLOOKUP($B1034,FoodDB!$A$2:$I$1016,3,0)</f>
        <v>0</v>
      </c>
      <c r="E1034" s="98">
        <f>$C1034*VLOOKUP($B1034,FoodDB!$A$2:$I$1016,4,0)</f>
        <v>0</v>
      </c>
      <c r="F1034" s="98">
        <f>$C1034*VLOOKUP($B1034,FoodDB!$A$2:$I$1016,5,0)</f>
        <v>0</v>
      </c>
      <c r="G1034" s="98">
        <f>$C1034*VLOOKUP($B1034,FoodDB!$A$2:$I$1016,6,0)</f>
        <v>0</v>
      </c>
      <c r="H1034" s="98">
        <f>$C1034*VLOOKUP($B1034,FoodDB!$A$2:$I$1016,7,0)</f>
        <v>0</v>
      </c>
      <c r="I1034" s="98">
        <f>$C1034*VLOOKUP($B1034,FoodDB!$A$2:$I$1016,8,0)</f>
        <v>0</v>
      </c>
      <c r="J1034" s="98">
        <f>$C1034*VLOOKUP($B1034,FoodDB!$A$2:$I$1016,9,0)</f>
        <v>0</v>
      </c>
      <c r="K1034" s="98"/>
      <c r="L1034" s="98"/>
      <c r="M1034" s="98"/>
      <c r="N1034" s="98"/>
      <c r="O1034" s="98"/>
      <c r="P1034" s="98"/>
      <c r="Q1034" s="98"/>
      <c r="R1034" s="98"/>
      <c r="S1034" s="98"/>
    </row>
    <row r="1035" spans="1:19" x14ac:dyDescent="0.25">
      <c r="A1035" t="s">
        <v>98</v>
      </c>
      <c r="D1035" s="98"/>
      <c r="E1035" s="98"/>
      <c r="F1035" s="98"/>
      <c r="G1035" s="98">
        <f>SUM(G1028:G1034)</f>
        <v>0</v>
      </c>
      <c r="H1035" s="98">
        <f>SUM(H1028:H1034)</f>
        <v>0</v>
      </c>
      <c r="I1035" s="98">
        <f>SUM(I1028:I1034)</f>
        <v>0</v>
      </c>
      <c r="J1035" s="98">
        <f>SUM(G1035:I1035)</f>
        <v>0</v>
      </c>
      <c r="K1035" s="98"/>
      <c r="L1035" s="98"/>
      <c r="M1035" s="98"/>
      <c r="N1035" s="98"/>
      <c r="O1035" s="98"/>
      <c r="P1035" s="98"/>
      <c r="Q1035" s="98"/>
      <c r="R1035" s="98"/>
      <c r="S1035" s="98"/>
    </row>
    <row r="1036" spans="1:19" x14ac:dyDescent="0.25">
      <c r="A1036" t="s">
        <v>102</v>
      </c>
      <c r="B1036" t="s">
        <v>103</v>
      </c>
      <c r="D1036" s="98"/>
      <c r="E1036" s="98"/>
      <c r="F1036" s="98"/>
      <c r="G1036" s="98">
        <f>VLOOKUP($A1028,LossChart!$A$3:$AB$105,14,0)</f>
        <v>805.29095523831029</v>
      </c>
      <c r="H1036" s="98">
        <f>VLOOKUP($A1028,LossChart!$A$3:$AB$105,15,0)</f>
        <v>96</v>
      </c>
      <c r="I1036" s="98">
        <f>VLOOKUP($A1028,LossChart!$A$3:$AB$105,16,0)</f>
        <v>477.30407413615825</v>
      </c>
      <c r="J1036" s="98">
        <f>VLOOKUP($A1028,LossChart!$A$3:$AB$105,17,0)</f>
        <v>1378.5950293744686</v>
      </c>
      <c r="K1036" s="98"/>
      <c r="L1036" s="98"/>
      <c r="M1036" s="98"/>
      <c r="N1036" s="98"/>
      <c r="O1036" s="98"/>
      <c r="P1036" s="98"/>
      <c r="Q1036" s="98"/>
      <c r="R1036" s="98"/>
      <c r="S1036" s="98"/>
    </row>
    <row r="1037" spans="1:19" x14ac:dyDescent="0.25">
      <c r="A1037" t="s">
        <v>104</v>
      </c>
      <c r="D1037" s="98"/>
      <c r="E1037" s="98"/>
      <c r="F1037" s="98"/>
      <c r="G1037" s="98">
        <f>G1036-G1035</f>
        <v>805.29095523831029</v>
      </c>
      <c r="H1037" s="98">
        <f>H1036-H1035</f>
        <v>96</v>
      </c>
      <c r="I1037" s="98">
        <f>I1036-I1035</f>
        <v>477.30407413615825</v>
      </c>
      <c r="J1037" s="98">
        <f>J1036-J1035</f>
        <v>1378.5950293744686</v>
      </c>
      <c r="K1037" s="98"/>
      <c r="L1037" s="98"/>
      <c r="M1037" s="98"/>
      <c r="N1037" s="98"/>
      <c r="O1037" s="98"/>
      <c r="P1037" s="98"/>
      <c r="Q1037" s="98"/>
      <c r="R1037" s="98"/>
      <c r="S1037" s="98"/>
    </row>
    <row r="1039" spans="1:19" ht="60" x14ac:dyDescent="0.25">
      <c r="A1039" s="21" t="s">
        <v>63</v>
      </c>
      <c r="B1039" s="21" t="s">
        <v>93</v>
      </c>
      <c r="C1039" s="21" t="s">
        <v>94</v>
      </c>
      <c r="D1039" s="92" t="str">
        <f>FoodDB!$C$1</f>
        <v>Fat
(g)</v>
      </c>
      <c r="E1039" s="92" t="str">
        <f>FoodDB!$D$1</f>
        <v xml:space="preserve"> Carbs
(g)</v>
      </c>
      <c r="F1039" s="92" t="str">
        <f>FoodDB!$E$1</f>
        <v>Protein
(g)</v>
      </c>
      <c r="G1039" s="92" t="str">
        <f>FoodDB!$F$1</f>
        <v>Fat
(Cal)</v>
      </c>
      <c r="H1039" s="92" t="str">
        <f>FoodDB!$G$1</f>
        <v>Carb
(Cal)</v>
      </c>
      <c r="I1039" s="92" t="str">
        <f>FoodDB!$H$1</f>
        <v>Protein
(Cal)</v>
      </c>
      <c r="J1039" s="92" t="str">
        <f>FoodDB!$I$1</f>
        <v>Total
Calories</v>
      </c>
      <c r="K1039" s="92"/>
      <c r="L1039" s="92" t="s">
        <v>110</v>
      </c>
      <c r="M1039" s="92" t="s">
        <v>111</v>
      </c>
      <c r="N1039" s="92" t="s">
        <v>112</v>
      </c>
      <c r="O1039" s="92" t="s">
        <v>113</v>
      </c>
      <c r="P1039" s="92" t="s">
        <v>118</v>
      </c>
      <c r="Q1039" s="92" t="s">
        <v>119</v>
      </c>
      <c r="R1039" s="92" t="s">
        <v>120</v>
      </c>
      <c r="S1039" s="92" t="s">
        <v>121</v>
      </c>
    </row>
    <row r="1040" spans="1:19" x14ac:dyDescent="0.25">
      <c r="A1040" s="93">
        <f>A1028+1</f>
        <v>43080</v>
      </c>
      <c r="B1040" s="94" t="s">
        <v>108</v>
      </c>
      <c r="C1040" s="95">
        <v>1</v>
      </c>
      <c r="D1040" s="98">
        <f>$C1040*VLOOKUP($B1040,FoodDB!$A$2:$I$1016,3,0)</f>
        <v>0</v>
      </c>
      <c r="E1040" s="98">
        <f>$C1040*VLOOKUP($B1040,FoodDB!$A$2:$I$1016,4,0)</f>
        <v>0</v>
      </c>
      <c r="F1040" s="98">
        <f>$C1040*VLOOKUP($B1040,FoodDB!$A$2:$I$1016,5,0)</f>
        <v>0</v>
      </c>
      <c r="G1040" s="98">
        <f>$C1040*VLOOKUP($B1040,FoodDB!$A$2:$I$1016,6,0)</f>
        <v>0</v>
      </c>
      <c r="H1040" s="98">
        <f>$C1040*VLOOKUP($B1040,FoodDB!$A$2:$I$1016,7,0)</f>
        <v>0</v>
      </c>
      <c r="I1040" s="98">
        <f>$C1040*VLOOKUP($B1040,FoodDB!$A$2:$I$1016,8,0)</f>
        <v>0</v>
      </c>
      <c r="J1040" s="98">
        <f>$C1040*VLOOKUP($B1040,FoodDB!$A$2:$I$1016,9,0)</f>
        <v>0</v>
      </c>
      <c r="K1040" s="98"/>
      <c r="L1040" s="98">
        <f>SUM(G1040:G1046)</f>
        <v>0</v>
      </c>
      <c r="M1040" s="98">
        <f>SUM(H1040:H1046)</f>
        <v>0</v>
      </c>
      <c r="N1040" s="98">
        <f>SUM(I1040:I1046)</f>
        <v>0</v>
      </c>
      <c r="O1040" s="98">
        <f>SUM(L1040:N1040)</f>
        <v>0</v>
      </c>
      <c r="P1040" s="98">
        <f>VLOOKUP($A1040,LossChart!$A$3:$AB$105,14,0)-L1040</f>
        <v>805.51911141541405</v>
      </c>
      <c r="Q1040" s="98">
        <f>VLOOKUP($A1040,LossChart!$A$3:$AB$105,15,0)-M1040</f>
        <v>100</v>
      </c>
      <c r="R1040" s="98">
        <f>VLOOKUP($A1040,LossChart!$A$3:$AB$105,16,0)-N1040</f>
        <v>477.30407413615825</v>
      </c>
      <c r="S1040" s="98">
        <f>VLOOKUP($A1040,LossChart!$A$3:$AB$105,17,0)-O1040</f>
        <v>1382.8231855515724</v>
      </c>
    </row>
    <row r="1041" spans="1:19" x14ac:dyDescent="0.25">
      <c r="B1041" s="94" t="s">
        <v>108</v>
      </c>
      <c r="C1041" s="95">
        <v>1</v>
      </c>
      <c r="D1041" s="98">
        <f>$C1041*VLOOKUP($B1041,FoodDB!$A$2:$I$1016,3,0)</f>
        <v>0</v>
      </c>
      <c r="E1041" s="98">
        <f>$C1041*VLOOKUP($B1041,FoodDB!$A$2:$I$1016,4,0)</f>
        <v>0</v>
      </c>
      <c r="F1041" s="98">
        <f>$C1041*VLOOKUP($B1041,FoodDB!$A$2:$I$1016,5,0)</f>
        <v>0</v>
      </c>
      <c r="G1041" s="98">
        <f>$C1041*VLOOKUP($B1041,FoodDB!$A$2:$I$1016,6,0)</f>
        <v>0</v>
      </c>
      <c r="H1041" s="98">
        <f>$C1041*VLOOKUP($B1041,FoodDB!$A$2:$I$1016,7,0)</f>
        <v>0</v>
      </c>
      <c r="I1041" s="98">
        <f>$C1041*VLOOKUP($B1041,FoodDB!$A$2:$I$1016,8,0)</f>
        <v>0</v>
      </c>
      <c r="J1041" s="98">
        <f>$C1041*VLOOKUP($B1041,FoodDB!$A$2:$I$1016,9,0)</f>
        <v>0</v>
      </c>
      <c r="K1041" s="98"/>
      <c r="L1041" s="98"/>
      <c r="M1041" s="98"/>
      <c r="N1041" s="98"/>
      <c r="O1041" s="98"/>
      <c r="P1041" s="98"/>
      <c r="Q1041" s="98"/>
      <c r="R1041" s="98"/>
      <c r="S1041" s="98"/>
    </row>
    <row r="1042" spans="1:19" x14ac:dyDescent="0.25">
      <c r="B1042" s="94" t="s">
        <v>108</v>
      </c>
      <c r="C1042" s="95">
        <v>1</v>
      </c>
      <c r="D1042" s="98">
        <f>$C1042*VLOOKUP($B1042,FoodDB!$A$2:$I$1016,3,0)</f>
        <v>0</v>
      </c>
      <c r="E1042" s="98">
        <f>$C1042*VLOOKUP($B1042,FoodDB!$A$2:$I$1016,4,0)</f>
        <v>0</v>
      </c>
      <c r="F1042" s="98">
        <f>$C1042*VLOOKUP($B1042,FoodDB!$A$2:$I$1016,5,0)</f>
        <v>0</v>
      </c>
      <c r="G1042" s="98">
        <f>$C1042*VLOOKUP($B1042,FoodDB!$A$2:$I$1016,6,0)</f>
        <v>0</v>
      </c>
      <c r="H1042" s="98">
        <f>$C1042*VLOOKUP($B1042,FoodDB!$A$2:$I$1016,7,0)</f>
        <v>0</v>
      </c>
      <c r="I1042" s="98">
        <f>$C1042*VLOOKUP($B1042,FoodDB!$A$2:$I$1016,8,0)</f>
        <v>0</v>
      </c>
      <c r="J1042" s="98">
        <f>$C1042*VLOOKUP($B1042,FoodDB!$A$2:$I$1016,9,0)</f>
        <v>0</v>
      </c>
      <c r="K1042" s="98"/>
      <c r="L1042" s="98"/>
      <c r="M1042" s="98"/>
      <c r="N1042" s="98"/>
      <c r="O1042" s="98"/>
      <c r="P1042" s="98"/>
      <c r="Q1042" s="98"/>
      <c r="R1042" s="98"/>
      <c r="S1042" s="98"/>
    </row>
    <row r="1043" spans="1:19" x14ac:dyDescent="0.25">
      <c r="B1043" s="94" t="s">
        <v>108</v>
      </c>
      <c r="C1043" s="95">
        <v>1</v>
      </c>
      <c r="D1043" s="98">
        <f>$C1043*VLOOKUP($B1043,FoodDB!$A$2:$I$1016,3,0)</f>
        <v>0</v>
      </c>
      <c r="E1043" s="98">
        <f>$C1043*VLOOKUP($B1043,FoodDB!$A$2:$I$1016,4,0)</f>
        <v>0</v>
      </c>
      <c r="F1043" s="98">
        <f>$C1043*VLOOKUP($B1043,FoodDB!$A$2:$I$1016,5,0)</f>
        <v>0</v>
      </c>
      <c r="G1043" s="98">
        <f>$C1043*VLOOKUP($B1043,FoodDB!$A$2:$I$1016,6,0)</f>
        <v>0</v>
      </c>
      <c r="H1043" s="98">
        <f>$C1043*VLOOKUP($B1043,FoodDB!$A$2:$I$1016,7,0)</f>
        <v>0</v>
      </c>
      <c r="I1043" s="98">
        <f>$C1043*VLOOKUP($B1043,FoodDB!$A$2:$I$1016,8,0)</f>
        <v>0</v>
      </c>
      <c r="J1043" s="98">
        <f>$C1043*VLOOKUP($B1043,FoodDB!$A$2:$I$1016,9,0)</f>
        <v>0</v>
      </c>
      <c r="K1043" s="98"/>
      <c r="L1043" s="98"/>
      <c r="M1043" s="98"/>
      <c r="N1043" s="98"/>
      <c r="O1043" s="98"/>
      <c r="P1043" s="98"/>
      <c r="Q1043" s="98"/>
      <c r="R1043" s="98"/>
      <c r="S1043" s="98"/>
    </row>
    <row r="1044" spans="1:19" x14ac:dyDescent="0.25">
      <c r="B1044" s="94" t="s">
        <v>108</v>
      </c>
      <c r="C1044" s="95">
        <v>1</v>
      </c>
      <c r="D1044" s="98">
        <f>$C1044*VLOOKUP($B1044,FoodDB!$A$2:$I$1016,3,0)</f>
        <v>0</v>
      </c>
      <c r="E1044" s="98">
        <f>$C1044*VLOOKUP($B1044,FoodDB!$A$2:$I$1016,4,0)</f>
        <v>0</v>
      </c>
      <c r="F1044" s="98">
        <f>$C1044*VLOOKUP($B1044,FoodDB!$A$2:$I$1016,5,0)</f>
        <v>0</v>
      </c>
      <c r="G1044" s="98">
        <f>$C1044*VLOOKUP($B1044,FoodDB!$A$2:$I$1016,6,0)</f>
        <v>0</v>
      </c>
      <c r="H1044" s="98">
        <f>$C1044*VLOOKUP($B1044,FoodDB!$A$2:$I$1016,7,0)</f>
        <v>0</v>
      </c>
      <c r="I1044" s="98">
        <f>$C1044*VLOOKUP($B1044,FoodDB!$A$2:$I$1016,8,0)</f>
        <v>0</v>
      </c>
      <c r="J1044" s="98">
        <f>$C1044*VLOOKUP($B1044,FoodDB!$A$2:$I$1016,9,0)</f>
        <v>0</v>
      </c>
      <c r="K1044" s="98"/>
      <c r="L1044" s="98"/>
      <c r="M1044" s="98"/>
      <c r="N1044" s="98"/>
      <c r="O1044" s="98"/>
      <c r="P1044" s="98"/>
      <c r="Q1044" s="98"/>
      <c r="R1044" s="98"/>
      <c r="S1044" s="98"/>
    </row>
    <row r="1045" spans="1:19" x14ac:dyDescent="0.25">
      <c r="B1045" s="94" t="s">
        <v>108</v>
      </c>
      <c r="C1045" s="95">
        <v>1</v>
      </c>
      <c r="D1045" s="98">
        <f>$C1045*VLOOKUP($B1045,FoodDB!$A$2:$I$1016,3,0)</f>
        <v>0</v>
      </c>
      <c r="E1045" s="98">
        <f>$C1045*VLOOKUP($B1045,FoodDB!$A$2:$I$1016,4,0)</f>
        <v>0</v>
      </c>
      <c r="F1045" s="98">
        <f>$C1045*VLOOKUP($B1045,FoodDB!$A$2:$I$1016,5,0)</f>
        <v>0</v>
      </c>
      <c r="G1045" s="98">
        <f>$C1045*VLOOKUP($B1045,FoodDB!$A$2:$I$1016,6,0)</f>
        <v>0</v>
      </c>
      <c r="H1045" s="98">
        <f>$C1045*VLOOKUP($B1045,FoodDB!$A$2:$I$1016,7,0)</f>
        <v>0</v>
      </c>
      <c r="I1045" s="98">
        <f>$C1045*VLOOKUP($B1045,FoodDB!$A$2:$I$1016,8,0)</f>
        <v>0</v>
      </c>
      <c r="J1045" s="98">
        <f>$C1045*VLOOKUP($B1045,FoodDB!$A$2:$I$1016,9,0)</f>
        <v>0</v>
      </c>
      <c r="K1045" s="98"/>
      <c r="L1045" s="98"/>
      <c r="M1045" s="98"/>
      <c r="N1045" s="98"/>
      <c r="O1045" s="98"/>
      <c r="P1045" s="98"/>
      <c r="Q1045" s="98"/>
      <c r="R1045" s="98"/>
      <c r="S1045" s="98"/>
    </row>
    <row r="1046" spans="1:19" x14ac:dyDescent="0.25">
      <c r="B1046" s="94" t="s">
        <v>108</v>
      </c>
      <c r="C1046" s="95">
        <v>1</v>
      </c>
      <c r="D1046" s="98">
        <f>$C1046*VLOOKUP($B1046,FoodDB!$A$2:$I$1016,3,0)</f>
        <v>0</v>
      </c>
      <c r="E1046" s="98">
        <f>$C1046*VLOOKUP($B1046,FoodDB!$A$2:$I$1016,4,0)</f>
        <v>0</v>
      </c>
      <c r="F1046" s="98">
        <f>$C1046*VLOOKUP($B1046,FoodDB!$A$2:$I$1016,5,0)</f>
        <v>0</v>
      </c>
      <c r="G1046" s="98">
        <f>$C1046*VLOOKUP($B1046,FoodDB!$A$2:$I$1016,6,0)</f>
        <v>0</v>
      </c>
      <c r="H1046" s="98">
        <f>$C1046*VLOOKUP($B1046,FoodDB!$A$2:$I$1016,7,0)</f>
        <v>0</v>
      </c>
      <c r="I1046" s="98">
        <f>$C1046*VLOOKUP($B1046,FoodDB!$A$2:$I$1016,8,0)</f>
        <v>0</v>
      </c>
      <c r="J1046" s="98">
        <f>$C1046*VLOOKUP($B1046,FoodDB!$A$2:$I$1016,9,0)</f>
        <v>0</v>
      </c>
      <c r="K1046" s="98"/>
      <c r="L1046" s="98"/>
      <c r="M1046" s="98"/>
      <c r="N1046" s="98"/>
      <c r="O1046" s="98"/>
      <c r="P1046" s="98"/>
      <c r="Q1046" s="98"/>
      <c r="R1046" s="98"/>
      <c r="S1046" s="98"/>
    </row>
    <row r="1047" spans="1:19" x14ac:dyDescent="0.25">
      <c r="A1047" t="s">
        <v>98</v>
      </c>
      <c r="D1047" s="98"/>
      <c r="E1047" s="98"/>
      <c r="F1047" s="98"/>
      <c r="G1047" s="98">
        <f>SUM(G1040:G1046)</f>
        <v>0</v>
      </c>
      <c r="H1047" s="98">
        <f>SUM(H1040:H1046)</f>
        <v>0</v>
      </c>
      <c r="I1047" s="98">
        <f>SUM(I1040:I1046)</f>
        <v>0</v>
      </c>
      <c r="J1047" s="98">
        <f>SUM(G1047:I1047)</f>
        <v>0</v>
      </c>
      <c r="K1047" s="98"/>
      <c r="L1047" s="98"/>
      <c r="M1047" s="98"/>
      <c r="N1047" s="98"/>
      <c r="O1047" s="98"/>
      <c r="P1047" s="98"/>
      <c r="Q1047" s="98"/>
      <c r="R1047" s="98"/>
      <c r="S1047" s="98"/>
    </row>
    <row r="1048" spans="1:19" x14ac:dyDescent="0.25">
      <c r="A1048" t="s">
        <v>102</v>
      </c>
      <c r="B1048" t="s">
        <v>103</v>
      </c>
      <c r="D1048" s="98"/>
      <c r="E1048" s="98"/>
      <c r="F1048" s="98"/>
      <c r="G1048" s="98">
        <f>VLOOKUP($A1040,LossChart!$A$3:$AB$105,14,0)</f>
        <v>805.51911141541405</v>
      </c>
      <c r="H1048" s="98">
        <f>VLOOKUP($A1040,LossChart!$A$3:$AB$105,15,0)</f>
        <v>100</v>
      </c>
      <c r="I1048" s="98">
        <f>VLOOKUP($A1040,LossChart!$A$3:$AB$105,16,0)</f>
        <v>477.30407413615825</v>
      </c>
      <c r="J1048" s="98">
        <f>VLOOKUP($A1040,LossChart!$A$3:$AB$105,17,0)</f>
        <v>1382.8231855515724</v>
      </c>
      <c r="K1048" s="98"/>
      <c r="L1048" s="98"/>
      <c r="M1048" s="98"/>
      <c r="N1048" s="98"/>
      <c r="O1048" s="98"/>
      <c r="P1048" s="98"/>
      <c r="Q1048" s="98"/>
      <c r="R1048" s="98"/>
      <c r="S1048" s="98"/>
    </row>
    <row r="1049" spans="1:19" x14ac:dyDescent="0.25">
      <c r="A1049" t="s">
        <v>104</v>
      </c>
      <c r="D1049" s="98"/>
      <c r="E1049" s="98"/>
      <c r="F1049" s="98"/>
      <c r="G1049" s="98">
        <f>G1048-G1047</f>
        <v>805.51911141541405</v>
      </c>
      <c r="H1049" s="98">
        <f>H1048-H1047</f>
        <v>100</v>
      </c>
      <c r="I1049" s="98">
        <f>I1048-I1047</f>
        <v>477.30407413615825</v>
      </c>
      <c r="J1049" s="98">
        <f>J1048-J1047</f>
        <v>1382.8231855515724</v>
      </c>
      <c r="K1049" s="98"/>
      <c r="L1049" s="98"/>
      <c r="M1049" s="98"/>
      <c r="N1049" s="98"/>
      <c r="O1049" s="98"/>
      <c r="P1049" s="98"/>
      <c r="Q1049" s="98"/>
      <c r="R1049" s="98"/>
      <c r="S1049" s="98"/>
    </row>
    <row r="1051" spans="1:19" ht="60" x14ac:dyDescent="0.25">
      <c r="A1051" s="21" t="s">
        <v>63</v>
      </c>
      <c r="B1051" s="21" t="s">
        <v>93</v>
      </c>
      <c r="C1051" s="21" t="s">
        <v>94</v>
      </c>
      <c r="D1051" s="92" t="str">
        <f>FoodDB!$C$1</f>
        <v>Fat
(g)</v>
      </c>
      <c r="E1051" s="92" t="str">
        <f>FoodDB!$D$1</f>
        <v xml:space="preserve"> Carbs
(g)</v>
      </c>
      <c r="F1051" s="92" t="str">
        <f>FoodDB!$E$1</f>
        <v>Protein
(g)</v>
      </c>
      <c r="G1051" s="92" t="str">
        <f>FoodDB!$F$1</f>
        <v>Fat
(Cal)</v>
      </c>
      <c r="H1051" s="92" t="str">
        <f>FoodDB!$G$1</f>
        <v>Carb
(Cal)</v>
      </c>
      <c r="I1051" s="92" t="str">
        <f>FoodDB!$H$1</f>
        <v>Protein
(Cal)</v>
      </c>
      <c r="J1051" s="92" t="str">
        <f>FoodDB!$I$1</f>
        <v>Total
Calories</v>
      </c>
      <c r="K1051" s="92"/>
      <c r="L1051" s="92" t="s">
        <v>110</v>
      </c>
      <c r="M1051" s="92" t="s">
        <v>111</v>
      </c>
      <c r="N1051" s="92" t="s">
        <v>112</v>
      </c>
      <c r="O1051" s="92" t="s">
        <v>113</v>
      </c>
      <c r="P1051" s="92" t="s">
        <v>118</v>
      </c>
      <c r="Q1051" s="92" t="s">
        <v>119</v>
      </c>
      <c r="R1051" s="92" t="s">
        <v>120</v>
      </c>
      <c r="S1051" s="92" t="s">
        <v>121</v>
      </c>
    </row>
    <row r="1052" spans="1:19" x14ac:dyDescent="0.25">
      <c r="A1052" s="93">
        <f>A1040+1</f>
        <v>43081</v>
      </c>
      <c r="B1052" s="94" t="s">
        <v>108</v>
      </c>
      <c r="C1052" s="95">
        <v>1</v>
      </c>
      <c r="D1052" s="98">
        <f>$C1052*VLOOKUP($B1052,FoodDB!$A$2:$I$1016,3,0)</f>
        <v>0</v>
      </c>
      <c r="E1052" s="98">
        <f>$C1052*VLOOKUP($B1052,FoodDB!$A$2:$I$1016,4,0)</f>
        <v>0</v>
      </c>
      <c r="F1052" s="98">
        <f>$C1052*VLOOKUP($B1052,FoodDB!$A$2:$I$1016,5,0)</f>
        <v>0</v>
      </c>
      <c r="G1052" s="98">
        <f>$C1052*VLOOKUP($B1052,FoodDB!$A$2:$I$1016,6,0)</f>
        <v>0</v>
      </c>
      <c r="H1052" s="98">
        <f>$C1052*VLOOKUP($B1052,FoodDB!$A$2:$I$1016,7,0)</f>
        <v>0</v>
      </c>
      <c r="I1052" s="98">
        <f>$C1052*VLOOKUP($B1052,FoodDB!$A$2:$I$1016,8,0)</f>
        <v>0</v>
      </c>
      <c r="J1052" s="98">
        <f>$C1052*VLOOKUP($B1052,FoodDB!$A$2:$I$1016,9,0)</f>
        <v>0</v>
      </c>
      <c r="K1052" s="98"/>
      <c r="L1052" s="98">
        <f>SUM(G1052:G1058)</f>
        <v>0</v>
      </c>
      <c r="M1052" s="98">
        <f>SUM(H1052:H1058)</f>
        <v>0</v>
      </c>
      <c r="N1052" s="98">
        <f>SUM(I1052:I1058)</f>
        <v>0</v>
      </c>
      <c r="O1052" s="98">
        <f>SUM(L1052:N1052)</f>
        <v>0</v>
      </c>
      <c r="P1052" s="98">
        <f>VLOOKUP($A1052,LossChart!$A$3:$AB$105,14,0)-L1052</f>
        <v>805.70981820923453</v>
      </c>
      <c r="Q1052" s="98">
        <f>VLOOKUP($A1052,LossChart!$A$3:$AB$105,15,0)-M1052</f>
        <v>104</v>
      </c>
      <c r="R1052" s="98">
        <f>VLOOKUP($A1052,LossChart!$A$3:$AB$105,16,0)-N1052</f>
        <v>477.30407413615825</v>
      </c>
      <c r="S1052" s="98">
        <f>VLOOKUP($A1052,LossChart!$A$3:$AB$105,17,0)-O1052</f>
        <v>1387.0138923453928</v>
      </c>
    </row>
    <row r="1053" spans="1:19" x14ac:dyDescent="0.25">
      <c r="B1053" s="94" t="s">
        <v>108</v>
      </c>
      <c r="C1053" s="95">
        <v>1</v>
      </c>
      <c r="D1053" s="98">
        <f>$C1053*VLOOKUP($B1053,FoodDB!$A$2:$I$1016,3,0)</f>
        <v>0</v>
      </c>
      <c r="E1053" s="98">
        <f>$C1053*VLOOKUP($B1053,FoodDB!$A$2:$I$1016,4,0)</f>
        <v>0</v>
      </c>
      <c r="F1053" s="98">
        <f>$C1053*VLOOKUP($B1053,FoodDB!$A$2:$I$1016,5,0)</f>
        <v>0</v>
      </c>
      <c r="G1053" s="98">
        <f>$C1053*VLOOKUP($B1053,FoodDB!$A$2:$I$1016,6,0)</f>
        <v>0</v>
      </c>
      <c r="H1053" s="98">
        <f>$C1053*VLOOKUP($B1053,FoodDB!$A$2:$I$1016,7,0)</f>
        <v>0</v>
      </c>
      <c r="I1053" s="98">
        <f>$C1053*VLOOKUP($B1053,FoodDB!$A$2:$I$1016,8,0)</f>
        <v>0</v>
      </c>
      <c r="J1053" s="98">
        <f>$C1053*VLOOKUP($B1053,FoodDB!$A$2:$I$1016,9,0)</f>
        <v>0</v>
      </c>
      <c r="K1053" s="98"/>
      <c r="L1053" s="98"/>
      <c r="M1053" s="98"/>
      <c r="N1053" s="98"/>
      <c r="O1053" s="98"/>
      <c r="P1053" s="98"/>
      <c r="Q1053" s="98"/>
      <c r="R1053" s="98"/>
      <c r="S1053" s="98"/>
    </row>
    <row r="1054" spans="1:19" x14ac:dyDescent="0.25">
      <c r="B1054" s="94" t="s">
        <v>108</v>
      </c>
      <c r="C1054" s="95">
        <v>1</v>
      </c>
      <c r="D1054" s="98">
        <f>$C1054*VLOOKUP($B1054,FoodDB!$A$2:$I$1016,3,0)</f>
        <v>0</v>
      </c>
      <c r="E1054" s="98">
        <f>$C1054*VLOOKUP($B1054,FoodDB!$A$2:$I$1016,4,0)</f>
        <v>0</v>
      </c>
      <c r="F1054" s="98">
        <f>$C1054*VLOOKUP($B1054,FoodDB!$A$2:$I$1016,5,0)</f>
        <v>0</v>
      </c>
      <c r="G1054" s="98">
        <f>$C1054*VLOOKUP($B1054,FoodDB!$A$2:$I$1016,6,0)</f>
        <v>0</v>
      </c>
      <c r="H1054" s="98">
        <f>$C1054*VLOOKUP($B1054,FoodDB!$A$2:$I$1016,7,0)</f>
        <v>0</v>
      </c>
      <c r="I1054" s="98">
        <f>$C1054*VLOOKUP($B1054,FoodDB!$A$2:$I$1016,8,0)</f>
        <v>0</v>
      </c>
      <c r="J1054" s="98">
        <f>$C1054*VLOOKUP($B1054,FoodDB!$A$2:$I$1016,9,0)</f>
        <v>0</v>
      </c>
      <c r="K1054" s="98"/>
      <c r="L1054" s="98"/>
      <c r="M1054" s="98"/>
      <c r="N1054" s="98"/>
      <c r="O1054" s="98"/>
      <c r="P1054" s="98"/>
      <c r="Q1054" s="98"/>
      <c r="R1054" s="98"/>
      <c r="S1054" s="98"/>
    </row>
    <row r="1055" spans="1:19" x14ac:dyDescent="0.25">
      <c r="B1055" s="94" t="s">
        <v>108</v>
      </c>
      <c r="C1055" s="95">
        <v>1</v>
      </c>
      <c r="D1055" s="98">
        <f>$C1055*VLOOKUP($B1055,FoodDB!$A$2:$I$1016,3,0)</f>
        <v>0</v>
      </c>
      <c r="E1055" s="98">
        <f>$C1055*VLOOKUP($B1055,FoodDB!$A$2:$I$1016,4,0)</f>
        <v>0</v>
      </c>
      <c r="F1055" s="98">
        <f>$C1055*VLOOKUP($B1055,FoodDB!$A$2:$I$1016,5,0)</f>
        <v>0</v>
      </c>
      <c r="G1055" s="98">
        <f>$C1055*VLOOKUP($B1055,FoodDB!$A$2:$I$1016,6,0)</f>
        <v>0</v>
      </c>
      <c r="H1055" s="98">
        <f>$C1055*VLOOKUP($B1055,FoodDB!$A$2:$I$1016,7,0)</f>
        <v>0</v>
      </c>
      <c r="I1055" s="98">
        <f>$C1055*VLOOKUP($B1055,FoodDB!$A$2:$I$1016,8,0)</f>
        <v>0</v>
      </c>
      <c r="J1055" s="98">
        <f>$C1055*VLOOKUP($B1055,FoodDB!$A$2:$I$1016,9,0)</f>
        <v>0</v>
      </c>
      <c r="K1055" s="98"/>
      <c r="L1055" s="98"/>
      <c r="M1055" s="98"/>
      <c r="N1055" s="98"/>
      <c r="O1055" s="98"/>
      <c r="P1055" s="98"/>
      <c r="Q1055" s="98"/>
      <c r="R1055" s="98"/>
      <c r="S1055" s="98"/>
    </row>
    <row r="1056" spans="1:19" x14ac:dyDescent="0.25">
      <c r="B1056" s="94" t="s">
        <v>108</v>
      </c>
      <c r="C1056" s="95">
        <v>1</v>
      </c>
      <c r="D1056" s="98">
        <f>$C1056*VLOOKUP($B1056,FoodDB!$A$2:$I$1016,3,0)</f>
        <v>0</v>
      </c>
      <c r="E1056" s="98">
        <f>$C1056*VLOOKUP($B1056,FoodDB!$A$2:$I$1016,4,0)</f>
        <v>0</v>
      </c>
      <c r="F1056" s="98">
        <f>$C1056*VLOOKUP($B1056,FoodDB!$A$2:$I$1016,5,0)</f>
        <v>0</v>
      </c>
      <c r="G1056" s="98">
        <f>$C1056*VLOOKUP($B1056,FoodDB!$A$2:$I$1016,6,0)</f>
        <v>0</v>
      </c>
      <c r="H1056" s="98">
        <f>$C1056*VLOOKUP($B1056,FoodDB!$A$2:$I$1016,7,0)</f>
        <v>0</v>
      </c>
      <c r="I1056" s="98">
        <f>$C1056*VLOOKUP($B1056,FoodDB!$A$2:$I$1016,8,0)</f>
        <v>0</v>
      </c>
      <c r="J1056" s="98">
        <f>$C1056*VLOOKUP($B1056,FoodDB!$A$2:$I$1016,9,0)</f>
        <v>0</v>
      </c>
      <c r="K1056" s="98"/>
      <c r="L1056" s="98"/>
      <c r="M1056" s="98"/>
      <c r="N1056" s="98"/>
      <c r="O1056" s="98"/>
      <c r="P1056" s="98"/>
      <c r="Q1056" s="98"/>
      <c r="R1056" s="98"/>
      <c r="S1056" s="98"/>
    </row>
    <row r="1057" spans="1:19" x14ac:dyDescent="0.25">
      <c r="B1057" s="94" t="s">
        <v>108</v>
      </c>
      <c r="C1057" s="95">
        <v>1</v>
      </c>
      <c r="D1057" s="98">
        <f>$C1057*VLOOKUP($B1057,FoodDB!$A$2:$I$1016,3,0)</f>
        <v>0</v>
      </c>
      <c r="E1057" s="98">
        <f>$C1057*VLOOKUP($B1057,FoodDB!$A$2:$I$1016,4,0)</f>
        <v>0</v>
      </c>
      <c r="F1057" s="98">
        <f>$C1057*VLOOKUP($B1057,FoodDB!$A$2:$I$1016,5,0)</f>
        <v>0</v>
      </c>
      <c r="G1057" s="98">
        <f>$C1057*VLOOKUP($B1057,FoodDB!$A$2:$I$1016,6,0)</f>
        <v>0</v>
      </c>
      <c r="H1057" s="98">
        <f>$C1057*VLOOKUP($B1057,FoodDB!$A$2:$I$1016,7,0)</f>
        <v>0</v>
      </c>
      <c r="I1057" s="98">
        <f>$C1057*VLOOKUP($B1057,FoodDB!$A$2:$I$1016,8,0)</f>
        <v>0</v>
      </c>
      <c r="J1057" s="98">
        <f>$C1057*VLOOKUP($B1057,FoodDB!$A$2:$I$1016,9,0)</f>
        <v>0</v>
      </c>
      <c r="K1057" s="98"/>
      <c r="L1057" s="98"/>
      <c r="M1057" s="98"/>
      <c r="N1057" s="98"/>
      <c r="O1057" s="98"/>
      <c r="P1057" s="98"/>
      <c r="Q1057" s="98"/>
      <c r="R1057" s="98"/>
      <c r="S1057" s="98"/>
    </row>
    <row r="1058" spans="1:19" x14ac:dyDescent="0.25">
      <c r="B1058" s="94" t="s">
        <v>108</v>
      </c>
      <c r="C1058" s="95">
        <v>1</v>
      </c>
      <c r="D1058" s="98">
        <f>$C1058*VLOOKUP($B1058,FoodDB!$A$2:$I$1016,3,0)</f>
        <v>0</v>
      </c>
      <c r="E1058" s="98">
        <f>$C1058*VLOOKUP($B1058,FoodDB!$A$2:$I$1016,4,0)</f>
        <v>0</v>
      </c>
      <c r="F1058" s="98">
        <f>$C1058*VLOOKUP($B1058,FoodDB!$A$2:$I$1016,5,0)</f>
        <v>0</v>
      </c>
      <c r="G1058" s="98">
        <f>$C1058*VLOOKUP($B1058,FoodDB!$A$2:$I$1016,6,0)</f>
        <v>0</v>
      </c>
      <c r="H1058" s="98">
        <f>$C1058*VLOOKUP($B1058,FoodDB!$A$2:$I$1016,7,0)</f>
        <v>0</v>
      </c>
      <c r="I1058" s="98">
        <f>$C1058*VLOOKUP($B1058,FoodDB!$A$2:$I$1016,8,0)</f>
        <v>0</v>
      </c>
      <c r="J1058" s="98">
        <f>$C1058*VLOOKUP($B1058,FoodDB!$A$2:$I$1016,9,0)</f>
        <v>0</v>
      </c>
      <c r="K1058" s="98"/>
      <c r="L1058" s="98"/>
      <c r="M1058" s="98"/>
      <c r="N1058" s="98"/>
      <c r="O1058" s="98"/>
      <c r="P1058" s="98"/>
      <c r="Q1058" s="98"/>
      <c r="R1058" s="98"/>
      <c r="S1058" s="98"/>
    </row>
    <row r="1059" spans="1:19" x14ac:dyDescent="0.25">
      <c r="A1059" t="s">
        <v>98</v>
      </c>
      <c r="D1059" s="98"/>
      <c r="E1059" s="98"/>
      <c r="F1059" s="98"/>
      <c r="G1059" s="98">
        <f>SUM(G1052:G1058)</f>
        <v>0</v>
      </c>
      <c r="H1059" s="98">
        <f>SUM(H1052:H1058)</f>
        <v>0</v>
      </c>
      <c r="I1059" s="98">
        <f>SUM(I1052:I1058)</f>
        <v>0</v>
      </c>
      <c r="J1059" s="98">
        <f>SUM(G1059:I1059)</f>
        <v>0</v>
      </c>
      <c r="K1059" s="98"/>
      <c r="L1059" s="98"/>
      <c r="M1059" s="98"/>
      <c r="N1059" s="98"/>
      <c r="O1059" s="98"/>
      <c r="P1059" s="98"/>
      <c r="Q1059" s="98"/>
      <c r="R1059" s="98"/>
      <c r="S1059" s="98"/>
    </row>
    <row r="1060" spans="1:19" x14ac:dyDescent="0.25">
      <c r="A1060" t="s">
        <v>102</v>
      </c>
      <c r="B1060" t="s">
        <v>103</v>
      </c>
      <c r="D1060" s="98"/>
      <c r="E1060" s="98"/>
      <c r="F1060" s="98"/>
      <c r="G1060" s="98">
        <f>VLOOKUP($A1052,LossChart!$A$3:$AB$105,14,0)</f>
        <v>805.70981820923453</v>
      </c>
      <c r="H1060" s="98">
        <f>VLOOKUP($A1052,LossChart!$A$3:$AB$105,15,0)</f>
        <v>104</v>
      </c>
      <c r="I1060" s="98">
        <f>VLOOKUP($A1052,LossChart!$A$3:$AB$105,16,0)</f>
        <v>477.30407413615825</v>
      </c>
      <c r="J1060" s="98">
        <f>VLOOKUP($A1052,LossChart!$A$3:$AB$105,17,0)</f>
        <v>1387.0138923453928</v>
      </c>
      <c r="K1060" s="98"/>
      <c r="L1060" s="98"/>
      <c r="M1060" s="98"/>
      <c r="N1060" s="98"/>
      <c r="O1060" s="98"/>
      <c r="P1060" s="98"/>
      <c r="Q1060" s="98"/>
      <c r="R1060" s="98"/>
      <c r="S1060" s="98"/>
    </row>
    <row r="1061" spans="1:19" x14ac:dyDescent="0.25">
      <c r="A1061" t="s">
        <v>104</v>
      </c>
      <c r="D1061" s="98"/>
      <c r="E1061" s="98"/>
      <c r="F1061" s="98"/>
      <c r="G1061" s="98">
        <f>G1060-G1059</f>
        <v>805.70981820923453</v>
      </c>
      <c r="H1061" s="98">
        <f>H1060-H1059</f>
        <v>104</v>
      </c>
      <c r="I1061" s="98">
        <f>I1060-I1059</f>
        <v>477.30407413615825</v>
      </c>
      <c r="J1061" s="98">
        <f>J1060-J1059</f>
        <v>1387.0138923453928</v>
      </c>
      <c r="K1061" s="98"/>
      <c r="L1061" s="98"/>
      <c r="M1061" s="98"/>
      <c r="N1061" s="98"/>
      <c r="O1061" s="98"/>
      <c r="P1061" s="98"/>
      <c r="Q1061" s="98"/>
      <c r="R1061" s="98"/>
      <c r="S1061" s="98"/>
    </row>
    <row r="1063" spans="1:19" ht="60" x14ac:dyDescent="0.25">
      <c r="A1063" s="21" t="s">
        <v>63</v>
      </c>
      <c r="B1063" s="21" t="s">
        <v>93</v>
      </c>
      <c r="C1063" s="21" t="s">
        <v>94</v>
      </c>
      <c r="D1063" s="92" t="str">
        <f>FoodDB!$C$1</f>
        <v>Fat
(g)</v>
      </c>
      <c r="E1063" s="92" t="str">
        <f>FoodDB!$D$1</f>
        <v xml:space="preserve"> Carbs
(g)</v>
      </c>
      <c r="F1063" s="92" t="str">
        <f>FoodDB!$E$1</f>
        <v>Protein
(g)</v>
      </c>
      <c r="G1063" s="92" t="str">
        <f>FoodDB!$F$1</f>
        <v>Fat
(Cal)</v>
      </c>
      <c r="H1063" s="92" t="str">
        <f>FoodDB!$G$1</f>
        <v>Carb
(Cal)</v>
      </c>
      <c r="I1063" s="92" t="str">
        <f>FoodDB!$H$1</f>
        <v>Protein
(Cal)</v>
      </c>
      <c r="J1063" s="92" t="str">
        <f>FoodDB!$I$1</f>
        <v>Total
Calories</v>
      </c>
      <c r="K1063" s="92"/>
      <c r="L1063" s="92" t="s">
        <v>110</v>
      </c>
      <c r="M1063" s="92" t="s">
        <v>111</v>
      </c>
      <c r="N1063" s="92" t="s">
        <v>112</v>
      </c>
      <c r="O1063" s="92" t="s">
        <v>113</v>
      </c>
      <c r="P1063" s="92" t="s">
        <v>118</v>
      </c>
      <c r="Q1063" s="92" t="s">
        <v>119</v>
      </c>
      <c r="R1063" s="92" t="s">
        <v>120</v>
      </c>
      <c r="S1063" s="92" t="s">
        <v>121</v>
      </c>
    </row>
    <row r="1064" spans="1:19" x14ac:dyDescent="0.25">
      <c r="A1064" s="93">
        <f>A1052+1</f>
        <v>43082</v>
      </c>
      <c r="B1064" s="94" t="s">
        <v>108</v>
      </c>
      <c r="C1064" s="95">
        <v>1</v>
      </c>
      <c r="D1064" s="98">
        <f>$C1064*VLOOKUP($B1064,FoodDB!$A$2:$I$1016,3,0)</f>
        <v>0</v>
      </c>
      <c r="E1064" s="98">
        <f>$C1064*VLOOKUP($B1064,FoodDB!$A$2:$I$1016,4,0)</f>
        <v>0</v>
      </c>
      <c r="F1064" s="98">
        <f>$C1064*VLOOKUP($B1064,FoodDB!$A$2:$I$1016,5,0)</f>
        <v>0</v>
      </c>
      <c r="G1064" s="98">
        <f>$C1064*VLOOKUP($B1064,FoodDB!$A$2:$I$1016,6,0)</f>
        <v>0</v>
      </c>
      <c r="H1064" s="98">
        <f>$C1064*VLOOKUP($B1064,FoodDB!$A$2:$I$1016,7,0)</f>
        <v>0</v>
      </c>
      <c r="I1064" s="98">
        <f>$C1064*VLOOKUP($B1064,FoodDB!$A$2:$I$1016,8,0)</f>
        <v>0</v>
      </c>
      <c r="J1064" s="98">
        <f>$C1064*VLOOKUP($B1064,FoodDB!$A$2:$I$1016,9,0)</f>
        <v>0</v>
      </c>
      <c r="K1064" s="98"/>
      <c r="L1064" s="98">
        <f>SUM(G1064:G1070)</f>
        <v>0</v>
      </c>
      <c r="M1064" s="98">
        <f>SUM(H1064:H1070)</f>
        <v>0</v>
      </c>
      <c r="N1064" s="98">
        <f>SUM(I1064:I1070)</f>
        <v>0</v>
      </c>
      <c r="O1064" s="98">
        <f>SUM(L1064:N1064)</f>
        <v>0</v>
      </c>
      <c r="P1064" s="98">
        <f>VLOOKUP($A1064,LossChart!$A$3:$AB$105,14,0)-L1064</f>
        <v>805.86340731430982</v>
      </c>
      <c r="Q1064" s="98">
        <f>VLOOKUP($A1064,LossChart!$A$3:$AB$105,15,0)-M1064</f>
        <v>108</v>
      </c>
      <c r="R1064" s="98">
        <f>VLOOKUP($A1064,LossChart!$A$3:$AB$105,16,0)-N1064</f>
        <v>477.30407413615825</v>
      </c>
      <c r="S1064" s="98">
        <f>VLOOKUP($A1064,LossChart!$A$3:$AB$105,17,0)-O1064</f>
        <v>1391.1674814504681</v>
      </c>
    </row>
    <row r="1065" spans="1:19" x14ac:dyDescent="0.25">
      <c r="B1065" s="94" t="s">
        <v>108</v>
      </c>
      <c r="C1065" s="95">
        <v>1</v>
      </c>
      <c r="D1065" s="98">
        <f>$C1065*VLOOKUP($B1065,FoodDB!$A$2:$I$1016,3,0)</f>
        <v>0</v>
      </c>
      <c r="E1065" s="98">
        <f>$C1065*VLOOKUP($B1065,FoodDB!$A$2:$I$1016,4,0)</f>
        <v>0</v>
      </c>
      <c r="F1065" s="98">
        <f>$C1065*VLOOKUP($B1065,FoodDB!$A$2:$I$1016,5,0)</f>
        <v>0</v>
      </c>
      <c r="G1065" s="98">
        <f>$C1065*VLOOKUP($B1065,FoodDB!$A$2:$I$1016,6,0)</f>
        <v>0</v>
      </c>
      <c r="H1065" s="98">
        <f>$C1065*VLOOKUP($B1065,FoodDB!$A$2:$I$1016,7,0)</f>
        <v>0</v>
      </c>
      <c r="I1065" s="98">
        <f>$C1065*VLOOKUP($B1065,FoodDB!$A$2:$I$1016,8,0)</f>
        <v>0</v>
      </c>
      <c r="J1065" s="98">
        <f>$C1065*VLOOKUP($B1065,FoodDB!$A$2:$I$1016,9,0)</f>
        <v>0</v>
      </c>
      <c r="K1065" s="98"/>
      <c r="L1065" s="98"/>
      <c r="M1065" s="98"/>
      <c r="N1065" s="98"/>
      <c r="O1065" s="98"/>
      <c r="P1065" s="98"/>
      <c r="Q1065" s="98"/>
      <c r="R1065" s="98"/>
      <c r="S1065" s="98"/>
    </row>
    <row r="1066" spans="1:19" x14ac:dyDescent="0.25">
      <c r="B1066" s="94" t="s">
        <v>108</v>
      </c>
      <c r="C1066" s="95">
        <v>1</v>
      </c>
      <c r="D1066" s="98">
        <f>$C1066*VLOOKUP($B1066,FoodDB!$A$2:$I$1016,3,0)</f>
        <v>0</v>
      </c>
      <c r="E1066" s="98">
        <f>$C1066*VLOOKUP($B1066,FoodDB!$A$2:$I$1016,4,0)</f>
        <v>0</v>
      </c>
      <c r="F1066" s="98">
        <f>$C1066*VLOOKUP($B1066,FoodDB!$A$2:$I$1016,5,0)</f>
        <v>0</v>
      </c>
      <c r="G1066" s="98">
        <f>$C1066*VLOOKUP($B1066,FoodDB!$A$2:$I$1016,6,0)</f>
        <v>0</v>
      </c>
      <c r="H1066" s="98">
        <f>$C1066*VLOOKUP($B1066,FoodDB!$A$2:$I$1016,7,0)</f>
        <v>0</v>
      </c>
      <c r="I1066" s="98">
        <f>$C1066*VLOOKUP($B1066,FoodDB!$A$2:$I$1016,8,0)</f>
        <v>0</v>
      </c>
      <c r="J1066" s="98">
        <f>$C1066*VLOOKUP($B1066,FoodDB!$A$2:$I$1016,9,0)</f>
        <v>0</v>
      </c>
      <c r="K1066" s="98"/>
      <c r="L1066" s="98"/>
      <c r="M1066" s="98"/>
      <c r="N1066" s="98"/>
      <c r="O1066" s="98"/>
      <c r="P1066" s="98"/>
      <c r="Q1066" s="98"/>
      <c r="R1066" s="98"/>
      <c r="S1066" s="98"/>
    </row>
    <row r="1067" spans="1:19" x14ac:dyDescent="0.25">
      <c r="B1067" s="94" t="s">
        <v>108</v>
      </c>
      <c r="C1067" s="95">
        <v>1</v>
      </c>
      <c r="D1067" s="98">
        <f>$C1067*VLOOKUP($B1067,FoodDB!$A$2:$I$1016,3,0)</f>
        <v>0</v>
      </c>
      <c r="E1067" s="98">
        <f>$C1067*VLOOKUP($B1067,FoodDB!$A$2:$I$1016,4,0)</f>
        <v>0</v>
      </c>
      <c r="F1067" s="98">
        <f>$C1067*VLOOKUP($B1067,FoodDB!$A$2:$I$1016,5,0)</f>
        <v>0</v>
      </c>
      <c r="G1067" s="98">
        <f>$C1067*VLOOKUP($B1067,FoodDB!$A$2:$I$1016,6,0)</f>
        <v>0</v>
      </c>
      <c r="H1067" s="98">
        <f>$C1067*VLOOKUP($B1067,FoodDB!$A$2:$I$1016,7,0)</f>
        <v>0</v>
      </c>
      <c r="I1067" s="98">
        <f>$C1067*VLOOKUP($B1067,FoodDB!$A$2:$I$1016,8,0)</f>
        <v>0</v>
      </c>
      <c r="J1067" s="98">
        <f>$C1067*VLOOKUP($B1067,FoodDB!$A$2:$I$1016,9,0)</f>
        <v>0</v>
      </c>
      <c r="K1067" s="98"/>
      <c r="L1067" s="98"/>
      <c r="M1067" s="98"/>
      <c r="N1067" s="98"/>
      <c r="O1067" s="98"/>
      <c r="P1067" s="98"/>
      <c r="Q1067" s="98"/>
      <c r="R1067" s="98"/>
      <c r="S1067" s="98"/>
    </row>
    <row r="1068" spans="1:19" x14ac:dyDescent="0.25">
      <c r="B1068" s="94" t="s">
        <v>108</v>
      </c>
      <c r="C1068" s="95">
        <v>1</v>
      </c>
      <c r="D1068" s="98">
        <f>$C1068*VLOOKUP($B1068,FoodDB!$A$2:$I$1016,3,0)</f>
        <v>0</v>
      </c>
      <c r="E1068" s="98">
        <f>$C1068*VLOOKUP($B1068,FoodDB!$A$2:$I$1016,4,0)</f>
        <v>0</v>
      </c>
      <c r="F1068" s="98">
        <f>$C1068*VLOOKUP($B1068,FoodDB!$A$2:$I$1016,5,0)</f>
        <v>0</v>
      </c>
      <c r="G1068" s="98">
        <f>$C1068*VLOOKUP($B1068,FoodDB!$A$2:$I$1016,6,0)</f>
        <v>0</v>
      </c>
      <c r="H1068" s="98">
        <f>$C1068*VLOOKUP($B1068,FoodDB!$A$2:$I$1016,7,0)</f>
        <v>0</v>
      </c>
      <c r="I1068" s="98">
        <f>$C1068*VLOOKUP($B1068,FoodDB!$A$2:$I$1016,8,0)</f>
        <v>0</v>
      </c>
      <c r="J1068" s="98">
        <f>$C1068*VLOOKUP($B1068,FoodDB!$A$2:$I$1016,9,0)</f>
        <v>0</v>
      </c>
      <c r="K1068" s="98"/>
      <c r="L1068" s="98"/>
      <c r="M1068" s="98"/>
      <c r="N1068" s="98"/>
      <c r="O1068" s="98"/>
      <c r="P1068" s="98"/>
      <c r="Q1068" s="98"/>
      <c r="R1068" s="98"/>
      <c r="S1068" s="98"/>
    </row>
    <row r="1069" spans="1:19" x14ac:dyDescent="0.25">
      <c r="B1069" s="94" t="s">
        <v>108</v>
      </c>
      <c r="C1069" s="95">
        <v>1</v>
      </c>
      <c r="D1069" s="98">
        <f>$C1069*VLOOKUP($B1069,FoodDB!$A$2:$I$1016,3,0)</f>
        <v>0</v>
      </c>
      <c r="E1069" s="98">
        <f>$C1069*VLOOKUP($B1069,FoodDB!$A$2:$I$1016,4,0)</f>
        <v>0</v>
      </c>
      <c r="F1069" s="98">
        <f>$C1069*VLOOKUP($B1069,FoodDB!$A$2:$I$1016,5,0)</f>
        <v>0</v>
      </c>
      <c r="G1069" s="98">
        <f>$C1069*VLOOKUP($B1069,FoodDB!$A$2:$I$1016,6,0)</f>
        <v>0</v>
      </c>
      <c r="H1069" s="98">
        <f>$C1069*VLOOKUP($B1069,FoodDB!$A$2:$I$1016,7,0)</f>
        <v>0</v>
      </c>
      <c r="I1069" s="98">
        <f>$C1069*VLOOKUP($B1069,FoodDB!$A$2:$I$1016,8,0)</f>
        <v>0</v>
      </c>
      <c r="J1069" s="98">
        <f>$C1069*VLOOKUP($B1069,FoodDB!$A$2:$I$1016,9,0)</f>
        <v>0</v>
      </c>
      <c r="K1069" s="98"/>
      <c r="L1069" s="98"/>
      <c r="M1069" s="98"/>
      <c r="N1069" s="98"/>
      <c r="O1069" s="98"/>
      <c r="P1069" s="98"/>
      <c r="Q1069" s="98"/>
      <c r="R1069" s="98"/>
      <c r="S1069" s="98"/>
    </row>
    <row r="1070" spans="1:19" x14ac:dyDescent="0.25">
      <c r="B1070" s="94" t="s">
        <v>108</v>
      </c>
      <c r="C1070" s="95">
        <v>1</v>
      </c>
      <c r="D1070" s="98">
        <f>$C1070*VLOOKUP($B1070,FoodDB!$A$2:$I$1016,3,0)</f>
        <v>0</v>
      </c>
      <c r="E1070" s="98">
        <f>$C1070*VLOOKUP($B1070,FoodDB!$A$2:$I$1016,4,0)</f>
        <v>0</v>
      </c>
      <c r="F1070" s="98">
        <f>$C1070*VLOOKUP($B1070,FoodDB!$A$2:$I$1016,5,0)</f>
        <v>0</v>
      </c>
      <c r="G1070" s="98">
        <f>$C1070*VLOOKUP($B1070,FoodDB!$A$2:$I$1016,6,0)</f>
        <v>0</v>
      </c>
      <c r="H1070" s="98">
        <f>$C1070*VLOOKUP($B1070,FoodDB!$A$2:$I$1016,7,0)</f>
        <v>0</v>
      </c>
      <c r="I1070" s="98">
        <f>$C1070*VLOOKUP($B1070,FoodDB!$A$2:$I$1016,8,0)</f>
        <v>0</v>
      </c>
      <c r="J1070" s="98">
        <f>$C1070*VLOOKUP($B1070,FoodDB!$A$2:$I$1016,9,0)</f>
        <v>0</v>
      </c>
      <c r="K1070" s="98"/>
      <c r="L1070" s="98"/>
      <c r="M1070" s="98"/>
      <c r="N1070" s="98"/>
      <c r="O1070" s="98"/>
      <c r="P1070" s="98"/>
      <c r="Q1070" s="98"/>
      <c r="R1070" s="98"/>
      <c r="S1070" s="98"/>
    </row>
    <row r="1071" spans="1:19" x14ac:dyDescent="0.25">
      <c r="A1071" t="s">
        <v>98</v>
      </c>
      <c r="D1071" s="98"/>
      <c r="E1071" s="98"/>
      <c r="F1071" s="98"/>
      <c r="G1071" s="98">
        <f>SUM(G1064:G1070)</f>
        <v>0</v>
      </c>
      <c r="H1071" s="98">
        <f>SUM(H1064:H1070)</f>
        <v>0</v>
      </c>
      <c r="I1071" s="98">
        <f>SUM(I1064:I1070)</f>
        <v>0</v>
      </c>
      <c r="J1071" s="98">
        <f>SUM(G1071:I1071)</f>
        <v>0</v>
      </c>
      <c r="K1071" s="98"/>
      <c r="L1071" s="98"/>
      <c r="M1071" s="98"/>
      <c r="N1071" s="98"/>
      <c r="O1071" s="98"/>
      <c r="P1071" s="98"/>
      <c r="Q1071" s="98"/>
      <c r="R1071" s="98"/>
      <c r="S1071" s="98"/>
    </row>
    <row r="1072" spans="1:19" x14ac:dyDescent="0.25">
      <c r="A1072" t="s">
        <v>102</v>
      </c>
      <c r="B1072" t="s">
        <v>103</v>
      </c>
      <c r="D1072" s="98"/>
      <c r="E1072" s="98"/>
      <c r="F1072" s="98"/>
      <c r="G1072" s="98">
        <f>VLOOKUP($A1064,LossChart!$A$3:$AB$105,14,0)</f>
        <v>805.86340731430982</v>
      </c>
      <c r="H1072" s="98">
        <f>VLOOKUP($A1064,LossChart!$A$3:$AB$105,15,0)</f>
        <v>108</v>
      </c>
      <c r="I1072" s="98">
        <f>VLOOKUP($A1064,LossChart!$A$3:$AB$105,16,0)</f>
        <v>477.30407413615825</v>
      </c>
      <c r="J1072" s="98">
        <f>VLOOKUP($A1064,LossChart!$A$3:$AB$105,17,0)</f>
        <v>1391.1674814504681</v>
      </c>
      <c r="K1072" s="98"/>
      <c r="L1072" s="98"/>
      <c r="M1072" s="98"/>
      <c r="N1072" s="98"/>
      <c r="O1072" s="98"/>
      <c r="P1072" s="98"/>
      <c r="Q1072" s="98"/>
      <c r="R1072" s="98"/>
      <c r="S1072" s="98"/>
    </row>
    <row r="1073" spans="1:19" x14ac:dyDescent="0.25">
      <c r="A1073" t="s">
        <v>104</v>
      </c>
      <c r="D1073" s="98"/>
      <c r="E1073" s="98"/>
      <c r="F1073" s="98"/>
      <c r="G1073" s="98">
        <f>G1072-G1071</f>
        <v>805.86340731430982</v>
      </c>
      <c r="H1073" s="98">
        <f>H1072-H1071</f>
        <v>108</v>
      </c>
      <c r="I1073" s="98">
        <f>I1072-I1071</f>
        <v>477.30407413615825</v>
      </c>
      <c r="J1073" s="98">
        <f>J1072-J1071</f>
        <v>1391.1674814504681</v>
      </c>
      <c r="K1073" s="98"/>
      <c r="L1073" s="98"/>
      <c r="M1073" s="98"/>
      <c r="N1073" s="98"/>
      <c r="O1073" s="98"/>
      <c r="P1073" s="98"/>
      <c r="Q1073" s="98"/>
      <c r="R1073" s="98"/>
      <c r="S1073" s="98"/>
    </row>
    <row r="1075" spans="1:19" ht="60" x14ac:dyDescent="0.25">
      <c r="A1075" s="21" t="s">
        <v>63</v>
      </c>
      <c r="B1075" s="21" t="s">
        <v>93</v>
      </c>
      <c r="C1075" s="21" t="s">
        <v>94</v>
      </c>
      <c r="D1075" s="92" t="str">
        <f>FoodDB!$C$1</f>
        <v>Fat
(g)</v>
      </c>
      <c r="E1075" s="92" t="str">
        <f>FoodDB!$D$1</f>
        <v xml:space="preserve"> Carbs
(g)</v>
      </c>
      <c r="F1075" s="92" t="str">
        <f>FoodDB!$E$1</f>
        <v>Protein
(g)</v>
      </c>
      <c r="G1075" s="92" t="str">
        <f>FoodDB!$F$1</f>
        <v>Fat
(Cal)</v>
      </c>
      <c r="H1075" s="92" t="str">
        <f>FoodDB!$G$1</f>
        <v>Carb
(Cal)</v>
      </c>
      <c r="I1075" s="92" t="str">
        <f>FoodDB!$H$1</f>
        <v>Protein
(Cal)</v>
      </c>
      <c r="J1075" s="92" t="str">
        <f>FoodDB!$I$1</f>
        <v>Total
Calories</v>
      </c>
      <c r="K1075" s="92"/>
      <c r="L1075" s="92" t="s">
        <v>110</v>
      </c>
      <c r="M1075" s="92" t="s">
        <v>111</v>
      </c>
      <c r="N1075" s="92" t="s">
        <v>112</v>
      </c>
      <c r="O1075" s="92" t="s">
        <v>113</v>
      </c>
      <c r="P1075" s="92" t="s">
        <v>118</v>
      </c>
      <c r="Q1075" s="92" t="s">
        <v>119</v>
      </c>
      <c r="R1075" s="92" t="s">
        <v>120</v>
      </c>
      <c r="S1075" s="92" t="s">
        <v>121</v>
      </c>
    </row>
    <row r="1076" spans="1:19" x14ac:dyDescent="0.25">
      <c r="A1076" s="93">
        <f>A1064+1</f>
        <v>43083</v>
      </c>
      <c r="B1076" s="94" t="s">
        <v>108</v>
      </c>
      <c r="C1076" s="95">
        <v>1</v>
      </c>
      <c r="D1076" s="98">
        <f>$C1076*VLOOKUP($B1076,FoodDB!$A$2:$I$1016,3,0)</f>
        <v>0</v>
      </c>
      <c r="E1076" s="98">
        <f>$C1076*VLOOKUP($B1076,FoodDB!$A$2:$I$1016,4,0)</f>
        <v>0</v>
      </c>
      <c r="F1076" s="98">
        <f>$C1076*VLOOKUP($B1076,FoodDB!$A$2:$I$1016,5,0)</f>
        <v>0</v>
      </c>
      <c r="G1076" s="98">
        <f>$C1076*VLOOKUP($B1076,FoodDB!$A$2:$I$1016,6,0)</f>
        <v>0</v>
      </c>
      <c r="H1076" s="98">
        <f>$C1076*VLOOKUP($B1076,FoodDB!$A$2:$I$1016,7,0)</f>
        <v>0</v>
      </c>
      <c r="I1076" s="98">
        <f>$C1076*VLOOKUP($B1076,FoodDB!$A$2:$I$1016,8,0)</f>
        <v>0</v>
      </c>
      <c r="J1076" s="98">
        <f>$C1076*VLOOKUP($B1076,FoodDB!$A$2:$I$1016,9,0)</f>
        <v>0</v>
      </c>
      <c r="K1076" s="98"/>
      <c r="L1076" s="98">
        <f>SUM(G1076:G1082)</f>
        <v>0</v>
      </c>
      <c r="M1076" s="98">
        <f>SUM(H1076:H1082)</f>
        <v>0</v>
      </c>
      <c r="N1076" s="98">
        <f>SUM(I1076:I1082)</f>
        <v>0</v>
      </c>
      <c r="O1076" s="98">
        <f>SUM(L1076:N1076)</f>
        <v>0</v>
      </c>
      <c r="P1076" s="98">
        <f>VLOOKUP($A1076,LossChart!$A$3:$AB$105,14,0)-L1076</f>
        <v>805.98020748731187</v>
      </c>
      <c r="Q1076" s="98">
        <f>VLOOKUP($A1076,LossChart!$A$3:$AB$105,15,0)-M1076</f>
        <v>112</v>
      </c>
      <c r="R1076" s="98">
        <f>VLOOKUP($A1076,LossChart!$A$3:$AB$105,16,0)-N1076</f>
        <v>477.30407413615825</v>
      </c>
      <c r="S1076" s="98">
        <f>VLOOKUP($A1076,LossChart!$A$3:$AB$105,17,0)-O1076</f>
        <v>1395.2842816234702</v>
      </c>
    </row>
    <row r="1077" spans="1:19" x14ac:dyDescent="0.25">
      <c r="B1077" s="94" t="s">
        <v>108</v>
      </c>
      <c r="C1077" s="95">
        <v>1</v>
      </c>
      <c r="D1077" s="98">
        <f>$C1077*VLOOKUP($B1077,FoodDB!$A$2:$I$1016,3,0)</f>
        <v>0</v>
      </c>
      <c r="E1077" s="98">
        <f>$C1077*VLOOKUP($B1077,FoodDB!$A$2:$I$1016,4,0)</f>
        <v>0</v>
      </c>
      <c r="F1077" s="98">
        <f>$C1077*VLOOKUP($B1077,FoodDB!$A$2:$I$1016,5,0)</f>
        <v>0</v>
      </c>
      <c r="G1077" s="98">
        <f>$C1077*VLOOKUP($B1077,FoodDB!$A$2:$I$1016,6,0)</f>
        <v>0</v>
      </c>
      <c r="H1077" s="98">
        <f>$C1077*VLOOKUP($B1077,FoodDB!$A$2:$I$1016,7,0)</f>
        <v>0</v>
      </c>
      <c r="I1077" s="98">
        <f>$C1077*VLOOKUP($B1077,FoodDB!$A$2:$I$1016,8,0)</f>
        <v>0</v>
      </c>
      <c r="J1077" s="98">
        <f>$C1077*VLOOKUP($B1077,FoodDB!$A$2:$I$1016,9,0)</f>
        <v>0</v>
      </c>
      <c r="K1077" s="98"/>
      <c r="L1077" s="98"/>
      <c r="M1077" s="98"/>
      <c r="N1077" s="98"/>
      <c r="O1077" s="98"/>
      <c r="P1077" s="98"/>
      <c r="Q1077" s="98"/>
      <c r="R1077" s="98"/>
      <c r="S1077" s="98"/>
    </row>
    <row r="1078" spans="1:19" x14ac:dyDescent="0.25">
      <c r="B1078" s="94" t="s">
        <v>108</v>
      </c>
      <c r="C1078" s="95">
        <v>1</v>
      </c>
      <c r="D1078" s="98">
        <f>$C1078*VLOOKUP($B1078,FoodDB!$A$2:$I$1016,3,0)</f>
        <v>0</v>
      </c>
      <c r="E1078" s="98">
        <f>$C1078*VLOOKUP($B1078,FoodDB!$A$2:$I$1016,4,0)</f>
        <v>0</v>
      </c>
      <c r="F1078" s="98">
        <f>$C1078*VLOOKUP($B1078,FoodDB!$A$2:$I$1016,5,0)</f>
        <v>0</v>
      </c>
      <c r="G1078" s="98">
        <f>$C1078*VLOOKUP($B1078,FoodDB!$A$2:$I$1016,6,0)</f>
        <v>0</v>
      </c>
      <c r="H1078" s="98">
        <f>$C1078*VLOOKUP($B1078,FoodDB!$A$2:$I$1016,7,0)</f>
        <v>0</v>
      </c>
      <c r="I1078" s="98">
        <f>$C1078*VLOOKUP($B1078,FoodDB!$A$2:$I$1016,8,0)</f>
        <v>0</v>
      </c>
      <c r="J1078" s="98">
        <f>$C1078*VLOOKUP($B1078,FoodDB!$A$2:$I$1016,9,0)</f>
        <v>0</v>
      </c>
      <c r="K1078" s="98"/>
      <c r="L1078" s="98"/>
      <c r="M1078" s="98"/>
      <c r="N1078" s="98"/>
      <c r="O1078" s="98"/>
      <c r="P1078" s="98"/>
      <c r="Q1078" s="98"/>
      <c r="R1078" s="98"/>
      <c r="S1078" s="98"/>
    </row>
    <row r="1079" spans="1:19" x14ac:dyDescent="0.25">
      <c r="B1079" s="94" t="s">
        <v>108</v>
      </c>
      <c r="C1079" s="95">
        <v>1</v>
      </c>
      <c r="D1079" s="98">
        <f>$C1079*VLOOKUP($B1079,FoodDB!$A$2:$I$1016,3,0)</f>
        <v>0</v>
      </c>
      <c r="E1079" s="98">
        <f>$C1079*VLOOKUP($B1079,FoodDB!$A$2:$I$1016,4,0)</f>
        <v>0</v>
      </c>
      <c r="F1079" s="98">
        <f>$C1079*VLOOKUP($B1079,FoodDB!$A$2:$I$1016,5,0)</f>
        <v>0</v>
      </c>
      <c r="G1079" s="98">
        <f>$C1079*VLOOKUP($B1079,FoodDB!$A$2:$I$1016,6,0)</f>
        <v>0</v>
      </c>
      <c r="H1079" s="98">
        <f>$C1079*VLOOKUP($B1079,FoodDB!$A$2:$I$1016,7,0)</f>
        <v>0</v>
      </c>
      <c r="I1079" s="98">
        <f>$C1079*VLOOKUP($B1079,FoodDB!$A$2:$I$1016,8,0)</f>
        <v>0</v>
      </c>
      <c r="J1079" s="98">
        <f>$C1079*VLOOKUP($B1079,FoodDB!$A$2:$I$1016,9,0)</f>
        <v>0</v>
      </c>
      <c r="K1079" s="98"/>
      <c r="L1079" s="98"/>
      <c r="M1079" s="98"/>
      <c r="N1079" s="98"/>
      <c r="O1079" s="98"/>
      <c r="P1079" s="98"/>
      <c r="Q1079" s="98"/>
      <c r="R1079" s="98"/>
      <c r="S1079" s="98"/>
    </row>
    <row r="1080" spans="1:19" x14ac:dyDescent="0.25">
      <c r="B1080" s="94" t="s">
        <v>108</v>
      </c>
      <c r="C1080" s="95">
        <v>1</v>
      </c>
      <c r="D1080" s="98">
        <f>$C1080*VLOOKUP($B1080,FoodDB!$A$2:$I$1016,3,0)</f>
        <v>0</v>
      </c>
      <c r="E1080" s="98">
        <f>$C1080*VLOOKUP($B1080,FoodDB!$A$2:$I$1016,4,0)</f>
        <v>0</v>
      </c>
      <c r="F1080" s="98">
        <f>$C1080*VLOOKUP($B1080,FoodDB!$A$2:$I$1016,5,0)</f>
        <v>0</v>
      </c>
      <c r="G1080" s="98">
        <f>$C1080*VLOOKUP($B1080,FoodDB!$A$2:$I$1016,6,0)</f>
        <v>0</v>
      </c>
      <c r="H1080" s="98">
        <f>$C1080*VLOOKUP($B1080,FoodDB!$A$2:$I$1016,7,0)</f>
        <v>0</v>
      </c>
      <c r="I1080" s="98">
        <f>$C1080*VLOOKUP($B1080,FoodDB!$A$2:$I$1016,8,0)</f>
        <v>0</v>
      </c>
      <c r="J1080" s="98">
        <f>$C1080*VLOOKUP($B1080,FoodDB!$A$2:$I$1016,9,0)</f>
        <v>0</v>
      </c>
      <c r="K1080" s="98"/>
      <c r="L1080" s="98"/>
      <c r="M1080" s="98"/>
      <c r="N1080" s="98"/>
      <c r="O1080" s="98"/>
      <c r="P1080" s="98"/>
      <c r="Q1080" s="98"/>
      <c r="R1080" s="98"/>
      <c r="S1080" s="98"/>
    </row>
    <row r="1081" spans="1:19" x14ac:dyDescent="0.25">
      <c r="B1081" s="94" t="s">
        <v>108</v>
      </c>
      <c r="C1081" s="95">
        <v>1</v>
      </c>
      <c r="D1081" s="98">
        <f>$C1081*VLOOKUP($B1081,FoodDB!$A$2:$I$1016,3,0)</f>
        <v>0</v>
      </c>
      <c r="E1081" s="98">
        <f>$C1081*VLOOKUP($B1081,FoodDB!$A$2:$I$1016,4,0)</f>
        <v>0</v>
      </c>
      <c r="F1081" s="98">
        <f>$C1081*VLOOKUP($B1081,FoodDB!$A$2:$I$1016,5,0)</f>
        <v>0</v>
      </c>
      <c r="G1081" s="98">
        <f>$C1081*VLOOKUP($B1081,FoodDB!$A$2:$I$1016,6,0)</f>
        <v>0</v>
      </c>
      <c r="H1081" s="98">
        <f>$C1081*VLOOKUP($B1081,FoodDB!$A$2:$I$1016,7,0)</f>
        <v>0</v>
      </c>
      <c r="I1081" s="98">
        <f>$C1081*VLOOKUP($B1081,FoodDB!$A$2:$I$1016,8,0)</f>
        <v>0</v>
      </c>
      <c r="J1081" s="98">
        <f>$C1081*VLOOKUP($B1081,FoodDB!$A$2:$I$1016,9,0)</f>
        <v>0</v>
      </c>
      <c r="K1081" s="98"/>
      <c r="L1081" s="98"/>
      <c r="M1081" s="98"/>
      <c r="N1081" s="98"/>
      <c r="O1081" s="98"/>
      <c r="P1081" s="98"/>
      <c r="Q1081" s="98"/>
      <c r="R1081" s="98"/>
      <c r="S1081" s="98"/>
    </row>
    <row r="1082" spans="1:19" x14ac:dyDescent="0.25">
      <c r="B1082" s="94" t="s">
        <v>108</v>
      </c>
      <c r="C1082" s="95">
        <v>1</v>
      </c>
      <c r="D1082" s="98">
        <f>$C1082*VLOOKUP($B1082,FoodDB!$A$2:$I$1016,3,0)</f>
        <v>0</v>
      </c>
      <c r="E1082" s="98">
        <f>$C1082*VLOOKUP($B1082,FoodDB!$A$2:$I$1016,4,0)</f>
        <v>0</v>
      </c>
      <c r="F1082" s="98">
        <f>$C1082*VLOOKUP($B1082,FoodDB!$A$2:$I$1016,5,0)</f>
        <v>0</v>
      </c>
      <c r="G1082" s="98">
        <f>$C1082*VLOOKUP($B1082,FoodDB!$A$2:$I$1016,6,0)</f>
        <v>0</v>
      </c>
      <c r="H1082" s="98">
        <f>$C1082*VLOOKUP($B1082,FoodDB!$A$2:$I$1016,7,0)</f>
        <v>0</v>
      </c>
      <c r="I1082" s="98">
        <f>$C1082*VLOOKUP($B1082,FoodDB!$A$2:$I$1016,8,0)</f>
        <v>0</v>
      </c>
      <c r="J1082" s="98">
        <f>$C1082*VLOOKUP($B1082,FoodDB!$A$2:$I$1016,9,0)</f>
        <v>0</v>
      </c>
      <c r="K1082" s="98"/>
      <c r="L1082" s="98"/>
      <c r="M1082" s="98"/>
      <c r="N1082" s="98"/>
      <c r="O1082" s="98"/>
      <c r="P1082" s="98"/>
      <c r="Q1082" s="98"/>
      <c r="R1082" s="98"/>
      <c r="S1082" s="98"/>
    </row>
    <row r="1083" spans="1:19" x14ac:dyDescent="0.25">
      <c r="A1083" t="s">
        <v>98</v>
      </c>
      <c r="D1083" s="98"/>
      <c r="E1083" s="98"/>
      <c r="F1083" s="98"/>
      <c r="G1083" s="98">
        <f>SUM(G1076:G1082)</f>
        <v>0</v>
      </c>
      <c r="H1083" s="98">
        <f>SUM(H1076:H1082)</f>
        <v>0</v>
      </c>
      <c r="I1083" s="98">
        <f>SUM(I1076:I1082)</f>
        <v>0</v>
      </c>
      <c r="J1083" s="98">
        <f>SUM(G1083:I1083)</f>
        <v>0</v>
      </c>
      <c r="K1083" s="98"/>
      <c r="L1083" s="98"/>
      <c r="M1083" s="98"/>
      <c r="N1083" s="98"/>
      <c r="O1083" s="98"/>
      <c r="P1083" s="98"/>
      <c r="Q1083" s="98"/>
      <c r="R1083" s="98"/>
      <c r="S1083" s="98"/>
    </row>
    <row r="1084" spans="1:19" x14ac:dyDescent="0.25">
      <c r="A1084" t="s">
        <v>102</v>
      </c>
      <c r="B1084" t="s">
        <v>103</v>
      </c>
      <c r="D1084" s="98"/>
      <c r="E1084" s="98"/>
      <c r="F1084" s="98"/>
      <c r="G1084" s="98">
        <f>VLOOKUP($A1076,LossChart!$A$3:$AB$105,14,0)</f>
        <v>805.98020748731187</v>
      </c>
      <c r="H1084" s="98">
        <f>VLOOKUP($A1076,LossChart!$A$3:$AB$105,15,0)</f>
        <v>112</v>
      </c>
      <c r="I1084" s="98">
        <f>VLOOKUP($A1076,LossChart!$A$3:$AB$105,16,0)</f>
        <v>477.30407413615825</v>
      </c>
      <c r="J1084" s="98">
        <f>VLOOKUP($A1076,LossChart!$A$3:$AB$105,17,0)</f>
        <v>1395.2842816234702</v>
      </c>
      <c r="K1084" s="98"/>
      <c r="L1084" s="98"/>
      <c r="M1084" s="98"/>
      <c r="N1084" s="98"/>
      <c r="O1084" s="98"/>
      <c r="P1084" s="98"/>
      <c r="Q1084" s="98"/>
      <c r="R1084" s="98"/>
      <c r="S1084" s="98"/>
    </row>
    <row r="1085" spans="1:19" x14ac:dyDescent="0.25">
      <c r="A1085" t="s">
        <v>104</v>
      </c>
      <c r="D1085" s="98"/>
      <c r="E1085" s="98"/>
      <c r="F1085" s="98"/>
      <c r="G1085" s="98">
        <f>G1084-G1083</f>
        <v>805.98020748731187</v>
      </c>
      <c r="H1085" s="98">
        <f>H1084-H1083</f>
        <v>112</v>
      </c>
      <c r="I1085" s="98">
        <f>I1084-I1083</f>
        <v>477.30407413615825</v>
      </c>
      <c r="J1085" s="98">
        <f>J1084-J1083</f>
        <v>1395.2842816234702</v>
      </c>
      <c r="K1085" s="98"/>
      <c r="L1085" s="98"/>
      <c r="M1085" s="98"/>
      <c r="N1085" s="98"/>
      <c r="O1085" s="98"/>
      <c r="P1085" s="98"/>
      <c r="Q1085" s="98"/>
      <c r="R1085" s="98"/>
      <c r="S1085" s="98"/>
    </row>
    <row r="1087" spans="1:19" ht="60" x14ac:dyDescent="0.25">
      <c r="A1087" s="21" t="s">
        <v>63</v>
      </c>
      <c r="B1087" s="21" t="s">
        <v>93</v>
      </c>
      <c r="C1087" s="21" t="s">
        <v>94</v>
      </c>
      <c r="D1087" s="92" t="str">
        <f>FoodDB!$C$1</f>
        <v>Fat
(g)</v>
      </c>
      <c r="E1087" s="92" t="str">
        <f>FoodDB!$D$1</f>
        <v xml:space="preserve"> Carbs
(g)</v>
      </c>
      <c r="F1087" s="92" t="str">
        <f>FoodDB!$E$1</f>
        <v>Protein
(g)</v>
      </c>
      <c r="G1087" s="92" t="str">
        <f>FoodDB!$F$1</f>
        <v>Fat
(Cal)</v>
      </c>
      <c r="H1087" s="92" t="str">
        <f>FoodDB!$G$1</f>
        <v>Carb
(Cal)</v>
      </c>
      <c r="I1087" s="92" t="str">
        <f>FoodDB!$H$1</f>
        <v>Protein
(Cal)</v>
      </c>
      <c r="J1087" s="92" t="str">
        <f>FoodDB!$I$1</f>
        <v>Total
Calories</v>
      </c>
      <c r="K1087" s="92"/>
      <c r="L1087" s="92" t="s">
        <v>110</v>
      </c>
      <c r="M1087" s="92" t="s">
        <v>111</v>
      </c>
      <c r="N1087" s="92" t="s">
        <v>112</v>
      </c>
      <c r="O1087" s="92" t="s">
        <v>113</v>
      </c>
      <c r="P1087" s="92" t="s">
        <v>118</v>
      </c>
      <c r="Q1087" s="92" t="s">
        <v>119</v>
      </c>
      <c r="R1087" s="92" t="s">
        <v>120</v>
      </c>
      <c r="S1087" s="92" t="s">
        <v>121</v>
      </c>
    </row>
    <row r="1088" spans="1:19" x14ac:dyDescent="0.25">
      <c r="A1088" s="93">
        <f>A1076+1</f>
        <v>43084</v>
      </c>
      <c r="B1088" s="94" t="s">
        <v>108</v>
      </c>
      <c r="C1088" s="95">
        <v>1</v>
      </c>
      <c r="D1088" s="98">
        <f>$C1088*VLOOKUP($B1088,FoodDB!$A$2:$I$1016,3,0)</f>
        <v>0</v>
      </c>
      <c r="E1088" s="98">
        <f>$C1088*VLOOKUP($B1088,FoodDB!$A$2:$I$1016,4,0)</f>
        <v>0</v>
      </c>
      <c r="F1088" s="98">
        <f>$C1088*VLOOKUP($B1088,FoodDB!$A$2:$I$1016,5,0)</f>
        <v>0</v>
      </c>
      <c r="G1088" s="98">
        <f>$C1088*VLOOKUP($B1088,FoodDB!$A$2:$I$1016,6,0)</f>
        <v>0</v>
      </c>
      <c r="H1088" s="98">
        <f>$C1088*VLOOKUP($B1088,FoodDB!$A$2:$I$1016,7,0)</f>
        <v>0</v>
      </c>
      <c r="I1088" s="98">
        <f>$C1088*VLOOKUP($B1088,FoodDB!$A$2:$I$1016,8,0)</f>
        <v>0</v>
      </c>
      <c r="J1088" s="98">
        <f>$C1088*VLOOKUP($B1088,FoodDB!$A$2:$I$1016,9,0)</f>
        <v>0</v>
      </c>
      <c r="K1088" s="98"/>
      <c r="L1088" s="98">
        <f>SUM(G1088:G1094)</f>
        <v>0</v>
      </c>
      <c r="M1088" s="98">
        <f>SUM(H1088:H1094)</f>
        <v>0</v>
      </c>
      <c r="N1088" s="98">
        <f>SUM(I1088:I1094)</f>
        <v>0</v>
      </c>
      <c r="O1088" s="98">
        <f>SUM(L1088:N1088)</f>
        <v>0</v>
      </c>
      <c r="P1088" s="98">
        <f>VLOOKUP($A1088,LossChart!$A$3:$AB$105,14,0)-L1088</f>
        <v>806.06054457306686</v>
      </c>
      <c r="Q1088" s="98">
        <f>VLOOKUP($A1088,LossChart!$A$3:$AB$105,15,0)-M1088</f>
        <v>116</v>
      </c>
      <c r="R1088" s="98">
        <f>VLOOKUP($A1088,LossChart!$A$3:$AB$105,16,0)-N1088</f>
        <v>477.30407413615825</v>
      </c>
      <c r="S1088" s="98">
        <f>VLOOKUP($A1088,LossChart!$A$3:$AB$105,17,0)-O1088</f>
        <v>1399.3646187092252</v>
      </c>
    </row>
    <row r="1089" spans="1:19" x14ac:dyDescent="0.25">
      <c r="B1089" s="94" t="s">
        <v>108</v>
      </c>
      <c r="C1089" s="95">
        <v>1</v>
      </c>
      <c r="D1089" s="98">
        <f>$C1089*VLOOKUP($B1089,FoodDB!$A$2:$I$1016,3,0)</f>
        <v>0</v>
      </c>
      <c r="E1089" s="98">
        <f>$C1089*VLOOKUP($B1089,FoodDB!$A$2:$I$1016,4,0)</f>
        <v>0</v>
      </c>
      <c r="F1089" s="98">
        <f>$C1089*VLOOKUP($B1089,FoodDB!$A$2:$I$1016,5,0)</f>
        <v>0</v>
      </c>
      <c r="G1089" s="98">
        <f>$C1089*VLOOKUP($B1089,FoodDB!$A$2:$I$1016,6,0)</f>
        <v>0</v>
      </c>
      <c r="H1089" s="98">
        <f>$C1089*VLOOKUP($B1089,FoodDB!$A$2:$I$1016,7,0)</f>
        <v>0</v>
      </c>
      <c r="I1089" s="98">
        <f>$C1089*VLOOKUP($B1089,FoodDB!$A$2:$I$1016,8,0)</f>
        <v>0</v>
      </c>
      <c r="J1089" s="98">
        <f>$C1089*VLOOKUP($B1089,FoodDB!$A$2:$I$1016,9,0)</f>
        <v>0</v>
      </c>
      <c r="K1089" s="98"/>
      <c r="L1089" s="98"/>
      <c r="M1089" s="98"/>
      <c r="N1089" s="98"/>
      <c r="O1089" s="98"/>
      <c r="P1089" s="98"/>
      <c r="Q1089" s="98"/>
      <c r="R1089" s="98"/>
      <c r="S1089" s="98"/>
    </row>
    <row r="1090" spans="1:19" x14ac:dyDescent="0.25">
      <c r="B1090" s="94" t="s">
        <v>108</v>
      </c>
      <c r="C1090" s="95">
        <v>1</v>
      </c>
      <c r="D1090" s="98">
        <f>$C1090*VLOOKUP($B1090,FoodDB!$A$2:$I$1016,3,0)</f>
        <v>0</v>
      </c>
      <c r="E1090" s="98">
        <f>$C1090*VLOOKUP($B1090,FoodDB!$A$2:$I$1016,4,0)</f>
        <v>0</v>
      </c>
      <c r="F1090" s="98">
        <f>$C1090*VLOOKUP($B1090,FoodDB!$A$2:$I$1016,5,0)</f>
        <v>0</v>
      </c>
      <c r="G1090" s="98">
        <f>$C1090*VLOOKUP($B1090,FoodDB!$A$2:$I$1016,6,0)</f>
        <v>0</v>
      </c>
      <c r="H1090" s="98">
        <f>$C1090*VLOOKUP($B1090,FoodDB!$A$2:$I$1016,7,0)</f>
        <v>0</v>
      </c>
      <c r="I1090" s="98">
        <f>$C1090*VLOOKUP($B1090,FoodDB!$A$2:$I$1016,8,0)</f>
        <v>0</v>
      </c>
      <c r="J1090" s="98">
        <f>$C1090*VLOOKUP($B1090,FoodDB!$A$2:$I$1016,9,0)</f>
        <v>0</v>
      </c>
      <c r="K1090" s="98"/>
      <c r="L1090" s="98"/>
      <c r="M1090" s="98"/>
      <c r="N1090" s="98"/>
      <c r="O1090" s="98"/>
      <c r="P1090" s="98"/>
      <c r="Q1090" s="98"/>
      <c r="R1090" s="98"/>
      <c r="S1090" s="98"/>
    </row>
    <row r="1091" spans="1:19" x14ac:dyDescent="0.25">
      <c r="B1091" s="94" t="s">
        <v>108</v>
      </c>
      <c r="C1091" s="95">
        <v>1</v>
      </c>
      <c r="D1091" s="98">
        <f>$C1091*VLOOKUP($B1091,FoodDB!$A$2:$I$1016,3,0)</f>
        <v>0</v>
      </c>
      <c r="E1091" s="98">
        <f>$C1091*VLOOKUP($B1091,FoodDB!$A$2:$I$1016,4,0)</f>
        <v>0</v>
      </c>
      <c r="F1091" s="98">
        <f>$C1091*VLOOKUP($B1091,FoodDB!$A$2:$I$1016,5,0)</f>
        <v>0</v>
      </c>
      <c r="G1091" s="98">
        <f>$C1091*VLOOKUP($B1091,FoodDB!$A$2:$I$1016,6,0)</f>
        <v>0</v>
      </c>
      <c r="H1091" s="98">
        <f>$C1091*VLOOKUP($B1091,FoodDB!$A$2:$I$1016,7,0)</f>
        <v>0</v>
      </c>
      <c r="I1091" s="98">
        <f>$C1091*VLOOKUP($B1091,FoodDB!$A$2:$I$1016,8,0)</f>
        <v>0</v>
      </c>
      <c r="J1091" s="98">
        <f>$C1091*VLOOKUP($B1091,FoodDB!$A$2:$I$1016,9,0)</f>
        <v>0</v>
      </c>
      <c r="K1091" s="98"/>
      <c r="L1091" s="98"/>
      <c r="M1091" s="98"/>
      <c r="N1091" s="98"/>
      <c r="O1091" s="98"/>
      <c r="P1091" s="98"/>
      <c r="Q1091" s="98"/>
      <c r="R1091" s="98"/>
      <c r="S1091" s="98"/>
    </row>
    <row r="1092" spans="1:19" x14ac:dyDescent="0.25">
      <c r="B1092" s="94" t="s">
        <v>108</v>
      </c>
      <c r="C1092" s="95">
        <v>1</v>
      </c>
      <c r="D1092" s="98">
        <f>$C1092*VLOOKUP($B1092,FoodDB!$A$2:$I$1016,3,0)</f>
        <v>0</v>
      </c>
      <c r="E1092" s="98">
        <f>$C1092*VLOOKUP($B1092,FoodDB!$A$2:$I$1016,4,0)</f>
        <v>0</v>
      </c>
      <c r="F1092" s="98">
        <f>$C1092*VLOOKUP($B1092,FoodDB!$A$2:$I$1016,5,0)</f>
        <v>0</v>
      </c>
      <c r="G1092" s="98">
        <f>$C1092*VLOOKUP($B1092,FoodDB!$A$2:$I$1016,6,0)</f>
        <v>0</v>
      </c>
      <c r="H1092" s="98">
        <f>$C1092*VLOOKUP($B1092,FoodDB!$A$2:$I$1016,7,0)</f>
        <v>0</v>
      </c>
      <c r="I1092" s="98">
        <f>$C1092*VLOOKUP($B1092,FoodDB!$A$2:$I$1016,8,0)</f>
        <v>0</v>
      </c>
      <c r="J1092" s="98">
        <f>$C1092*VLOOKUP($B1092,FoodDB!$A$2:$I$1016,9,0)</f>
        <v>0</v>
      </c>
      <c r="K1092" s="98"/>
      <c r="L1092" s="98"/>
      <c r="M1092" s="98"/>
      <c r="N1092" s="98"/>
      <c r="O1092" s="98"/>
      <c r="P1092" s="98"/>
      <c r="Q1092" s="98"/>
      <c r="R1092" s="98"/>
      <c r="S1092" s="98"/>
    </row>
    <row r="1093" spans="1:19" x14ac:dyDescent="0.25">
      <c r="B1093" s="94" t="s">
        <v>108</v>
      </c>
      <c r="C1093" s="95">
        <v>1</v>
      </c>
      <c r="D1093" s="98">
        <f>$C1093*VLOOKUP($B1093,FoodDB!$A$2:$I$1016,3,0)</f>
        <v>0</v>
      </c>
      <c r="E1093" s="98">
        <f>$C1093*VLOOKUP($B1093,FoodDB!$A$2:$I$1016,4,0)</f>
        <v>0</v>
      </c>
      <c r="F1093" s="98">
        <f>$C1093*VLOOKUP($B1093,FoodDB!$A$2:$I$1016,5,0)</f>
        <v>0</v>
      </c>
      <c r="G1093" s="98">
        <f>$C1093*VLOOKUP($B1093,FoodDB!$A$2:$I$1016,6,0)</f>
        <v>0</v>
      </c>
      <c r="H1093" s="98">
        <f>$C1093*VLOOKUP($B1093,FoodDB!$A$2:$I$1016,7,0)</f>
        <v>0</v>
      </c>
      <c r="I1093" s="98">
        <f>$C1093*VLOOKUP($B1093,FoodDB!$A$2:$I$1016,8,0)</f>
        <v>0</v>
      </c>
      <c r="J1093" s="98">
        <f>$C1093*VLOOKUP($B1093,FoodDB!$A$2:$I$1016,9,0)</f>
        <v>0</v>
      </c>
      <c r="K1093" s="98"/>
      <c r="L1093" s="98"/>
      <c r="M1093" s="98"/>
      <c r="N1093" s="98"/>
      <c r="O1093" s="98"/>
      <c r="P1093" s="98"/>
      <c r="Q1093" s="98"/>
      <c r="R1093" s="98"/>
      <c r="S1093" s="98"/>
    </row>
    <row r="1094" spans="1:19" x14ac:dyDescent="0.25">
      <c r="B1094" s="94" t="s">
        <v>108</v>
      </c>
      <c r="C1094" s="95">
        <v>1</v>
      </c>
      <c r="D1094" s="98">
        <f>$C1094*VLOOKUP($B1094,FoodDB!$A$2:$I$1016,3,0)</f>
        <v>0</v>
      </c>
      <c r="E1094" s="98">
        <f>$C1094*VLOOKUP($B1094,FoodDB!$A$2:$I$1016,4,0)</f>
        <v>0</v>
      </c>
      <c r="F1094" s="98">
        <f>$C1094*VLOOKUP($B1094,FoodDB!$A$2:$I$1016,5,0)</f>
        <v>0</v>
      </c>
      <c r="G1094" s="98">
        <f>$C1094*VLOOKUP($B1094,FoodDB!$A$2:$I$1016,6,0)</f>
        <v>0</v>
      </c>
      <c r="H1094" s="98">
        <f>$C1094*VLOOKUP($B1094,FoodDB!$A$2:$I$1016,7,0)</f>
        <v>0</v>
      </c>
      <c r="I1094" s="98">
        <f>$C1094*VLOOKUP($B1094,FoodDB!$A$2:$I$1016,8,0)</f>
        <v>0</v>
      </c>
      <c r="J1094" s="98">
        <f>$C1094*VLOOKUP($B1094,FoodDB!$A$2:$I$1016,9,0)</f>
        <v>0</v>
      </c>
      <c r="K1094" s="98"/>
      <c r="L1094" s="98"/>
      <c r="M1094" s="98"/>
      <c r="N1094" s="98"/>
      <c r="O1094" s="98"/>
      <c r="P1094" s="98"/>
      <c r="Q1094" s="98"/>
      <c r="R1094" s="98"/>
      <c r="S1094" s="98"/>
    </row>
    <row r="1095" spans="1:19" x14ac:dyDescent="0.25">
      <c r="A1095" t="s">
        <v>98</v>
      </c>
      <c r="D1095" s="98"/>
      <c r="E1095" s="98"/>
      <c r="F1095" s="98"/>
      <c r="G1095" s="98">
        <f>SUM(G1088:G1094)</f>
        <v>0</v>
      </c>
      <c r="H1095" s="98">
        <f>SUM(H1088:H1094)</f>
        <v>0</v>
      </c>
      <c r="I1095" s="98">
        <f>SUM(I1088:I1094)</f>
        <v>0</v>
      </c>
      <c r="J1095" s="98">
        <f>SUM(G1095:I1095)</f>
        <v>0</v>
      </c>
      <c r="K1095" s="98"/>
      <c r="L1095" s="98"/>
      <c r="M1095" s="98"/>
      <c r="N1095" s="98"/>
      <c r="O1095" s="98"/>
      <c r="P1095" s="98"/>
      <c r="Q1095" s="98"/>
      <c r="R1095" s="98"/>
      <c r="S1095" s="98"/>
    </row>
    <row r="1096" spans="1:19" x14ac:dyDescent="0.25">
      <c r="A1096" t="s">
        <v>102</v>
      </c>
      <c r="B1096" t="s">
        <v>103</v>
      </c>
      <c r="D1096" s="98"/>
      <c r="E1096" s="98"/>
      <c r="F1096" s="98"/>
      <c r="G1096" s="98">
        <f>VLOOKUP($A1088,LossChart!$A$3:$AB$105,14,0)</f>
        <v>806.06054457306686</v>
      </c>
      <c r="H1096" s="98">
        <f>VLOOKUP($A1088,LossChart!$A$3:$AB$105,15,0)</f>
        <v>116</v>
      </c>
      <c r="I1096" s="98">
        <f>VLOOKUP($A1088,LossChart!$A$3:$AB$105,16,0)</f>
        <v>477.30407413615825</v>
      </c>
      <c r="J1096" s="98">
        <f>VLOOKUP($A1088,LossChart!$A$3:$AB$105,17,0)</f>
        <v>1399.3646187092252</v>
      </c>
      <c r="K1096" s="98"/>
      <c r="L1096" s="98"/>
      <c r="M1096" s="98"/>
      <c r="N1096" s="98"/>
      <c r="O1096" s="98"/>
      <c r="P1096" s="98"/>
      <c r="Q1096" s="98"/>
      <c r="R1096" s="98"/>
      <c r="S1096" s="98"/>
    </row>
    <row r="1097" spans="1:19" x14ac:dyDescent="0.25">
      <c r="A1097" t="s">
        <v>104</v>
      </c>
      <c r="D1097" s="98"/>
      <c r="E1097" s="98"/>
      <c r="F1097" s="98"/>
      <c r="G1097" s="98">
        <f>G1096-G1095</f>
        <v>806.06054457306686</v>
      </c>
      <c r="H1097" s="98">
        <f>H1096-H1095</f>
        <v>116</v>
      </c>
      <c r="I1097" s="98">
        <f>I1096-I1095</f>
        <v>477.30407413615825</v>
      </c>
      <c r="J1097" s="98">
        <f>J1096-J1095</f>
        <v>1399.3646187092252</v>
      </c>
      <c r="K1097" s="98"/>
      <c r="L1097" s="98"/>
      <c r="M1097" s="98"/>
      <c r="N1097" s="98"/>
      <c r="O1097" s="98"/>
      <c r="P1097" s="98"/>
      <c r="Q1097" s="98"/>
      <c r="R1097" s="98"/>
      <c r="S1097" s="98"/>
    </row>
    <row r="1099" spans="1:19" ht="60" x14ac:dyDescent="0.25">
      <c r="A1099" s="21" t="s">
        <v>63</v>
      </c>
      <c r="B1099" s="21" t="s">
        <v>93</v>
      </c>
      <c r="C1099" s="21" t="s">
        <v>94</v>
      </c>
      <c r="D1099" s="92" t="str">
        <f>FoodDB!$C$1</f>
        <v>Fat
(g)</v>
      </c>
      <c r="E1099" s="92" t="str">
        <f>FoodDB!$D$1</f>
        <v xml:space="preserve"> Carbs
(g)</v>
      </c>
      <c r="F1099" s="92" t="str">
        <f>FoodDB!$E$1</f>
        <v>Protein
(g)</v>
      </c>
      <c r="G1099" s="92" t="str">
        <f>FoodDB!$F$1</f>
        <v>Fat
(Cal)</v>
      </c>
      <c r="H1099" s="92" t="str">
        <f>FoodDB!$G$1</f>
        <v>Carb
(Cal)</v>
      </c>
      <c r="I1099" s="92" t="str">
        <f>FoodDB!$H$1</f>
        <v>Protein
(Cal)</v>
      </c>
      <c r="J1099" s="92" t="str">
        <f>FoodDB!$I$1</f>
        <v>Total
Calories</v>
      </c>
      <c r="K1099" s="92"/>
      <c r="L1099" s="92" t="s">
        <v>110</v>
      </c>
      <c r="M1099" s="92" t="s">
        <v>111</v>
      </c>
      <c r="N1099" s="92" t="s">
        <v>112</v>
      </c>
      <c r="O1099" s="92" t="s">
        <v>113</v>
      </c>
      <c r="P1099" s="92" t="s">
        <v>118</v>
      </c>
      <c r="Q1099" s="92" t="s">
        <v>119</v>
      </c>
      <c r="R1099" s="92" t="s">
        <v>120</v>
      </c>
      <c r="S1099" s="92" t="s">
        <v>121</v>
      </c>
    </row>
    <row r="1100" spans="1:19" x14ac:dyDescent="0.25">
      <c r="A1100" s="93">
        <f>A1088+1</f>
        <v>43085</v>
      </c>
      <c r="B1100" s="94" t="s">
        <v>108</v>
      </c>
      <c r="C1100" s="95">
        <v>1</v>
      </c>
      <c r="D1100" s="98">
        <f>$C1100*VLOOKUP($B1100,FoodDB!$A$2:$I$1016,3,0)</f>
        <v>0</v>
      </c>
      <c r="E1100" s="98">
        <f>$C1100*VLOOKUP($B1100,FoodDB!$A$2:$I$1016,4,0)</f>
        <v>0</v>
      </c>
      <c r="F1100" s="98">
        <f>$C1100*VLOOKUP($B1100,FoodDB!$A$2:$I$1016,5,0)</f>
        <v>0</v>
      </c>
      <c r="G1100" s="98">
        <f>$C1100*VLOOKUP($B1100,FoodDB!$A$2:$I$1016,6,0)</f>
        <v>0</v>
      </c>
      <c r="H1100" s="98">
        <f>$C1100*VLOOKUP($B1100,FoodDB!$A$2:$I$1016,7,0)</f>
        <v>0</v>
      </c>
      <c r="I1100" s="98">
        <f>$C1100*VLOOKUP($B1100,FoodDB!$A$2:$I$1016,8,0)</f>
        <v>0</v>
      </c>
      <c r="J1100" s="98">
        <f>$C1100*VLOOKUP($B1100,FoodDB!$A$2:$I$1016,9,0)</f>
        <v>0</v>
      </c>
      <c r="K1100" s="98"/>
      <c r="L1100" s="98">
        <f>SUM(G1100:G1106)</f>
        <v>0</v>
      </c>
      <c r="M1100" s="98">
        <f>SUM(H1100:H1106)</f>
        <v>0</v>
      </c>
      <c r="N1100" s="98">
        <f>SUM(I1100:I1106)</f>
        <v>0</v>
      </c>
      <c r="O1100" s="98">
        <f>SUM(L1100:N1100)</f>
        <v>0</v>
      </c>
      <c r="P1100" s="98">
        <f>VLOOKUP($A1100,LossChart!$A$3:$AB$105,14,0)-L1100</f>
        <v>810.10474153034784</v>
      </c>
      <c r="Q1100" s="98">
        <f>VLOOKUP($A1100,LossChart!$A$3:$AB$105,15,0)-M1100</f>
        <v>116</v>
      </c>
      <c r="R1100" s="98">
        <f>VLOOKUP($A1100,LossChart!$A$3:$AB$105,16,0)-N1100</f>
        <v>477.30407413615825</v>
      </c>
      <c r="S1100" s="98">
        <f>VLOOKUP($A1100,LossChart!$A$3:$AB$105,17,0)-O1100</f>
        <v>1403.4088156665061</v>
      </c>
    </row>
    <row r="1101" spans="1:19" x14ac:dyDescent="0.25">
      <c r="B1101" s="94" t="s">
        <v>108</v>
      </c>
      <c r="C1101" s="95">
        <v>1</v>
      </c>
      <c r="D1101" s="98">
        <f>$C1101*VLOOKUP($B1101,FoodDB!$A$2:$I$1016,3,0)</f>
        <v>0</v>
      </c>
      <c r="E1101" s="98">
        <f>$C1101*VLOOKUP($B1101,FoodDB!$A$2:$I$1016,4,0)</f>
        <v>0</v>
      </c>
      <c r="F1101" s="98">
        <f>$C1101*VLOOKUP($B1101,FoodDB!$A$2:$I$1016,5,0)</f>
        <v>0</v>
      </c>
      <c r="G1101" s="98">
        <f>$C1101*VLOOKUP($B1101,FoodDB!$A$2:$I$1016,6,0)</f>
        <v>0</v>
      </c>
      <c r="H1101" s="98">
        <f>$C1101*VLOOKUP($B1101,FoodDB!$A$2:$I$1016,7,0)</f>
        <v>0</v>
      </c>
      <c r="I1101" s="98">
        <f>$C1101*VLOOKUP($B1101,FoodDB!$A$2:$I$1016,8,0)</f>
        <v>0</v>
      </c>
      <c r="J1101" s="98">
        <f>$C1101*VLOOKUP($B1101,FoodDB!$A$2:$I$1016,9,0)</f>
        <v>0</v>
      </c>
      <c r="K1101" s="98"/>
      <c r="L1101" s="98"/>
      <c r="M1101" s="98"/>
      <c r="N1101" s="98"/>
      <c r="O1101" s="98"/>
      <c r="P1101" s="98"/>
      <c r="Q1101" s="98"/>
      <c r="R1101" s="98"/>
      <c r="S1101" s="98"/>
    </row>
    <row r="1102" spans="1:19" x14ac:dyDescent="0.25">
      <c r="B1102" s="94" t="s">
        <v>108</v>
      </c>
      <c r="C1102" s="95">
        <v>1</v>
      </c>
      <c r="D1102" s="98">
        <f>$C1102*VLOOKUP($B1102,FoodDB!$A$2:$I$1016,3,0)</f>
        <v>0</v>
      </c>
      <c r="E1102" s="98">
        <f>$C1102*VLOOKUP($B1102,FoodDB!$A$2:$I$1016,4,0)</f>
        <v>0</v>
      </c>
      <c r="F1102" s="98">
        <f>$C1102*VLOOKUP($B1102,FoodDB!$A$2:$I$1016,5,0)</f>
        <v>0</v>
      </c>
      <c r="G1102" s="98">
        <f>$C1102*VLOOKUP($B1102,FoodDB!$A$2:$I$1016,6,0)</f>
        <v>0</v>
      </c>
      <c r="H1102" s="98">
        <f>$C1102*VLOOKUP($B1102,FoodDB!$A$2:$I$1016,7,0)</f>
        <v>0</v>
      </c>
      <c r="I1102" s="98">
        <f>$C1102*VLOOKUP($B1102,FoodDB!$A$2:$I$1016,8,0)</f>
        <v>0</v>
      </c>
      <c r="J1102" s="98">
        <f>$C1102*VLOOKUP($B1102,FoodDB!$A$2:$I$1016,9,0)</f>
        <v>0</v>
      </c>
      <c r="K1102" s="98"/>
      <c r="L1102" s="98"/>
      <c r="M1102" s="98"/>
      <c r="N1102" s="98"/>
      <c r="O1102" s="98"/>
      <c r="P1102" s="98"/>
      <c r="Q1102" s="98"/>
      <c r="R1102" s="98"/>
      <c r="S1102" s="98"/>
    </row>
    <row r="1103" spans="1:19" x14ac:dyDescent="0.25">
      <c r="B1103" s="94" t="s">
        <v>108</v>
      </c>
      <c r="C1103" s="95">
        <v>1</v>
      </c>
      <c r="D1103" s="98">
        <f>$C1103*VLOOKUP($B1103,FoodDB!$A$2:$I$1016,3,0)</f>
        <v>0</v>
      </c>
      <c r="E1103" s="98">
        <f>$C1103*VLOOKUP($B1103,FoodDB!$A$2:$I$1016,4,0)</f>
        <v>0</v>
      </c>
      <c r="F1103" s="98">
        <f>$C1103*VLOOKUP($B1103,FoodDB!$A$2:$I$1016,5,0)</f>
        <v>0</v>
      </c>
      <c r="G1103" s="98">
        <f>$C1103*VLOOKUP($B1103,FoodDB!$A$2:$I$1016,6,0)</f>
        <v>0</v>
      </c>
      <c r="H1103" s="98">
        <f>$C1103*VLOOKUP($B1103,FoodDB!$A$2:$I$1016,7,0)</f>
        <v>0</v>
      </c>
      <c r="I1103" s="98">
        <f>$C1103*VLOOKUP($B1103,FoodDB!$A$2:$I$1016,8,0)</f>
        <v>0</v>
      </c>
      <c r="J1103" s="98">
        <f>$C1103*VLOOKUP($B1103,FoodDB!$A$2:$I$1016,9,0)</f>
        <v>0</v>
      </c>
      <c r="K1103" s="98"/>
      <c r="L1103" s="98"/>
      <c r="M1103" s="98"/>
      <c r="N1103" s="98"/>
      <c r="O1103" s="98"/>
      <c r="P1103" s="98"/>
      <c r="Q1103" s="98"/>
      <c r="R1103" s="98"/>
      <c r="S1103" s="98"/>
    </row>
    <row r="1104" spans="1:19" x14ac:dyDescent="0.25">
      <c r="B1104" s="94" t="s">
        <v>108</v>
      </c>
      <c r="C1104" s="95">
        <v>1</v>
      </c>
      <c r="D1104" s="98">
        <f>$C1104*VLOOKUP($B1104,FoodDB!$A$2:$I$1016,3,0)</f>
        <v>0</v>
      </c>
      <c r="E1104" s="98">
        <f>$C1104*VLOOKUP($B1104,FoodDB!$A$2:$I$1016,4,0)</f>
        <v>0</v>
      </c>
      <c r="F1104" s="98">
        <f>$C1104*VLOOKUP($B1104,FoodDB!$A$2:$I$1016,5,0)</f>
        <v>0</v>
      </c>
      <c r="G1104" s="98">
        <f>$C1104*VLOOKUP($B1104,FoodDB!$A$2:$I$1016,6,0)</f>
        <v>0</v>
      </c>
      <c r="H1104" s="98">
        <f>$C1104*VLOOKUP($B1104,FoodDB!$A$2:$I$1016,7,0)</f>
        <v>0</v>
      </c>
      <c r="I1104" s="98">
        <f>$C1104*VLOOKUP($B1104,FoodDB!$A$2:$I$1016,8,0)</f>
        <v>0</v>
      </c>
      <c r="J1104" s="98">
        <f>$C1104*VLOOKUP($B1104,FoodDB!$A$2:$I$1016,9,0)</f>
        <v>0</v>
      </c>
      <c r="K1104" s="98"/>
      <c r="L1104" s="98"/>
      <c r="M1104" s="98"/>
      <c r="N1104" s="98"/>
      <c r="O1104" s="98"/>
      <c r="P1104" s="98"/>
      <c r="Q1104" s="98"/>
      <c r="R1104" s="98"/>
      <c r="S1104" s="98"/>
    </row>
    <row r="1105" spans="1:19" x14ac:dyDescent="0.25">
      <c r="B1105" s="94" t="s">
        <v>108</v>
      </c>
      <c r="C1105" s="95">
        <v>1</v>
      </c>
      <c r="D1105" s="98">
        <f>$C1105*VLOOKUP($B1105,FoodDB!$A$2:$I$1016,3,0)</f>
        <v>0</v>
      </c>
      <c r="E1105" s="98">
        <f>$C1105*VLOOKUP($B1105,FoodDB!$A$2:$I$1016,4,0)</f>
        <v>0</v>
      </c>
      <c r="F1105" s="98">
        <f>$C1105*VLOOKUP($B1105,FoodDB!$A$2:$I$1016,5,0)</f>
        <v>0</v>
      </c>
      <c r="G1105" s="98">
        <f>$C1105*VLOOKUP($B1105,FoodDB!$A$2:$I$1016,6,0)</f>
        <v>0</v>
      </c>
      <c r="H1105" s="98">
        <f>$C1105*VLOOKUP($B1105,FoodDB!$A$2:$I$1016,7,0)</f>
        <v>0</v>
      </c>
      <c r="I1105" s="98">
        <f>$C1105*VLOOKUP($B1105,FoodDB!$A$2:$I$1016,8,0)</f>
        <v>0</v>
      </c>
      <c r="J1105" s="98">
        <f>$C1105*VLOOKUP($B1105,FoodDB!$A$2:$I$1016,9,0)</f>
        <v>0</v>
      </c>
      <c r="K1105" s="98"/>
      <c r="L1105" s="98"/>
      <c r="M1105" s="98"/>
      <c r="N1105" s="98"/>
      <c r="O1105" s="98"/>
      <c r="P1105" s="98"/>
      <c r="Q1105" s="98"/>
      <c r="R1105" s="98"/>
      <c r="S1105" s="98"/>
    </row>
    <row r="1106" spans="1:19" x14ac:dyDescent="0.25">
      <c r="B1106" s="94" t="s">
        <v>108</v>
      </c>
      <c r="C1106" s="95">
        <v>1</v>
      </c>
      <c r="D1106" s="98">
        <f>$C1106*VLOOKUP($B1106,FoodDB!$A$2:$I$1016,3,0)</f>
        <v>0</v>
      </c>
      <c r="E1106" s="98">
        <f>$C1106*VLOOKUP($B1106,FoodDB!$A$2:$I$1016,4,0)</f>
        <v>0</v>
      </c>
      <c r="F1106" s="98">
        <f>$C1106*VLOOKUP($B1106,FoodDB!$A$2:$I$1016,5,0)</f>
        <v>0</v>
      </c>
      <c r="G1106" s="98">
        <f>$C1106*VLOOKUP($B1106,FoodDB!$A$2:$I$1016,6,0)</f>
        <v>0</v>
      </c>
      <c r="H1106" s="98">
        <f>$C1106*VLOOKUP($B1106,FoodDB!$A$2:$I$1016,7,0)</f>
        <v>0</v>
      </c>
      <c r="I1106" s="98">
        <f>$C1106*VLOOKUP($B1106,FoodDB!$A$2:$I$1016,8,0)</f>
        <v>0</v>
      </c>
      <c r="J1106" s="98">
        <f>$C1106*VLOOKUP($B1106,FoodDB!$A$2:$I$1016,9,0)</f>
        <v>0</v>
      </c>
      <c r="K1106" s="98"/>
      <c r="L1106" s="98"/>
      <c r="M1106" s="98"/>
      <c r="N1106" s="98"/>
      <c r="O1106" s="98"/>
      <c r="P1106" s="98"/>
      <c r="Q1106" s="98"/>
      <c r="R1106" s="98"/>
      <c r="S1106" s="98"/>
    </row>
    <row r="1107" spans="1:19" x14ac:dyDescent="0.25">
      <c r="A1107" t="s">
        <v>98</v>
      </c>
      <c r="D1107" s="98"/>
      <c r="E1107" s="98"/>
      <c r="F1107" s="98"/>
      <c r="G1107" s="98">
        <f>SUM(G1100:G1106)</f>
        <v>0</v>
      </c>
      <c r="H1107" s="98">
        <f>SUM(H1100:H1106)</f>
        <v>0</v>
      </c>
      <c r="I1107" s="98">
        <f>SUM(I1100:I1106)</f>
        <v>0</v>
      </c>
      <c r="J1107" s="98">
        <f>SUM(G1107:I1107)</f>
        <v>0</v>
      </c>
      <c r="K1107" s="98"/>
      <c r="L1107" s="98"/>
      <c r="M1107" s="98"/>
      <c r="N1107" s="98"/>
      <c r="O1107" s="98"/>
      <c r="P1107" s="98"/>
      <c r="Q1107" s="98"/>
      <c r="R1107" s="98"/>
      <c r="S1107" s="98"/>
    </row>
    <row r="1108" spans="1:19" x14ac:dyDescent="0.25">
      <c r="A1108" t="s">
        <v>102</v>
      </c>
      <c r="B1108" t="s">
        <v>103</v>
      </c>
      <c r="D1108" s="98"/>
      <c r="E1108" s="98"/>
      <c r="F1108" s="98"/>
      <c r="G1108" s="98">
        <f>VLOOKUP($A1100,LossChart!$A$3:$AB$105,14,0)</f>
        <v>810.10474153034784</v>
      </c>
      <c r="H1108" s="98">
        <f>VLOOKUP($A1100,LossChart!$A$3:$AB$105,15,0)</f>
        <v>116</v>
      </c>
      <c r="I1108" s="98">
        <f>VLOOKUP($A1100,LossChart!$A$3:$AB$105,16,0)</f>
        <v>477.30407413615825</v>
      </c>
      <c r="J1108" s="98">
        <f>VLOOKUP($A1100,LossChart!$A$3:$AB$105,17,0)</f>
        <v>1403.4088156665061</v>
      </c>
      <c r="K1108" s="98"/>
      <c r="L1108" s="98"/>
      <c r="M1108" s="98"/>
      <c r="N1108" s="98"/>
      <c r="O1108" s="98"/>
      <c r="P1108" s="98"/>
      <c r="Q1108" s="98"/>
      <c r="R1108" s="98"/>
      <c r="S1108" s="98"/>
    </row>
    <row r="1109" spans="1:19" x14ac:dyDescent="0.25">
      <c r="A1109" t="s">
        <v>104</v>
      </c>
      <c r="D1109" s="98"/>
      <c r="E1109" s="98"/>
      <c r="F1109" s="98"/>
      <c r="G1109" s="98">
        <f>G1108-G1107</f>
        <v>810.10474153034784</v>
      </c>
      <c r="H1109" s="98">
        <f>H1108-H1107</f>
        <v>116</v>
      </c>
      <c r="I1109" s="98">
        <f>I1108-I1107</f>
        <v>477.30407413615825</v>
      </c>
      <c r="J1109" s="98">
        <f>J1108-J1107</f>
        <v>1403.4088156665061</v>
      </c>
      <c r="K1109" s="98"/>
      <c r="L1109" s="98"/>
      <c r="M1109" s="98"/>
      <c r="N1109" s="98"/>
      <c r="O1109" s="98"/>
      <c r="P1109" s="98"/>
      <c r="Q1109" s="98"/>
      <c r="R1109" s="98"/>
      <c r="S1109" s="98"/>
    </row>
    <row r="1111" spans="1:19" ht="60" x14ac:dyDescent="0.25">
      <c r="A1111" s="21" t="s">
        <v>63</v>
      </c>
      <c r="B1111" s="21" t="s">
        <v>93</v>
      </c>
      <c r="C1111" s="21" t="s">
        <v>94</v>
      </c>
      <c r="D1111" s="92" t="str">
        <f>FoodDB!$C$1</f>
        <v>Fat
(g)</v>
      </c>
      <c r="E1111" s="92" t="str">
        <f>FoodDB!$D$1</f>
        <v xml:space="preserve"> Carbs
(g)</v>
      </c>
      <c r="F1111" s="92" t="str">
        <f>FoodDB!$E$1</f>
        <v>Protein
(g)</v>
      </c>
      <c r="G1111" s="92" t="str">
        <f>FoodDB!$F$1</f>
        <v>Fat
(Cal)</v>
      </c>
      <c r="H1111" s="92" t="str">
        <f>FoodDB!$G$1</f>
        <v>Carb
(Cal)</v>
      </c>
      <c r="I1111" s="92" t="str">
        <f>FoodDB!$H$1</f>
        <v>Protein
(Cal)</v>
      </c>
      <c r="J1111" s="92" t="str">
        <f>FoodDB!$I$1</f>
        <v>Total
Calories</v>
      </c>
      <c r="K1111" s="92"/>
      <c r="L1111" s="92" t="s">
        <v>110</v>
      </c>
      <c r="M1111" s="92" t="s">
        <v>111</v>
      </c>
      <c r="N1111" s="92" t="s">
        <v>112</v>
      </c>
      <c r="O1111" s="92" t="s">
        <v>113</v>
      </c>
      <c r="P1111" s="92" t="s">
        <v>118</v>
      </c>
      <c r="Q1111" s="92" t="s">
        <v>119</v>
      </c>
      <c r="R1111" s="92" t="s">
        <v>120</v>
      </c>
      <c r="S1111" s="92" t="s">
        <v>121</v>
      </c>
    </row>
    <row r="1112" spans="1:19" x14ac:dyDescent="0.25">
      <c r="A1112" s="93">
        <f>A1100+1</f>
        <v>43086</v>
      </c>
      <c r="B1112" s="94" t="s">
        <v>108</v>
      </c>
      <c r="C1112" s="95">
        <v>1</v>
      </c>
      <c r="D1112" s="98">
        <f>$C1112*VLOOKUP($B1112,FoodDB!$A$2:$I$1016,3,0)</f>
        <v>0</v>
      </c>
      <c r="E1112" s="98">
        <f>$C1112*VLOOKUP($B1112,FoodDB!$A$2:$I$1016,4,0)</f>
        <v>0</v>
      </c>
      <c r="F1112" s="98">
        <f>$C1112*VLOOKUP($B1112,FoodDB!$A$2:$I$1016,5,0)</f>
        <v>0</v>
      </c>
      <c r="G1112" s="98">
        <f>$C1112*VLOOKUP($B1112,FoodDB!$A$2:$I$1016,6,0)</f>
        <v>0</v>
      </c>
      <c r="H1112" s="98">
        <f>$C1112*VLOOKUP($B1112,FoodDB!$A$2:$I$1016,7,0)</f>
        <v>0</v>
      </c>
      <c r="I1112" s="98">
        <f>$C1112*VLOOKUP($B1112,FoodDB!$A$2:$I$1016,8,0)</f>
        <v>0</v>
      </c>
      <c r="J1112" s="98">
        <f>$C1112*VLOOKUP($B1112,FoodDB!$A$2:$I$1016,9,0)</f>
        <v>0</v>
      </c>
      <c r="K1112" s="98"/>
      <c r="L1112" s="98">
        <f>SUM(G1112:G1118)</f>
        <v>0</v>
      </c>
      <c r="M1112" s="98">
        <f>SUM(H1112:H1118)</f>
        <v>0</v>
      </c>
      <c r="N1112" s="98">
        <f>SUM(I1112:I1118)</f>
        <v>0</v>
      </c>
      <c r="O1112" s="98">
        <f>SUM(L1112:N1112)</f>
        <v>0</v>
      </c>
      <c r="P1112" s="98">
        <f>VLOOKUP($A1112,LossChart!$A$3:$AB$105,14,0)-L1112</f>
        <v>814.11311845743649</v>
      </c>
      <c r="Q1112" s="98">
        <f>VLOOKUP($A1112,LossChart!$A$3:$AB$105,15,0)-M1112</f>
        <v>116</v>
      </c>
      <c r="R1112" s="98">
        <f>VLOOKUP($A1112,LossChart!$A$3:$AB$105,16,0)-N1112</f>
        <v>477.30407413615825</v>
      </c>
      <c r="S1112" s="98">
        <f>VLOOKUP($A1112,LossChart!$A$3:$AB$105,17,0)-O1112</f>
        <v>1407.4171925935948</v>
      </c>
    </row>
    <row r="1113" spans="1:19" x14ac:dyDescent="0.25">
      <c r="B1113" s="94" t="s">
        <v>108</v>
      </c>
      <c r="C1113" s="95">
        <v>1</v>
      </c>
      <c r="D1113" s="98">
        <f>$C1113*VLOOKUP($B1113,FoodDB!$A$2:$I$1016,3,0)</f>
        <v>0</v>
      </c>
      <c r="E1113" s="98">
        <f>$C1113*VLOOKUP($B1113,FoodDB!$A$2:$I$1016,4,0)</f>
        <v>0</v>
      </c>
      <c r="F1113" s="98">
        <f>$C1113*VLOOKUP($B1113,FoodDB!$A$2:$I$1016,5,0)</f>
        <v>0</v>
      </c>
      <c r="G1113" s="98">
        <f>$C1113*VLOOKUP($B1113,FoodDB!$A$2:$I$1016,6,0)</f>
        <v>0</v>
      </c>
      <c r="H1113" s="98">
        <f>$C1113*VLOOKUP($B1113,FoodDB!$A$2:$I$1016,7,0)</f>
        <v>0</v>
      </c>
      <c r="I1113" s="98">
        <f>$C1113*VLOOKUP($B1113,FoodDB!$A$2:$I$1016,8,0)</f>
        <v>0</v>
      </c>
      <c r="J1113" s="98">
        <f>$C1113*VLOOKUP($B1113,FoodDB!$A$2:$I$1016,9,0)</f>
        <v>0</v>
      </c>
      <c r="K1113" s="98"/>
      <c r="L1113" s="98"/>
      <c r="M1113" s="98"/>
      <c r="N1113" s="98"/>
      <c r="O1113" s="98"/>
      <c r="P1113" s="98"/>
      <c r="Q1113" s="98"/>
      <c r="R1113" s="98"/>
      <c r="S1113" s="98"/>
    </row>
    <row r="1114" spans="1:19" x14ac:dyDescent="0.25">
      <c r="B1114" s="94" t="s">
        <v>108</v>
      </c>
      <c r="C1114" s="95">
        <v>1</v>
      </c>
      <c r="D1114" s="98">
        <f>$C1114*VLOOKUP($B1114,FoodDB!$A$2:$I$1016,3,0)</f>
        <v>0</v>
      </c>
      <c r="E1114" s="98">
        <f>$C1114*VLOOKUP($B1114,FoodDB!$A$2:$I$1016,4,0)</f>
        <v>0</v>
      </c>
      <c r="F1114" s="98">
        <f>$C1114*VLOOKUP($B1114,FoodDB!$A$2:$I$1016,5,0)</f>
        <v>0</v>
      </c>
      <c r="G1114" s="98">
        <f>$C1114*VLOOKUP($B1114,FoodDB!$A$2:$I$1016,6,0)</f>
        <v>0</v>
      </c>
      <c r="H1114" s="98">
        <f>$C1114*VLOOKUP($B1114,FoodDB!$A$2:$I$1016,7,0)</f>
        <v>0</v>
      </c>
      <c r="I1114" s="98">
        <f>$C1114*VLOOKUP($B1114,FoodDB!$A$2:$I$1016,8,0)</f>
        <v>0</v>
      </c>
      <c r="J1114" s="98">
        <f>$C1114*VLOOKUP($B1114,FoodDB!$A$2:$I$1016,9,0)</f>
        <v>0</v>
      </c>
      <c r="K1114" s="98"/>
      <c r="L1114" s="98"/>
      <c r="M1114" s="98"/>
      <c r="N1114" s="98"/>
      <c r="O1114" s="98"/>
      <c r="P1114" s="98"/>
      <c r="Q1114" s="98"/>
      <c r="R1114" s="98"/>
      <c r="S1114" s="98"/>
    </row>
    <row r="1115" spans="1:19" x14ac:dyDescent="0.25">
      <c r="B1115" s="94" t="s">
        <v>108</v>
      </c>
      <c r="C1115" s="95">
        <v>1</v>
      </c>
      <c r="D1115" s="98">
        <f>$C1115*VLOOKUP($B1115,FoodDB!$A$2:$I$1016,3,0)</f>
        <v>0</v>
      </c>
      <c r="E1115" s="98">
        <f>$C1115*VLOOKUP($B1115,FoodDB!$A$2:$I$1016,4,0)</f>
        <v>0</v>
      </c>
      <c r="F1115" s="98">
        <f>$C1115*VLOOKUP($B1115,FoodDB!$A$2:$I$1016,5,0)</f>
        <v>0</v>
      </c>
      <c r="G1115" s="98">
        <f>$C1115*VLOOKUP($B1115,FoodDB!$A$2:$I$1016,6,0)</f>
        <v>0</v>
      </c>
      <c r="H1115" s="98">
        <f>$C1115*VLOOKUP($B1115,FoodDB!$A$2:$I$1016,7,0)</f>
        <v>0</v>
      </c>
      <c r="I1115" s="98">
        <f>$C1115*VLOOKUP($B1115,FoodDB!$A$2:$I$1016,8,0)</f>
        <v>0</v>
      </c>
      <c r="J1115" s="98">
        <f>$C1115*VLOOKUP($B1115,FoodDB!$A$2:$I$1016,9,0)</f>
        <v>0</v>
      </c>
      <c r="K1115" s="98"/>
      <c r="L1115" s="98"/>
      <c r="M1115" s="98"/>
      <c r="N1115" s="98"/>
      <c r="O1115" s="98"/>
      <c r="P1115" s="98"/>
      <c r="Q1115" s="98"/>
      <c r="R1115" s="98"/>
      <c r="S1115" s="98"/>
    </row>
    <row r="1116" spans="1:19" x14ac:dyDescent="0.25">
      <c r="B1116" s="94" t="s">
        <v>108</v>
      </c>
      <c r="C1116" s="95">
        <v>1</v>
      </c>
      <c r="D1116" s="98">
        <f>$C1116*VLOOKUP($B1116,FoodDB!$A$2:$I$1016,3,0)</f>
        <v>0</v>
      </c>
      <c r="E1116" s="98">
        <f>$C1116*VLOOKUP($B1116,FoodDB!$A$2:$I$1016,4,0)</f>
        <v>0</v>
      </c>
      <c r="F1116" s="98">
        <f>$C1116*VLOOKUP($B1116,FoodDB!$A$2:$I$1016,5,0)</f>
        <v>0</v>
      </c>
      <c r="G1116" s="98">
        <f>$C1116*VLOOKUP($B1116,FoodDB!$A$2:$I$1016,6,0)</f>
        <v>0</v>
      </c>
      <c r="H1116" s="98">
        <f>$C1116*VLOOKUP($B1116,FoodDB!$A$2:$I$1016,7,0)</f>
        <v>0</v>
      </c>
      <c r="I1116" s="98">
        <f>$C1116*VLOOKUP($B1116,FoodDB!$A$2:$I$1016,8,0)</f>
        <v>0</v>
      </c>
      <c r="J1116" s="98">
        <f>$C1116*VLOOKUP($B1116,FoodDB!$A$2:$I$1016,9,0)</f>
        <v>0</v>
      </c>
      <c r="K1116" s="98"/>
      <c r="L1116" s="98"/>
      <c r="M1116" s="98"/>
      <c r="N1116" s="98"/>
      <c r="O1116" s="98"/>
      <c r="P1116" s="98"/>
      <c r="Q1116" s="98"/>
      <c r="R1116" s="98"/>
      <c r="S1116" s="98"/>
    </row>
    <row r="1117" spans="1:19" x14ac:dyDescent="0.25">
      <c r="B1117" s="94" t="s">
        <v>108</v>
      </c>
      <c r="C1117" s="95">
        <v>1</v>
      </c>
      <c r="D1117" s="98">
        <f>$C1117*VLOOKUP($B1117,FoodDB!$A$2:$I$1016,3,0)</f>
        <v>0</v>
      </c>
      <c r="E1117" s="98">
        <f>$C1117*VLOOKUP($B1117,FoodDB!$A$2:$I$1016,4,0)</f>
        <v>0</v>
      </c>
      <c r="F1117" s="98">
        <f>$C1117*VLOOKUP($B1117,FoodDB!$A$2:$I$1016,5,0)</f>
        <v>0</v>
      </c>
      <c r="G1117" s="98">
        <f>$C1117*VLOOKUP($B1117,FoodDB!$A$2:$I$1016,6,0)</f>
        <v>0</v>
      </c>
      <c r="H1117" s="98">
        <f>$C1117*VLOOKUP($B1117,FoodDB!$A$2:$I$1016,7,0)</f>
        <v>0</v>
      </c>
      <c r="I1117" s="98">
        <f>$C1117*VLOOKUP($B1117,FoodDB!$A$2:$I$1016,8,0)</f>
        <v>0</v>
      </c>
      <c r="J1117" s="98">
        <f>$C1117*VLOOKUP($B1117,FoodDB!$A$2:$I$1016,9,0)</f>
        <v>0</v>
      </c>
      <c r="K1117" s="98"/>
      <c r="L1117" s="98"/>
      <c r="M1117" s="98"/>
      <c r="N1117" s="98"/>
      <c r="O1117" s="98"/>
      <c r="P1117" s="98"/>
      <c r="Q1117" s="98"/>
      <c r="R1117" s="98"/>
      <c r="S1117" s="98"/>
    </row>
    <row r="1118" spans="1:19" x14ac:dyDescent="0.25">
      <c r="B1118" s="94" t="s">
        <v>108</v>
      </c>
      <c r="C1118" s="95">
        <v>1</v>
      </c>
      <c r="D1118" s="98">
        <f>$C1118*VLOOKUP($B1118,FoodDB!$A$2:$I$1016,3,0)</f>
        <v>0</v>
      </c>
      <c r="E1118" s="98">
        <f>$C1118*VLOOKUP($B1118,FoodDB!$A$2:$I$1016,4,0)</f>
        <v>0</v>
      </c>
      <c r="F1118" s="98">
        <f>$C1118*VLOOKUP($B1118,FoodDB!$A$2:$I$1016,5,0)</f>
        <v>0</v>
      </c>
      <c r="G1118" s="98">
        <f>$C1118*VLOOKUP($B1118,FoodDB!$A$2:$I$1016,6,0)</f>
        <v>0</v>
      </c>
      <c r="H1118" s="98">
        <f>$C1118*VLOOKUP($B1118,FoodDB!$A$2:$I$1016,7,0)</f>
        <v>0</v>
      </c>
      <c r="I1118" s="98">
        <f>$C1118*VLOOKUP($B1118,FoodDB!$A$2:$I$1016,8,0)</f>
        <v>0</v>
      </c>
      <c r="J1118" s="98">
        <f>$C1118*VLOOKUP($B1118,FoodDB!$A$2:$I$1016,9,0)</f>
        <v>0</v>
      </c>
      <c r="K1118" s="98"/>
      <c r="L1118" s="98"/>
      <c r="M1118" s="98"/>
      <c r="N1118" s="98"/>
      <c r="O1118" s="98"/>
      <c r="P1118" s="98"/>
      <c r="Q1118" s="98"/>
      <c r="R1118" s="98"/>
      <c r="S1118" s="98"/>
    </row>
    <row r="1119" spans="1:19" x14ac:dyDescent="0.25">
      <c r="A1119" t="s">
        <v>98</v>
      </c>
      <c r="D1119" s="98"/>
      <c r="E1119" s="98"/>
      <c r="F1119" s="98"/>
      <c r="G1119" s="98">
        <f>SUM(G1112:G1118)</f>
        <v>0</v>
      </c>
      <c r="H1119" s="98">
        <f>SUM(H1112:H1118)</f>
        <v>0</v>
      </c>
      <c r="I1119" s="98">
        <f>SUM(I1112:I1118)</f>
        <v>0</v>
      </c>
      <c r="J1119" s="98">
        <f>SUM(G1119:I1119)</f>
        <v>0</v>
      </c>
      <c r="K1119" s="98"/>
      <c r="L1119" s="98"/>
      <c r="M1119" s="98"/>
      <c r="N1119" s="98"/>
      <c r="O1119" s="98"/>
      <c r="P1119" s="98"/>
      <c r="Q1119" s="98"/>
      <c r="R1119" s="98"/>
      <c r="S1119" s="98"/>
    </row>
    <row r="1120" spans="1:19" x14ac:dyDescent="0.25">
      <c r="A1120" t="s">
        <v>102</v>
      </c>
      <c r="B1120" t="s">
        <v>103</v>
      </c>
      <c r="D1120" s="98"/>
      <c r="E1120" s="98"/>
      <c r="F1120" s="98"/>
      <c r="G1120" s="98">
        <f>VLOOKUP($A1112,LossChart!$A$3:$AB$105,14,0)</f>
        <v>814.11311845743649</v>
      </c>
      <c r="H1120" s="98">
        <f>VLOOKUP($A1112,LossChart!$A$3:$AB$105,15,0)</f>
        <v>116</v>
      </c>
      <c r="I1120" s="98">
        <f>VLOOKUP($A1112,LossChart!$A$3:$AB$105,16,0)</f>
        <v>477.30407413615825</v>
      </c>
      <c r="J1120" s="98">
        <f>VLOOKUP($A1112,LossChart!$A$3:$AB$105,17,0)</f>
        <v>1407.4171925935948</v>
      </c>
      <c r="K1120" s="98"/>
      <c r="L1120" s="98"/>
      <c r="M1120" s="98"/>
      <c r="N1120" s="98"/>
      <c r="O1120" s="98"/>
      <c r="P1120" s="98"/>
      <c r="Q1120" s="98"/>
      <c r="R1120" s="98"/>
      <c r="S1120" s="98"/>
    </row>
    <row r="1121" spans="1:19" x14ac:dyDescent="0.25">
      <c r="A1121" t="s">
        <v>104</v>
      </c>
      <c r="D1121" s="98"/>
      <c r="E1121" s="98"/>
      <c r="F1121" s="98"/>
      <c r="G1121" s="98">
        <f>G1120-G1119</f>
        <v>814.11311845743649</v>
      </c>
      <c r="H1121" s="98">
        <f>H1120-H1119</f>
        <v>116</v>
      </c>
      <c r="I1121" s="98">
        <f>I1120-I1119</f>
        <v>477.30407413615825</v>
      </c>
      <c r="J1121" s="98">
        <f>J1120-J1119</f>
        <v>1407.4171925935948</v>
      </c>
      <c r="K1121" s="98"/>
      <c r="L1121" s="98"/>
      <c r="M1121" s="98"/>
      <c r="N1121" s="98"/>
      <c r="O1121" s="98"/>
      <c r="P1121" s="98"/>
      <c r="Q1121" s="98"/>
      <c r="R1121" s="98"/>
      <c r="S1121" s="98"/>
    </row>
    <row r="1123" spans="1:19" ht="60" x14ac:dyDescent="0.25">
      <c r="A1123" s="21" t="s">
        <v>63</v>
      </c>
      <c r="B1123" s="21" t="s">
        <v>93</v>
      </c>
      <c r="C1123" s="21" t="s">
        <v>94</v>
      </c>
      <c r="D1123" s="92" t="str">
        <f>FoodDB!$C$1</f>
        <v>Fat
(g)</v>
      </c>
      <c r="E1123" s="92" t="str">
        <f>FoodDB!$D$1</f>
        <v xml:space="preserve"> Carbs
(g)</v>
      </c>
      <c r="F1123" s="92" t="str">
        <f>FoodDB!$E$1</f>
        <v>Protein
(g)</v>
      </c>
      <c r="G1123" s="92" t="str">
        <f>FoodDB!$F$1</f>
        <v>Fat
(Cal)</v>
      </c>
      <c r="H1123" s="92" t="str">
        <f>FoodDB!$G$1</f>
        <v>Carb
(Cal)</v>
      </c>
      <c r="I1123" s="92" t="str">
        <f>FoodDB!$H$1</f>
        <v>Protein
(Cal)</v>
      </c>
      <c r="J1123" s="92" t="str">
        <f>FoodDB!$I$1</f>
        <v>Total
Calories</v>
      </c>
      <c r="K1123" s="92"/>
      <c r="L1123" s="92" t="s">
        <v>110</v>
      </c>
      <c r="M1123" s="92" t="s">
        <v>111</v>
      </c>
      <c r="N1123" s="92" t="s">
        <v>112</v>
      </c>
      <c r="O1123" s="92" t="s">
        <v>113</v>
      </c>
      <c r="P1123" s="92" t="s">
        <v>118</v>
      </c>
      <c r="Q1123" s="92" t="s">
        <v>119</v>
      </c>
      <c r="R1123" s="92" t="s">
        <v>120</v>
      </c>
      <c r="S1123" s="92" t="s">
        <v>121</v>
      </c>
    </row>
    <row r="1124" spans="1:19" x14ac:dyDescent="0.25">
      <c r="A1124" s="93">
        <f>A1112+1</f>
        <v>43087</v>
      </c>
      <c r="B1124" s="94" t="s">
        <v>108</v>
      </c>
      <c r="C1124" s="95">
        <v>1</v>
      </c>
      <c r="D1124" s="98">
        <f>$C1124*VLOOKUP($B1124,FoodDB!$A$2:$I$1016,3,0)</f>
        <v>0</v>
      </c>
      <c r="E1124" s="98">
        <f>$C1124*VLOOKUP($B1124,FoodDB!$A$2:$I$1016,4,0)</f>
        <v>0</v>
      </c>
      <c r="F1124" s="98">
        <f>$C1124*VLOOKUP($B1124,FoodDB!$A$2:$I$1016,5,0)</f>
        <v>0</v>
      </c>
      <c r="G1124" s="98">
        <f>$C1124*VLOOKUP($B1124,FoodDB!$A$2:$I$1016,6,0)</f>
        <v>0</v>
      </c>
      <c r="H1124" s="98">
        <f>$C1124*VLOOKUP($B1124,FoodDB!$A$2:$I$1016,7,0)</f>
        <v>0</v>
      </c>
      <c r="I1124" s="98">
        <f>$C1124*VLOOKUP($B1124,FoodDB!$A$2:$I$1016,8,0)</f>
        <v>0</v>
      </c>
      <c r="J1124" s="98">
        <f>$C1124*VLOOKUP($B1124,FoodDB!$A$2:$I$1016,9,0)</f>
        <v>0</v>
      </c>
      <c r="K1124" s="98"/>
      <c r="L1124" s="98">
        <f>SUM(G1124:G1130)</f>
        <v>0</v>
      </c>
      <c r="M1124" s="98">
        <f>SUM(H1124:H1130)</f>
        <v>0</v>
      </c>
      <c r="N1124" s="98">
        <f>SUM(I1124:I1130)</f>
        <v>0</v>
      </c>
      <c r="O1124" s="98">
        <f>SUM(L1124:N1124)</f>
        <v>0</v>
      </c>
      <c r="P1124" s="98">
        <f>VLOOKUP($A1124,LossChart!$A$3:$AB$105,14,0)-L1124</f>
        <v>818.08599261745621</v>
      </c>
      <c r="Q1124" s="98">
        <f>VLOOKUP($A1124,LossChart!$A$3:$AB$105,15,0)-M1124</f>
        <v>116</v>
      </c>
      <c r="R1124" s="98">
        <f>VLOOKUP($A1124,LossChart!$A$3:$AB$105,16,0)-N1124</f>
        <v>477.30407413615825</v>
      </c>
      <c r="S1124" s="98">
        <f>VLOOKUP($A1124,LossChart!$A$3:$AB$105,17,0)-O1124</f>
        <v>1411.3900667536145</v>
      </c>
    </row>
    <row r="1125" spans="1:19" x14ac:dyDescent="0.25">
      <c r="B1125" s="94" t="s">
        <v>108</v>
      </c>
      <c r="C1125" s="95">
        <v>1</v>
      </c>
      <c r="D1125" s="98">
        <f>$C1125*VLOOKUP($B1125,FoodDB!$A$2:$I$1016,3,0)</f>
        <v>0</v>
      </c>
      <c r="E1125" s="98">
        <f>$C1125*VLOOKUP($B1125,FoodDB!$A$2:$I$1016,4,0)</f>
        <v>0</v>
      </c>
      <c r="F1125" s="98">
        <f>$C1125*VLOOKUP($B1125,FoodDB!$A$2:$I$1016,5,0)</f>
        <v>0</v>
      </c>
      <c r="G1125" s="98">
        <f>$C1125*VLOOKUP($B1125,FoodDB!$A$2:$I$1016,6,0)</f>
        <v>0</v>
      </c>
      <c r="H1125" s="98">
        <f>$C1125*VLOOKUP($B1125,FoodDB!$A$2:$I$1016,7,0)</f>
        <v>0</v>
      </c>
      <c r="I1125" s="98">
        <f>$C1125*VLOOKUP($B1125,FoodDB!$A$2:$I$1016,8,0)</f>
        <v>0</v>
      </c>
      <c r="J1125" s="98">
        <f>$C1125*VLOOKUP($B1125,FoodDB!$A$2:$I$1016,9,0)</f>
        <v>0</v>
      </c>
      <c r="K1125" s="98"/>
      <c r="L1125" s="98"/>
      <c r="M1125" s="98"/>
      <c r="N1125" s="98"/>
      <c r="O1125" s="98"/>
      <c r="P1125" s="98"/>
      <c r="Q1125" s="98"/>
      <c r="R1125" s="98"/>
      <c r="S1125" s="98"/>
    </row>
    <row r="1126" spans="1:19" x14ac:dyDescent="0.25">
      <c r="B1126" s="94" t="s">
        <v>108</v>
      </c>
      <c r="C1126" s="95">
        <v>1</v>
      </c>
      <c r="D1126" s="98">
        <f>$C1126*VLOOKUP($B1126,FoodDB!$A$2:$I$1016,3,0)</f>
        <v>0</v>
      </c>
      <c r="E1126" s="98">
        <f>$C1126*VLOOKUP($B1126,FoodDB!$A$2:$I$1016,4,0)</f>
        <v>0</v>
      </c>
      <c r="F1126" s="98">
        <f>$C1126*VLOOKUP($B1126,FoodDB!$A$2:$I$1016,5,0)</f>
        <v>0</v>
      </c>
      <c r="G1126" s="98">
        <f>$C1126*VLOOKUP($B1126,FoodDB!$A$2:$I$1016,6,0)</f>
        <v>0</v>
      </c>
      <c r="H1126" s="98">
        <f>$C1126*VLOOKUP($B1126,FoodDB!$A$2:$I$1016,7,0)</f>
        <v>0</v>
      </c>
      <c r="I1126" s="98">
        <f>$C1126*VLOOKUP($B1126,FoodDB!$A$2:$I$1016,8,0)</f>
        <v>0</v>
      </c>
      <c r="J1126" s="98">
        <f>$C1126*VLOOKUP($B1126,FoodDB!$A$2:$I$1016,9,0)</f>
        <v>0</v>
      </c>
      <c r="K1126" s="98"/>
      <c r="L1126" s="98"/>
      <c r="M1126" s="98"/>
      <c r="N1126" s="98"/>
      <c r="O1126" s="98"/>
      <c r="P1126" s="98"/>
      <c r="Q1126" s="98"/>
      <c r="R1126" s="98"/>
      <c r="S1126" s="98"/>
    </row>
    <row r="1127" spans="1:19" x14ac:dyDescent="0.25">
      <c r="B1127" s="94" t="s">
        <v>108</v>
      </c>
      <c r="C1127" s="95">
        <v>1</v>
      </c>
      <c r="D1127" s="98">
        <f>$C1127*VLOOKUP($B1127,FoodDB!$A$2:$I$1016,3,0)</f>
        <v>0</v>
      </c>
      <c r="E1127" s="98">
        <f>$C1127*VLOOKUP($B1127,FoodDB!$A$2:$I$1016,4,0)</f>
        <v>0</v>
      </c>
      <c r="F1127" s="98">
        <f>$C1127*VLOOKUP($B1127,FoodDB!$A$2:$I$1016,5,0)</f>
        <v>0</v>
      </c>
      <c r="G1127" s="98">
        <f>$C1127*VLOOKUP($B1127,FoodDB!$A$2:$I$1016,6,0)</f>
        <v>0</v>
      </c>
      <c r="H1127" s="98">
        <f>$C1127*VLOOKUP($B1127,FoodDB!$A$2:$I$1016,7,0)</f>
        <v>0</v>
      </c>
      <c r="I1127" s="98">
        <f>$C1127*VLOOKUP($B1127,FoodDB!$A$2:$I$1016,8,0)</f>
        <v>0</v>
      </c>
      <c r="J1127" s="98">
        <f>$C1127*VLOOKUP($B1127,FoodDB!$A$2:$I$1016,9,0)</f>
        <v>0</v>
      </c>
      <c r="K1127" s="98"/>
      <c r="L1127" s="98"/>
      <c r="M1127" s="98"/>
      <c r="N1127" s="98"/>
      <c r="O1127" s="98"/>
      <c r="P1127" s="98"/>
      <c r="Q1127" s="98"/>
      <c r="R1127" s="98"/>
      <c r="S1127" s="98"/>
    </row>
    <row r="1128" spans="1:19" x14ac:dyDescent="0.25">
      <c r="B1128" s="94" t="s">
        <v>108</v>
      </c>
      <c r="C1128" s="95">
        <v>1</v>
      </c>
      <c r="D1128" s="98">
        <f>$C1128*VLOOKUP($B1128,FoodDB!$A$2:$I$1016,3,0)</f>
        <v>0</v>
      </c>
      <c r="E1128" s="98">
        <f>$C1128*VLOOKUP($B1128,FoodDB!$A$2:$I$1016,4,0)</f>
        <v>0</v>
      </c>
      <c r="F1128" s="98">
        <f>$C1128*VLOOKUP($B1128,FoodDB!$A$2:$I$1016,5,0)</f>
        <v>0</v>
      </c>
      <c r="G1128" s="98">
        <f>$C1128*VLOOKUP($B1128,FoodDB!$A$2:$I$1016,6,0)</f>
        <v>0</v>
      </c>
      <c r="H1128" s="98">
        <f>$C1128*VLOOKUP($B1128,FoodDB!$A$2:$I$1016,7,0)</f>
        <v>0</v>
      </c>
      <c r="I1128" s="98">
        <f>$C1128*VLOOKUP($B1128,FoodDB!$A$2:$I$1016,8,0)</f>
        <v>0</v>
      </c>
      <c r="J1128" s="98">
        <f>$C1128*VLOOKUP($B1128,FoodDB!$A$2:$I$1016,9,0)</f>
        <v>0</v>
      </c>
      <c r="K1128" s="98"/>
      <c r="L1128" s="98"/>
      <c r="M1128" s="98"/>
      <c r="N1128" s="98"/>
      <c r="O1128" s="98"/>
      <c r="P1128" s="98"/>
      <c r="Q1128" s="98"/>
      <c r="R1128" s="98"/>
      <c r="S1128" s="98"/>
    </row>
    <row r="1129" spans="1:19" x14ac:dyDescent="0.25">
      <c r="B1129" s="94" t="s">
        <v>108</v>
      </c>
      <c r="C1129" s="95">
        <v>1</v>
      </c>
      <c r="D1129" s="98">
        <f>$C1129*VLOOKUP($B1129,FoodDB!$A$2:$I$1016,3,0)</f>
        <v>0</v>
      </c>
      <c r="E1129" s="98">
        <f>$C1129*VLOOKUP($B1129,FoodDB!$A$2:$I$1016,4,0)</f>
        <v>0</v>
      </c>
      <c r="F1129" s="98">
        <f>$C1129*VLOOKUP($B1129,FoodDB!$A$2:$I$1016,5,0)</f>
        <v>0</v>
      </c>
      <c r="G1129" s="98">
        <f>$C1129*VLOOKUP($B1129,FoodDB!$A$2:$I$1016,6,0)</f>
        <v>0</v>
      </c>
      <c r="H1129" s="98">
        <f>$C1129*VLOOKUP($B1129,FoodDB!$A$2:$I$1016,7,0)</f>
        <v>0</v>
      </c>
      <c r="I1129" s="98">
        <f>$C1129*VLOOKUP($B1129,FoodDB!$A$2:$I$1016,8,0)</f>
        <v>0</v>
      </c>
      <c r="J1129" s="98">
        <f>$C1129*VLOOKUP($B1129,FoodDB!$A$2:$I$1016,9,0)</f>
        <v>0</v>
      </c>
      <c r="K1129" s="98"/>
      <c r="L1129" s="98"/>
      <c r="M1129" s="98"/>
      <c r="N1129" s="98"/>
      <c r="O1129" s="98"/>
      <c r="P1129" s="98"/>
      <c r="Q1129" s="98"/>
      <c r="R1129" s="98"/>
      <c r="S1129" s="98"/>
    </row>
    <row r="1130" spans="1:19" x14ac:dyDescent="0.25">
      <c r="B1130" s="94" t="s">
        <v>108</v>
      </c>
      <c r="C1130" s="95">
        <v>1</v>
      </c>
      <c r="D1130" s="98">
        <f>$C1130*VLOOKUP($B1130,FoodDB!$A$2:$I$1016,3,0)</f>
        <v>0</v>
      </c>
      <c r="E1130" s="98">
        <f>$C1130*VLOOKUP($B1130,FoodDB!$A$2:$I$1016,4,0)</f>
        <v>0</v>
      </c>
      <c r="F1130" s="98">
        <f>$C1130*VLOOKUP($B1130,FoodDB!$A$2:$I$1016,5,0)</f>
        <v>0</v>
      </c>
      <c r="G1130" s="98">
        <f>$C1130*VLOOKUP($B1130,FoodDB!$A$2:$I$1016,6,0)</f>
        <v>0</v>
      </c>
      <c r="H1130" s="98">
        <f>$C1130*VLOOKUP($B1130,FoodDB!$A$2:$I$1016,7,0)</f>
        <v>0</v>
      </c>
      <c r="I1130" s="98">
        <f>$C1130*VLOOKUP($B1130,FoodDB!$A$2:$I$1016,8,0)</f>
        <v>0</v>
      </c>
      <c r="J1130" s="98">
        <f>$C1130*VLOOKUP($B1130,FoodDB!$A$2:$I$1016,9,0)</f>
        <v>0</v>
      </c>
      <c r="K1130" s="98"/>
      <c r="L1130" s="98"/>
      <c r="M1130" s="98"/>
      <c r="N1130" s="98"/>
      <c r="O1130" s="98"/>
      <c r="P1130" s="98"/>
      <c r="Q1130" s="98"/>
      <c r="R1130" s="98"/>
      <c r="S1130" s="98"/>
    </row>
    <row r="1131" spans="1:19" x14ac:dyDescent="0.25">
      <c r="A1131" t="s">
        <v>98</v>
      </c>
      <c r="D1131" s="98"/>
      <c r="E1131" s="98"/>
      <c r="F1131" s="98"/>
      <c r="G1131" s="98">
        <f>SUM(G1124:G1130)</f>
        <v>0</v>
      </c>
      <c r="H1131" s="98">
        <f>SUM(H1124:H1130)</f>
        <v>0</v>
      </c>
      <c r="I1131" s="98">
        <f>SUM(I1124:I1130)</f>
        <v>0</v>
      </c>
      <c r="J1131" s="98">
        <f>SUM(G1131:I1131)</f>
        <v>0</v>
      </c>
      <c r="K1131" s="98"/>
      <c r="L1131" s="98"/>
      <c r="M1131" s="98"/>
      <c r="N1131" s="98"/>
      <c r="O1131" s="98"/>
      <c r="P1131" s="98"/>
      <c r="Q1131" s="98"/>
      <c r="R1131" s="98"/>
      <c r="S1131" s="98"/>
    </row>
    <row r="1132" spans="1:19" x14ac:dyDescent="0.25">
      <c r="A1132" t="s">
        <v>102</v>
      </c>
      <c r="B1132" t="s">
        <v>103</v>
      </c>
      <c r="D1132" s="98"/>
      <c r="E1132" s="98"/>
      <c r="F1132" s="98"/>
      <c r="G1132" s="98">
        <f>VLOOKUP($A1124,LossChart!$A$3:$AB$105,14,0)</f>
        <v>818.08599261745621</v>
      </c>
      <c r="H1132" s="98">
        <f>VLOOKUP($A1124,LossChart!$A$3:$AB$105,15,0)</f>
        <v>116</v>
      </c>
      <c r="I1132" s="98">
        <f>VLOOKUP($A1124,LossChart!$A$3:$AB$105,16,0)</f>
        <v>477.30407413615825</v>
      </c>
      <c r="J1132" s="98">
        <f>VLOOKUP($A1124,LossChart!$A$3:$AB$105,17,0)</f>
        <v>1411.3900667536145</v>
      </c>
      <c r="K1132" s="98"/>
      <c r="L1132" s="98"/>
      <c r="M1132" s="98"/>
      <c r="N1132" s="98"/>
      <c r="O1132" s="98"/>
      <c r="P1132" s="98"/>
      <c r="Q1132" s="98"/>
      <c r="R1132" s="98"/>
      <c r="S1132" s="98"/>
    </row>
    <row r="1133" spans="1:19" x14ac:dyDescent="0.25">
      <c r="A1133" t="s">
        <v>104</v>
      </c>
      <c r="D1133" s="98"/>
      <c r="E1133" s="98"/>
      <c r="F1133" s="98"/>
      <c r="G1133" s="98">
        <f>G1132-G1131</f>
        <v>818.08599261745621</v>
      </c>
      <c r="H1133" s="98">
        <f>H1132-H1131</f>
        <v>116</v>
      </c>
      <c r="I1133" s="98">
        <f>I1132-I1131</f>
        <v>477.30407413615825</v>
      </c>
      <c r="J1133" s="98">
        <f>J1132-J1131</f>
        <v>1411.3900667536145</v>
      </c>
      <c r="K1133" s="98"/>
      <c r="L1133" s="98"/>
      <c r="M1133" s="98"/>
      <c r="N1133" s="98"/>
      <c r="O1133" s="98"/>
      <c r="P1133" s="98"/>
      <c r="Q1133" s="98"/>
      <c r="R1133" s="98"/>
      <c r="S1133" s="98"/>
    </row>
    <row r="1135" spans="1:19" ht="60" x14ac:dyDescent="0.25">
      <c r="A1135" s="21" t="s">
        <v>63</v>
      </c>
      <c r="B1135" s="21" t="s">
        <v>93</v>
      </c>
      <c r="C1135" s="21" t="s">
        <v>94</v>
      </c>
      <c r="D1135" s="92" t="str">
        <f>FoodDB!$C$1</f>
        <v>Fat
(g)</v>
      </c>
      <c r="E1135" s="92" t="str">
        <f>FoodDB!$D$1</f>
        <v xml:space="preserve"> Carbs
(g)</v>
      </c>
      <c r="F1135" s="92" t="str">
        <f>FoodDB!$E$1</f>
        <v>Protein
(g)</v>
      </c>
      <c r="G1135" s="92" t="str">
        <f>FoodDB!$F$1</f>
        <v>Fat
(Cal)</v>
      </c>
      <c r="H1135" s="92" t="str">
        <f>FoodDB!$G$1</f>
        <v>Carb
(Cal)</v>
      </c>
      <c r="I1135" s="92" t="str">
        <f>FoodDB!$H$1</f>
        <v>Protein
(Cal)</v>
      </c>
      <c r="J1135" s="92" t="str">
        <f>FoodDB!$I$1</f>
        <v>Total
Calories</v>
      </c>
      <c r="K1135" s="92"/>
      <c r="L1135" s="92" t="s">
        <v>110</v>
      </c>
      <c r="M1135" s="92" t="s">
        <v>111</v>
      </c>
      <c r="N1135" s="92" t="s">
        <v>112</v>
      </c>
      <c r="O1135" s="92" t="s">
        <v>113</v>
      </c>
      <c r="P1135" s="92" t="s">
        <v>118</v>
      </c>
      <c r="Q1135" s="92" t="s">
        <v>119</v>
      </c>
      <c r="R1135" s="92" t="s">
        <v>120</v>
      </c>
      <c r="S1135" s="92" t="s">
        <v>121</v>
      </c>
    </row>
    <row r="1136" spans="1:19" x14ac:dyDescent="0.25">
      <c r="A1136" s="93">
        <f>A1124+1</f>
        <v>43088</v>
      </c>
      <c r="B1136" s="94" t="s">
        <v>108</v>
      </c>
      <c r="C1136" s="95">
        <v>1</v>
      </c>
      <c r="D1136" s="98">
        <f>$C1136*VLOOKUP($B1136,FoodDB!$A$2:$I$1016,3,0)</f>
        <v>0</v>
      </c>
      <c r="E1136" s="98">
        <f>$C1136*VLOOKUP($B1136,FoodDB!$A$2:$I$1016,4,0)</f>
        <v>0</v>
      </c>
      <c r="F1136" s="98">
        <f>$C1136*VLOOKUP($B1136,FoodDB!$A$2:$I$1016,5,0)</f>
        <v>0</v>
      </c>
      <c r="G1136" s="98">
        <f>$C1136*VLOOKUP($B1136,FoodDB!$A$2:$I$1016,6,0)</f>
        <v>0</v>
      </c>
      <c r="H1136" s="98">
        <f>$C1136*VLOOKUP($B1136,FoodDB!$A$2:$I$1016,7,0)</f>
        <v>0</v>
      </c>
      <c r="I1136" s="98">
        <f>$C1136*VLOOKUP($B1136,FoodDB!$A$2:$I$1016,8,0)</f>
        <v>0</v>
      </c>
      <c r="J1136" s="98">
        <f>$C1136*VLOOKUP($B1136,FoodDB!$A$2:$I$1016,9,0)</f>
        <v>0</v>
      </c>
      <c r="K1136" s="98"/>
      <c r="L1136" s="98">
        <f>SUM(G1136:G1142)</f>
        <v>0</v>
      </c>
      <c r="M1136" s="98">
        <f>SUM(H1136:H1142)</f>
        <v>0</v>
      </c>
      <c r="N1136" s="98">
        <f>SUM(I1136:I1142)</f>
        <v>0</v>
      </c>
      <c r="O1136" s="98">
        <f>SUM(L1136:N1136)</f>
        <v>0</v>
      </c>
      <c r="P1136" s="98">
        <f>VLOOKUP($A1136,LossChart!$A$3:$AB$105,14,0)-L1136</f>
        <v>822.02367846348761</v>
      </c>
      <c r="Q1136" s="98">
        <f>VLOOKUP($A1136,LossChart!$A$3:$AB$105,15,0)-M1136</f>
        <v>116</v>
      </c>
      <c r="R1136" s="98">
        <f>VLOOKUP($A1136,LossChart!$A$3:$AB$105,16,0)-N1136</f>
        <v>477.30407413615825</v>
      </c>
      <c r="S1136" s="98">
        <f>VLOOKUP($A1136,LossChart!$A$3:$AB$105,17,0)-O1136</f>
        <v>1415.3277525996459</v>
      </c>
    </row>
    <row r="1137" spans="1:19" x14ac:dyDescent="0.25">
      <c r="B1137" s="94" t="s">
        <v>108</v>
      </c>
      <c r="C1137" s="95">
        <v>1</v>
      </c>
      <c r="D1137" s="98">
        <f>$C1137*VLOOKUP($B1137,FoodDB!$A$2:$I$1016,3,0)</f>
        <v>0</v>
      </c>
      <c r="E1137" s="98">
        <f>$C1137*VLOOKUP($B1137,FoodDB!$A$2:$I$1016,4,0)</f>
        <v>0</v>
      </c>
      <c r="F1137" s="98">
        <f>$C1137*VLOOKUP($B1137,FoodDB!$A$2:$I$1016,5,0)</f>
        <v>0</v>
      </c>
      <c r="G1137" s="98">
        <f>$C1137*VLOOKUP($B1137,FoodDB!$A$2:$I$1016,6,0)</f>
        <v>0</v>
      </c>
      <c r="H1137" s="98">
        <f>$C1137*VLOOKUP($B1137,FoodDB!$A$2:$I$1016,7,0)</f>
        <v>0</v>
      </c>
      <c r="I1137" s="98">
        <f>$C1137*VLOOKUP($B1137,FoodDB!$A$2:$I$1016,8,0)</f>
        <v>0</v>
      </c>
      <c r="J1137" s="98">
        <f>$C1137*VLOOKUP($B1137,FoodDB!$A$2:$I$1016,9,0)</f>
        <v>0</v>
      </c>
      <c r="K1137" s="98"/>
      <c r="L1137" s="98"/>
      <c r="M1137" s="98"/>
      <c r="N1137" s="98"/>
      <c r="O1137" s="98"/>
      <c r="P1137" s="98"/>
      <c r="Q1137" s="98"/>
      <c r="R1137" s="98"/>
      <c r="S1137" s="98"/>
    </row>
    <row r="1138" spans="1:19" x14ac:dyDescent="0.25">
      <c r="B1138" s="94" t="s">
        <v>108</v>
      </c>
      <c r="C1138" s="95">
        <v>1</v>
      </c>
      <c r="D1138" s="98">
        <f>$C1138*VLOOKUP($B1138,FoodDB!$A$2:$I$1016,3,0)</f>
        <v>0</v>
      </c>
      <c r="E1138" s="98">
        <f>$C1138*VLOOKUP($B1138,FoodDB!$A$2:$I$1016,4,0)</f>
        <v>0</v>
      </c>
      <c r="F1138" s="98">
        <f>$C1138*VLOOKUP($B1138,FoodDB!$A$2:$I$1016,5,0)</f>
        <v>0</v>
      </c>
      <c r="G1138" s="98">
        <f>$C1138*VLOOKUP($B1138,FoodDB!$A$2:$I$1016,6,0)</f>
        <v>0</v>
      </c>
      <c r="H1138" s="98">
        <f>$C1138*VLOOKUP($B1138,FoodDB!$A$2:$I$1016,7,0)</f>
        <v>0</v>
      </c>
      <c r="I1138" s="98">
        <f>$C1138*VLOOKUP($B1138,FoodDB!$A$2:$I$1016,8,0)</f>
        <v>0</v>
      </c>
      <c r="J1138" s="98">
        <f>$C1138*VLOOKUP($B1138,FoodDB!$A$2:$I$1016,9,0)</f>
        <v>0</v>
      </c>
      <c r="K1138" s="98"/>
      <c r="L1138" s="98"/>
      <c r="M1138" s="98"/>
      <c r="N1138" s="98"/>
      <c r="O1138" s="98"/>
      <c r="P1138" s="98"/>
      <c r="Q1138" s="98"/>
      <c r="R1138" s="98"/>
      <c r="S1138" s="98"/>
    </row>
    <row r="1139" spans="1:19" x14ac:dyDescent="0.25">
      <c r="B1139" s="94" t="s">
        <v>108</v>
      </c>
      <c r="C1139" s="95">
        <v>1</v>
      </c>
      <c r="D1139" s="98">
        <f>$C1139*VLOOKUP($B1139,FoodDB!$A$2:$I$1016,3,0)</f>
        <v>0</v>
      </c>
      <c r="E1139" s="98">
        <f>$C1139*VLOOKUP($B1139,FoodDB!$A$2:$I$1016,4,0)</f>
        <v>0</v>
      </c>
      <c r="F1139" s="98">
        <f>$C1139*VLOOKUP($B1139,FoodDB!$A$2:$I$1016,5,0)</f>
        <v>0</v>
      </c>
      <c r="G1139" s="98">
        <f>$C1139*VLOOKUP($B1139,FoodDB!$A$2:$I$1016,6,0)</f>
        <v>0</v>
      </c>
      <c r="H1139" s="98">
        <f>$C1139*VLOOKUP($B1139,FoodDB!$A$2:$I$1016,7,0)</f>
        <v>0</v>
      </c>
      <c r="I1139" s="98">
        <f>$C1139*VLOOKUP($B1139,FoodDB!$A$2:$I$1016,8,0)</f>
        <v>0</v>
      </c>
      <c r="J1139" s="98">
        <f>$C1139*VLOOKUP($B1139,FoodDB!$A$2:$I$1016,9,0)</f>
        <v>0</v>
      </c>
      <c r="K1139" s="98"/>
      <c r="L1139" s="98"/>
      <c r="M1139" s="98"/>
      <c r="N1139" s="98"/>
      <c r="O1139" s="98"/>
      <c r="P1139" s="98"/>
      <c r="Q1139" s="98"/>
      <c r="R1139" s="98"/>
      <c r="S1139" s="98"/>
    </row>
    <row r="1140" spans="1:19" x14ac:dyDescent="0.25">
      <c r="B1140" s="94" t="s">
        <v>108</v>
      </c>
      <c r="C1140" s="95">
        <v>1</v>
      </c>
      <c r="D1140" s="98">
        <f>$C1140*VLOOKUP($B1140,FoodDB!$A$2:$I$1016,3,0)</f>
        <v>0</v>
      </c>
      <c r="E1140" s="98">
        <f>$C1140*VLOOKUP($B1140,FoodDB!$A$2:$I$1016,4,0)</f>
        <v>0</v>
      </c>
      <c r="F1140" s="98">
        <f>$C1140*VLOOKUP($B1140,FoodDB!$A$2:$I$1016,5,0)</f>
        <v>0</v>
      </c>
      <c r="G1140" s="98">
        <f>$C1140*VLOOKUP($B1140,FoodDB!$A$2:$I$1016,6,0)</f>
        <v>0</v>
      </c>
      <c r="H1140" s="98">
        <f>$C1140*VLOOKUP($B1140,FoodDB!$A$2:$I$1016,7,0)</f>
        <v>0</v>
      </c>
      <c r="I1140" s="98">
        <f>$C1140*VLOOKUP($B1140,FoodDB!$A$2:$I$1016,8,0)</f>
        <v>0</v>
      </c>
      <c r="J1140" s="98">
        <f>$C1140*VLOOKUP($B1140,FoodDB!$A$2:$I$1016,9,0)</f>
        <v>0</v>
      </c>
      <c r="K1140" s="98"/>
      <c r="L1140" s="98"/>
      <c r="M1140" s="98"/>
      <c r="N1140" s="98"/>
      <c r="O1140" s="98"/>
      <c r="P1140" s="98"/>
      <c r="Q1140" s="98"/>
      <c r="R1140" s="98"/>
      <c r="S1140" s="98"/>
    </row>
    <row r="1141" spans="1:19" x14ac:dyDescent="0.25">
      <c r="B1141" s="94" t="s">
        <v>108</v>
      </c>
      <c r="C1141" s="95">
        <v>1</v>
      </c>
      <c r="D1141" s="98">
        <f>$C1141*VLOOKUP($B1141,FoodDB!$A$2:$I$1016,3,0)</f>
        <v>0</v>
      </c>
      <c r="E1141" s="98">
        <f>$C1141*VLOOKUP($B1141,FoodDB!$A$2:$I$1016,4,0)</f>
        <v>0</v>
      </c>
      <c r="F1141" s="98">
        <f>$C1141*VLOOKUP($B1141,FoodDB!$A$2:$I$1016,5,0)</f>
        <v>0</v>
      </c>
      <c r="G1141" s="98">
        <f>$C1141*VLOOKUP($B1141,FoodDB!$A$2:$I$1016,6,0)</f>
        <v>0</v>
      </c>
      <c r="H1141" s="98">
        <f>$C1141*VLOOKUP($B1141,FoodDB!$A$2:$I$1016,7,0)</f>
        <v>0</v>
      </c>
      <c r="I1141" s="98">
        <f>$C1141*VLOOKUP($B1141,FoodDB!$A$2:$I$1016,8,0)</f>
        <v>0</v>
      </c>
      <c r="J1141" s="98">
        <f>$C1141*VLOOKUP($B1141,FoodDB!$A$2:$I$1016,9,0)</f>
        <v>0</v>
      </c>
      <c r="K1141" s="98"/>
      <c r="L1141" s="98"/>
      <c r="M1141" s="98"/>
      <c r="N1141" s="98"/>
      <c r="O1141" s="98"/>
      <c r="P1141" s="98"/>
      <c r="Q1141" s="98"/>
      <c r="R1141" s="98"/>
      <c r="S1141" s="98"/>
    </row>
    <row r="1142" spans="1:19" x14ac:dyDescent="0.25">
      <c r="B1142" s="94" t="s">
        <v>108</v>
      </c>
      <c r="C1142" s="95">
        <v>1</v>
      </c>
      <c r="D1142" s="98">
        <f>$C1142*VLOOKUP($B1142,FoodDB!$A$2:$I$1016,3,0)</f>
        <v>0</v>
      </c>
      <c r="E1142" s="98">
        <f>$C1142*VLOOKUP($B1142,FoodDB!$A$2:$I$1016,4,0)</f>
        <v>0</v>
      </c>
      <c r="F1142" s="98">
        <f>$C1142*VLOOKUP($B1142,FoodDB!$A$2:$I$1016,5,0)</f>
        <v>0</v>
      </c>
      <c r="G1142" s="98">
        <f>$C1142*VLOOKUP($B1142,FoodDB!$A$2:$I$1016,6,0)</f>
        <v>0</v>
      </c>
      <c r="H1142" s="98">
        <f>$C1142*VLOOKUP($B1142,FoodDB!$A$2:$I$1016,7,0)</f>
        <v>0</v>
      </c>
      <c r="I1142" s="98">
        <f>$C1142*VLOOKUP($B1142,FoodDB!$A$2:$I$1016,8,0)</f>
        <v>0</v>
      </c>
      <c r="J1142" s="98">
        <f>$C1142*VLOOKUP($B1142,FoodDB!$A$2:$I$1016,9,0)</f>
        <v>0</v>
      </c>
      <c r="K1142" s="98"/>
      <c r="L1142" s="98"/>
      <c r="M1142" s="98"/>
      <c r="N1142" s="98"/>
      <c r="O1142" s="98"/>
      <c r="P1142" s="98"/>
      <c r="Q1142" s="98"/>
      <c r="R1142" s="98"/>
      <c r="S1142" s="98"/>
    </row>
    <row r="1143" spans="1:19" x14ac:dyDescent="0.25">
      <c r="A1143" t="s">
        <v>98</v>
      </c>
      <c r="D1143" s="98"/>
      <c r="E1143" s="98"/>
      <c r="F1143" s="98"/>
      <c r="G1143" s="98">
        <f>SUM(G1136:G1142)</f>
        <v>0</v>
      </c>
      <c r="H1143" s="98">
        <f>SUM(H1136:H1142)</f>
        <v>0</v>
      </c>
      <c r="I1143" s="98">
        <f>SUM(I1136:I1142)</f>
        <v>0</v>
      </c>
      <c r="J1143" s="98">
        <f>SUM(G1143:I1143)</f>
        <v>0</v>
      </c>
      <c r="K1143" s="98"/>
      <c r="L1143" s="98"/>
      <c r="M1143" s="98"/>
      <c r="N1143" s="98"/>
      <c r="O1143" s="98"/>
      <c r="P1143" s="98"/>
      <c r="Q1143" s="98"/>
      <c r="R1143" s="98"/>
      <c r="S1143" s="98"/>
    </row>
    <row r="1144" spans="1:19" x14ac:dyDescent="0.25">
      <c r="A1144" t="s">
        <v>102</v>
      </c>
      <c r="B1144" t="s">
        <v>103</v>
      </c>
      <c r="D1144" s="98"/>
      <c r="E1144" s="98"/>
      <c r="F1144" s="98"/>
      <c r="G1144" s="98">
        <f>VLOOKUP($A1136,LossChart!$A$3:$AB$105,14,0)</f>
        <v>822.02367846348761</v>
      </c>
      <c r="H1144" s="98">
        <f>VLOOKUP($A1136,LossChart!$A$3:$AB$105,15,0)</f>
        <v>116</v>
      </c>
      <c r="I1144" s="98">
        <f>VLOOKUP($A1136,LossChart!$A$3:$AB$105,16,0)</f>
        <v>477.30407413615825</v>
      </c>
      <c r="J1144" s="98">
        <f>VLOOKUP($A1136,LossChart!$A$3:$AB$105,17,0)</f>
        <v>1415.3277525996459</v>
      </c>
      <c r="K1144" s="98"/>
      <c r="L1144" s="98"/>
      <c r="M1144" s="98"/>
      <c r="N1144" s="98"/>
      <c r="O1144" s="98"/>
      <c r="P1144" s="98"/>
      <c r="Q1144" s="98"/>
      <c r="R1144" s="98"/>
      <c r="S1144" s="98"/>
    </row>
    <row r="1145" spans="1:19" x14ac:dyDescent="0.25">
      <c r="A1145" t="s">
        <v>104</v>
      </c>
      <c r="D1145" s="98"/>
      <c r="E1145" s="98"/>
      <c r="F1145" s="98"/>
      <c r="G1145" s="98">
        <f>G1144-G1143</f>
        <v>822.02367846348761</v>
      </c>
      <c r="H1145" s="98">
        <f>H1144-H1143</f>
        <v>116</v>
      </c>
      <c r="I1145" s="98">
        <f>I1144-I1143</f>
        <v>477.30407413615825</v>
      </c>
      <c r="J1145" s="98">
        <f>J1144-J1143</f>
        <v>1415.3277525996459</v>
      </c>
      <c r="K1145" s="98"/>
      <c r="L1145" s="98"/>
      <c r="M1145" s="98"/>
      <c r="N1145" s="98"/>
      <c r="O1145" s="98"/>
      <c r="P1145" s="98"/>
      <c r="Q1145" s="98"/>
      <c r="R1145" s="98"/>
      <c r="S1145" s="98"/>
    </row>
    <row r="1147" spans="1:19" ht="60" x14ac:dyDescent="0.25">
      <c r="A1147" s="21" t="s">
        <v>63</v>
      </c>
      <c r="B1147" s="21" t="s">
        <v>93</v>
      </c>
      <c r="C1147" s="21" t="s">
        <v>94</v>
      </c>
      <c r="D1147" s="92" t="str">
        <f>FoodDB!$C$1</f>
        <v>Fat
(g)</v>
      </c>
      <c r="E1147" s="92" t="str">
        <f>FoodDB!$D$1</f>
        <v xml:space="preserve"> Carbs
(g)</v>
      </c>
      <c r="F1147" s="92" t="str">
        <f>FoodDB!$E$1</f>
        <v>Protein
(g)</v>
      </c>
      <c r="G1147" s="92" t="str">
        <f>FoodDB!$F$1</f>
        <v>Fat
(Cal)</v>
      </c>
      <c r="H1147" s="92" t="str">
        <f>FoodDB!$G$1</f>
        <v>Carb
(Cal)</v>
      </c>
      <c r="I1147" s="92" t="str">
        <f>FoodDB!$H$1</f>
        <v>Protein
(Cal)</v>
      </c>
      <c r="J1147" s="92" t="str">
        <f>FoodDB!$I$1</f>
        <v>Total
Calories</v>
      </c>
      <c r="K1147" s="92"/>
      <c r="L1147" s="92" t="s">
        <v>110</v>
      </c>
      <c r="M1147" s="92" t="s">
        <v>111</v>
      </c>
      <c r="N1147" s="92" t="s">
        <v>112</v>
      </c>
      <c r="O1147" s="92" t="s">
        <v>113</v>
      </c>
      <c r="P1147" s="92" t="s">
        <v>118</v>
      </c>
      <c r="Q1147" s="92" t="s">
        <v>119</v>
      </c>
      <c r="R1147" s="92" t="s">
        <v>120</v>
      </c>
      <c r="S1147" s="92" t="s">
        <v>121</v>
      </c>
    </row>
    <row r="1148" spans="1:19" x14ac:dyDescent="0.25">
      <c r="A1148" s="93">
        <f>A1136+1</f>
        <v>43089</v>
      </c>
      <c r="B1148" s="94" t="s">
        <v>108</v>
      </c>
      <c r="C1148" s="95">
        <v>1</v>
      </c>
      <c r="D1148" s="98">
        <f>$C1148*VLOOKUP($B1148,FoodDB!$A$2:$I$1016,3,0)</f>
        <v>0</v>
      </c>
      <c r="E1148" s="98">
        <f>$C1148*VLOOKUP($B1148,FoodDB!$A$2:$I$1016,4,0)</f>
        <v>0</v>
      </c>
      <c r="F1148" s="98">
        <f>$C1148*VLOOKUP($B1148,FoodDB!$A$2:$I$1016,5,0)</f>
        <v>0</v>
      </c>
      <c r="G1148" s="98">
        <f>$C1148*VLOOKUP($B1148,FoodDB!$A$2:$I$1016,6,0)</f>
        <v>0</v>
      </c>
      <c r="H1148" s="98">
        <f>$C1148*VLOOKUP($B1148,FoodDB!$A$2:$I$1016,7,0)</f>
        <v>0</v>
      </c>
      <c r="I1148" s="98">
        <f>$C1148*VLOOKUP($B1148,FoodDB!$A$2:$I$1016,8,0)</f>
        <v>0</v>
      </c>
      <c r="J1148" s="98">
        <f>$C1148*VLOOKUP($B1148,FoodDB!$A$2:$I$1016,9,0)</f>
        <v>0</v>
      </c>
      <c r="K1148" s="98"/>
      <c r="L1148" s="98">
        <f>SUM(G1148:G1154)</f>
        <v>0</v>
      </c>
      <c r="M1148" s="98">
        <f>SUM(H1148:H1154)</f>
        <v>0</v>
      </c>
      <c r="N1148" s="98">
        <f>SUM(I1148:I1154)</f>
        <v>0</v>
      </c>
      <c r="O1148" s="98">
        <f>SUM(L1148:N1148)</f>
        <v>0</v>
      </c>
      <c r="P1148" s="98">
        <f>VLOOKUP($A1148,LossChart!$A$3:$AB$105,14,0)-L1148</f>
        <v>825.92648766345383</v>
      </c>
      <c r="Q1148" s="98">
        <f>VLOOKUP($A1148,LossChart!$A$3:$AB$105,15,0)-M1148</f>
        <v>116</v>
      </c>
      <c r="R1148" s="98">
        <f>VLOOKUP($A1148,LossChart!$A$3:$AB$105,16,0)-N1148</f>
        <v>477.30407413615825</v>
      </c>
      <c r="S1148" s="98">
        <f>VLOOKUP($A1148,LossChart!$A$3:$AB$105,17,0)-O1148</f>
        <v>1419.2305617996121</v>
      </c>
    </row>
    <row r="1149" spans="1:19" x14ac:dyDescent="0.25">
      <c r="B1149" s="94" t="s">
        <v>108</v>
      </c>
      <c r="C1149" s="95">
        <v>1</v>
      </c>
      <c r="D1149" s="98">
        <f>$C1149*VLOOKUP($B1149,FoodDB!$A$2:$I$1016,3,0)</f>
        <v>0</v>
      </c>
      <c r="E1149" s="98">
        <f>$C1149*VLOOKUP($B1149,FoodDB!$A$2:$I$1016,4,0)</f>
        <v>0</v>
      </c>
      <c r="F1149" s="98">
        <f>$C1149*VLOOKUP($B1149,FoodDB!$A$2:$I$1016,5,0)</f>
        <v>0</v>
      </c>
      <c r="G1149" s="98">
        <f>$C1149*VLOOKUP($B1149,FoodDB!$A$2:$I$1016,6,0)</f>
        <v>0</v>
      </c>
      <c r="H1149" s="98">
        <f>$C1149*VLOOKUP($B1149,FoodDB!$A$2:$I$1016,7,0)</f>
        <v>0</v>
      </c>
      <c r="I1149" s="98">
        <f>$C1149*VLOOKUP($B1149,FoodDB!$A$2:$I$1016,8,0)</f>
        <v>0</v>
      </c>
      <c r="J1149" s="98">
        <f>$C1149*VLOOKUP($B1149,FoodDB!$A$2:$I$1016,9,0)</f>
        <v>0</v>
      </c>
      <c r="K1149" s="98"/>
      <c r="L1149" s="98"/>
      <c r="M1149" s="98"/>
      <c r="N1149" s="98"/>
      <c r="O1149" s="98"/>
      <c r="P1149" s="98"/>
      <c r="Q1149" s="98"/>
      <c r="R1149" s="98"/>
      <c r="S1149" s="98"/>
    </row>
    <row r="1150" spans="1:19" x14ac:dyDescent="0.25">
      <c r="B1150" s="94" t="s">
        <v>108</v>
      </c>
      <c r="C1150" s="95">
        <v>1</v>
      </c>
      <c r="D1150" s="98">
        <f>$C1150*VLOOKUP($B1150,FoodDB!$A$2:$I$1016,3,0)</f>
        <v>0</v>
      </c>
      <c r="E1150" s="98">
        <f>$C1150*VLOOKUP($B1150,FoodDB!$A$2:$I$1016,4,0)</f>
        <v>0</v>
      </c>
      <c r="F1150" s="98">
        <f>$C1150*VLOOKUP($B1150,FoodDB!$A$2:$I$1016,5,0)</f>
        <v>0</v>
      </c>
      <c r="G1150" s="98">
        <f>$C1150*VLOOKUP($B1150,FoodDB!$A$2:$I$1016,6,0)</f>
        <v>0</v>
      </c>
      <c r="H1150" s="98">
        <f>$C1150*VLOOKUP($B1150,FoodDB!$A$2:$I$1016,7,0)</f>
        <v>0</v>
      </c>
      <c r="I1150" s="98">
        <f>$C1150*VLOOKUP($B1150,FoodDB!$A$2:$I$1016,8,0)</f>
        <v>0</v>
      </c>
      <c r="J1150" s="98">
        <f>$C1150*VLOOKUP($B1150,FoodDB!$A$2:$I$1016,9,0)</f>
        <v>0</v>
      </c>
      <c r="K1150" s="98"/>
      <c r="L1150" s="98"/>
      <c r="M1150" s="98"/>
      <c r="N1150" s="98"/>
      <c r="O1150" s="98"/>
      <c r="P1150" s="98"/>
      <c r="Q1150" s="98"/>
      <c r="R1150" s="98"/>
      <c r="S1150" s="98"/>
    </row>
    <row r="1151" spans="1:19" x14ac:dyDescent="0.25">
      <c r="B1151" s="94" t="s">
        <v>108</v>
      </c>
      <c r="C1151" s="95">
        <v>1</v>
      </c>
      <c r="D1151" s="98">
        <f>$C1151*VLOOKUP($B1151,FoodDB!$A$2:$I$1016,3,0)</f>
        <v>0</v>
      </c>
      <c r="E1151" s="98">
        <f>$C1151*VLOOKUP($B1151,FoodDB!$A$2:$I$1016,4,0)</f>
        <v>0</v>
      </c>
      <c r="F1151" s="98">
        <f>$C1151*VLOOKUP($B1151,FoodDB!$A$2:$I$1016,5,0)</f>
        <v>0</v>
      </c>
      <c r="G1151" s="98">
        <f>$C1151*VLOOKUP($B1151,FoodDB!$A$2:$I$1016,6,0)</f>
        <v>0</v>
      </c>
      <c r="H1151" s="98">
        <f>$C1151*VLOOKUP($B1151,FoodDB!$A$2:$I$1016,7,0)</f>
        <v>0</v>
      </c>
      <c r="I1151" s="98">
        <f>$C1151*VLOOKUP($B1151,FoodDB!$A$2:$I$1016,8,0)</f>
        <v>0</v>
      </c>
      <c r="J1151" s="98">
        <f>$C1151*VLOOKUP($B1151,FoodDB!$A$2:$I$1016,9,0)</f>
        <v>0</v>
      </c>
      <c r="K1151" s="98"/>
      <c r="L1151" s="98"/>
      <c r="M1151" s="98"/>
      <c r="N1151" s="98"/>
      <c r="O1151" s="98"/>
      <c r="P1151" s="98"/>
      <c r="Q1151" s="98"/>
      <c r="R1151" s="98"/>
      <c r="S1151" s="98"/>
    </row>
    <row r="1152" spans="1:19" x14ac:dyDescent="0.25">
      <c r="B1152" s="94" t="s">
        <v>108</v>
      </c>
      <c r="C1152" s="95">
        <v>1</v>
      </c>
      <c r="D1152" s="98">
        <f>$C1152*VLOOKUP($B1152,FoodDB!$A$2:$I$1016,3,0)</f>
        <v>0</v>
      </c>
      <c r="E1152" s="98">
        <f>$C1152*VLOOKUP($B1152,FoodDB!$A$2:$I$1016,4,0)</f>
        <v>0</v>
      </c>
      <c r="F1152" s="98">
        <f>$C1152*VLOOKUP($B1152,FoodDB!$A$2:$I$1016,5,0)</f>
        <v>0</v>
      </c>
      <c r="G1152" s="98">
        <f>$C1152*VLOOKUP($B1152,FoodDB!$A$2:$I$1016,6,0)</f>
        <v>0</v>
      </c>
      <c r="H1152" s="98">
        <f>$C1152*VLOOKUP($B1152,FoodDB!$A$2:$I$1016,7,0)</f>
        <v>0</v>
      </c>
      <c r="I1152" s="98">
        <f>$C1152*VLOOKUP($B1152,FoodDB!$A$2:$I$1016,8,0)</f>
        <v>0</v>
      </c>
      <c r="J1152" s="98">
        <f>$C1152*VLOOKUP($B1152,FoodDB!$A$2:$I$1016,9,0)</f>
        <v>0</v>
      </c>
      <c r="K1152" s="98"/>
      <c r="L1152" s="98"/>
      <c r="M1152" s="98"/>
      <c r="N1152" s="98"/>
      <c r="O1152" s="98"/>
      <c r="P1152" s="98"/>
      <c r="Q1152" s="98"/>
      <c r="R1152" s="98"/>
      <c r="S1152" s="98"/>
    </row>
    <row r="1153" spans="1:19" x14ac:dyDescent="0.25">
      <c r="B1153" s="94" t="s">
        <v>108</v>
      </c>
      <c r="C1153" s="95">
        <v>1</v>
      </c>
      <c r="D1153" s="98">
        <f>$C1153*VLOOKUP($B1153,FoodDB!$A$2:$I$1016,3,0)</f>
        <v>0</v>
      </c>
      <c r="E1153" s="98">
        <f>$C1153*VLOOKUP($B1153,FoodDB!$A$2:$I$1016,4,0)</f>
        <v>0</v>
      </c>
      <c r="F1153" s="98">
        <f>$C1153*VLOOKUP($B1153,FoodDB!$A$2:$I$1016,5,0)</f>
        <v>0</v>
      </c>
      <c r="G1153" s="98">
        <f>$C1153*VLOOKUP($B1153,FoodDB!$A$2:$I$1016,6,0)</f>
        <v>0</v>
      </c>
      <c r="H1153" s="98">
        <f>$C1153*VLOOKUP($B1153,FoodDB!$A$2:$I$1016,7,0)</f>
        <v>0</v>
      </c>
      <c r="I1153" s="98">
        <f>$C1153*VLOOKUP($B1153,FoodDB!$A$2:$I$1016,8,0)</f>
        <v>0</v>
      </c>
      <c r="J1153" s="98">
        <f>$C1153*VLOOKUP($B1153,FoodDB!$A$2:$I$1016,9,0)</f>
        <v>0</v>
      </c>
      <c r="K1153" s="98"/>
      <c r="L1153" s="98"/>
      <c r="M1153" s="98"/>
      <c r="N1153" s="98"/>
      <c r="O1153" s="98"/>
      <c r="P1153" s="98"/>
      <c r="Q1153" s="98"/>
      <c r="R1153" s="98"/>
      <c r="S1153" s="98"/>
    </row>
    <row r="1154" spans="1:19" x14ac:dyDescent="0.25">
      <c r="B1154" s="94" t="s">
        <v>108</v>
      </c>
      <c r="C1154" s="95">
        <v>1</v>
      </c>
      <c r="D1154" s="98">
        <f>$C1154*VLOOKUP($B1154,FoodDB!$A$2:$I$1016,3,0)</f>
        <v>0</v>
      </c>
      <c r="E1154" s="98">
        <f>$C1154*VLOOKUP($B1154,FoodDB!$A$2:$I$1016,4,0)</f>
        <v>0</v>
      </c>
      <c r="F1154" s="98">
        <f>$C1154*VLOOKUP($B1154,FoodDB!$A$2:$I$1016,5,0)</f>
        <v>0</v>
      </c>
      <c r="G1154" s="98">
        <f>$C1154*VLOOKUP($B1154,FoodDB!$A$2:$I$1016,6,0)</f>
        <v>0</v>
      </c>
      <c r="H1154" s="98">
        <f>$C1154*VLOOKUP($B1154,FoodDB!$A$2:$I$1016,7,0)</f>
        <v>0</v>
      </c>
      <c r="I1154" s="98">
        <f>$C1154*VLOOKUP($B1154,FoodDB!$A$2:$I$1016,8,0)</f>
        <v>0</v>
      </c>
      <c r="J1154" s="98">
        <f>$C1154*VLOOKUP($B1154,FoodDB!$A$2:$I$1016,9,0)</f>
        <v>0</v>
      </c>
      <c r="K1154" s="98"/>
      <c r="L1154" s="98"/>
      <c r="M1154" s="98"/>
      <c r="N1154" s="98"/>
      <c r="O1154" s="98"/>
      <c r="P1154" s="98"/>
      <c r="Q1154" s="98"/>
      <c r="R1154" s="98"/>
      <c r="S1154" s="98"/>
    </row>
    <row r="1155" spans="1:19" x14ac:dyDescent="0.25">
      <c r="A1155" t="s">
        <v>98</v>
      </c>
      <c r="D1155" s="98"/>
      <c r="E1155" s="98"/>
      <c r="F1155" s="98"/>
      <c r="G1155" s="98">
        <f>SUM(G1148:G1154)</f>
        <v>0</v>
      </c>
      <c r="H1155" s="98">
        <f>SUM(H1148:H1154)</f>
        <v>0</v>
      </c>
      <c r="I1155" s="98">
        <f>SUM(I1148:I1154)</f>
        <v>0</v>
      </c>
      <c r="J1155" s="98">
        <f>SUM(G1155:I1155)</f>
        <v>0</v>
      </c>
      <c r="K1155" s="98"/>
      <c r="L1155" s="98"/>
      <c r="M1155" s="98"/>
      <c r="N1155" s="98"/>
      <c r="O1155" s="98"/>
      <c r="P1155" s="98"/>
      <c r="Q1155" s="98"/>
      <c r="R1155" s="98"/>
      <c r="S1155" s="98"/>
    </row>
    <row r="1156" spans="1:19" x14ac:dyDescent="0.25">
      <c r="A1156" t="s">
        <v>102</v>
      </c>
      <c r="B1156" t="s">
        <v>103</v>
      </c>
      <c r="D1156" s="98"/>
      <c r="E1156" s="98"/>
      <c r="F1156" s="98"/>
      <c r="G1156" s="98">
        <f>VLOOKUP($A1148,LossChart!$A$3:$AB$105,14,0)</f>
        <v>825.92648766345383</v>
      </c>
      <c r="H1156" s="98">
        <f>VLOOKUP($A1148,LossChart!$A$3:$AB$105,15,0)</f>
        <v>116</v>
      </c>
      <c r="I1156" s="98">
        <f>VLOOKUP($A1148,LossChart!$A$3:$AB$105,16,0)</f>
        <v>477.30407413615825</v>
      </c>
      <c r="J1156" s="98">
        <f>VLOOKUP($A1148,LossChart!$A$3:$AB$105,17,0)</f>
        <v>1419.2305617996121</v>
      </c>
      <c r="K1156" s="98"/>
      <c r="L1156" s="98"/>
      <c r="M1156" s="98"/>
      <c r="N1156" s="98"/>
      <c r="O1156" s="98"/>
      <c r="P1156" s="98"/>
      <c r="Q1156" s="98"/>
      <c r="R1156" s="98"/>
      <c r="S1156" s="98"/>
    </row>
    <row r="1157" spans="1:19" x14ac:dyDescent="0.25">
      <c r="A1157" t="s">
        <v>104</v>
      </c>
      <c r="D1157" s="98"/>
      <c r="E1157" s="98"/>
      <c r="F1157" s="98"/>
      <c r="G1157" s="98">
        <f>G1156-G1155</f>
        <v>825.92648766345383</v>
      </c>
      <c r="H1157" s="98">
        <f>H1156-H1155</f>
        <v>116</v>
      </c>
      <c r="I1157" s="98">
        <f>I1156-I1155</f>
        <v>477.30407413615825</v>
      </c>
      <c r="J1157" s="98">
        <f>J1156-J1155</f>
        <v>1419.2305617996121</v>
      </c>
      <c r="K1157" s="98"/>
      <c r="L1157" s="98"/>
      <c r="M1157" s="98"/>
      <c r="N1157" s="98"/>
      <c r="O1157" s="98"/>
      <c r="P1157" s="98"/>
      <c r="Q1157" s="98"/>
      <c r="R1157" s="98"/>
      <c r="S1157" s="98"/>
    </row>
    <row r="1159" spans="1:19" ht="60" x14ac:dyDescent="0.25">
      <c r="A1159" s="21" t="s">
        <v>63</v>
      </c>
      <c r="B1159" s="21" t="s">
        <v>93</v>
      </c>
      <c r="C1159" s="21" t="s">
        <v>94</v>
      </c>
      <c r="D1159" s="92" t="str">
        <f>FoodDB!$C$1</f>
        <v>Fat
(g)</v>
      </c>
      <c r="E1159" s="92" t="str">
        <f>FoodDB!$D$1</f>
        <v xml:space="preserve"> Carbs
(g)</v>
      </c>
      <c r="F1159" s="92" t="str">
        <f>FoodDB!$E$1</f>
        <v>Protein
(g)</v>
      </c>
      <c r="G1159" s="92" t="str">
        <f>FoodDB!$F$1</f>
        <v>Fat
(Cal)</v>
      </c>
      <c r="H1159" s="92" t="str">
        <f>FoodDB!$G$1</f>
        <v>Carb
(Cal)</v>
      </c>
      <c r="I1159" s="92" t="str">
        <f>FoodDB!$H$1</f>
        <v>Protein
(Cal)</v>
      </c>
      <c r="J1159" s="92" t="str">
        <f>FoodDB!$I$1</f>
        <v>Total
Calories</v>
      </c>
      <c r="K1159" s="92"/>
      <c r="L1159" s="92" t="s">
        <v>110</v>
      </c>
      <c r="M1159" s="92" t="s">
        <v>111</v>
      </c>
      <c r="N1159" s="92" t="s">
        <v>112</v>
      </c>
      <c r="O1159" s="92" t="s">
        <v>113</v>
      </c>
      <c r="P1159" s="92" t="s">
        <v>118</v>
      </c>
      <c r="Q1159" s="92" t="s">
        <v>119</v>
      </c>
      <c r="R1159" s="92" t="s">
        <v>120</v>
      </c>
      <c r="S1159" s="92" t="s">
        <v>121</v>
      </c>
    </row>
    <row r="1160" spans="1:19" x14ac:dyDescent="0.25">
      <c r="A1160" s="93">
        <f>A1148+1</f>
        <v>43090</v>
      </c>
      <c r="B1160" s="94" t="s">
        <v>108</v>
      </c>
      <c r="C1160" s="95">
        <v>1</v>
      </c>
      <c r="D1160" s="98">
        <f>$C1160*VLOOKUP($B1160,FoodDB!$A$2:$I$1016,3,0)</f>
        <v>0</v>
      </c>
      <c r="E1160" s="98">
        <f>$C1160*VLOOKUP($B1160,FoodDB!$A$2:$I$1016,4,0)</f>
        <v>0</v>
      </c>
      <c r="F1160" s="98">
        <f>$C1160*VLOOKUP($B1160,FoodDB!$A$2:$I$1016,5,0)</f>
        <v>0</v>
      </c>
      <c r="G1160" s="98">
        <f>$C1160*VLOOKUP($B1160,FoodDB!$A$2:$I$1016,6,0)</f>
        <v>0</v>
      </c>
      <c r="H1160" s="98">
        <f>$C1160*VLOOKUP($B1160,FoodDB!$A$2:$I$1016,7,0)</f>
        <v>0</v>
      </c>
      <c r="I1160" s="98">
        <f>$C1160*VLOOKUP($B1160,FoodDB!$A$2:$I$1016,8,0)</f>
        <v>0</v>
      </c>
      <c r="J1160" s="98">
        <f>$C1160*VLOOKUP($B1160,FoodDB!$A$2:$I$1016,9,0)</f>
        <v>0</v>
      </c>
      <c r="K1160" s="98"/>
      <c r="L1160" s="98">
        <f>SUM(G1160:G1166)</f>
        <v>0</v>
      </c>
      <c r="M1160" s="98">
        <f>SUM(H1160:H1166)</f>
        <v>0</v>
      </c>
      <c r="N1160" s="98">
        <f>SUM(I1160:I1166)</f>
        <v>0</v>
      </c>
      <c r="O1160" s="98">
        <f>SUM(L1160:N1160)</f>
        <v>0</v>
      </c>
      <c r="P1160" s="98">
        <f>VLOOKUP($A1160,LossChart!$A$3:$AB$105,14,0)-L1160</f>
        <v>829.7947291247915</v>
      </c>
      <c r="Q1160" s="98">
        <f>VLOOKUP($A1160,LossChart!$A$3:$AB$105,15,0)-M1160</f>
        <v>116</v>
      </c>
      <c r="R1160" s="98">
        <f>VLOOKUP($A1160,LossChart!$A$3:$AB$105,16,0)-N1160</f>
        <v>477.30407413615825</v>
      </c>
      <c r="S1160" s="98">
        <f>VLOOKUP($A1160,LossChart!$A$3:$AB$105,17,0)-O1160</f>
        <v>1423.0988032609498</v>
      </c>
    </row>
    <row r="1161" spans="1:19" x14ac:dyDescent="0.25">
      <c r="B1161" s="94" t="s">
        <v>108</v>
      </c>
      <c r="C1161" s="95">
        <v>1</v>
      </c>
      <c r="D1161" s="98">
        <f>$C1161*VLOOKUP($B1161,FoodDB!$A$2:$I$1016,3,0)</f>
        <v>0</v>
      </c>
      <c r="E1161" s="98">
        <f>$C1161*VLOOKUP($B1161,FoodDB!$A$2:$I$1016,4,0)</f>
        <v>0</v>
      </c>
      <c r="F1161" s="98">
        <f>$C1161*VLOOKUP($B1161,FoodDB!$A$2:$I$1016,5,0)</f>
        <v>0</v>
      </c>
      <c r="G1161" s="98">
        <f>$C1161*VLOOKUP($B1161,FoodDB!$A$2:$I$1016,6,0)</f>
        <v>0</v>
      </c>
      <c r="H1161" s="98">
        <f>$C1161*VLOOKUP($B1161,FoodDB!$A$2:$I$1016,7,0)</f>
        <v>0</v>
      </c>
      <c r="I1161" s="98">
        <f>$C1161*VLOOKUP($B1161,FoodDB!$A$2:$I$1016,8,0)</f>
        <v>0</v>
      </c>
      <c r="J1161" s="98">
        <f>$C1161*VLOOKUP($B1161,FoodDB!$A$2:$I$1016,9,0)</f>
        <v>0</v>
      </c>
      <c r="K1161" s="98"/>
      <c r="L1161" s="98"/>
      <c r="M1161" s="98"/>
      <c r="N1161" s="98"/>
      <c r="O1161" s="98"/>
      <c r="P1161" s="98"/>
      <c r="Q1161" s="98"/>
      <c r="R1161" s="98"/>
      <c r="S1161" s="98"/>
    </row>
    <row r="1162" spans="1:19" x14ac:dyDescent="0.25">
      <c r="B1162" s="94" t="s">
        <v>108</v>
      </c>
      <c r="C1162" s="95">
        <v>1</v>
      </c>
      <c r="D1162" s="98">
        <f>$C1162*VLOOKUP($B1162,FoodDB!$A$2:$I$1016,3,0)</f>
        <v>0</v>
      </c>
      <c r="E1162" s="98">
        <f>$C1162*VLOOKUP($B1162,FoodDB!$A$2:$I$1016,4,0)</f>
        <v>0</v>
      </c>
      <c r="F1162" s="98">
        <f>$C1162*VLOOKUP($B1162,FoodDB!$A$2:$I$1016,5,0)</f>
        <v>0</v>
      </c>
      <c r="G1162" s="98">
        <f>$C1162*VLOOKUP($B1162,FoodDB!$A$2:$I$1016,6,0)</f>
        <v>0</v>
      </c>
      <c r="H1162" s="98">
        <f>$C1162*VLOOKUP($B1162,FoodDB!$A$2:$I$1016,7,0)</f>
        <v>0</v>
      </c>
      <c r="I1162" s="98">
        <f>$C1162*VLOOKUP($B1162,FoodDB!$A$2:$I$1016,8,0)</f>
        <v>0</v>
      </c>
      <c r="J1162" s="98">
        <f>$C1162*VLOOKUP($B1162,FoodDB!$A$2:$I$1016,9,0)</f>
        <v>0</v>
      </c>
      <c r="K1162" s="98"/>
      <c r="L1162" s="98"/>
      <c r="M1162" s="98"/>
      <c r="N1162" s="98"/>
      <c r="O1162" s="98"/>
      <c r="P1162" s="98"/>
      <c r="Q1162" s="98"/>
      <c r="R1162" s="98"/>
      <c r="S1162" s="98"/>
    </row>
    <row r="1163" spans="1:19" x14ac:dyDescent="0.25">
      <c r="B1163" s="94" t="s">
        <v>108</v>
      </c>
      <c r="C1163" s="95">
        <v>1</v>
      </c>
      <c r="D1163" s="98">
        <f>$C1163*VLOOKUP($B1163,FoodDB!$A$2:$I$1016,3,0)</f>
        <v>0</v>
      </c>
      <c r="E1163" s="98">
        <f>$C1163*VLOOKUP($B1163,FoodDB!$A$2:$I$1016,4,0)</f>
        <v>0</v>
      </c>
      <c r="F1163" s="98">
        <f>$C1163*VLOOKUP($B1163,FoodDB!$A$2:$I$1016,5,0)</f>
        <v>0</v>
      </c>
      <c r="G1163" s="98">
        <f>$C1163*VLOOKUP($B1163,FoodDB!$A$2:$I$1016,6,0)</f>
        <v>0</v>
      </c>
      <c r="H1163" s="98">
        <f>$C1163*VLOOKUP($B1163,FoodDB!$A$2:$I$1016,7,0)</f>
        <v>0</v>
      </c>
      <c r="I1163" s="98">
        <f>$C1163*VLOOKUP($B1163,FoodDB!$A$2:$I$1016,8,0)</f>
        <v>0</v>
      </c>
      <c r="J1163" s="98">
        <f>$C1163*VLOOKUP($B1163,FoodDB!$A$2:$I$1016,9,0)</f>
        <v>0</v>
      </c>
      <c r="K1163" s="98"/>
      <c r="L1163" s="98"/>
      <c r="M1163" s="98"/>
      <c r="N1163" s="98"/>
      <c r="O1163" s="98"/>
      <c r="P1163" s="98"/>
      <c r="Q1163" s="98"/>
      <c r="R1163" s="98"/>
      <c r="S1163" s="98"/>
    </row>
    <row r="1164" spans="1:19" x14ac:dyDescent="0.25">
      <c r="B1164" s="94" t="s">
        <v>108</v>
      </c>
      <c r="C1164" s="95">
        <v>1</v>
      </c>
      <c r="D1164" s="98">
        <f>$C1164*VLOOKUP($B1164,FoodDB!$A$2:$I$1016,3,0)</f>
        <v>0</v>
      </c>
      <c r="E1164" s="98">
        <f>$C1164*VLOOKUP($B1164,FoodDB!$A$2:$I$1016,4,0)</f>
        <v>0</v>
      </c>
      <c r="F1164" s="98">
        <f>$C1164*VLOOKUP($B1164,FoodDB!$A$2:$I$1016,5,0)</f>
        <v>0</v>
      </c>
      <c r="G1164" s="98">
        <f>$C1164*VLOOKUP($B1164,FoodDB!$A$2:$I$1016,6,0)</f>
        <v>0</v>
      </c>
      <c r="H1164" s="98">
        <f>$C1164*VLOOKUP($B1164,FoodDB!$A$2:$I$1016,7,0)</f>
        <v>0</v>
      </c>
      <c r="I1164" s="98">
        <f>$C1164*VLOOKUP($B1164,FoodDB!$A$2:$I$1016,8,0)</f>
        <v>0</v>
      </c>
      <c r="J1164" s="98">
        <f>$C1164*VLOOKUP($B1164,FoodDB!$A$2:$I$1016,9,0)</f>
        <v>0</v>
      </c>
      <c r="K1164" s="98"/>
      <c r="L1164" s="98"/>
      <c r="M1164" s="98"/>
      <c r="N1164" s="98"/>
      <c r="O1164" s="98"/>
      <c r="P1164" s="98"/>
      <c r="Q1164" s="98"/>
      <c r="R1164" s="98"/>
      <c r="S1164" s="98"/>
    </row>
    <row r="1165" spans="1:19" x14ac:dyDescent="0.25">
      <c r="B1165" s="94" t="s">
        <v>108</v>
      </c>
      <c r="C1165" s="95">
        <v>1</v>
      </c>
      <c r="D1165" s="98">
        <f>$C1165*VLOOKUP($B1165,FoodDB!$A$2:$I$1016,3,0)</f>
        <v>0</v>
      </c>
      <c r="E1165" s="98">
        <f>$C1165*VLOOKUP($B1165,FoodDB!$A$2:$I$1016,4,0)</f>
        <v>0</v>
      </c>
      <c r="F1165" s="98">
        <f>$C1165*VLOOKUP($B1165,FoodDB!$A$2:$I$1016,5,0)</f>
        <v>0</v>
      </c>
      <c r="G1165" s="98">
        <f>$C1165*VLOOKUP($B1165,FoodDB!$A$2:$I$1016,6,0)</f>
        <v>0</v>
      </c>
      <c r="H1165" s="98">
        <f>$C1165*VLOOKUP($B1165,FoodDB!$A$2:$I$1016,7,0)</f>
        <v>0</v>
      </c>
      <c r="I1165" s="98">
        <f>$C1165*VLOOKUP($B1165,FoodDB!$A$2:$I$1016,8,0)</f>
        <v>0</v>
      </c>
      <c r="J1165" s="98">
        <f>$C1165*VLOOKUP($B1165,FoodDB!$A$2:$I$1016,9,0)</f>
        <v>0</v>
      </c>
      <c r="K1165" s="98"/>
      <c r="L1165" s="98"/>
      <c r="M1165" s="98"/>
      <c r="N1165" s="98"/>
      <c r="O1165" s="98"/>
      <c r="P1165" s="98"/>
      <c r="Q1165" s="98"/>
      <c r="R1165" s="98"/>
      <c r="S1165" s="98"/>
    </row>
    <row r="1166" spans="1:19" x14ac:dyDescent="0.25">
      <c r="B1166" s="94" t="s">
        <v>108</v>
      </c>
      <c r="C1166" s="95">
        <v>1</v>
      </c>
      <c r="D1166" s="98">
        <f>$C1166*VLOOKUP($B1166,FoodDB!$A$2:$I$1016,3,0)</f>
        <v>0</v>
      </c>
      <c r="E1166" s="98">
        <f>$C1166*VLOOKUP($B1166,FoodDB!$A$2:$I$1016,4,0)</f>
        <v>0</v>
      </c>
      <c r="F1166" s="98">
        <f>$C1166*VLOOKUP($B1166,FoodDB!$A$2:$I$1016,5,0)</f>
        <v>0</v>
      </c>
      <c r="G1166" s="98">
        <f>$C1166*VLOOKUP($B1166,FoodDB!$A$2:$I$1016,6,0)</f>
        <v>0</v>
      </c>
      <c r="H1166" s="98">
        <f>$C1166*VLOOKUP($B1166,FoodDB!$A$2:$I$1016,7,0)</f>
        <v>0</v>
      </c>
      <c r="I1166" s="98">
        <f>$C1166*VLOOKUP($B1166,FoodDB!$A$2:$I$1016,8,0)</f>
        <v>0</v>
      </c>
      <c r="J1166" s="98">
        <f>$C1166*VLOOKUP($B1166,FoodDB!$A$2:$I$1016,9,0)</f>
        <v>0</v>
      </c>
      <c r="K1166" s="98"/>
      <c r="L1166" s="98"/>
      <c r="M1166" s="98"/>
      <c r="N1166" s="98"/>
      <c r="O1166" s="98"/>
      <c r="P1166" s="98"/>
      <c r="Q1166" s="98"/>
      <c r="R1166" s="98"/>
      <c r="S1166" s="98"/>
    </row>
    <row r="1167" spans="1:19" x14ac:dyDescent="0.25">
      <c r="A1167" t="s">
        <v>98</v>
      </c>
      <c r="D1167" s="98"/>
      <c r="E1167" s="98"/>
      <c r="F1167" s="98"/>
      <c r="G1167" s="98">
        <f>SUM(G1160:G1166)</f>
        <v>0</v>
      </c>
      <c r="H1167" s="98">
        <f>SUM(H1160:H1166)</f>
        <v>0</v>
      </c>
      <c r="I1167" s="98">
        <f>SUM(I1160:I1166)</f>
        <v>0</v>
      </c>
      <c r="J1167" s="98">
        <f>SUM(G1167:I1167)</f>
        <v>0</v>
      </c>
      <c r="K1167" s="98"/>
      <c r="L1167" s="98"/>
      <c r="M1167" s="98"/>
      <c r="N1167" s="98"/>
      <c r="O1167" s="98"/>
      <c r="P1167" s="98"/>
      <c r="Q1167" s="98"/>
      <c r="R1167" s="98"/>
      <c r="S1167" s="98"/>
    </row>
    <row r="1168" spans="1:19" x14ac:dyDescent="0.25">
      <c r="A1168" t="s">
        <v>102</v>
      </c>
      <c r="B1168" t="s">
        <v>103</v>
      </c>
      <c r="D1168" s="98"/>
      <c r="E1168" s="98"/>
      <c r="F1168" s="98"/>
      <c r="G1168" s="98">
        <f>VLOOKUP($A1160,LossChart!$A$3:$AB$105,14,0)</f>
        <v>829.7947291247915</v>
      </c>
      <c r="H1168" s="98">
        <f>VLOOKUP($A1160,LossChart!$A$3:$AB$105,15,0)</f>
        <v>116</v>
      </c>
      <c r="I1168" s="98">
        <f>VLOOKUP($A1160,LossChart!$A$3:$AB$105,16,0)</f>
        <v>477.30407413615825</v>
      </c>
      <c r="J1168" s="98">
        <f>VLOOKUP($A1160,LossChart!$A$3:$AB$105,17,0)</f>
        <v>1423.0988032609498</v>
      </c>
      <c r="K1168" s="98"/>
      <c r="L1168" s="98"/>
      <c r="M1168" s="98"/>
      <c r="N1168" s="98"/>
      <c r="O1168" s="98"/>
      <c r="P1168" s="98"/>
      <c r="Q1168" s="98"/>
      <c r="R1168" s="98"/>
      <c r="S1168" s="98"/>
    </row>
    <row r="1169" spans="1:19" x14ac:dyDescent="0.25">
      <c r="A1169" t="s">
        <v>104</v>
      </c>
      <c r="D1169" s="98"/>
      <c r="E1169" s="98"/>
      <c r="F1169" s="98"/>
      <c r="G1169" s="98">
        <f>G1168-G1167</f>
        <v>829.7947291247915</v>
      </c>
      <c r="H1169" s="98">
        <f>H1168-H1167</f>
        <v>116</v>
      </c>
      <c r="I1169" s="98">
        <f>I1168-I1167</f>
        <v>477.30407413615825</v>
      </c>
      <c r="J1169" s="98">
        <f>J1168-J1167</f>
        <v>1423.0988032609498</v>
      </c>
      <c r="K1169" s="98"/>
      <c r="L1169" s="98"/>
      <c r="M1169" s="98"/>
      <c r="N1169" s="98"/>
      <c r="O1169" s="98"/>
      <c r="P1169" s="98"/>
      <c r="Q1169" s="98"/>
      <c r="R1169" s="98"/>
      <c r="S1169" s="98"/>
    </row>
    <row r="1171" spans="1:19" ht="60" x14ac:dyDescent="0.25">
      <c r="A1171" s="21" t="s">
        <v>63</v>
      </c>
      <c r="B1171" s="21" t="s">
        <v>93</v>
      </c>
      <c r="C1171" s="21" t="s">
        <v>94</v>
      </c>
      <c r="D1171" s="92" t="str">
        <f>FoodDB!$C$1</f>
        <v>Fat
(g)</v>
      </c>
      <c r="E1171" s="92" t="str">
        <f>FoodDB!$D$1</f>
        <v xml:space="preserve"> Carbs
(g)</v>
      </c>
      <c r="F1171" s="92" t="str">
        <f>FoodDB!$E$1</f>
        <v>Protein
(g)</v>
      </c>
      <c r="G1171" s="92" t="str">
        <f>FoodDB!$F$1</f>
        <v>Fat
(Cal)</v>
      </c>
      <c r="H1171" s="92" t="str">
        <f>FoodDB!$G$1</f>
        <v>Carb
(Cal)</v>
      </c>
      <c r="I1171" s="92" t="str">
        <f>FoodDB!$H$1</f>
        <v>Protein
(Cal)</v>
      </c>
      <c r="J1171" s="92" t="str">
        <f>FoodDB!$I$1</f>
        <v>Total
Calories</v>
      </c>
      <c r="K1171" s="92"/>
      <c r="L1171" s="92" t="s">
        <v>110</v>
      </c>
      <c r="M1171" s="92" t="s">
        <v>111</v>
      </c>
      <c r="N1171" s="92" t="s">
        <v>112</v>
      </c>
      <c r="O1171" s="92" t="s">
        <v>113</v>
      </c>
      <c r="P1171" s="92" t="s">
        <v>118</v>
      </c>
      <c r="Q1171" s="92" t="s">
        <v>119</v>
      </c>
      <c r="R1171" s="92" t="s">
        <v>120</v>
      </c>
      <c r="S1171" s="92" t="s">
        <v>121</v>
      </c>
    </row>
    <row r="1172" spans="1:19" x14ac:dyDescent="0.25">
      <c r="A1172" s="93">
        <f>A1160+1</f>
        <v>43091</v>
      </c>
      <c r="B1172" s="94" t="s">
        <v>108</v>
      </c>
      <c r="C1172" s="95">
        <v>1</v>
      </c>
      <c r="D1172" s="98">
        <f>$C1172*VLOOKUP($B1172,FoodDB!$A$2:$I$1016,3,0)</f>
        <v>0</v>
      </c>
      <c r="E1172" s="98">
        <f>$C1172*VLOOKUP($B1172,FoodDB!$A$2:$I$1016,4,0)</f>
        <v>0</v>
      </c>
      <c r="F1172" s="98">
        <f>$C1172*VLOOKUP($B1172,FoodDB!$A$2:$I$1016,5,0)</f>
        <v>0</v>
      </c>
      <c r="G1172" s="98">
        <f>$C1172*VLOOKUP($B1172,FoodDB!$A$2:$I$1016,6,0)</f>
        <v>0</v>
      </c>
      <c r="H1172" s="98">
        <f>$C1172*VLOOKUP($B1172,FoodDB!$A$2:$I$1016,7,0)</f>
        <v>0</v>
      </c>
      <c r="I1172" s="98">
        <f>$C1172*VLOOKUP($B1172,FoodDB!$A$2:$I$1016,8,0)</f>
        <v>0</v>
      </c>
      <c r="J1172" s="98">
        <f>$C1172*VLOOKUP($B1172,FoodDB!$A$2:$I$1016,9,0)</f>
        <v>0</v>
      </c>
      <c r="K1172" s="98"/>
      <c r="L1172" s="98">
        <f>SUM(G1172:G1178)</f>
        <v>0</v>
      </c>
      <c r="M1172" s="98">
        <f>SUM(H1172:H1178)</f>
        <v>0</v>
      </c>
      <c r="N1172" s="98">
        <f>SUM(I1172:I1178)</f>
        <v>0</v>
      </c>
      <c r="O1172" s="98">
        <f>SUM(L1172:N1172)</f>
        <v>0</v>
      </c>
      <c r="P1172" s="98">
        <f>VLOOKUP($A1172,LossChart!$A$3:$AB$105,14,0)-L1172</f>
        <v>833.62870901890074</v>
      </c>
      <c r="Q1172" s="98">
        <f>VLOOKUP($A1172,LossChart!$A$3:$AB$105,15,0)-M1172</f>
        <v>116</v>
      </c>
      <c r="R1172" s="98">
        <f>VLOOKUP($A1172,LossChart!$A$3:$AB$105,16,0)-N1172</f>
        <v>477.30407413615825</v>
      </c>
      <c r="S1172" s="98">
        <f>VLOOKUP($A1172,LossChart!$A$3:$AB$105,17,0)-O1172</f>
        <v>1426.932783155059</v>
      </c>
    </row>
    <row r="1173" spans="1:19" x14ac:dyDescent="0.25">
      <c r="B1173" s="94" t="s">
        <v>108</v>
      </c>
      <c r="C1173" s="95">
        <v>1</v>
      </c>
      <c r="D1173" s="98">
        <f>$C1173*VLOOKUP($B1173,FoodDB!$A$2:$I$1016,3,0)</f>
        <v>0</v>
      </c>
      <c r="E1173" s="98">
        <f>$C1173*VLOOKUP($B1173,FoodDB!$A$2:$I$1016,4,0)</f>
        <v>0</v>
      </c>
      <c r="F1173" s="98">
        <f>$C1173*VLOOKUP($B1173,FoodDB!$A$2:$I$1016,5,0)</f>
        <v>0</v>
      </c>
      <c r="G1173" s="98">
        <f>$C1173*VLOOKUP($B1173,FoodDB!$A$2:$I$1016,6,0)</f>
        <v>0</v>
      </c>
      <c r="H1173" s="98">
        <f>$C1173*VLOOKUP($B1173,FoodDB!$A$2:$I$1016,7,0)</f>
        <v>0</v>
      </c>
      <c r="I1173" s="98">
        <f>$C1173*VLOOKUP($B1173,FoodDB!$A$2:$I$1016,8,0)</f>
        <v>0</v>
      </c>
      <c r="J1173" s="98">
        <f>$C1173*VLOOKUP($B1173,FoodDB!$A$2:$I$1016,9,0)</f>
        <v>0</v>
      </c>
      <c r="K1173" s="98"/>
      <c r="L1173" s="98"/>
      <c r="M1173" s="98"/>
      <c r="N1173" s="98"/>
      <c r="O1173" s="98"/>
      <c r="P1173" s="98"/>
      <c r="Q1173" s="98"/>
      <c r="R1173" s="98"/>
      <c r="S1173" s="98"/>
    </row>
    <row r="1174" spans="1:19" x14ac:dyDescent="0.25">
      <c r="B1174" s="94" t="s">
        <v>108</v>
      </c>
      <c r="C1174" s="95">
        <v>1</v>
      </c>
      <c r="D1174" s="98">
        <f>$C1174*VLOOKUP($B1174,FoodDB!$A$2:$I$1016,3,0)</f>
        <v>0</v>
      </c>
      <c r="E1174" s="98">
        <f>$C1174*VLOOKUP($B1174,FoodDB!$A$2:$I$1016,4,0)</f>
        <v>0</v>
      </c>
      <c r="F1174" s="98">
        <f>$C1174*VLOOKUP($B1174,FoodDB!$A$2:$I$1016,5,0)</f>
        <v>0</v>
      </c>
      <c r="G1174" s="98">
        <f>$C1174*VLOOKUP($B1174,FoodDB!$A$2:$I$1016,6,0)</f>
        <v>0</v>
      </c>
      <c r="H1174" s="98">
        <f>$C1174*VLOOKUP($B1174,FoodDB!$A$2:$I$1016,7,0)</f>
        <v>0</v>
      </c>
      <c r="I1174" s="98">
        <f>$C1174*VLOOKUP($B1174,FoodDB!$A$2:$I$1016,8,0)</f>
        <v>0</v>
      </c>
      <c r="J1174" s="98">
        <f>$C1174*VLOOKUP($B1174,FoodDB!$A$2:$I$1016,9,0)</f>
        <v>0</v>
      </c>
      <c r="K1174" s="98"/>
      <c r="L1174" s="98"/>
      <c r="M1174" s="98"/>
      <c r="N1174" s="98"/>
      <c r="O1174" s="98"/>
      <c r="P1174" s="98"/>
      <c r="Q1174" s="98"/>
      <c r="R1174" s="98"/>
      <c r="S1174" s="98"/>
    </row>
    <row r="1175" spans="1:19" x14ac:dyDescent="0.25">
      <c r="B1175" s="94" t="s">
        <v>108</v>
      </c>
      <c r="C1175" s="95">
        <v>1</v>
      </c>
      <c r="D1175" s="98">
        <f>$C1175*VLOOKUP($B1175,FoodDB!$A$2:$I$1016,3,0)</f>
        <v>0</v>
      </c>
      <c r="E1175" s="98">
        <f>$C1175*VLOOKUP($B1175,FoodDB!$A$2:$I$1016,4,0)</f>
        <v>0</v>
      </c>
      <c r="F1175" s="98">
        <f>$C1175*VLOOKUP($B1175,FoodDB!$A$2:$I$1016,5,0)</f>
        <v>0</v>
      </c>
      <c r="G1175" s="98">
        <f>$C1175*VLOOKUP($B1175,FoodDB!$A$2:$I$1016,6,0)</f>
        <v>0</v>
      </c>
      <c r="H1175" s="98">
        <f>$C1175*VLOOKUP($B1175,FoodDB!$A$2:$I$1016,7,0)</f>
        <v>0</v>
      </c>
      <c r="I1175" s="98">
        <f>$C1175*VLOOKUP($B1175,FoodDB!$A$2:$I$1016,8,0)</f>
        <v>0</v>
      </c>
      <c r="J1175" s="98">
        <f>$C1175*VLOOKUP($B1175,FoodDB!$A$2:$I$1016,9,0)</f>
        <v>0</v>
      </c>
      <c r="K1175" s="98"/>
      <c r="L1175" s="98"/>
      <c r="M1175" s="98"/>
      <c r="N1175" s="98"/>
      <c r="O1175" s="98"/>
      <c r="P1175" s="98"/>
      <c r="Q1175" s="98"/>
      <c r="R1175" s="98"/>
      <c r="S1175" s="98"/>
    </row>
    <row r="1176" spans="1:19" x14ac:dyDescent="0.25">
      <c r="B1176" s="94" t="s">
        <v>108</v>
      </c>
      <c r="C1176" s="95">
        <v>1</v>
      </c>
      <c r="D1176" s="98">
        <f>$C1176*VLOOKUP($B1176,FoodDB!$A$2:$I$1016,3,0)</f>
        <v>0</v>
      </c>
      <c r="E1176" s="98">
        <f>$C1176*VLOOKUP($B1176,FoodDB!$A$2:$I$1016,4,0)</f>
        <v>0</v>
      </c>
      <c r="F1176" s="98">
        <f>$C1176*VLOOKUP($B1176,FoodDB!$A$2:$I$1016,5,0)</f>
        <v>0</v>
      </c>
      <c r="G1176" s="98">
        <f>$C1176*VLOOKUP($B1176,FoodDB!$A$2:$I$1016,6,0)</f>
        <v>0</v>
      </c>
      <c r="H1176" s="98">
        <f>$C1176*VLOOKUP($B1176,FoodDB!$A$2:$I$1016,7,0)</f>
        <v>0</v>
      </c>
      <c r="I1176" s="98">
        <f>$C1176*VLOOKUP($B1176,FoodDB!$A$2:$I$1016,8,0)</f>
        <v>0</v>
      </c>
      <c r="J1176" s="98">
        <f>$C1176*VLOOKUP($B1176,FoodDB!$A$2:$I$1016,9,0)</f>
        <v>0</v>
      </c>
      <c r="K1176" s="98"/>
      <c r="L1176" s="98"/>
      <c r="M1176" s="98"/>
      <c r="N1176" s="98"/>
      <c r="O1176" s="98"/>
      <c r="P1176" s="98"/>
      <c r="Q1176" s="98"/>
      <c r="R1176" s="98"/>
      <c r="S1176" s="98"/>
    </row>
    <row r="1177" spans="1:19" x14ac:dyDescent="0.25">
      <c r="B1177" s="94" t="s">
        <v>108</v>
      </c>
      <c r="C1177" s="95">
        <v>1</v>
      </c>
      <c r="D1177" s="98">
        <f>$C1177*VLOOKUP($B1177,FoodDB!$A$2:$I$1016,3,0)</f>
        <v>0</v>
      </c>
      <c r="E1177" s="98">
        <f>$C1177*VLOOKUP($B1177,FoodDB!$A$2:$I$1016,4,0)</f>
        <v>0</v>
      </c>
      <c r="F1177" s="98">
        <f>$C1177*VLOOKUP($B1177,FoodDB!$A$2:$I$1016,5,0)</f>
        <v>0</v>
      </c>
      <c r="G1177" s="98">
        <f>$C1177*VLOOKUP($B1177,FoodDB!$A$2:$I$1016,6,0)</f>
        <v>0</v>
      </c>
      <c r="H1177" s="98">
        <f>$C1177*VLOOKUP($B1177,FoodDB!$A$2:$I$1016,7,0)</f>
        <v>0</v>
      </c>
      <c r="I1177" s="98">
        <f>$C1177*VLOOKUP($B1177,FoodDB!$A$2:$I$1016,8,0)</f>
        <v>0</v>
      </c>
      <c r="J1177" s="98">
        <f>$C1177*VLOOKUP($B1177,FoodDB!$A$2:$I$1016,9,0)</f>
        <v>0</v>
      </c>
      <c r="K1177" s="98"/>
      <c r="L1177" s="98"/>
      <c r="M1177" s="98"/>
      <c r="N1177" s="98"/>
      <c r="O1177" s="98"/>
      <c r="P1177" s="98"/>
      <c r="Q1177" s="98"/>
      <c r="R1177" s="98"/>
      <c r="S1177" s="98"/>
    </row>
    <row r="1178" spans="1:19" x14ac:dyDescent="0.25">
      <c r="B1178" s="94" t="s">
        <v>108</v>
      </c>
      <c r="C1178" s="95">
        <v>1</v>
      </c>
      <c r="D1178" s="98">
        <f>$C1178*VLOOKUP($B1178,FoodDB!$A$2:$I$1016,3,0)</f>
        <v>0</v>
      </c>
      <c r="E1178" s="98">
        <f>$C1178*VLOOKUP($B1178,FoodDB!$A$2:$I$1016,4,0)</f>
        <v>0</v>
      </c>
      <c r="F1178" s="98">
        <f>$C1178*VLOOKUP($B1178,FoodDB!$A$2:$I$1016,5,0)</f>
        <v>0</v>
      </c>
      <c r="G1178" s="98">
        <f>$C1178*VLOOKUP($B1178,FoodDB!$A$2:$I$1016,6,0)</f>
        <v>0</v>
      </c>
      <c r="H1178" s="98">
        <f>$C1178*VLOOKUP($B1178,FoodDB!$A$2:$I$1016,7,0)</f>
        <v>0</v>
      </c>
      <c r="I1178" s="98">
        <f>$C1178*VLOOKUP($B1178,FoodDB!$A$2:$I$1016,8,0)</f>
        <v>0</v>
      </c>
      <c r="J1178" s="98">
        <f>$C1178*VLOOKUP($B1178,FoodDB!$A$2:$I$1016,9,0)</f>
        <v>0</v>
      </c>
      <c r="K1178" s="98"/>
      <c r="L1178" s="98"/>
      <c r="M1178" s="98"/>
      <c r="N1178" s="98"/>
      <c r="O1178" s="98"/>
      <c r="P1178" s="98"/>
      <c r="Q1178" s="98"/>
      <c r="R1178" s="98"/>
      <c r="S1178" s="98"/>
    </row>
    <row r="1179" spans="1:19" x14ac:dyDescent="0.25">
      <c r="A1179" t="s">
        <v>98</v>
      </c>
      <c r="D1179" s="98"/>
      <c r="E1179" s="98"/>
      <c r="F1179" s="98"/>
      <c r="G1179" s="98">
        <f>SUM(G1172:G1178)</f>
        <v>0</v>
      </c>
      <c r="H1179" s="98">
        <f>SUM(H1172:H1178)</f>
        <v>0</v>
      </c>
      <c r="I1179" s="98">
        <f>SUM(I1172:I1178)</f>
        <v>0</v>
      </c>
      <c r="J1179" s="98">
        <f>SUM(G1179:I1179)</f>
        <v>0</v>
      </c>
      <c r="K1179" s="98"/>
      <c r="L1179" s="98"/>
      <c r="M1179" s="98"/>
      <c r="N1179" s="98"/>
      <c r="O1179" s="98"/>
      <c r="P1179" s="98"/>
      <c r="Q1179" s="98"/>
      <c r="R1179" s="98"/>
      <c r="S1179" s="98"/>
    </row>
    <row r="1180" spans="1:19" x14ac:dyDescent="0.25">
      <c r="A1180" t="s">
        <v>102</v>
      </c>
      <c r="B1180" t="s">
        <v>103</v>
      </c>
      <c r="D1180" s="98"/>
      <c r="E1180" s="98"/>
      <c r="F1180" s="98"/>
      <c r="G1180" s="98">
        <f>VLOOKUP($A1172,LossChart!$A$3:$AB$105,14,0)</f>
        <v>833.62870901890074</v>
      </c>
      <c r="H1180" s="98">
        <f>VLOOKUP($A1172,LossChart!$A$3:$AB$105,15,0)</f>
        <v>116</v>
      </c>
      <c r="I1180" s="98">
        <f>VLOOKUP($A1172,LossChart!$A$3:$AB$105,16,0)</f>
        <v>477.30407413615825</v>
      </c>
      <c r="J1180" s="98">
        <f>VLOOKUP($A1172,LossChart!$A$3:$AB$105,17,0)</f>
        <v>1426.932783155059</v>
      </c>
      <c r="K1180" s="98"/>
      <c r="L1180" s="98"/>
      <c r="M1180" s="98"/>
      <c r="N1180" s="98"/>
      <c r="O1180" s="98"/>
      <c r="P1180" s="98"/>
      <c r="Q1180" s="98"/>
      <c r="R1180" s="98"/>
      <c r="S1180" s="98"/>
    </row>
    <row r="1181" spans="1:19" x14ac:dyDescent="0.25">
      <c r="A1181" t="s">
        <v>104</v>
      </c>
      <c r="D1181" s="98"/>
      <c r="E1181" s="98"/>
      <c r="F1181" s="98"/>
      <c r="G1181" s="98">
        <f>G1180-G1179</f>
        <v>833.62870901890074</v>
      </c>
      <c r="H1181" s="98">
        <f>H1180-H1179</f>
        <v>116</v>
      </c>
      <c r="I1181" s="98">
        <f>I1180-I1179</f>
        <v>477.30407413615825</v>
      </c>
      <c r="J1181" s="98">
        <f>J1180-J1179</f>
        <v>1426.932783155059</v>
      </c>
      <c r="K1181" s="98"/>
      <c r="L1181" s="98"/>
      <c r="M1181" s="98"/>
      <c r="N1181" s="98"/>
      <c r="O1181" s="98"/>
      <c r="P1181" s="98"/>
      <c r="Q1181" s="98"/>
      <c r="R1181" s="98"/>
      <c r="S1181" s="98"/>
    </row>
    <row r="1183" spans="1:19" ht="60" x14ac:dyDescent="0.25">
      <c r="A1183" s="21" t="s">
        <v>63</v>
      </c>
      <c r="B1183" s="21" t="s">
        <v>93</v>
      </c>
      <c r="C1183" s="21" t="s">
        <v>94</v>
      </c>
      <c r="D1183" s="92" t="str">
        <f>FoodDB!$C$1</f>
        <v>Fat
(g)</v>
      </c>
      <c r="E1183" s="92" t="str">
        <f>FoodDB!$D$1</f>
        <v xml:space="preserve"> Carbs
(g)</v>
      </c>
      <c r="F1183" s="92" t="str">
        <f>FoodDB!$E$1</f>
        <v>Protein
(g)</v>
      </c>
      <c r="G1183" s="92" t="str">
        <f>FoodDB!$F$1</f>
        <v>Fat
(Cal)</v>
      </c>
      <c r="H1183" s="92" t="str">
        <f>FoodDB!$G$1</f>
        <v>Carb
(Cal)</v>
      </c>
      <c r="I1183" s="92" t="str">
        <f>FoodDB!$H$1</f>
        <v>Protein
(Cal)</v>
      </c>
      <c r="J1183" s="92" t="str">
        <f>FoodDB!$I$1</f>
        <v>Total
Calories</v>
      </c>
      <c r="K1183" s="92"/>
      <c r="L1183" s="92" t="s">
        <v>110</v>
      </c>
      <c r="M1183" s="92" t="s">
        <v>111</v>
      </c>
      <c r="N1183" s="92" t="s">
        <v>112</v>
      </c>
      <c r="O1183" s="92" t="s">
        <v>113</v>
      </c>
      <c r="P1183" s="92" t="s">
        <v>118</v>
      </c>
      <c r="Q1183" s="92" t="s">
        <v>119</v>
      </c>
      <c r="R1183" s="92" t="s">
        <v>120</v>
      </c>
      <c r="S1183" s="92" t="s">
        <v>121</v>
      </c>
    </row>
    <row r="1184" spans="1:19" x14ac:dyDescent="0.25">
      <c r="A1184" s="93">
        <f>A1172+1</f>
        <v>43092</v>
      </c>
      <c r="B1184" s="94" t="s">
        <v>108</v>
      </c>
      <c r="C1184" s="95">
        <v>1</v>
      </c>
      <c r="D1184" s="98">
        <f>$C1184*VLOOKUP($B1184,FoodDB!$A$2:$I$1016,3,0)</f>
        <v>0</v>
      </c>
      <c r="E1184" s="98">
        <f>$C1184*VLOOKUP($B1184,FoodDB!$A$2:$I$1016,4,0)</f>
        <v>0</v>
      </c>
      <c r="F1184" s="98">
        <f>$C1184*VLOOKUP($B1184,FoodDB!$A$2:$I$1016,5,0)</f>
        <v>0</v>
      </c>
      <c r="G1184" s="98">
        <f>$C1184*VLOOKUP($B1184,FoodDB!$A$2:$I$1016,6,0)</f>
        <v>0</v>
      </c>
      <c r="H1184" s="98">
        <f>$C1184*VLOOKUP($B1184,FoodDB!$A$2:$I$1016,7,0)</f>
        <v>0</v>
      </c>
      <c r="I1184" s="98">
        <f>$C1184*VLOOKUP($B1184,FoodDB!$A$2:$I$1016,8,0)</f>
        <v>0</v>
      </c>
      <c r="J1184" s="98">
        <f>$C1184*VLOOKUP($B1184,FoodDB!$A$2:$I$1016,9,0)</f>
        <v>0</v>
      </c>
      <c r="K1184" s="98"/>
      <c r="L1184" s="98">
        <f>SUM(G1184:G1190)</f>
        <v>0</v>
      </c>
      <c r="M1184" s="98">
        <f>SUM(H1184:H1190)</f>
        <v>0</v>
      </c>
      <c r="N1184" s="98">
        <f>SUM(I1184:I1190)</f>
        <v>0</v>
      </c>
      <c r="O1184" s="98">
        <f>SUM(L1184:N1184)</f>
        <v>0</v>
      </c>
      <c r="P1184" s="98">
        <f>VLOOKUP($A1184,LossChart!$A$3:$AB$105,14,0)-L1184</f>
        <v>837.42873080537606</v>
      </c>
      <c r="Q1184" s="98">
        <f>VLOOKUP($A1184,LossChart!$A$3:$AB$105,15,0)-M1184</f>
        <v>116</v>
      </c>
      <c r="R1184" s="98">
        <f>VLOOKUP($A1184,LossChart!$A$3:$AB$105,16,0)-N1184</f>
        <v>477.30407413615825</v>
      </c>
      <c r="S1184" s="98">
        <f>VLOOKUP($A1184,LossChart!$A$3:$AB$105,17,0)-O1184</f>
        <v>1430.7328049415344</v>
      </c>
    </row>
    <row r="1185" spans="1:19" x14ac:dyDescent="0.25">
      <c r="B1185" s="94" t="s">
        <v>108</v>
      </c>
      <c r="C1185" s="95">
        <v>1</v>
      </c>
      <c r="D1185" s="98">
        <f>$C1185*VLOOKUP($B1185,FoodDB!$A$2:$I$1016,3,0)</f>
        <v>0</v>
      </c>
      <c r="E1185" s="98">
        <f>$C1185*VLOOKUP($B1185,FoodDB!$A$2:$I$1016,4,0)</f>
        <v>0</v>
      </c>
      <c r="F1185" s="98">
        <f>$C1185*VLOOKUP($B1185,FoodDB!$A$2:$I$1016,5,0)</f>
        <v>0</v>
      </c>
      <c r="G1185" s="98">
        <f>$C1185*VLOOKUP($B1185,FoodDB!$A$2:$I$1016,6,0)</f>
        <v>0</v>
      </c>
      <c r="H1185" s="98">
        <f>$C1185*VLOOKUP($B1185,FoodDB!$A$2:$I$1016,7,0)</f>
        <v>0</v>
      </c>
      <c r="I1185" s="98">
        <f>$C1185*VLOOKUP($B1185,FoodDB!$A$2:$I$1016,8,0)</f>
        <v>0</v>
      </c>
      <c r="J1185" s="98">
        <f>$C1185*VLOOKUP($B1185,FoodDB!$A$2:$I$1016,9,0)</f>
        <v>0</v>
      </c>
      <c r="K1185" s="98"/>
      <c r="L1185" s="98"/>
      <c r="M1185" s="98"/>
      <c r="N1185" s="98"/>
      <c r="O1185" s="98"/>
      <c r="P1185" s="98"/>
      <c r="Q1185" s="98"/>
      <c r="R1185" s="98"/>
      <c r="S1185" s="98"/>
    </row>
    <row r="1186" spans="1:19" x14ac:dyDescent="0.25">
      <c r="B1186" s="94" t="s">
        <v>108</v>
      </c>
      <c r="C1186" s="95">
        <v>1</v>
      </c>
      <c r="D1186" s="98">
        <f>$C1186*VLOOKUP($B1186,FoodDB!$A$2:$I$1016,3,0)</f>
        <v>0</v>
      </c>
      <c r="E1186" s="98">
        <f>$C1186*VLOOKUP($B1186,FoodDB!$A$2:$I$1016,4,0)</f>
        <v>0</v>
      </c>
      <c r="F1186" s="98">
        <f>$C1186*VLOOKUP($B1186,FoodDB!$A$2:$I$1016,5,0)</f>
        <v>0</v>
      </c>
      <c r="G1186" s="98">
        <f>$C1186*VLOOKUP($B1186,FoodDB!$A$2:$I$1016,6,0)</f>
        <v>0</v>
      </c>
      <c r="H1186" s="98">
        <f>$C1186*VLOOKUP($B1186,FoodDB!$A$2:$I$1016,7,0)</f>
        <v>0</v>
      </c>
      <c r="I1186" s="98">
        <f>$C1186*VLOOKUP($B1186,FoodDB!$A$2:$I$1016,8,0)</f>
        <v>0</v>
      </c>
      <c r="J1186" s="98">
        <f>$C1186*VLOOKUP($B1186,FoodDB!$A$2:$I$1016,9,0)</f>
        <v>0</v>
      </c>
      <c r="K1186" s="98"/>
      <c r="L1186" s="98"/>
      <c r="M1186" s="98"/>
      <c r="N1186" s="98"/>
      <c r="O1186" s="98"/>
      <c r="P1186" s="98"/>
      <c r="Q1186" s="98"/>
      <c r="R1186" s="98"/>
      <c r="S1186" s="98"/>
    </row>
    <row r="1187" spans="1:19" x14ac:dyDescent="0.25">
      <c r="B1187" s="94" t="s">
        <v>108</v>
      </c>
      <c r="C1187" s="95">
        <v>1</v>
      </c>
      <c r="D1187" s="98">
        <f>$C1187*VLOOKUP($B1187,FoodDB!$A$2:$I$1016,3,0)</f>
        <v>0</v>
      </c>
      <c r="E1187" s="98">
        <f>$C1187*VLOOKUP($B1187,FoodDB!$A$2:$I$1016,4,0)</f>
        <v>0</v>
      </c>
      <c r="F1187" s="98">
        <f>$C1187*VLOOKUP($B1187,FoodDB!$A$2:$I$1016,5,0)</f>
        <v>0</v>
      </c>
      <c r="G1187" s="98">
        <f>$C1187*VLOOKUP($B1187,FoodDB!$A$2:$I$1016,6,0)</f>
        <v>0</v>
      </c>
      <c r="H1187" s="98">
        <f>$C1187*VLOOKUP($B1187,FoodDB!$A$2:$I$1016,7,0)</f>
        <v>0</v>
      </c>
      <c r="I1187" s="98">
        <f>$C1187*VLOOKUP($B1187,FoodDB!$A$2:$I$1016,8,0)</f>
        <v>0</v>
      </c>
      <c r="J1187" s="98">
        <f>$C1187*VLOOKUP($B1187,FoodDB!$A$2:$I$1016,9,0)</f>
        <v>0</v>
      </c>
      <c r="K1187" s="98"/>
      <c r="L1187" s="98"/>
      <c r="M1187" s="98"/>
      <c r="N1187" s="98"/>
      <c r="O1187" s="98"/>
      <c r="P1187" s="98"/>
      <c r="Q1187" s="98"/>
      <c r="R1187" s="98"/>
      <c r="S1187" s="98"/>
    </row>
    <row r="1188" spans="1:19" x14ac:dyDescent="0.25">
      <c r="B1188" s="94" t="s">
        <v>108</v>
      </c>
      <c r="C1188" s="95">
        <v>1</v>
      </c>
      <c r="D1188" s="98">
        <f>$C1188*VLOOKUP($B1188,FoodDB!$A$2:$I$1016,3,0)</f>
        <v>0</v>
      </c>
      <c r="E1188" s="98">
        <f>$C1188*VLOOKUP($B1188,FoodDB!$A$2:$I$1016,4,0)</f>
        <v>0</v>
      </c>
      <c r="F1188" s="98">
        <f>$C1188*VLOOKUP($B1188,FoodDB!$A$2:$I$1016,5,0)</f>
        <v>0</v>
      </c>
      <c r="G1188" s="98">
        <f>$C1188*VLOOKUP($B1188,FoodDB!$A$2:$I$1016,6,0)</f>
        <v>0</v>
      </c>
      <c r="H1188" s="98">
        <f>$C1188*VLOOKUP($B1188,FoodDB!$A$2:$I$1016,7,0)</f>
        <v>0</v>
      </c>
      <c r="I1188" s="98">
        <f>$C1188*VLOOKUP($B1188,FoodDB!$A$2:$I$1016,8,0)</f>
        <v>0</v>
      </c>
      <c r="J1188" s="98">
        <f>$C1188*VLOOKUP($B1188,FoodDB!$A$2:$I$1016,9,0)</f>
        <v>0</v>
      </c>
      <c r="K1188" s="98"/>
      <c r="L1188" s="98"/>
      <c r="M1188" s="98"/>
      <c r="N1188" s="98"/>
      <c r="O1188" s="98"/>
      <c r="P1188" s="98"/>
      <c r="Q1188" s="98"/>
      <c r="R1188" s="98"/>
      <c r="S1188" s="98"/>
    </row>
    <row r="1189" spans="1:19" x14ac:dyDescent="0.25">
      <c r="B1189" s="94" t="s">
        <v>108</v>
      </c>
      <c r="C1189" s="95">
        <v>1</v>
      </c>
      <c r="D1189" s="98">
        <f>$C1189*VLOOKUP($B1189,FoodDB!$A$2:$I$1016,3,0)</f>
        <v>0</v>
      </c>
      <c r="E1189" s="98">
        <f>$C1189*VLOOKUP($B1189,FoodDB!$A$2:$I$1016,4,0)</f>
        <v>0</v>
      </c>
      <c r="F1189" s="98">
        <f>$C1189*VLOOKUP($B1189,FoodDB!$A$2:$I$1016,5,0)</f>
        <v>0</v>
      </c>
      <c r="G1189" s="98">
        <f>$C1189*VLOOKUP($B1189,FoodDB!$A$2:$I$1016,6,0)</f>
        <v>0</v>
      </c>
      <c r="H1189" s="98">
        <f>$C1189*VLOOKUP($B1189,FoodDB!$A$2:$I$1016,7,0)</f>
        <v>0</v>
      </c>
      <c r="I1189" s="98">
        <f>$C1189*VLOOKUP($B1189,FoodDB!$A$2:$I$1016,8,0)</f>
        <v>0</v>
      </c>
      <c r="J1189" s="98">
        <f>$C1189*VLOOKUP($B1189,FoodDB!$A$2:$I$1016,9,0)</f>
        <v>0</v>
      </c>
      <c r="K1189" s="98"/>
      <c r="L1189" s="98"/>
      <c r="M1189" s="98"/>
      <c r="N1189" s="98"/>
      <c r="O1189" s="98"/>
      <c r="P1189" s="98"/>
      <c r="Q1189" s="98"/>
      <c r="R1189" s="98"/>
      <c r="S1189" s="98"/>
    </row>
    <row r="1190" spans="1:19" x14ac:dyDescent="0.25">
      <c r="B1190" s="94" t="s">
        <v>108</v>
      </c>
      <c r="C1190" s="95">
        <v>1</v>
      </c>
      <c r="D1190" s="98">
        <f>$C1190*VLOOKUP($B1190,FoodDB!$A$2:$I$1016,3,0)</f>
        <v>0</v>
      </c>
      <c r="E1190" s="98">
        <f>$C1190*VLOOKUP($B1190,FoodDB!$A$2:$I$1016,4,0)</f>
        <v>0</v>
      </c>
      <c r="F1190" s="98">
        <f>$C1190*VLOOKUP($B1190,FoodDB!$A$2:$I$1016,5,0)</f>
        <v>0</v>
      </c>
      <c r="G1190" s="98">
        <f>$C1190*VLOOKUP($B1190,FoodDB!$A$2:$I$1016,6,0)</f>
        <v>0</v>
      </c>
      <c r="H1190" s="98">
        <f>$C1190*VLOOKUP($B1190,FoodDB!$A$2:$I$1016,7,0)</f>
        <v>0</v>
      </c>
      <c r="I1190" s="98">
        <f>$C1190*VLOOKUP($B1190,FoodDB!$A$2:$I$1016,8,0)</f>
        <v>0</v>
      </c>
      <c r="J1190" s="98">
        <f>$C1190*VLOOKUP($B1190,FoodDB!$A$2:$I$1016,9,0)</f>
        <v>0</v>
      </c>
      <c r="K1190" s="98"/>
      <c r="L1190" s="98"/>
      <c r="M1190" s="98"/>
      <c r="N1190" s="98"/>
      <c r="O1190" s="98"/>
      <c r="P1190" s="98"/>
      <c r="Q1190" s="98"/>
      <c r="R1190" s="98"/>
      <c r="S1190" s="98"/>
    </row>
    <row r="1191" spans="1:19" x14ac:dyDescent="0.25">
      <c r="A1191" t="s">
        <v>98</v>
      </c>
      <c r="D1191" s="98"/>
      <c r="E1191" s="98"/>
      <c r="F1191" s="98"/>
      <c r="G1191" s="98">
        <f>SUM(G1184:G1190)</f>
        <v>0</v>
      </c>
      <c r="H1191" s="98">
        <f>SUM(H1184:H1190)</f>
        <v>0</v>
      </c>
      <c r="I1191" s="98">
        <f>SUM(I1184:I1190)</f>
        <v>0</v>
      </c>
      <c r="J1191" s="98">
        <f>SUM(G1191:I1191)</f>
        <v>0</v>
      </c>
      <c r="K1191" s="98"/>
      <c r="L1191" s="98"/>
      <c r="M1191" s="98"/>
      <c r="N1191" s="98"/>
      <c r="O1191" s="98"/>
      <c r="P1191" s="98"/>
      <c r="Q1191" s="98"/>
      <c r="R1191" s="98"/>
      <c r="S1191" s="98"/>
    </row>
    <row r="1192" spans="1:19" x14ac:dyDescent="0.25">
      <c r="A1192" t="s">
        <v>102</v>
      </c>
      <c r="B1192" t="s">
        <v>103</v>
      </c>
      <c r="D1192" s="98"/>
      <c r="E1192" s="98"/>
      <c r="F1192" s="98"/>
      <c r="G1192" s="98">
        <f>VLOOKUP($A1184,LossChart!$A$3:$AB$105,14,0)</f>
        <v>837.42873080537606</v>
      </c>
      <c r="H1192" s="98">
        <f>VLOOKUP($A1184,LossChart!$A$3:$AB$105,15,0)</f>
        <v>116</v>
      </c>
      <c r="I1192" s="98">
        <f>VLOOKUP($A1184,LossChart!$A$3:$AB$105,16,0)</f>
        <v>477.30407413615825</v>
      </c>
      <c r="J1192" s="98">
        <f>VLOOKUP($A1184,LossChart!$A$3:$AB$105,17,0)</f>
        <v>1430.7328049415344</v>
      </c>
      <c r="K1192" s="98"/>
      <c r="L1192" s="98"/>
      <c r="M1192" s="98"/>
      <c r="N1192" s="98"/>
      <c r="O1192" s="98"/>
      <c r="P1192" s="98"/>
      <c r="Q1192" s="98"/>
      <c r="R1192" s="98"/>
      <c r="S1192" s="98"/>
    </row>
    <row r="1193" spans="1:19" x14ac:dyDescent="0.25">
      <c r="A1193" t="s">
        <v>104</v>
      </c>
      <c r="D1193" s="98"/>
      <c r="E1193" s="98"/>
      <c r="F1193" s="98"/>
      <c r="G1193" s="98">
        <f>G1192-G1191</f>
        <v>837.42873080537606</v>
      </c>
      <c r="H1193" s="98">
        <f>H1192-H1191</f>
        <v>116</v>
      </c>
      <c r="I1193" s="98">
        <f>I1192-I1191</f>
        <v>477.30407413615825</v>
      </c>
      <c r="J1193" s="98">
        <f>J1192-J1191</f>
        <v>1430.7328049415344</v>
      </c>
      <c r="K1193" s="98"/>
      <c r="L1193" s="98"/>
      <c r="M1193" s="98"/>
      <c r="N1193" s="98"/>
      <c r="O1193" s="98"/>
      <c r="P1193" s="98"/>
      <c r="Q1193" s="98"/>
      <c r="R1193" s="98"/>
      <c r="S1193" s="98"/>
    </row>
    <row r="1195" spans="1:19" ht="60" x14ac:dyDescent="0.25">
      <c r="A1195" s="21" t="s">
        <v>63</v>
      </c>
      <c r="B1195" s="21" t="s">
        <v>93</v>
      </c>
      <c r="C1195" s="21" t="s">
        <v>94</v>
      </c>
      <c r="D1195" s="92" t="str">
        <f>FoodDB!$C$1</f>
        <v>Fat
(g)</v>
      </c>
      <c r="E1195" s="92" t="str">
        <f>FoodDB!$D$1</f>
        <v xml:space="preserve"> Carbs
(g)</v>
      </c>
      <c r="F1195" s="92" t="str">
        <f>FoodDB!$E$1</f>
        <v>Protein
(g)</v>
      </c>
      <c r="G1195" s="92" t="str">
        <f>FoodDB!$F$1</f>
        <v>Fat
(Cal)</v>
      </c>
      <c r="H1195" s="92" t="str">
        <f>FoodDB!$G$1</f>
        <v>Carb
(Cal)</v>
      </c>
      <c r="I1195" s="92" t="str">
        <f>FoodDB!$H$1</f>
        <v>Protein
(Cal)</v>
      </c>
      <c r="J1195" s="92" t="str">
        <f>FoodDB!$I$1</f>
        <v>Total
Calories</v>
      </c>
      <c r="K1195" s="92"/>
      <c r="L1195" s="92" t="s">
        <v>110</v>
      </c>
      <c r="M1195" s="92" t="s">
        <v>111</v>
      </c>
      <c r="N1195" s="92" t="s">
        <v>112</v>
      </c>
      <c r="O1195" s="92" t="s">
        <v>113</v>
      </c>
      <c r="P1195" s="92" t="s">
        <v>118</v>
      </c>
      <c r="Q1195" s="92" t="s">
        <v>119</v>
      </c>
      <c r="R1195" s="92" t="s">
        <v>120</v>
      </c>
      <c r="S1195" s="92" t="s">
        <v>121</v>
      </c>
    </row>
    <row r="1196" spans="1:19" x14ac:dyDescent="0.25">
      <c r="A1196" s="93">
        <f>A1184+1</f>
        <v>43093</v>
      </c>
      <c r="B1196" s="94" t="s">
        <v>108</v>
      </c>
      <c r="C1196" s="95">
        <v>1</v>
      </c>
      <c r="D1196" s="98">
        <f>$C1196*VLOOKUP($B1196,FoodDB!$A$2:$I$1016,3,0)</f>
        <v>0</v>
      </c>
      <c r="E1196" s="98">
        <f>$C1196*VLOOKUP($B1196,FoodDB!$A$2:$I$1016,4,0)</f>
        <v>0</v>
      </c>
      <c r="F1196" s="98">
        <f>$C1196*VLOOKUP($B1196,FoodDB!$A$2:$I$1016,5,0)</f>
        <v>0</v>
      </c>
      <c r="G1196" s="98">
        <f>$C1196*VLOOKUP($B1196,FoodDB!$A$2:$I$1016,6,0)</f>
        <v>0</v>
      </c>
      <c r="H1196" s="98">
        <f>$C1196*VLOOKUP($B1196,FoodDB!$A$2:$I$1016,7,0)</f>
        <v>0</v>
      </c>
      <c r="I1196" s="98">
        <f>$C1196*VLOOKUP($B1196,FoodDB!$A$2:$I$1016,8,0)</f>
        <v>0</v>
      </c>
      <c r="J1196" s="98">
        <f>$C1196*VLOOKUP($B1196,FoodDB!$A$2:$I$1016,9,0)</f>
        <v>0</v>
      </c>
      <c r="K1196" s="98"/>
      <c r="L1196" s="98">
        <f>SUM(G1196:G1202)</f>
        <v>0</v>
      </c>
      <c r="M1196" s="98">
        <f>SUM(H1196:H1202)</f>
        <v>0</v>
      </c>
      <c r="N1196" s="98">
        <f>SUM(I1196:I1202)</f>
        <v>0</v>
      </c>
      <c r="O1196" s="98">
        <f>SUM(L1196:N1196)</f>
        <v>0</v>
      </c>
      <c r="P1196" s="98">
        <f>VLOOKUP($A1196,LossChart!$A$3:$AB$105,14,0)-L1196</f>
        <v>841.19509525602825</v>
      </c>
      <c r="Q1196" s="98">
        <f>VLOOKUP($A1196,LossChart!$A$3:$AB$105,15,0)-M1196</f>
        <v>116</v>
      </c>
      <c r="R1196" s="98">
        <f>VLOOKUP($A1196,LossChart!$A$3:$AB$105,16,0)-N1196</f>
        <v>477.30407413615825</v>
      </c>
      <c r="S1196" s="98">
        <f>VLOOKUP($A1196,LossChart!$A$3:$AB$105,17,0)-O1196</f>
        <v>1434.4991693921866</v>
      </c>
    </row>
    <row r="1197" spans="1:19" x14ac:dyDescent="0.25">
      <c r="B1197" s="94" t="s">
        <v>108</v>
      </c>
      <c r="C1197" s="95">
        <v>1</v>
      </c>
      <c r="D1197" s="98">
        <f>$C1197*VLOOKUP($B1197,FoodDB!$A$2:$I$1016,3,0)</f>
        <v>0</v>
      </c>
      <c r="E1197" s="98">
        <f>$C1197*VLOOKUP($B1197,FoodDB!$A$2:$I$1016,4,0)</f>
        <v>0</v>
      </c>
      <c r="F1197" s="98">
        <f>$C1197*VLOOKUP($B1197,FoodDB!$A$2:$I$1016,5,0)</f>
        <v>0</v>
      </c>
      <c r="G1197" s="98">
        <f>$C1197*VLOOKUP($B1197,FoodDB!$A$2:$I$1016,6,0)</f>
        <v>0</v>
      </c>
      <c r="H1197" s="98">
        <f>$C1197*VLOOKUP($B1197,FoodDB!$A$2:$I$1016,7,0)</f>
        <v>0</v>
      </c>
      <c r="I1197" s="98">
        <f>$C1197*VLOOKUP($B1197,FoodDB!$A$2:$I$1016,8,0)</f>
        <v>0</v>
      </c>
      <c r="J1197" s="98">
        <f>$C1197*VLOOKUP($B1197,FoodDB!$A$2:$I$1016,9,0)</f>
        <v>0</v>
      </c>
      <c r="K1197" s="98"/>
      <c r="L1197" s="98"/>
      <c r="M1197" s="98"/>
      <c r="N1197" s="98"/>
      <c r="O1197" s="98"/>
      <c r="P1197" s="98"/>
      <c r="Q1197" s="98"/>
      <c r="R1197" s="98"/>
      <c r="S1197" s="98"/>
    </row>
    <row r="1198" spans="1:19" x14ac:dyDescent="0.25">
      <c r="B1198" s="94" t="s">
        <v>108</v>
      </c>
      <c r="C1198" s="95">
        <v>1</v>
      </c>
      <c r="D1198" s="98">
        <f>$C1198*VLOOKUP($B1198,FoodDB!$A$2:$I$1016,3,0)</f>
        <v>0</v>
      </c>
      <c r="E1198" s="98">
        <f>$C1198*VLOOKUP($B1198,FoodDB!$A$2:$I$1016,4,0)</f>
        <v>0</v>
      </c>
      <c r="F1198" s="98">
        <f>$C1198*VLOOKUP($B1198,FoodDB!$A$2:$I$1016,5,0)</f>
        <v>0</v>
      </c>
      <c r="G1198" s="98">
        <f>$C1198*VLOOKUP($B1198,FoodDB!$A$2:$I$1016,6,0)</f>
        <v>0</v>
      </c>
      <c r="H1198" s="98">
        <f>$C1198*VLOOKUP($B1198,FoodDB!$A$2:$I$1016,7,0)</f>
        <v>0</v>
      </c>
      <c r="I1198" s="98">
        <f>$C1198*VLOOKUP($B1198,FoodDB!$A$2:$I$1016,8,0)</f>
        <v>0</v>
      </c>
      <c r="J1198" s="98">
        <f>$C1198*VLOOKUP($B1198,FoodDB!$A$2:$I$1016,9,0)</f>
        <v>0</v>
      </c>
      <c r="K1198" s="98"/>
      <c r="L1198" s="98"/>
      <c r="M1198" s="98"/>
      <c r="N1198" s="98"/>
      <c r="O1198" s="98"/>
      <c r="P1198" s="98"/>
      <c r="Q1198" s="98"/>
      <c r="R1198" s="98"/>
      <c r="S1198" s="98"/>
    </row>
    <row r="1199" spans="1:19" x14ac:dyDescent="0.25">
      <c r="B1199" s="94" t="s">
        <v>108</v>
      </c>
      <c r="C1199" s="95">
        <v>1</v>
      </c>
      <c r="D1199" s="98">
        <f>$C1199*VLOOKUP($B1199,FoodDB!$A$2:$I$1016,3,0)</f>
        <v>0</v>
      </c>
      <c r="E1199" s="98">
        <f>$C1199*VLOOKUP($B1199,FoodDB!$A$2:$I$1016,4,0)</f>
        <v>0</v>
      </c>
      <c r="F1199" s="98">
        <f>$C1199*VLOOKUP($B1199,FoodDB!$A$2:$I$1016,5,0)</f>
        <v>0</v>
      </c>
      <c r="G1199" s="98">
        <f>$C1199*VLOOKUP($B1199,FoodDB!$A$2:$I$1016,6,0)</f>
        <v>0</v>
      </c>
      <c r="H1199" s="98">
        <f>$C1199*VLOOKUP($B1199,FoodDB!$A$2:$I$1016,7,0)</f>
        <v>0</v>
      </c>
      <c r="I1199" s="98">
        <f>$C1199*VLOOKUP($B1199,FoodDB!$A$2:$I$1016,8,0)</f>
        <v>0</v>
      </c>
      <c r="J1199" s="98">
        <f>$C1199*VLOOKUP($B1199,FoodDB!$A$2:$I$1016,9,0)</f>
        <v>0</v>
      </c>
      <c r="K1199" s="98"/>
      <c r="L1199" s="98"/>
      <c r="M1199" s="98"/>
      <c r="N1199" s="98"/>
      <c r="O1199" s="98"/>
      <c r="P1199" s="98"/>
      <c r="Q1199" s="98"/>
      <c r="R1199" s="98"/>
      <c r="S1199" s="98"/>
    </row>
    <row r="1200" spans="1:19" x14ac:dyDescent="0.25">
      <c r="B1200" s="94" t="s">
        <v>108</v>
      </c>
      <c r="C1200" s="95">
        <v>1</v>
      </c>
      <c r="D1200" s="98">
        <f>$C1200*VLOOKUP($B1200,FoodDB!$A$2:$I$1016,3,0)</f>
        <v>0</v>
      </c>
      <c r="E1200" s="98">
        <f>$C1200*VLOOKUP($B1200,FoodDB!$A$2:$I$1016,4,0)</f>
        <v>0</v>
      </c>
      <c r="F1200" s="98">
        <f>$C1200*VLOOKUP($B1200,FoodDB!$A$2:$I$1016,5,0)</f>
        <v>0</v>
      </c>
      <c r="G1200" s="98">
        <f>$C1200*VLOOKUP($B1200,FoodDB!$A$2:$I$1016,6,0)</f>
        <v>0</v>
      </c>
      <c r="H1200" s="98">
        <f>$C1200*VLOOKUP($B1200,FoodDB!$A$2:$I$1016,7,0)</f>
        <v>0</v>
      </c>
      <c r="I1200" s="98">
        <f>$C1200*VLOOKUP($B1200,FoodDB!$A$2:$I$1016,8,0)</f>
        <v>0</v>
      </c>
      <c r="J1200" s="98">
        <f>$C1200*VLOOKUP($B1200,FoodDB!$A$2:$I$1016,9,0)</f>
        <v>0</v>
      </c>
      <c r="K1200" s="98"/>
      <c r="L1200" s="98"/>
      <c r="M1200" s="98"/>
      <c r="N1200" s="98"/>
      <c r="O1200" s="98"/>
      <c r="P1200" s="98"/>
      <c r="Q1200" s="98"/>
      <c r="R1200" s="98"/>
      <c r="S1200" s="98"/>
    </row>
    <row r="1201" spans="1:19" x14ac:dyDescent="0.25">
      <c r="B1201" s="94" t="s">
        <v>108</v>
      </c>
      <c r="C1201" s="95">
        <v>1</v>
      </c>
      <c r="D1201" s="98">
        <f>$C1201*VLOOKUP($B1201,FoodDB!$A$2:$I$1016,3,0)</f>
        <v>0</v>
      </c>
      <c r="E1201" s="98">
        <f>$C1201*VLOOKUP($B1201,FoodDB!$A$2:$I$1016,4,0)</f>
        <v>0</v>
      </c>
      <c r="F1201" s="98">
        <f>$C1201*VLOOKUP($B1201,FoodDB!$A$2:$I$1016,5,0)</f>
        <v>0</v>
      </c>
      <c r="G1201" s="98">
        <f>$C1201*VLOOKUP($B1201,FoodDB!$A$2:$I$1016,6,0)</f>
        <v>0</v>
      </c>
      <c r="H1201" s="98">
        <f>$C1201*VLOOKUP($B1201,FoodDB!$A$2:$I$1016,7,0)</f>
        <v>0</v>
      </c>
      <c r="I1201" s="98">
        <f>$C1201*VLOOKUP($B1201,FoodDB!$A$2:$I$1016,8,0)</f>
        <v>0</v>
      </c>
      <c r="J1201" s="98">
        <f>$C1201*VLOOKUP($B1201,FoodDB!$A$2:$I$1016,9,0)</f>
        <v>0</v>
      </c>
      <c r="K1201" s="98"/>
      <c r="L1201" s="98"/>
      <c r="M1201" s="98"/>
      <c r="N1201" s="98"/>
      <c r="O1201" s="98"/>
      <c r="P1201" s="98"/>
      <c r="Q1201" s="98"/>
      <c r="R1201" s="98"/>
      <c r="S1201" s="98"/>
    </row>
    <row r="1202" spans="1:19" x14ac:dyDescent="0.25">
      <c r="B1202" s="94" t="s">
        <v>108</v>
      </c>
      <c r="C1202" s="95">
        <v>1</v>
      </c>
      <c r="D1202" s="98">
        <f>$C1202*VLOOKUP($B1202,FoodDB!$A$2:$I$1016,3,0)</f>
        <v>0</v>
      </c>
      <c r="E1202" s="98">
        <f>$C1202*VLOOKUP($B1202,FoodDB!$A$2:$I$1016,4,0)</f>
        <v>0</v>
      </c>
      <c r="F1202" s="98">
        <f>$C1202*VLOOKUP($B1202,FoodDB!$A$2:$I$1016,5,0)</f>
        <v>0</v>
      </c>
      <c r="G1202" s="98">
        <f>$C1202*VLOOKUP($B1202,FoodDB!$A$2:$I$1016,6,0)</f>
        <v>0</v>
      </c>
      <c r="H1202" s="98">
        <f>$C1202*VLOOKUP($B1202,FoodDB!$A$2:$I$1016,7,0)</f>
        <v>0</v>
      </c>
      <c r="I1202" s="98">
        <f>$C1202*VLOOKUP($B1202,FoodDB!$A$2:$I$1016,8,0)</f>
        <v>0</v>
      </c>
      <c r="J1202" s="98">
        <f>$C1202*VLOOKUP($B1202,FoodDB!$A$2:$I$1016,9,0)</f>
        <v>0</v>
      </c>
      <c r="K1202" s="98"/>
      <c r="L1202" s="98"/>
      <c r="M1202" s="98"/>
      <c r="N1202" s="98"/>
      <c r="O1202" s="98"/>
      <c r="P1202" s="98"/>
      <c r="Q1202" s="98"/>
      <c r="R1202" s="98"/>
      <c r="S1202" s="98"/>
    </row>
    <row r="1203" spans="1:19" x14ac:dyDescent="0.25">
      <c r="A1203" t="s">
        <v>98</v>
      </c>
      <c r="D1203" s="98"/>
      <c r="E1203" s="98"/>
      <c r="F1203" s="98"/>
      <c r="G1203" s="98">
        <f>SUM(G1196:G1202)</f>
        <v>0</v>
      </c>
      <c r="H1203" s="98">
        <f>SUM(H1196:H1202)</f>
        <v>0</v>
      </c>
      <c r="I1203" s="98">
        <f>SUM(I1196:I1202)</f>
        <v>0</v>
      </c>
      <c r="J1203" s="98">
        <f>SUM(G1203:I1203)</f>
        <v>0</v>
      </c>
      <c r="K1203" s="98"/>
      <c r="L1203" s="98"/>
      <c r="M1203" s="98"/>
      <c r="N1203" s="98"/>
      <c r="O1203" s="98"/>
      <c r="P1203" s="98"/>
      <c r="Q1203" s="98"/>
      <c r="R1203" s="98"/>
      <c r="S1203" s="98"/>
    </row>
    <row r="1204" spans="1:19" x14ac:dyDescent="0.25">
      <c r="A1204" t="s">
        <v>102</v>
      </c>
      <c r="B1204" t="s">
        <v>103</v>
      </c>
      <c r="D1204" s="98"/>
      <c r="E1204" s="98"/>
      <c r="F1204" s="98"/>
      <c r="G1204" s="98">
        <f>VLOOKUP($A1196,LossChart!$A$3:$AB$105,14,0)</f>
        <v>841.19509525602825</v>
      </c>
      <c r="H1204" s="98">
        <f>VLOOKUP($A1196,LossChart!$A$3:$AB$105,15,0)</f>
        <v>116</v>
      </c>
      <c r="I1204" s="98">
        <f>VLOOKUP($A1196,LossChart!$A$3:$AB$105,16,0)</f>
        <v>477.30407413615825</v>
      </c>
      <c r="J1204" s="98">
        <f>VLOOKUP($A1196,LossChart!$A$3:$AB$105,17,0)</f>
        <v>1434.4991693921866</v>
      </c>
      <c r="K1204" s="98"/>
      <c r="L1204" s="98"/>
      <c r="M1204" s="98"/>
      <c r="N1204" s="98"/>
      <c r="O1204" s="98"/>
      <c r="P1204" s="98"/>
      <c r="Q1204" s="98"/>
      <c r="R1204" s="98"/>
      <c r="S1204" s="98"/>
    </row>
    <row r="1205" spans="1:19" x14ac:dyDescent="0.25">
      <c r="A1205" t="s">
        <v>104</v>
      </c>
      <c r="D1205" s="98"/>
      <c r="E1205" s="98"/>
      <c r="F1205" s="98"/>
      <c r="G1205" s="98">
        <f>G1204-G1203</f>
        <v>841.19509525602825</v>
      </c>
      <c r="H1205" s="98">
        <f>H1204-H1203</f>
        <v>116</v>
      </c>
      <c r="I1205" s="98">
        <f>I1204-I1203</f>
        <v>477.30407413615825</v>
      </c>
      <c r="J1205" s="98">
        <f>J1204-J1203</f>
        <v>1434.4991693921866</v>
      </c>
      <c r="K1205" s="98"/>
      <c r="L1205" s="98"/>
      <c r="M1205" s="98"/>
      <c r="N1205" s="98"/>
      <c r="O1205" s="98"/>
      <c r="P1205" s="98"/>
      <c r="Q1205" s="98"/>
      <c r="R1205" s="98"/>
      <c r="S1205" s="98"/>
    </row>
    <row r="1207" spans="1:19" ht="60" x14ac:dyDescent="0.25">
      <c r="A1207" s="21" t="s">
        <v>63</v>
      </c>
      <c r="B1207" s="21" t="s">
        <v>93</v>
      </c>
      <c r="C1207" s="21" t="s">
        <v>94</v>
      </c>
      <c r="D1207" s="92" t="str">
        <f>FoodDB!$C$1</f>
        <v>Fat
(g)</v>
      </c>
      <c r="E1207" s="92" t="str">
        <f>FoodDB!$D$1</f>
        <v xml:space="preserve"> Carbs
(g)</v>
      </c>
      <c r="F1207" s="92" t="str">
        <f>FoodDB!$E$1</f>
        <v>Protein
(g)</v>
      </c>
      <c r="G1207" s="92" t="str">
        <f>FoodDB!$F$1</f>
        <v>Fat
(Cal)</v>
      </c>
      <c r="H1207" s="92" t="str">
        <f>FoodDB!$G$1</f>
        <v>Carb
(Cal)</v>
      </c>
      <c r="I1207" s="92" t="str">
        <f>FoodDB!$H$1</f>
        <v>Protein
(Cal)</v>
      </c>
      <c r="J1207" s="92" t="str">
        <f>FoodDB!$I$1</f>
        <v>Total
Calories</v>
      </c>
      <c r="K1207" s="92"/>
      <c r="L1207" s="92" t="s">
        <v>110</v>
      </c>
      <c r="M1207" s="92" t="s">
        <v>111</v>
      </c>
      <c r="N1207" s="92" t="s">
        <v>112</v>
      </c>
      <c r="O1207" s="92" t="s">
        <v>113</v>
      </c>
      <c r="P1207" s="92" t="s">
        <v>118</v>
      </c>
      <c r="Q1207" s="92" t="s">
        <v>119</v>
      </c>
      <c r="R1207" s="92" t="s">
        <v>120</v>
      </c>
      <c r="S1207" s="92" t="s">
        <v>121</v>
      </c>
    </row>
    <row r="1208" spans="1:19" x14ac:dyDescent="0.25">
      <c r="A1208" s="93">
        <f>A1196+1</f>
        <v>43094</v>
      </c>
      <c r="B1208" s="94" t="s">
        <v>108</v>
      </c>
      <c r="C1208" s="95">
        <v>1</v>
      </c>
      <c r="D1208" s="98">
        <f>$C1208*VLOOKUP($B1208,FoodDB!$A$2:$I$1016,3,0)</f>
        <v>0</v>
      </c>
      <c r="E1208" s="98">
        <f>$C1208*VLOOKUP($B1208,FoodDB!$A$2:$I$1016,4,0)</f>
        <v>0</v>
      </c>
      <c r="F1208" s="98">
        <f>$C1208*VLOOKUP($B1208,FoodDB!$A$2:$I$1016,5,0)</f>
        <v>0</v>
      </c>
      <c r="G1208" s="98">
        <f>$C1208*VLOOKUP($B1208,FoodDB!$A$2:$I$1016,6,0)</f>
        <v>0</v>
      </c>
      <c r="H1208" s="98">
        <f>$C1208*VLOOKUP($B1208,FoodDB!$A$2:$I$1016,7,0)</f>
        <v>0</v>
      </c>
      <c r="I1208" s="98">
        <f>$C1208*VLOOKUP($B1208,FoodDB!$A$2:$I$1016,8,0)</f>
        <v>0</v>
      </c>
      <c r="J1208" s="98">
        <f>$C1208*VLOOKUP($B1208,FoodDB!$A$2:$I$1016,9,0)</f>
        <v>0</v>
      </c>
      <c r="K1208" s="98"/>
      <c r="L1208" s="98">
        <f>SUM(G1208:G1214)</f>
        <v>0</v>
      </c>
      <c r="M1208" s="98">
        <f>SUM(H1208:H1214)</f>
        <v>0</v>
      </c>
      <c r="N1208" s="98">
        <f>SUM(I1208:I1214)</f>
        <v>0</v>
      </c>
      <c r="O1208" s="98">
        <f>SUM(L1208:N1208)</f>
        <v>0</v>
      </c>
      <c r="P1208" s="98">
        <f>VLOOKUP($A1208,LossChart!$A$3:$AB$105,14,0)-L1208</f>
        <v>844.92810047868943</v>
      </c>
      <c r="Q1208" s="98">
        <f>VLOOKUP($A1208,LossChart!$A$3:$AB$105,15,0)-M1208</f>
        <v>116</v>
      </c>
      <c r="R1208" s="98">
        <f>VLOOKUP($A1208,LossChart!$A$3:$AB$105,16,0)-N1208</f>
        <v>477.30407413615825</v>
      </c>
      <c r="S1208" s="98">
        <f>VLOOKUP($A1208,LossChart!$A$3:$AB$105,17,0)-O1208</f>
        <v>1438.2321746148477</v>
      </c>
    </row>
    <row r="1209" spans="1:19" x14ac:dyDescent="0.25">
      <c r="B1209" s="94" t="s">
        <v>108</v>
      </c>
      <c r="C1209" s="95">
        <v>1</v>
      </c>
      <c r="D1209" s="98">
        <f>$C1209*VLOOKUP($B1209,FoodDB!$A$2:$I$1016,3,0)</f>
        <v>0</v>
      </c>
      <c r="E1209" s="98">
        <f>$C1209*VLOOKUP($B1209,FoodDB!$A$2:$I$1016,4,0)</f>
        <v>0</v>
      </c>
      <c r="F1209" s="98">
        <f>$C1209*VLOOKUP($B1209,FoodDB!$A$2:$I$1016,5,0)</f>
        <v>0</v>
      </c>
      <c r="G1209" s="98">
        <f>$C1209*VLOOKUP($B1209,FoodDB!$A$2:$I$1016,6,0)</f>
        <v>0</v>
      </c>
      <c r="H1209" s="98">
        <f>$C1209*VLOOKUP($B1209,FoodDB!$A$2:$I$1016,7,0)</f>
        <v>0</v>
      </c>
      <c r="I1209" s="98">
        <f>$C1209*VLOOKUP($B1209,FoodDB!$A$2:$I$1016,8,0)</f>
        <v>0</v>
      </c>
      <c r="J1209" s="98">
        <f>$C1209*VLOOKUP($B1209,FoodDB!$A$2:$I$1016,9,0)</f>
        <v>0</v>
      </c>
      <c r="K1209" s="98"/>
      <c r="L1209" s="98"/>
      <c r="M1209" s="98"/>
      <c r="N1209" s="98"/>
      <c r="O1209" s="98"/>
      <c r="P1209" s="98"/>
      <c r="Q1209" s="98"/>
      <c r="R1209" s="98"/>
      <c r="S1209" s="98"/>
    </row>
    <row r="1210" spans="1:19" x14ac:dyDescent="0.25">
      <c r="B1210" s="94" t="s">
        <v>108</v>
      </c>
      <c r="C1210" s="95">
        <v>1</v>
      </c>
      <c r="D1210" s="98">
        <f>$C1210*VLOOKUP($B1210,FoodDB!$A$2:$I$1016,3,0)</f>
        <v>0</v>
      </c>
      <c r="E1210" s="98">
        <f>$C1210*VLOOKUP($B1210,FoodDB!$A$2:$I$1016,4,0)</f>
        <v>0</v>
      </c>
      <c r="F1210" s="98">
        <f>$C1210*VLOOKUP($B1210,FoodDB!$A$2:$I$1016,5,0)</f>
        <v>0</v>
      </c>
      <c r="G1210" s="98">
        <f>$C1210*VLOOKUP($B1210,FoodDB!$A$2:$I$1016,6,0)</f>
        <v>0</v>
      </c>
      <c r="H1210" s="98">
        <f>$C1210*VLOOKUP($B1210,FoodDB!$A$2:$I$1016,7,0)</f>
        <v>0</v>
      </c>
      <c r="I1210" s="98">
        <f>$C1210*VLOOKUP($B1210,FoodDB!$A$2:$I$1016,8,0)</f>
        <v>0</v>
      </c>
      <c r="J1210" s="98">
        <f>$C1210*VLOOKUP($B1210,FoodDB!$A$2:$I$1016,9,0)</f>
        <v>0</v>
      </c>
      <c r="K1210" s="98"/>
      <c r="L1210" s="98"/>
      <c r="M1210" s="98"/>
      <c r="N1210" s="98"/>
      <c r="O1210" s="98"/>
      <c r="P1210" s="98"/>
      <c r="Q1210" s="98"/>
      <c r="R1210" s="98"/>
      <c r="S1210" s="98"/>
    </row>
    <row r="1211" spans="1:19" x14ac:dyDescent="0.25">
      <c r="B1211" s="94" t="s">
        <v>108</v>
      </c>
      <c r="C1211" s="95">
        <v>1</v>
      </c>
      <c r="D1211" s="98">
        <f>$C1211*VLOOKUP($B1211,FoodDB!$A$2:$I$1016,3,0)</f>
        <v>0</v>
      </c>
      <c r="E1211" s="98">
        <f>$C1211*VLOOKUP($B1211,FoodDB!$A$2:$I$1016,4,0)</f>
        <v>0</v>
      </c>
      <c r="F1211" s="98">
        <f>$C1211*VLOOKUP($B1211,FoodDB!$A$2:$I$1016,5,0)</f>
        <v>0</v>
      </c>
      <c r="G1211" s="98">
        <f>$C1211*VLOOKUP($B1211,FoodDB!$A$2:$I$1016,6,0)</f>
        <v>0</v>
      </c>
      <c r="H1211" s="98">
        <f>$C1211*VLOOKUP($B1211,FoodDB!$A$2:$I$1016,7,0)</f>
        <v>0</v>
      </c>
      <c r="I1211" s="98">
        <f>$C1211*VLOOKUP($B1211,FoodDB!$A$2:$I$1016,8,0)</f>
        <v>0</v>
      </c>
      <c r="J1211" s="98">
        <f>$C1211*VLOOKUP($B1211,FoodDB!$A$2:$I$1016,9,0)</f>
        <v>0</v>
      </c>
      <c r="K1211" s="98"/>
      <c r="L1211" s="98"/>
      <c r="M1211" s="98"/>
      <c r="N1211" s="98"/>
      <c r="O1211" s="98"/>
      <c r="P1211" s="98"/>
      <c r="Q1211" s="98"/>
      <c r="R1211" s="98"/>
      <c r="S1211" s="98"/>
    </row>
    <row r="1212" spans="1:19" x14ac:dyDescent="0.25">
      <c r="B1212" s="94" t="s">
        <v>108</v>
      </c>
      <c r="C1212" s="95">
        <v>1</v>
      </c>
      <c r="D1212" s="98">
        <f>$C1212*VLOOKUP($B1212,FoodDB!$A$2:$I$1016,3,0)</f>
        <v>0</v>
      </c>
      <c r="E1212" s="98">
        <f>$C1212*VLOOKUP($B1212,FoodDB!$A$2:$I$1016,4,0)</f>
        <v>0</v>
      </c>
      <c r="F1212" s="98">
        <f>$C1212*VLOOKUP($B1212,FoodDB!$A$2:$I$1016,5,0)</f>
        <v>0</v>
      </c>
      <c r="G1212" s="98">
        <f>$C1212*VLOOKUP($B1212,FoodDB!$A$2:$I$1016,6,0)</f>
        <v>0</v>
      </c>
      <c r="H1212" s="98">
        <f>$C1212*VLOOKUP($B1212,FoodDB!$A$2:$I$1016,7,0)</f>
        <v>0</v>
      </c>
      <c r="I1212" s="98">
        <f>$C1212*VLOOKUP($B1212,FoodDB!$A$2:$I$1016,8,0)</f>
        <v>0</v>
      </c>
      <c r="J1212" s="98">
        <f>$C1212*VLOOKUP($B1212,FoodDB!$A$2:$I$1016,9,0)</f>
        <v>0</v>
      </c>
      <c r="K1212" s="98"/>
      <c r="L1212" s="98"/>
      <c r="M1212" s="98"/>
      <c r="N1212" s="98"/>
      <c r="O1212" s="98"/>
      <c r="P1212" s="98"/>
      <c r="Q1212" s="98"/>
      <c r="R1212" s="98"/>
      <c r="S1212" s="98"/>
    </row>
    <row r="1213" spans="1:19" x14ac:dyDescent="0.25">
      <c r="B1213" s="94" t="s">
        <v>108</v>
      </c>
      <c r="C1213" s="95">
        <v>1</v>
      </c>
      <c r="D1213" s="98">
        <f>$C1213*VLOOKUP($B1213,FoodDB!$A$2:$I$1016,3,0)</f>
        <v>0</v>
      </c>
      <c r="E1213" s="98">
        <f>$C1213*VLOOKUP($B1213,FoodDB!$A$2:$I$1016,4,0)</f>
        <v>0</v>
      </c>
      <c r="F1213" s="98">
        <f>$C1213*VLOOKUP($B1213,FoodDB!$A$2:$I$1016,5,0)</f>
        <v>0</v>
      </c>
      <c r="G1213" s="98">
        <f>$C1213*VLOOKUP($B1213,FoodDB!$A$2:$I$1016,6,0)</f>
        <v>0</v>
      </c>
      <c r="H1213" s="98">
        <f>$C1213*VLOOKUP($B1213,FoodDB!$A$2:$I$1016,7,0)</f>
        <v>0</v>
      </c>
      <c r="I1213" s="98">
        <f>$C1213*VLOOKUP($B1213,FoodDB!$A$2:$I$1016,8,0)</f>
        <v>0</v>
      </c>
      <c r="J1213" s="98">
        <f>$C1213*VLOOKUP($B1213,FoodDB!$A$2:$I$1016,9,0)</f>
        <v>0</v>
      </c>
      <c r="K1213" s="98"/>
      <c r="L1213" s="98"/>
      <c r="M1213" s="98"/>
      <c r="N1213" s="98"/>
      <c r="O1213" s="98"/>
      <c r="P1213" s="98"/>
      <c r="Q1213" s="98"/>
      <c r="R1213" s="98"/>
      <c r="S1213" s="98"/>
    </row>
    <row r="1214" spans="1:19" x14ac:dyDescent="0.25">
      <c r="B1214" s="94" t="s">
        <v>108</v>
      </c>
      <c r="C1214" s="95">
        <v>1</v>
      </c>
      <c r="D1214" s="98">
        <f>$C1214*VLOOKUP($B1214,FoodDB!$A$2:$I$1016,3,0)</f>
        <v>0</v>
      </c>
      <c r="E1214" s="98">
        <f>$C1214*VLOOKUP($B1214,FoodDB!$A$2:$I$1016,4,0)</f>
        <v>0</v>
      </c>
      <c r="F1214" s="98">
        <f>$C1214*VLOOKUP($B1214,FoodDB!$A$2:$I$1016,5,0)</f>
        <v>0</v>
      </c>
      <c r="G1214" s="98">
        <f>$C1214*VLOOKUP($B1214,FoodDB!$A$2:$I$1016,6,0)</f>
        <v>0</v>
      </c>
      <c r="H1214" s="98">
        <f>$C1214*VLOOKUP($B1214,FoodDB!$A$2:$I$1016,7,0)</f>
        <v>0</v>
      </c>
      <c r="I1214" s="98">
        <f>$C1214*VLOOKUP($B1214,FoodDB!$A$2:$I$1016,8,0)</f>
        <v>0</v>
      </c>
      <c r="J1214" s="98">
        <f>$C1214*VLOOKUP($B1214,FoodDB!$A$2:$I$1016,9,0)</f>
        <v>0</v>
      </c>
      <c r="K1214" s="98"/>
      <c r="L1214" s="98"/>
      <c r="M1214" s="98"/>
      <c r="N1214" s="98"/>
      <c r="O1214" s="98"/>
      <c r="P1214" s="98"/>
      <c r="Q1214" s="98"/>
      <c r="R1214" s="98"/>
      <c r="S1214" s="98"/>
    </row>
    <row r="1215" spans="1:19" x14ac:dyDescent="0.25">
      <c r="A1215" t="s">
        <v>98</v>
      </c>
      <c r="D1215" s="98"/>
      <c r="E1215" s="98"/>
      <c r="F1215" s="98"/>
      <c r="G1215" s="98">
        <f>SUM(G1208:G1214)</f>
        <v>0</v>
      </c>
      <c r="H1215" s="98">
        <f>SUM(H1208:H1214)</f>
        <v>0</v>
      </c>
      <c r="I1215" s="98">
        <f>SUM(I1208:I1214)</f>
        <v>0</v>
      </c>
      <c r="J1215" s="98">
        <f>SUM(G1215:I1215)</f>
        <v>0</v>
      </c>
      <c r="K1215" s="98"/>
      <c r="L1215" s="98"/>
      <c r="M1215" s="98"/>
      <c r="N1215" s="98"/>
      <c r="O1215" s="98"/>
      <c r="P1215" s="98"/>
      <c r="Q1215" s="98"/>
      <c r="R1215" s="98"/>
      <c r="S1215" s="98"/>
    </row>
    <row r="1216" spans="1:19" x14ac:dyDescent="0.25">
      <c r="A1216" t="s">
        <v>102</v>
      </c>
      <c r="B1216" t="s">
        <v>103</v>
      </c>
      <c r="D1216" s="98"/>
      <c r="E1216" s="98"/>
      <c r="F1216" s="98"/>
      <c r="G1216" s="98">
        <f>VLOOKUP($A1208,LossChart!$A$3:$AB$105,14,0)</f>
        <v>844.92810047868943</v>
      </c>
      <c r="H1216" s="98">
        <f>VLOOKUP($A1208,LossChart!$A$3:$AB$105,15,0)</f>
        <v>116</v>
      </c>
      <c r="I1216" s="98">
        <f>VLOOKUP($A1208,LossChart!$A$3:$AB$105,16,0)</f>
        <v>477.30407413615825</v>
      </c>
      <c r="J1216" s="98">
        <f>VLOOKUP($A1208,LossChart!$A$3:$AB$105,17,0)</f>
        <v>1438.2321746148477</v>
      </c>
      <c r="K1216" s="98"/>
      <c r="L1216" s="98"/>
      <c r="M1216" s="98"/>
      <c r="N1216" s="98"/>
      <c r="O1216" s="98"/>
      <c r="P1216" s="98"/>
      <c r="Q1216" s="98"/>
      <c r="R1216" s="98"/>
      <c r="S1216" s="98"/>
    </row>
    <row r="1217" spans="1:19" x14ac:dyDescent="0.25">
      <c r="A1217" t="s">
        <v>104</v>
      </c>
      <c r="D1217" s="98"/>
      <c r="E1217" s="98"/>
      <c r="F1217" s="98"/>
      <c r="G1217" s="98">
        <f>G1216-G1215</f>
        <v>844.92810047868943</v>
      </c>
      <c r="H1217" s="98">
        <f>H1216-H1215</f>
        <v>116</v>
      </c>
      <c r="I1217" s="98">
        <f>I1216-I1215</f>
        <v>477.30407413615825</v>
      </c>
      <c r="J1217" s="98">
        <f>J1216-J1215</f>
        <v>1438.2321746148477</v>
      </c>
      <c r="K1217" s="98"/>
      <c r="L1217" s="98"/>
      <c r="M1217" s="98"/>
      <c r="N1217" s="98"/>
      <c r="O1217" s="98"/>
      <c r="P1217" s="98"/>
      <c r="Q1217" s="98"/>
      <c r="R1217" s="98"/>
      <c r="S1217" s="98"/>
    </row>
    <row r="1219" spans="1:19" ht="60" x14ac:dyDescent="0.25">
      <c r="A1219" s="21" t="s">
        <v>63</v>
      </c>
      <c r="B1219" s="21" t="s">
        <v>93</v>
      </c>
      <c r="C1219" s="21" t="s">
        <v>94</v>
      </c>
      <c r="D1219" s="92" t="str">
        <f>FoodDB!$C$1</f>
        <v>Fat
(g)</v>
      </c>
      <c r="E1219" s="92" t="str">
        <f>FoodDB!$D$1</f>
        <v xml:space="preserve"> Carbs
(g)</v>
      </c>
      <c r="F1219" s="92" t="str">
        <f>FoodDB!$E$1</f>
        <v>Protein
(g)</v>
      </c>
      <c r="G1219" s="92" t="str">
        <f>FoodDB!$F$1</f>
        <v>Fat
(Cal)</v>
      </c>
      <c r="H1219" s="92" t="str">
        <f>FoodDB!$G$1</f>
        <v>Carb
(Cal)</v>
      </c>
      <c r="I1219" s="92" t="str">
        <f>FoodDB!$H$1</f>
        <v>Protein
(Cal)</v>
      </c>
      <c r="J1219" s="92" t="str">
        <f>FoodDB!$I$1</f>
        <v>Total
Calories</v>
      </c>
      <c r="K1219" s="92"/>
      <c r="L1219" s="92" t="s">
        <v>110</v>
      </c>
      <c r="M1219" s="92" t="s">
        <v>111</v>
      </c>
      <c r="N1219" s="92" t="s">
        <v>112</v>
      </c>
      <c r="O1219" s="92" t="s">
        <v>113</v>
      </c>
      <c r="P1219" s="92" t="s">
        <v>118</v>
      </c>
      <c r="Q1219" s="92" t="s">
        <v>119</v>
      </c>
      <c r="R1219" s="92" t="s">
        <v>120</v>
      </c>
      <c r="S1219" s="92" t="s">
        <v>121</v>
      </c>
    </row>
    <row r="1220" spans="1:19" x14ac:dyDescent="0.25">
      <c r="A1220" s="93">
        <f>A1208+1</f>
        <v>43095</v>
      </c>
      <c r="B1220" s="94" t="s">
        <v>108</v>
      </c>
      <c r="C1220" s="95">
        <v>1</v>
      </c>
      <c r="D1220" s="98">
        <f>$C1220*VLOOKUP($B1220,FoodDB!$A$2:$I$1016,3,0)</f>
        <v>0</v>
      </c>
      <c r="E1220" s="98">
        <f>$C1220*VLOOKUP($B1220,FoodDB!$A$2:$I$1016,4,0)</f>
        <v>0</v>
      </c>
      <c r="F1220" s="98">
        <f>$C1220*VLOOKUP($B1220,FoodDB!$A$2:$I$1016,5,0)</f>
        <v>0</v>
      </c>
      <c r="G1220" s="98">
        <f>$C1220*VLOOKUP($B1220,FoodDB!$A$2:$I$1016,6,0)</f>
        <v>0</v>
      </c>
      <c r="H1220" s="98">
        <f>$C1220*VLOOKUP($B1220,FoodDB!$A$2:$I$1016,7,0)</f>
        <v>0</v>
      </c>
      <c r="I1220" s="98">
        <f>$C1220*VLOOKUP($B1220,FoodDB!$A$2:$I$1016,8,0)</f>
        <v>0</v>
      </c>
      <c r="J1220" s="98">
        <f>$C1220*VLOOKUP($B1220,FoodDB!$A$2:$I$1016,9,0)</f>
        <v>0</v>
      </c>
      <c r="K1220" s="98"/>
      <c r="L1220" s="98">
        <f>SUM(G1220:G1226)</f>
        <v>0</v>
      </c>
      <c r="M1220" s="98">
        <f>SUM(H1220:H1226)</f>
        <v>0</v>
      </c>
      <c r="N1220" s="98">
        <f>SUM(I1220:I1226)</f>
        <v>0</v>
      </c>
      <c r="O1220" s="98">
        <f>SUM(L1220:N1220)</f>
        <v>0</v>
      </c>
      <c r="P1220" s="98">
        <f>VLOOKUP($A1220,LossChart!$A$3:$AB$999,14,0)-L1220</f>
        <v>848.62804194080627</v>
      </c>
      <c r="Q1220" s="98">
        <f>VLOOKUP($A1220,LossChart!$A$3:$AB$999,15,0)-M1220</f>
        <v>116</v>
      </c>
      <c r="R1220" s="98">
        <f>VLOOKUP($A1220,LossChart!$A$3:$AB$999,16,0)-N1220</f>
        <v>477.30407413615825</v>
      </c>
      <c r="S1220" s="98">
        <f>VLOOKUP($A1220,LossChart!$A$3:$AB$999,17,0)-O1220</f>
        <v>1441.9321160769646</v>
      </c>
    </row>
    <row r="1221" spans="1:19" x14ac:dyDescent="0.25">
      <c r="B1221" s="94" t="s">
        <v>108</v>
      </c>
      <c r="C1221" s="95">
        <v>1</v>
      </c>
      <c r="D1221" s="98">
        <f>$C1221*VLOOKUP($B1221,FoodDB!$A$2:$I$1016,3,0)</f>
        <v>0</v>
      </c>
      <c r="E1221" s="98">
        <f>$C1221*VLOOKUP($B1221,FoodDB!$A$2:$I$1016,4,0)</f>
        <v>0</v>
      </c>
      <c r="F1221" s="98">
        <f>$C1221*VLOOKUP($B1221,FoodDB!$A$2:$I$1016,5,0)</f>
        <v>0</v>
      </c>
      <c r="G1221" s="98">
        <f>$C1221*VLOOKUP($B1221,FoodDB!$A$2:$I$1016,6,0)</f>
        <v>0</v>
      </c>
      <c r="H1221" s="98">
        <f>$C1221*VLOOKUP($B1221,FoodDB!$A$2:$I$1016,7,0)</f>
        <v>0</v>
      </c>
      <c r="I1221" s="98">
        <f>$C1221*VLOOKUP($B1221,FoodDB!$A$2:$I$1016,8,0)</f>
        <v>0</v>
      </c>
      <c r="J1221" s="98">
        <f>$C1221*VLOOKUP($B1221,FoodDB!$A$2:$I$1016,9,0)</f>
        <v>0</v>
      </c>
      <c r="K1221" s="98"/>
      <c r="L1221" s="98"/>
      <c r="M1221" s="98"/>
      <c r="N1221" s="98"/>
      <c r="O1221" s="98"/>
      <c r="P1221" s="98"/>
      <c r="Q1221" s="98"/>
      <c r="R1221" s="98"/>
      <c r="S1221" s="98"/>
    </row>
    <row r="1222" spans="1:19" x14ac:dyDescent="0.25">
      <c r="B1222" s="94" t="s">
        <v>108</v>
      </c>
      <c r="C1222" s="95">
        <v>1</v>
      </c>
      <c r="D1222" s="98">
        <f>$C1222*VLOOKUP($B1222,FoodDB!$A$2:$I$1016,3,0)</f>
        <v>0</v>
      </c>
      <c r="E1222" s="98">
        <f>$C1222*VLOOKUP($B1222,FoodDB!$A$2:$I$1016,4,0)</f>
        <v>0</v>
      </c>
      <c r="F1222" s="98">
        <f>$C1222*VLOOKUP($B1222,FoodDB!$A$2:$I$1016,5,0)</f>
        <v>0</v>
      </c>
      <c r="G1222" s="98">
        <f>$C1222*VLOOKUP($B1222,FoodDB!$A$2:$I$1016,6,0)</f>
        <v>0</v>
      </c>
      <c r="H1222" s="98">
        <f>$C1222*VLOOKUP($B1222,FoodDB!$A$2:$I$1016,7,0)</f>
        <v>0</v>
      </c>
      <c r="I1222" s="98">
        <f>$C1222*VLOOKUP($B1222,FoodDB!$A$2:$I$1016,8,0)</f>
        <v>0</v>
      </c>
      <c r="J1222" s="98">
        <f>$C1222*VLOOKUP($B1222,FoodDB!$A$2:$I$1016,9,0)</f>
        <v>0</v>
      </c>
      <c r="K1222" s="98"/>
      <c r="L1222" s="98"/>
      <c r="M1222" s="98"/>
      <c r="N1222" s="98"/>
      <c r="O1222" s="98"/>
      <c r="P1222" s="98"/>
      <c r="Q1222" s="98"/>
      <c r="R1222" s="98"/>
      <c r="S1222" s="98"/>
    </row>
    <row r="1223" spans="1:19" x14ac:dyDescent="0.25">
      <c r="B1223" s="94" t="s">
        <v>108</v>
      </c>
      <c r="C1223" s="95">
        <v>1</v>
      </c>
      <c r="D1223" s="98">
        <f>$C1223*VLOOKUP($B1223,FoodDB!$A$2:$I$1016,3,0)</f>
        <v>0</v>
      </c>
      <c r="E1223" s="98">
        <f>$C1223*VLOOKUP($B1223,FoodDB!$A$2:$I$1016,4,0)</f>
        <v>0</v>
      </c>
      <c r="F1223" s="98">
        <f>$C1223*VLOOKUP($B1223,FoodDB!$A$2:$I$1016,5,0)</f>
        <v>0</v>
      </c>
      <c r="G1223" s="98">
        <f>$C1223*VLOOKUP($B1223,FoodDB!$A$2:$I$1016,6,0)</f>
        <v>0</v>
      </c>
      <c r="H1223" s="98">
        <f>$C1223*VLOOKUP($B1223,FoodDB!$A$2:$I$1016,7,0)</f>
        <v>0</v>
      </c>
      <c r="I1223" s="98">
        <f>$C1223*VLOOKUP($B1223,FoodDB!$A$2:$I$1016,8,0)</f>
        <v>0</v>
      </c>
      <c r="J1223" s="98">
        <f>$C1223*VLOOKUP($B1223,FoodDB!$A$2:$I$1016,9,0)</f>
        <v>0</v>
      </c>
      <c r="K1223" s="98"/>
      <c r="L1223" s="98"/>
      <c r="M1223" s="98"/>
      <c r="N1223" s="98"/>
      <c r="O1223" s="98"/>
      <c r="P1223" s="98"/>
      <c r="Q1223" s="98"/>
      <c r="R1223" s="98"/>
      <c r="S1223" s="98"/>
    </row>
    <row r="1224" spans="1:19" x14ac:dyDescent="0.25">
      <c r="B1224" s="94" t="s">
        <v>108</v>
      </c>
      <c r="C1224" s="95">
        <v>1</v>
      </c>
      <c r="D1224" s="98">
        <f>$C1224*VLOOKUP($B1224,FoodDB!$A$2:$I$1016,3,0)</f>
        <v>0</v>
      </c>
      <c r="E1224" s="98">
        <f>$C1224*VLOOKUP($B1224,FoodDB!$A$2:$I$1016,4,0)</f>
        <v>0</v>
      </c>
      <c r="F1224" s="98">
        <f>$C1224*VLOOKUP($B1224,FoodDB!$A$2:$I$1016,5,0)</f>
        <v>0</v>
      </c>
      <c r="G1224" s="98">
        <f>$C1224*VLOOKUP($B1224,FoodDB!$A$2:$I$1016,6,0)</f>
        <v>0</v>
      </c>
      <c r="H1224" s="98">
        <f>$C1224*VLOOKUP($B1224,FoodDB!$A$2:$I$1016,7,0)</f>
        <v>0</v>
      </c>
      <c r="I1224" s="98">
        <f>$C1224*VLOOKUP($B1224,FoodDB!$A$2:$I$1016,8,0)</f>
        <v>0</v>
      </c>
      <c r="J1224" s="98">
        <f>$C1224*VLOOKUP($B1224,FoodDB!$A$2:$I$1016,9,0)</f>
        <v>0</v>
      </c>
      <c r="K1224" s="98"/>
      <c r="L1224" s="98"/>
      <c r="M1224" s="98"/>
      <c r="N1224" s="98"/>
      <c r="O1224" s="98"/>
      <c r="P1224" s="98"/>
      <c r="Q1224" s="98"/>
      <c r="R1224" s="98"/>
      <c r="S1224" s="98"/>
    </row>
    <row r="1225" spans="1:19" x14ac:dyDescent="0.25">
      <c r="B1225" s="94" t="s">
        <v>108</v>
      </c>
      <c r="C1225" s="95">
        <v>1</v>
      </c>
      <c r="D1225" s="98">
        <f>$C1225*VLOOKUP($B1225,FoodDB!$A$2:$I$1016,3,0)</f>
        <v>0</v>
      </c>
      <c r="E1225" s="98">
        <f>$C1225*VLOOKUP($B1225,FoodDB!$A$2:$I$1016,4,0)</f>
        <v>0</v>
      </c>
      <c r="F1225" s="98">
        <f>$C1225*VLOOKUP($B1225,FoodDB!$A$2:$I$1016,5,0)</f>
        <v>0</v>
      </c>
      <c r="G1225" s="98">
        <f>$C1225*VLOOKUP($B1225,FoodDB!$A$2:$I$1016,6,0)</f>
        <v>0</v>
      </c>
      <c r="H1225" s="98">
        <f>$C1225*VLOOKUP($B1225,FoodDB!$A$2:$I$1016,7,0)</f>
        <v>0</v>
      </c>
      <c r="I1225" s="98">
        <f>$C1225*VLOOKUP($B1225,FoodDB!$A$2:$I$1016,8,0)</f>
        <v>0</v>
      </c>
      <c r="J1225" s="98">
        <f>$C1225*VLOOKUP($B1225,FoodDB!$A$2:$I$1016,9,0)</f>
        <v>0</v>
      </c>
      <c r="K1225" s="98"/>
      <c r="L1225" s="98"/>
      <c r="M1225" s="98"/>
      <c r="N1225" s="98"/>
      <c r="O1225" s="98"/>
      <c r="P1225" s="98"/>
      <c r="Q1225" s="98"/>
      <c r="R1225" s="98"/>
      <c r="S1225" s="98"/>
    </row>
    <row r="1226" spans="1:19" x14ac:dyDescent="0.25">
      <c r="B1226" s="94" t="s">
        <v>108</v>
      </c>
      <c r="C1226" s="95">
        <v>1</v>
      </c>
      <c r="D1226" s="98">
        <f>$C1226*VLOOKUP($B1226,FoodDB!$A$2:$I$1016,3,0)</f>
        <v>0</v>
      </c>
      <c r="E1226" s="98">
        <f>$C1226*VLOOKUP($B1226,FoodDB!$A$2:$I$1016,4,0)</f>
        <v>0</v>
      </c>
      <c r="F1226" s="98">
        <f>$C1226*VLOOKUP($B1226,FoodDB!$A$2:$I$1016,5,0)</f>
        <v>0</v>
      </c>
      <c r="G1226" s="98">
        <f>$C1226*VLOOKUP($B1226,FoodDB!$A$2:$I$1016,6,0)</f>
        <v>0</v>
      </c>
      <c r="H1226" s="98">
        <f>$C1226*VLOOKUP($B1226,FoodDB!$A$2:$I$1016,7,0)</f>
        <v>0</v>
      </c>
      <c r="I1226" s="98">
        <f>$C1226*VLOOKUP($B1226,FoodDB!$A$2:$I$1016,8,0)</f>
        <v>0</v>
      </c>
      <c r="J1226" s="98">
        <f>$C1226*VLOOKUP($B1226,FoodDB!$A$2:$I$1016,9,0)</f>
        <v>0</v>
      </c>
      <c r="K1226" s="98"/>
      <c r="L1226" s="98"/>
      <c r="M1226" s="98"/>
      <c r="N1226" s="98"/>
      <c r="O1226" s="98"/>
      <c r="P1226" s="98"/>
      <c r="Q1226" s="98"/>
      <c r="R1226" s="98"/>
      <c r="S1226" s="98"/>
    </row>
    <row r="1227" spans="1:19" x14ac:dyDescent="0.25">
      <c r="A1227" t="s">
        <v>98</v>
      </c>
      <c r="D1227" s="98"/>
      <c r="E1227" s="98"/>
      <c r="F1227" s="98"/>
      <c r="G1227" s="98">
        <f>SUM(G1220:G1226)</f>
        <v>0</v>
      </c>
      <c r="H1227" s="98">
        <f>SUM(H1220:H1226)</f>
        <v>0</v>
      </c>
      <c r="I1227" s="98">
        <f>SUM(I1220:I1226)</f>
        <v>0</v>
      </c>
      <c r="J1227" s="98">
        <f>SUM(G1227:I1227)</f>
        <v>0</v>
      </c>
      <c r="K1227" s="98"/>
      <c r="L1227" s="98"/>
      <c r="M1227" s="98"/>
      <c r="N1227" s="98"/>
      <c r="O1227" s="98"/>
      <c r="P1227" s="98"/>
      <c r="Q1227" s="98"/>
      <c r="R1227" s="98"/>
      <c r="S1227" s="98"/>
    </row>
    <row r="1228" spans="1:19" x14ac:dyDescent="0.25">
      <c r="A1228" t="s">
        <v>102</v>
      </c>
      <c r="B1228" t="s">
        <v>103</v>
      </c>
      <c r="D1228" s="98"/>
      <c r="E1228" s="98"/>
      <c r="F1228" s="98"/>
      <c r="G1228" s="98" t="e">
        <f>VLOOKUP($A1220,LossChart!$A$3:$AB$105,14,0)</f>
        <v>#N/A</v>
      </c>
      <c r="H1228" s="98" t="e">
        <f>VLOOKUP($A1220,LossChart!$A$3:$AB$105,15,0)</f>
        <v>#N/A</v>
      </c>
      <c r="I1228" s="98" t="e">
        <f>VLOOKUP($A1220,LossChart!$A$3:$AB$105,16,0)</f>
        <v>#N/A</v>
      </c>
      <c r="J1228" s="98" t="e">
        <f>VLOOKUP($A1220,LossChart!$A$3:$AB$105,17,0)</f>
        <v>#N/A</v>
      </c>
      <c r="K1228" s="98"/>
      <c r="L1228" s="98"/>
      <c r="M1228" s="98"/>
      <c r="N1228" s="98"/>
      <c r="O1228" s="98"/>
      <c r="P1228" s="98"/>
      <c r="Q1228" s="98"/>
      <c r="R1228" s="98"/>
      <c r="S1228" s="98"/>
    </row>
    <row r="1229" spans="1:19" x14ac:dyDescent="0.25">
      <c r="A1229" t="s">
        <v>104</v>
      </c>
      <c r="D1229" s="98"/>
      <c r="E1229" s="98"/>
      <c r="F1229" s="98"/>
      <c r="G1229" s="98" t="e">
        <f>G1228-G1227</f>
        <v>#N/A</v>
      </c>
      <c r="H1229" s="98" t="e">
        <f>H1228-H1227</f>
        <v>#N/A</v>
      </c>
      <c r="I1229" s="98" t="e">
        <f>I1228-I1227</f>
        <v>#N/A</v>
      </c>
      <c r="J1229" s="98" t="e">
        <f>J1228-J1227</f>
        <v>#N/A</v>
      </c>
      <c r="K1229" s="98"/>
      <c r="L1229" s="98"/>
      <c r="M1229" s="98"/>
      <c r="N1229" s="98"/>
      <c r="O1229" s="98"/>
      <c r="P1229" s="98"/>
      <c r="Q1229" s="98"/>
      <c r="R1229" s="98"/>
      <c r="S1229" s="98"/>
    </row>
    <row r="1231" spans="1:19" ht="60" x14ac:dyDescent="0.25">
      <c r="A1231" s="21" t="s">
        <v>63</v>
      </c>
      <c r="B1231" s="21" t="s">
        <v>93</v>
      </c>
      <c r="C1231" s="21" t="s">
        <v>94</v>
      </c>
      <c r="D1231" s="92" t="str">
        <f>FoodDB!$C$1</f>
        <v>Fat
(g)</v>
      </c>
      <c r="E1231" s="92" t="str">
        <f>FoodDB!$D$1</f>
        <v xml:space="preserve"> Carbs
(g)</v>
      </c>
      <c r="F1231" s="92" t="str">
        <f>FoodDB!$E$1</f>
        <v>Protein
(g)</v>
      </c>
      <c r="G1231" s="92" t="str">
        <f>FoodDB!$F$1</f>
        <v>Fat
(Cal)</v>
      </c>
      <c r="H1231" s="92" t="str">
        <f>FoodDB!$G$1</f>
        <v>Carb
(Cal)</v>
      </c>
      <c r="I1231" s="92" t="str">
        <f>FoodDB!$H$1</f>
        <v>Protein
(Cal)</v>
      </c>
      <c r="J1231" s="92" t="str">
        <f>FoodDB!$I$1</f>
        <v>Total
Calories</v>
      </c>
      <c r="K1231" s="92"/>
      <c r="L1231" s="92" t="s">
        <v>110</v>
      </c>
      <c r="M1231" s="92" t="s">
        <v>111</v>
      </c>
      <c r="N1231" s="92" t="s">
        <v>112</v>
      </c>
      <c r="O1231" s="92" t="s">
        <v>113</v>
      </c>
      <c r="P1231" s="92" t="s">
        <v>118</v>
      </c>
      <c r="Q1231" s="92" t="s">
        <v>119</v>
      </c>
      <c r="R1231" s="92" t="s">
        <v>120</v>
      </c>
      <c r="S1231" s="92" t="s">
        <v>121</v>
      </c>
    </row>
    <row r="1232" spans="1:19" x14ac:dyDescent="0.25">
      <c r="A1232" s="93">
        <f>A1220+1</f>
        <v>43096</v>
      </c>
      <c r="B1232" s="94" t="s">
        <v>108</v>
      </c>
      <c r="C1232" s="95">
        <v>1</v>
      </c>
      <c r="D1232" s="98">
        <f>$C1232*VLOOKUP($B1232,FoodDB!$A$2:$I$1016,3,0)</f>
        <v>0</v>
      </c>
      <c r="E1232" s="98">
        <f>$C1232*VLOOKUP($B1232,FoodDB!$A$2:$I$1016,4,0)</f>
        <v>0</v>
      </c>
      <c r="F1232" s="98">
        <f>$C1232*VLOOKUP($B1232,FoodDB!$A$2:$I$1016,5,0)</f>
        <v>0</v>
      </c>
      <c r="G1232" s="98">
        <f>$C1232*VLOOKUP($B1232,FoodDB!$A$2:$I$1016,6,0)</f>
        <v>0</v>
      </c>
      <c r="H1232" s="98">
        <f>$C1232*VLOOKUP($B1232,FoodDB!$A$2:$I$1016,7,0)</f>
        <v>0</v>
      </c>
      <c r="I1232" s="98">
        <f>$C1232*VLOOKUP($B1232,FoodDB!$A$2:$I$1016,8,0)</f>
        <v>0</v>
      </c>
      <c r="J1232" s="98">
        <f>$C1232*VLOOKUP($B1232,FoodDB!$A$2:$I$1016,9,0)</f>
        <v>0</v>
      </c>
      <c r="K1232" s="98"/>
      <c r="L1232" s="98">
        <f>SUM(G1232:G1238)</f>
        <v>0</v>
      </c>
      <c r="M1232" s="98">
        <f>SUM(H1232:H1238)</f>
        <v>0</v>
      </c>
      <c r="N1232" s="98">
        <f>SUM(I1232:I1238)</f>
        <v>0</v>
      </c>
      <c r="O1232" s="98">
        <f>SUM(L1232:N1232)</f>
        <v>0</v>
      </c>
      <c r="P1232" s="98">
        <f>VLOOKUP($A1232,LossChart!$A$3:$AB$999,14,0)-L1232</f>
        <v>852.29521249283107</v>
      </c>
      <c r="Q1232" s="98">
        <f>VLOOKUP($A1232,LossChart!$A$3:$AB$999,15,0)-M1232</f>
        <v>116</v>
      </c>
      <c r="R1232" s="98">
        <f>VLOOKUP($A1232,LossChart!$A$3:$AB$999,16,0)-N1232</f>
        <v>477.30407413615825</v>
      </c>
      <c r="S1232" s="98">
        <f>VLOOKUP($A1232,LossChart!$A$3:$AB$999,17,0)-O1232</f>
        <v>1445.5992866289894</v>
      </c>
    </row>
    <row r="1233" spans="1:19" x14ac:dyDescent="0.25">
      <c r="B1233" s="94" t="s">
        <v>108</v>
      </c>
      <c r="C1233" s="95">
        <v>1</v>
      </c>
      <c r="D1233" s="98">
        <f>$C1233*VLOOKUP($B1233,FoodDB!$A$2:$I$1016,3,0)</f>
        <v>0</v>
      </c>
      <c r="E1233" s="98">
        <f>$C1233*VLOOKUP($B1233,FoodDB!$A$2:$I$1016,4,0)</f>
        <v>0</v>
      </c>
      <c r="F1233" s="98">
        <f>$C1233*VLOOKUP($B1233,FoodDB!$A$2:$I$1016,5,0)</f>
        <v>0</v>
      </c>
      <c r="G1233" s="98">
        <f>$C1233*VLOOKUP($B1233,FoodDB!$A$2:$I$1016,6,0)</f>
        <v>0</v>
      </c>
      <c r="H1233" s="98">
        <f>$C1233*VLOOKUP($B1233,FoodDB!$A$2:$I$1016,7,0)</f>
        <v>0</v>
      </c>
      <c r="I1233" s="98">
        <f>$C1233*VLOOKUP($B1233,FoodDB!$A$2:$I$1016,8,0)</f>
        <v>0</v>
      </c>
      <c r="J1233" s="98">
        <f>$C1233*VLOOKUP($B1233,FoodDB!$A$2:$I$1016,9,0)</f>
        <v>0</v>
      </c>
      <c r="K1233" s="98"/>
      <c r="L1233" s="98"/>
      <c r="M1233" s="98"/>
      <c r="N1233" s="98"/>
      <c r="O1233" s="98"/>
      <c r="P1233" s="98"/>
      <c r="Q1233" s="98"/>
      <c r="R1233" s="98"/>
      <c r="S1233" s="98"/>
    </row>
    <row r="1234" spans="1:19" x14ac:dyDescent="0.25">
      <c r="B1234" s="94" t="s">
        <v>108</v>
      </c>
      <c r="C1234" s="95">
        <v>1</v>
      </c>
      <c r="D1234" s="98">
        <f>$C1234*VLOOKUP($B1234,FoodDB!$A$2:$I$1016,3,0)</f>
        <v>0</v>
      </c>
      <c r="E1234" s="98">
        <f>$C1234*VLOOKUP($B1234,FoodDB!$A$2:$I$1016,4,0)</f>
        <v>0</v>
      </c>
      <c r="F1234" s="98">
        <f>$C1234*VLOOKUP($B1234,FoodDB!$A$2:$I$1016,5,0)</f>
        <v>0</v>
      </c>
      <c r="G1234" s="98">
        <f>$C1234*VLOOKUP($B1234,FoodDB!$A$2:$I$1016,6,0)</f>
        <v>0</v>
      </c>
      <c r="H1234" s="98">
        <f>$C1234*VLOOKUP($B1234,FoodDB!$A$2:$I$1016,7,0)</f>
        <v>0</v>
      </c>
      <c r="I1234" s="98">
        <f>$C1234*VLOOKUP($B1234,FoodDB!$A$2:$I$1016,8,0)</f>
        <v>0</v>
      </c>
      <c r="J1234" s="98">
        <f>$C1234*VLOOKUP($B1234,FoodDB!$A$2:$I$1016,9,0)</f>
        <v>0</v>
      </c>
      <c r="K1234" s="98"/>
      <c r="L1234" s="98"/>
      <c r="M1234" s="98"/>
      <c r="N1234" s="98"/>
      <c r="O1234" s="98"/>
      <c r="P1234" s="98"/>
      <c r="Q1234" s="98"/>
      <c r="R1234" s="98"/>
      <c r="S1234" s="98"/>
    </row>
    <row r="1235" spans="1:19" x14ac:dyDescent="0.25">
      <c r="B1235" s="94" t="s">
        <v>108</v>
      </c>
      <c r="C1235" s="95">
        <v>1</v>
      </c>
      <c r="D1235" s="98">
        <f>$C1235*VLOOKUP($B1235,FoodDB!$A$2:$I$1016,3,0)</f>
        <v>0</v>
      </c>
      <c r="E1235" s="98">
        <f>$C1235*VLOOKUP($B1235,FoodDB!$A$2:$I$1016,4,0)</f>
        <v>0</v>
      </c>
      <c r="F1235" s="98">
        <f>$C1235*VLOOKUP($B1235,FoodDB!$A$2:$I$1016,5,0)</f>
        <v>0</v>
      </c>
      <c r="G1235" s="98">
        <f>$C1235*VLOOKUP($B1235,FoodDB!$A$2:$I$1016,6,0)</f>
        <v>0</v>
      </c>
      <c r="H1235" s="98">
        <f>$C1235*VLOOKUP($B1235,FoodDB!$A$2:$I$1016,7,0)</f>
        <v>0</v>
      </c>
      <c r="I1235" s="98">
        <f>$C1235*VLOOKUP($B1235,FoodDB!$A$2:$I$1016,8,0)</f>
        <v>0</v>
      </c>
      <c r="J1235" s="98">
        <f>$C1235*VLOOKUP($B1235,FoodDB!$A$2:$I$1016,9,0)</f>
        <v>0</v>
      </c>
      <c r="K1235" s="98"/>
      <c r="L1235" s="98"/>
      <c r="M1235" s="98"/>
      <c r="N1235" s="98"/>
      <c r="O1235" s="98"/>
      <c r="P1235" s="98"/>
      <c r="Q1235" s="98"/>
      <c r="R1235" s="98"/>
      <c r="S1235" s="98"/>
    </row>
    <row r="1236" spans="1:19" x14ac:dyDescent="0.25">
      <c r="B1236" s="94" t="s">
        <v>108</v>
      </c>
      <c r="C1236" s="95">
        <v>1</v>
      </c>
      <c r="D1236" s="98">
        <f>$C1236*VLOOKUP($B1236,FoodDB!$A$2:$I$1016,3,0)</f>
        <v>0</v>
      </c>
      <c r="E1236" s="98">
        <f>$C1236*VLOOKUP($B1236,FoodDB!$A$2:$I$1016,4,0)</f>
        <v>0</v>
      </c>
      <c r="F1236" s="98">
        <f>$C1236*VLOOKUP($B1236,FoodDB!$A$2:$I$1016,5,0)</f>
        <v>0</v>
      </c>
      <c r="G1236" s="98">
        <f>$C1236*VLOOKUP($B1236,FoodDB!$A$2:$I$1016,6,0)</f>
        <v>0</v>
      </c>
      <c r="H1236" s="98">
        <f>$C1236*VLOOKUP($B1236,FoodDB!$A$2:$I$1016,7,0)</f>
        <v>0</v>
      </c>
      <c r="I1236" s="98">
        <f>$C1236*VLOOKUP($B1236,FoodDB!$A$2:$I$1016,8,0)</f>
        <v>0</v>
      </c>
      <c r="J1236" s="98">
        <f>$C1236*VLOOKUP($B1236,FoodDB!$A$2:$I$1016,9,0)</f>
        <v>0</v>
      </c>
      <c r="K1236" s="98"/>
      <c r="L1236" s="98"/>
      <c r="M1236" s="98"/>
      <c r="N1236" s="98"/>
      <c r="O1236" s="98"/>
      <c r="P1236" s="98"/>
      <c r="Q1236" s="98"/>
      <c r="R1236" s="98"/>
      <c r="S1236" s="98"/>
    </row>
    <row r="1237" spans="1:19" x14ac:dyDescent="0.25">
      <c r="B1237" s="94" t="s">
        <v>108</v>
      </c>
      <c r="C1237" s="95">
        <v>1</v>
      </c>
      <c r="D1237" s="98">
        <f>$C1237*VLOOKUP($B1237,FoodDB!$A$2:$I$1016,3,0)</f>
        <v>0</v>
      </c>
      <c r="E1237" s="98">
        <f>$C1237*VLOOKUP($B1237,FoodDB!$A$2:$I$1016,4,0)</f>
        <v>0</v>
      </c>
      <c r="F1237" s="98">
        <f>$C1237*VLOOKUP($B1237,FoodDB!$A$2:$I$1016,5,0)</f>
        <v>0</v>
      </c>
      <c r="G1237" s="98">
        <f>$C1237*VLOOKUP($B1237,FoodDB!$A$2:$I$1016,6,0)</f>
        <v>0</v>
      </c>
      <c r="H1237" s="98">
        <f>$C1237*VLOOKUP($B1237,FoodDB!$A$2:$I$1016,7,0)</f>
        <v>0</v>
      </c>
      <c r="I1237" s="98">
        <f>$C1237*VLOOKUP($B1237,FoodDB!$A$2:$I$1016,8,0)</f>
        <v>0</v>
      </c>
      <c r="J1237" s="98">
        <f>$C1237*VLOOKUP($B1237,FoodDB!$A$2:$I$1016,9,0)</f>
        <v>0</v>
      </c>
      <c r="K1237" s="98"/>
      <c r="L1237" s="98"/>
      <c r="M1237" s="98"/>
      <c r="N1237" s="98"/>
      <c r="O1237" s="98"/>
      <c r="P1237" s="98"/>
      <c r="Q1237" s="98"/>
      <c r="R1237" s="98"/>
      <c r="S1237" s="98"/>
    </row>
    <row r="1238" spans="1:19" x14ac:dyDescent="0.25">
      <c r="B1238" s="94" t="s">
        <v>108</v>
      </c>
      <c r="C1238" s="95">
        <v>1</v>
      </c>
      <c r="D1238" s="98">
        <f>$C1238*VLOOKUP($B1238,FoodDB!$A$2:$I$1016,3,0)</f>
        <v>0</v>
      </c>
      <c r="E1238" s="98">
        <f>$C1238*VLOOKUP($B1238,FoodDB!$A$2:$I$1016,4,0)</f>
        <v>0</v>
      </c>
      <c r="F1238" s="98">
        <f>$C1238*VLOOKUP($B1238,FoodDB!$A$2:$I$1016,5,0)</f>
        <v>0</v>
      </c>
      <c r="G1238" s="98">
        <f>$C1238*VLOOKUP($B1238,FoodDB!$A$2:$I$1016,6,0)</f>
        <v>0</v>
      </c>
      <c r="H1238" s="98">
        <f>$C1238*VLOOKUP($B1238,FoodDB!$A$2:$I$1016,7,0)</f>
        <v>0</v>
      </c>
      <c r="I1238" s="98">
        <f>$C1238*VLOOKUP($B1238,FoodDB!$A$2:$I$1016,8,0)</f>
        <v>0</v>
      </c>
      <c r="J1238" s="98">
        <f>$C1238*VLOOKUP($B1238,FoodDB!$A$2:$I$1016,9,0)</f>
        <v>0</v>
      </c>
      <c r="K1238" s="98"/>
      <c r="L1238" s="98"/>
      <c r="M1238" s="98"/>
      <c r="N1238" s="98"/>
      <c r="O1238" s="98"/>
      <c r="P1238" s="98"/>
      <c r="Q1238" s="98"/>
      <c r="R1238" s="98"/>
      <c r="S1238" s="98"/>
    </row>
    <row r="1239" spans="1:19" x14ac:dyDescent="0.25">
      <c r="A1239" t="s">
        <v>98</v>
      </c>
      <c r="D1239" s="98"/>
      <c r="E1239" s="98"/>
      <c r="F1239" s="98"/>
      <c r="G1239" s="98">
        <f>SUM(G1232:G1238)</f>
        <v>0</v>
      </c>
      <c r="H1239" s="98">
        <f>SUM(H1232:H1238)</f>
        <v>0</v>
      </c>
      <c r="I1239" s="98">
        <f>SUM(I1232:I1238)</f>
        <v>0</v>
      </c>
      <c r="J1239" s="98">
        <f>SUM(G1239:I1239)</f>
        <v>0</v>
      </c>
      <c r="K1239" s="98"/>
      <c r="L1239" s="98"/>
      <c r="M1239" s="98"/>
      <c r="N1239" s="98"/>
      <c r="O1239" s="98"/>
      <c r="P1239" s="98"/>
      <c r="Q1239" s="98"/>
      <c r="R1239" s="98"/>
      <c r="S1239" s="98"/>
    </row>
    <row r="1240" spans="1:19" x14ac:dyDescent="0.25">
      <c r="A1240" t="s">
        <v>102</v>
      </c>
      <c r="B1240" t="s">
        <v>103</v>
      </c>
      <c r="D1240" s="98"/>
      <c r="E1240" s="98"/>
      <c r="F1240" s="98"/>
      <c r="G1240" s="98" t="e">
        <f>VLOOKUP($A1232,LossChart!$A$3:$AB$105,14,0)</f>
        <v>#N/A</v>
      </c>
      <c r="H1240" s="98" t="e">
        <f>VLOOKUP($A1232,LossChart!$A$3:$AB$105,15,0)</f>
        <v>#N/A</v>
      </c>
      <c r="I1240" s="98" t="e">
        <f>VLOOKUP($A1232,LossChart!$A$3:$AB$105,16,0)</f>
        <v>#N/A</v>
      </c>
      <c r="J1240" s="98" t="e">
        <f>VLOOKUP($A1232,LossChart!$A$3:$AB$105,17,0)</f>
        <v>#N/A</v>
      </c>
      <c r="K1240" s="98"/>
      <c r="L1240" s="98"/>
      <c r="M1240" s="98"/>
      <c r="N1240" s="98"/>
      <c r="O1240" s="98"/>
      <c r="P1240" s="98"/>
      <c r="Q1240" s="98"/>
      <c r="R1240" s="98"/>
      <c r="S1240" s="98"/>
    </row>
    <row r="1241" spans="1:19" x14ac:dyDescent="0.25">
      <c r="A1241" t="s">
        <v>104</v>
      </c>
      <c r="D1241" s="98"/>
      <c r="E1241" s="98"/>
      <c r="F1241" s="98"/>
      <c r="G1241" s="98" t="e">
        <f>G1240-G1239</f>
        <v>#N/A</v>
      </c>
      <c r="H1241" s="98" t="e">
        <f>H1240-H1239</f>
        <v>#N/A</v>
      </c>
      <c r="I1241" s="98" t="e">
        <f>I1240-I1239</f>
        <v>#N/A</v>
      </c>
      <c r="J1241" s="98" t="e">
        <f>J1240-J1239</f>
        <v>#N/A</v>
      </c>
      <c r="K1241" s="98"/>
      <c r="L1241" s="98"/>
      <c r="M1241" s="98"/>
      <c r="N1241" s="98"/>
      <c r="O1241" s="98"/>
      <c r="P1241" s="98"/>
      <c r="Q1241" s="98"/>
      <c r="R1241" s="98"/>
      <c r="S1241" s="98"/>
    </row>
    <row r="1243" spans="1:19" ht="60" x14ac:dyDescent="0.25">
      <c r="A1243" s="21" t="s">
        <v>63</v>
      </c>
      <c r="B1243" s="21" t="s">
        <v>93</v>
      </c>
      <c r="C1243" s="21" t="s">
        <v>94</v>
      </c>
      <c r="D1243" s="92" t="str">
        <f>FoodDB!$C$1</f>
        <v>Fat
(g)</v>
      </c>
      <c r="E1243" s="92" t="str">
        <f>FoodDB!$D$1</f>
        <v xml:space="preserve"> Carbs
(g)</v>
      </c>
      <c r="F1243" s="92" t="str">
        <f>FoodDB!$E$1</f>
        <v>Protein
(g)</v>
      </c>
      <c r="G1243" s="92" t="str">
        <f>FoodDB!$F$1</f>
        <v>Fat
(Cal)</v>
      </c>
      <c r="H1243" s="92" t="str">
        <f>FoodDB!$G$1</f>
        <v>Carb
(Cal)</v>
      </c>
      <c r="I1243" s="92" t="str">
        <f>FoodDB!$H$1</f>
        <v>Protein
(Cal)</v>
      </c>
      <c r="J1243" s="92" t="str">
        <f>FoodDB!$I$1</f>
        <v>Total
Calories</v>
      </c>
      <c r="K1243" s="92"/>
      <c r="L1243" s="92" t="s">
        <v>110</v>
      </c>
      <c r="M1243" s="92" t="s">
        <v>111</v>
      </c>
      <c r="N1243" s="92" t="s">
        <v>112</v>
      </c>
      <c r="O1243" s="92" t="s">
        <v>113</v>
      </c>
      <c r="P1243" s="92" t="s">
        <v>118</v>
      </c>
      <c r="Q1243" s="92" t="s">
        <v>119</v>
      </c>
      <c r="R1243" s="92" t="s">
        <v>120</v>
      </c>
      <c r="S1243" s="92" t="s">
        <v>121</v>
      </c>
    </row>
    <row r="1244" spans="1:19" x14ac:dyDescent="0.25">
      <c r="A1244" s="93">
        <f>A1232+1</f>
        <v>43097</v>
      </c>
      <c r="B1244" s="94" t="s">
        <v>108</v>
      </c>
      <c r="C1244" s="95">
        <v>1</v>
      </c>
      <c r="D1244" s="98">
        <f>$C1244*VLOOKUP($B1244,FoodDB!$A$2:$I$1016,3,0)</f>
        <v>0</v>
      </c>
      <c r="E1244" s="98">
        <f>$C1244*VLOOKUP($B1244,FoodDB!$A$2:$I$1016,4,0)</f>
        <v>0</v>
      </c>
      <c r="F1244" s="98">
        <f>$C1244*VLOOKUP($B1244,FoodDB!$A$2:$I$1016,5,0)</f>
        <v>0</v>
      </c>
      <c r="G1244" s="98">
        <f>$C1244*VLOOKUP($B1244,FoodDB!$A$2:$I$1016,6,0)</f>
        <v>0</v>
      </c>
      <c r="H1244" s="98">
        <f>$C1244*VLOOKUP($B1244,FoodDB!$A$2:$I$1016,7,0)</f>
        <v>0</v>
      </c>
      <c r="I1244" s="98">
        <f>$C1244*VLOOKUP($B1244,FoodDB!$A$2:$I$1016,8,0)</f>
        <v>0</v>
      </c>
      <c r="J1244" s="98">
        <f>$C1244*VLOOKUP($B1244,FoodDB!$A$2:$I$1016,9,0)</f>
        <v>0</v>
      </c>
      <c r="K1244" s="98"/>
      <c r="L1244" s="98">
        <f>SUM(G1244:G1250)</f>
        <v>0</v>
      </c>
      <c r="M1244" s="98">
        <f>SUM(H1244:H1250)</f>
        <v>0</v>
      </c>
      <c r="N1244" s="98">
        <f>SUM(I1244:I1250)</f>
        <v>0</v>
      </c>
      <c r="O1244" s="98">
        <f>SUM(L1244:N1244)</f>
        <v>0</v>
      </c>
      <c r="P1244" s="98">
        <f>VLOOKUP($A1244,LossChart!$A$3:$AB$999,14,0)-L1244</f>
        <v>855.92990239139476</v>
      </c>
      <c r="Q1244" s="98">
        <f>VLOOKUP($A1244,LossChart!$A$3:$AB$999,15,0)-M1244</f>
        <v>116</v>
      </c>
      <c r="R1244" s="98">
        <f>VLOOKUP($A1244,LossChart!$A$3:$AB$999,16,0)-N1244</f>
        <v>477.30407413615825</v>
      </c>
      <c r="S1244" s="98">
        <f>VLOOKUP($A1244,LossChart!$A$3:$AB$999,17,0)-O1244</f>
        <v>1449.2339765275531</v>
      </c>
    </row>
    <row r="1245" spans="1:19" x14ac:dyDescent="0.25">
      <c r="B1245" s="94" t="s">
        <v>108</v>
      </c>
      <c r="C1245" s="95">
        <v>1</v>
      </c>
      <c r="D1245" s="98">
        <f>$C1245*VLOOKUP($B1245,FoodDB!$A$2:$I$1016,3,0)</f>
        <v>0</v>
      </c>
      <c r="E1245" s="98">
        <f>$C1245*VLOOKUP($B1245,FoodDB!$A$2:$I$1016,4,0)</f>
        <v>0</v>
      </c>
      <c r="F1245" s="98">
        <f>$C1245*VLOOKUP($B1245,FoodDB!$A$2:$I$1016,5,0)</f>
        <v>0</v>
      </c>
      <c r="G1245" s="98">
        <f>$C1245*VLOOKUP($B1245,FoodDB!$A$2:$I$1016,6,0)</f>
        <v>0</v>
      </c>
      <c r="H1245" s="98">
        <f>$C1245*VLOOKUP($B1245,FoodDB!$A$2:$I$1016,7,0)</f>
        <v>0</v>
      </c>
      <c r="I1245" s="98">
        <f>$C1245*VLOOKUP($B1245,FoodDB!$A$2:$I$1016,8,0)</f>
        <v>0</v>
      </c>
      <c r="J1245" s="98">
        <f>$C1245*VLOOKUP($B1245,FoodDB!$A$2:$I$1016,9,0)</f>
        <v>0</v>
      </c>
      <c r="K1245" s="98"/>
      <c r="L1245" s="98"/>
      <c r="M1245" s="98"/>
      <c r="N1245" s="98"/>
      <c r="O1245" s="98"/>
      <c r="P1245" s="98"/>
      <c r="Q1245" s="98"/>
      <c r="R1245" s="98"/>
      <c r="S1245" s="98"/>
    </row>
    <row r="1246" spans="1:19" x14ac:dyDescent="0.25">
      <c r="B1246" s="94" t="s">
        <v>108</v>
      </c>
      <c r="C1246" s="95">
        <v>1</v>
      </c>
      <c r="D1246" s="98">
        <f>$C1246*VLOOKUP($B1246,FoodDB!$A$2:$I$1016,3,0)</f>
        <v>0</v>
      </c>
      <c r="E1246" s="98">
        <f>$C1246*VLOOKUP($B1246,FoodDB!$A$2:$I$1016,4,0)</f>
        <v>0</v>
      </c>
      <c r="F1246" s="98">
        <f>$C1246*VLOOKUP($B1246,FoodDB!$A$2:$I$1016,5,0)</f>
        <v>0</v>
      </c>
      <c r="G1246" s="98">
        <f>$C1246*VLOOKUP($B1246,FoodDB!$A$2:$I$1016,6,0)</f>
        <v>0</v>
      </c>
      <c r="H1246" s="98">
        <f>$C1246*VLOOKUP($B1246,FoodDB!$A$2:$I$1016,7,0)</f>
        <v>0</v>
      </c>
      <c r="I1246" s="98">
        <f>$C1246*VLOOKUP($B1246,FoodDB!$A$2:$I$1016,8,0)</f>
        <v>0</v>
      </c>
      <c r="J1246" s="98">
        <f>$C1246*VLOOKUP($B1246,FoodDB!$A$2:$I$1016,9,0)</f>
        <v>0</v>
      </c>
      <c r="K1246" s="98"/>
      <c r="L1246" s="98"/>
      <c r="M1246" s="98"/>
      <c r="N1246" s="98"/>
      <c r="O1246" s="98"/>
      <c r="P1246" s="98"/>
      <c r="Q1246" s="98"/>
      <c r="R1246" s="98"/>
      <c r="S1246" s="98"/>
    </row>
    <row r="1247" spans="1:19" x14ac:dyDescent="0.25">
      <c r="B1247" s="94" t="s">
        <v>108</v>
      </c>
      <c r="C1247" s="95">
        <v>1</v>
      </c>
      <c r="D1247" s="98">
        <f>$C1247*VLOOKUP($B1247,FoodDB!$A$2:$I$1016,3,0)</f>
        <v>0</v>
      </c>
      <c r="E1247" s="98">
        <f>$C1247*VLOOKUP($B1247,FoodDB!$A$2:$I$1016,4,0)</f>
        <v>0</v>
      </c>
      <c r="F1247" s="98">
        <f>$C1247*VLOOKUP($B1247,FoodDB!$A$2:$I$1016,5,0)</f>
        <v>0</v>
      </c>
      <c r="G1247" s="98">
        <f>$C1247*VLOOKUP($B1247,FoodDB!$A$2:$I$1016,6,0)</f>
        <v>0</v>
      </c>
      <c r="H1247" s="98">
        <f>$C1247*VLOOKUP($B1247,FoodDB!$A$2:$I$1016,7,0)</f>
        <v>0</v>
      </c>
      <c r="I1247" s="98">
        <f>$C1247*VLOOKUP($B1247,FoodDB!$A$2:$I$1016,8,0)</f>
        <v>0</v>
      </c>
      <c r="J1247" s="98">
        <f>$C1247*VLOOKUP($B1247,FoodDB!$A$2:$I$1016,9,0)</f>
        <v>0</v>
      </c>
      <c r="K1247" s="98"/>
      <c r="L1247" s="98"/>
      <c r="M1247" s="98"/>
      <c r="N1247" s="98"/>
      <c r="O1247" s="98"/>
      <c r="P1247" s="98"/>
      <c r="Q1247" s="98"/>
      <c r="R1247" s="98"/>
      <c r="S1247" s="98"/>
    </row>
    <row r="1248" spans="1:19" x14ac:dyDescent="0.25">
      <c r="B1248" s="94" t="s">
        <v>108</v>
      </c>
      <c r="C1248" s="95">
        <v>1</v>
      </c>
      <c r="D1248" s="98">
        <f>$C1248*VLOOKUP($B1248,FoodDB!$A$2:$I$1016,3,0)</f>
        <v>0</v>
      </c>
      <c r="E1248" s="98">
        <f>$C1248*VLOOKUP($B1248,FoodDB!$A$2:$I$1016,4,0)</f>
        <v>0</v>
      </c>
      <c r="F1248" s="98">
        <f>$C1248*VLOOKUP($B1248,FoodDB!$A$2:$I$1016,5,0)</f>
        <v>0</v>
      </c>
      <c r="G1248" s="98">
        <f>$C1248*VLOOKUP($B1248,FoodDB!$A$2:$I$1016,6,0)</f>
        <v>0</v>
      </c>
      <c r="H1248" s="98">
        <f>$C1248*VLOOKUP($B1248,FoodDB!$A$2:$I$1016,7,0)</f>
        <v>0</v>
      </c>
      <c r="I1248" s="98">
        <f>$C1248*VLOOKUP($B1248,FoodDB!$A$2:$I$1016,8,0)</f>
        <v>0</v>
      </c>
      <c r="J1248" s="98">
        <f>$C1248*VLOOKUP($B1248,FoodDB!$A$2:$I$1016,9,0)</f>
        <v>0</v>
      </c>
      <c r="K1248" s="98"/>
      <c r="L1248" s="98"/>
      <c r="M1248" s="98"/>
      <c r="N1248" s="98"/>
      <c r="O1248" s="98"/>
      <c r="P1248" s="98"/>
      <c r="Q1248" s="98"/>
      <c r="R1248" s="98"/>
      <c r="S1248" s="98"/>
    </row>
    <row r="1249" spans="1:19" x14ac:dyDescent="0.25">
      <c r="B1249" s="94" t="s">
        <v>108</v>
      </c>
      <c r="C1249" s="95">
        <v>1</v>
      </c>
      <c r="D1249" s="98">
        <f>$C1249*VLOOKUP($B1249,FoodDB!$A$2:$I$1016,3,0)</f>
        <v>0</v>
      </c>
      <c r="E1249" s="98">
        <f>$C1249*VLOOKUP($B1249,FoodDB!$A$2:$I$1016,4,0)</f>
        <v>0</v>
      </c>
      <c r="F1249" s="98">
        <f>$C1249*VLOOKUP($B1249,FoodDB!$A$2:$I$1016,5,0)</f>
        <v>0</v>
      </c>
      <c r="G1249" s="98">
        <f>$C1249*VLOOKUP($B1249,FoodDB!$A$2:$I$1016,6,0)</f>
        <v>0</v>
      </c>
      <c r="H1249" s="98">
        <f>$C1249*VLOOKUP($B1249,FoodDB!$A$2:$I$1016,7,0)</f>
        <v>0</v>
      </c>
      <c r="I1249" s="98">
        <f>$C1249*VLOOKUP($B1249,FoodDB!$A$2:$I$1016,8,0)</f>
        <v>0</v>
      </c>
      <c r="J1249" s="98">
        <f>$C1249*VLOOKUP($B1249,FoodDB!$A$2:$I$1016,9,0)</f>
        <v>0</v>
      </c>
      <c r="K1249" s="98"/>
      <c r="L1249" s="98"/>
      <c r="M1249" s="98"/>
      <c r="N1249" s="98"/>
      <c r="O1249" s="98"/>
      <c r="P1249" s="98"/>
      <c r="Q1249" s="98"/>
      <c r="R1249" s="98"/>
      <c r="S1249" s="98"/>
    </row>
    <row r="1250" spans="1:19" x14ac:dyDescent="0.25">
      <c r="B1250" s="94" t="s">
        <v>108</v>
      </c>
      <c r="C1250" s="95">
        <v>1</v>
      </c>
      <c r="D1250" s="98">
        <f>$C1250*VLOOKUP($B1250,FoodDB!$A$2:$I$1016,3,0)</f>
        <v>0</v>
      </c>
      <c r="E1250" s="98">
        <f>$C1250*VLOOKUP($B1250,FoodDB!$A$2:$I$1016,4,0)</f>
        <v>0</v>
      </c>
      <c r="F1250" s="98">
        <f>$C1250*VLOOKUP($B1250,FoodDB!$A$2:$I$1016,5,0)</f>
        <v>0</v>
      </c>
      <c r="G1250" s="98">
        <f>$C1250*VLOOKUP($B1250,FoodDB!$A$2:$I$1016,6,0)</f>
        <v>0</v>
      </c>
      <c r="H1250" s="98">
        <f>$C1250*VLOOKUP($B1250,FoodDB!$A$2:$I$1016,7,0)</f>
        <v>0</v>
      </c>
      <c r="I1250" s="98">
        <f>$C1250*VLOOKUP($B1250,FoodDB!$A$2:$I$1016,8,0)</f>
        <v>0</v>
      </c>
      <c r="J1250" s="98">
        <f>$C1250*VLOOKUP($B1250,FoodDB!$A$2:$I$1016,9,0)</f>
        <v>0</v>
      </c>
      <c r="K1250" s="98"/>
      <c r="L1250" s="98"/>
      <c r="M1250" s="98"/>
      <c r="N1250" s="98"/>
      <c r="O1250" s="98"/>
      <c r="P1250" s="98"/>
      <c r="Q1250" s="98"/>
      <c r="R1250" s="98"/>
      <c r="S1250" s="98"/>
    </row>
    <row r="1251" spans="1:19" x14ac:dyDescent="0.25">
      <c r="A1251" t="s">
        <v>98</v>
      </c>
      <c r="D1251" s="98"/>
      <c r="E1251" s="98"/>
      <c r="F1251" s="98"/>
      <c r="G1251" s="98">
        <f>SUM(G1244:G1250)</f>
        <v>0</v>
      </c>
      <c r="H1251" s="98">
        <f>SUM(H1244:H1250)</f>
        <v>0</v>
      </c>
      <c r="I1251" s="98">
        <f>SUM(I1244:I1250)</f>
        <v>0</v>
      </c>
      <c r="J1251" s="98">
        <f>SUM(G1251:I1251)</f>
        <v>0</v>
      </c>
      <c r="K1251" s="98"/>
      <c r="L1251" s="98"/>
      <c r="M1251" s="98"/>
      <c r="N1251" s="98"/>
      <c r="O1251" s="98"/>
      <c r="P1251" s="98"/>
      <c r="Q1251" s="98"/>
      <c r="R1251" s="98"/>
      <c r="S1251" s="98"/>
    </row>
    <row r="1252" spans="1:19" x14ac:dyDescent="0.25">
      <c r="A1252" t="s">
        <v>102</v>
      </c>
      <c r="B1252" t="s">
        <v>103</v>
      </c>
      <c r="D1252" s="98"/>
      <c r="E1252" s="98"/>
      <c r="F1252" s="98"/>
      <c r="G1252" s="98" t="e">
        <f>VLOOKUP($A1244,LossChart!$A$3:$AB$105,14,0)</f>
        <v>#N/A</v>
      </c>
      <c r="H1252" s="98" t="e">
        <f>VLOOKUP($A1244,LossChart!$A$3:$AB$105,15,0)</f>
        <v>#N/A</v>
      </c>
      <c r="I1252" s="98" t="e">
        <f>VLOOKUP($A1244,LossChart!$A$3:$AB$105,16,0)</f>
        <v>#N/A</v>
      </c>
      <c r="J1252" s="98" t="e">
        <f>VLOOKUP($A1244,LossChart!$A$3:$AB$105,17,0)</f>
        <v>#N/A</v>
      </c>
      <c r="K1252" s="98"/>
      <c r="L1252" s="98"/>
      <c r="M1252" s="98"/>
      <c r="N1252" s="98"/>
      <c r="O1252" s="98"/>
      <c r="P1252" s="98"/>
      <c r="Q1252" s="98"/>
      <c r="R1252" s="98"/>
      <c r="S1252" s="98"/>
    </row>
    <row r="1253" spans="1:19" x14ac:dyDescent="0.25">
      <c r="A1253" t="s">
        <v>104</v>
      </c>
      <c r="D1253" s="98"/>
      <c r="E1253" s="98"/>
      <c r="F1253" s="98"/>
      <c r="G1253" s="98" t="e">
        <f>G1252-G1251</f>
        <v>#N/A</v>
      </c>
      <c r="H1253" s="98" t="e">
        <f>H1252-H1251</f>
        <v>#N/A</v>
      </c>
      <c r="I1253" s="98" t="e">
        <f>I1252-I1251</f>
        <v>#N/A</v>
      </c>
      <c r="J1253" s="98" t="e">
        <f>J1252-J1251</f>
        <v>#N/A</v>
      </c>
      <c r="K1253" s="98"/>
      <c r="L1253" s="98"/>
      <c r="M1253" s="98"/>
      <c r="N1253" s="98"/>
      <c r="O1253" s="98"/>
      <c r="P1253" s="98"/>
      <c r="Q1253" s="98"/>
      <c r="R1253" s="98"/>
      <c r="S1253" s="98"/>
    </row>
    <row r="1255" spans="1:19" ht="60" x14ac:dyDescent="0.25">
      <c r="A1255" s="21" t="s">
        <v>63</v>
      </c>
      <c r="B1255" s="21" t="s">
        <v>93</v>
      </c>
      <c r="C1255" s="21" t="s">
        <v>94</v>
      </c>
      <c r="D1255" s="92" t="str">
        <f>FoodDB!$C$1</f>
        <v>Fat
(g)</v>
      </c>
      <c r="E1255" s="92" t="str">
        <f>FoodDB!$D$1</f>
        <v xml:space="preserve"> Carbs
(g)</v>
      </c>
      <c r="F1255" s="92" t="str">
        <f>FoodDB!$E$1</f>
        <v>Protein
(g)</v>
      </c>
      <c r="G1255" s="92" t="str">
        <f>FoodDB!$F$1</f>
        <v>Fat
(Cal)</v>
      </c>
      <c r="H1255" s="92" t="str">
        <f>FoodDB!$G$1</f>
        <v>Carb
(Cal)</v>
      </c>
      <c r="I1255" s="92" t="str">
        <f>FoodDB!$H$1</f>
        <v>Protein
(Cal)</v>
      </c>
      <c r="J1255" s="92" t="str">
        <f>FoodDB!$I$1</f>
        <v>Total
Calories</v>
      </c>
      <c r="K1255" s="92"/>
      <c r="L1255" s="92" t="s">
        <v>110</v>
      </c>
      <c r="M1255" s="92" t="s">
        <v>111</v>
      </c>
      <c r="N1255" s="92" t="s">
        <v>112</v>
      </c>
      <c r="O1255" s="92" t="s">
        <v>113</v>
      </c>
      <c r="P1255" s="92" t="s">
        <v>118</v>
      </c>
      <c r="Q1255" s="92" t="s">
        <v>119</v>
      </c>
      <c r="R1255" s="92" t="s">
        <v>120</v>
      </c>
      <c r="S1255" s="92" t="s">
        <v>121</v>
      </c>
    </row>
    <row r="1256" spans="1:19" x14ac:dyDescent="0.25">
      <c r="A1256" s="93">
        <f>A1244+1</f>
        <v>43098</v>
      </c>
      <c r="B1256" s="94" t="s">
        <v>108</v>
      </c>
      <c r="C1256" s="95">
        <v>1</v>
      </c>
      <c r="D1256" s="98">
        <f>$C1256*VLOOKUP($B1256,FoodDB!$A$2:$I$1016,3,0)</f>
        <v>0</v>
      </c>
      <c r="E1256" s="98">
        <f>$C1256*VLOOKUP($B1256,FoodDB!$A$2:$I$1016,4,0)</f>
        <v>0</v>
      </c>
      <c r="F1256" s="98">
        <f>$C1256*VLOOKUP($B1256,FoodDB!$A$2:$I$1016,5,0)</f>
        <v>0</v>
      </c>
      <c r="G1256" s="98">
        <f>$C1256*VLOOKUP($B1256,FoodDB!$A$2:$I$1016,6,0)</f>
        <v>0</v>
      </c>
      <c r="H1256" s="98">
        <f>$C1256*VLOOKUP($B1256,FoodDB!$A$2:$I$1016,7,0)</f>
        <v>0</v>
      </c>
      <c r="I1256" s="98">
        <f>$C1256*VLOOKUP($B1256,FoodDB!$A$2:$I$1016,8,0)</f>
        <v>0</v>
      </c>
      <c r="J1256" s="98">
        <f>$C1256*VLOOKUP($B1256,FoodDB!$A$2:$I$1016,9,0)</f>
        <v>0</v>
      </c>
      <c r="K1256" s="98"/>
      <c r="L1256" s="98">
        <f>SUM(G1256:G1262)</f>
        <v>0</v>
      </c>
      <c r="M1256" s="98">
        <f>SUM(H1256:H1262)</f>
        <v>0</v>
      </c>
      <c r="N1256" s="98">
        <f>SUM(I1256:I1262)</f>
        <v>0</v>
      </c>
      <c r="O1256" s="98">
        <f>SUM(L1256:N1256)</f>
        <v>0</v>
      </c>
      <c r="P1256" s="98">
        <f>VLOOKUP($A1256,LossChart!$A$3:$AB$999,14,0)-L1256</f>
        <v>859.53239932228507</v>
      </c>
      <c r="Q1256" s="98">
        <f>VLOOKUP($A1256,LossChart!$A$3:$AB$999,15,0)-M1256</f>
        <v>116</v>
      </c>
      <c r="R1256" s="98">
        <f>VLOOKUP($A1256,LossChart!$A$3:$AB$999,16,0)-N1256</f>
        <v>477.30407413615825</v>
      </c>
      <c r="S1256" s="98">
        <f>VLOOKUP($A1256,LossChart!$A$3:$AB$999,17,0)-O1256</f>
        <v>1452.8364734584434</v>
      </c>
    </row>
    <row r="1257" spans="1:19" x14ac:dyDescent="0.25">
      <c r="B1257" s="94" t="s">
        <v>108</v>
      </c>
      <c r="C1257" s="95">
        <v>1</v>
      </c>
      <c r="D1257" s="98">
        <f>$C1257*VLOOKUP($B1257,FoodDB!$A$2:$I$1016,3,0)</f>
        <v>0</v>
      </c>
      <c r="E1257" s="98">
        <f>$C1257*VLOOKUP($B1257,FoodDB!$A$2:$I$1016,4,0)</f>
        <v>0</v>
      </c>
      <c r="F1257" s="98">
        <f>$C1257*VLOOKUP($B1257,FoodDB!$A$2:$I$1016,5,0)</f>
        <v>0</v>
      </c>
      <c r="G1257" s="98">
        <f>$C1257*VLOOKUP($B1257,FoodDB!$A$2:$I$1016,6,0)</f>
        <v>0</v>
      </c>
      <c r="H1257" s="98">
        <f>$C1257*VLOOKUP($B1257,FoodDB!$A$2:$I$1016,7,0)</f>
        <v>0</v>
      </c>
      <c r="I1257" s="98">
        <f>$C1257*VLOOKUP($B1257,FoodDB!$A$2:$I$1016,8,0)</f>
        <v>0</v>
      </c>
      <c r="J1257" s="98">
        <f>$C1257*VLOOKUP($B1257,FoodDB!$A$2:$I$1016,9,0)</f>
        <v>0</v>
      </c>
      <c r="K1257" s="98"/>
      <c r="L1257" s="98"/>
      <c r="M1257" s="98"/>
      <c r="N1257" s="98"/>
      <c r="O1257" s="98"/>
      <c r="P1257" s="98"/>
      <c r="Q1257" s="98"/>
      <c r="R1257" s="98"/>
      <c r="S1257" s="98"/>
    </row>
    <row r="1258" spans="1:19" x14ac:dyDescent="0.25">
      <c r="B1258" s="94" t="s">
        <v>108</v>
      </c>
      <c r="C1258" s="95">
        <v>1</v>
      </c>
      <c r="D1258" s="98">
        <f>$C1258*VLOOKUP($B1258,FoodDB!$A$2:$I$1016,3,0)</f>
        <v>0</v>
      </c>
      <c r="E1258" s="98">
        <f>$C1258*VLOOKUP($B1258,FoodDB!$A$2:$I$1016,4,0)</f>
        <v>0</v>
      </c>
      <c r="F1258" s="98">
        <f>$C1258*VLOOKUP($B1258,FoodDB!$A$2:$I$1016,5,0)</f>
        <v>0</v>
      </c>
      <c r="G1258" s="98">
        <f>$C1258*VLOOKUP($B1258,FoodDB!$A$2:$I$1016,6,0)</f>
        <v>0</v>
      </c>
      <c r="H1258" s="98">
        <f>$C1258*VLOOKUP($B1258,FoodDB!$A$2:$I$1016,7,0)</f>
        <v>0</v>
      </c>
      <c r="I1258" s="98">
        <f>$C1258*VLOOKUP($B1258,FoodDB!$A$2:$I$1016,8,0)</f>
        <v>0</v>
      </c>
      <c r="J1258" s="98">
        <f>$C1258*VLOOKUP($B1258,FoodDB!$A$2:$I$1016,9,0)</f>
        <v>0</v>
      </c>
      <c r="K1258" s="98"/>
      <c r="L1258" s="98"/>
      <c r="M1258" s="98"/>
      <c r="N1258" s="98"/>
      <c r="O1258" s="98"/>
      <c r="P1258" s="98"/>
      <c r="Q1258" s="98"/>
      <c r="R1258" s="98"/>
      <c r="S1258" s="98"/>
    </row>
    <row r="1259" spans="1:19" x14ac:dyDescent="0.25">
      <c r="B1259" s="94" t="s">
        <v>108</v>
      </c>
      <c r="C1259" s="95">
        <v>1</v>
      </c>
      <c r="D1259" s="98">
        <f>$C1259*VLOOKUP($B1259,FoodDB!$A$2:$I$1016,3,0)</f>
        <v>0</v>
      </c>
      <c r="E1259" s="98">
        <f>$C1259*VLOOKUP($B1259,FoodDB!$A$2:$I$1016,4,0)</f>
        <v>0</v>
      </c>
      <c r="F1259" s="98">
        <f>$C1259*VLOOKUP($B1259,FoodDB!$A$2:$I$1016,5,0)</f>
        <v>0</v>
      </c>
      <c r="G1259" s="98">
        <f>$C1259*VLOOKUP($B1259,FoodDB!$A$2:$I$1016,6,0)</f>
        <v>0</v>
      </c>
      <c r="H1259" s="98">
        <f>$C1259*VLOOKUP($B1259,FoodDB!$A$2:$I$1016,7,0)</f>
        <v>0</v>
      </c>
      <c r="I1259" s="98">
        <f>$C1259*VLOOKUP($B1259,FoodDB!$A$2:$I$1016,8,0)</f>
        <v>0</v>
      </c>
      <c r="J1259" s="98">
        <f>$C1259*VLOOKUP($B1259,FoodDB!$A$2:$I$1016,9,0)</f>
        <v>0</v>
      </c>
      <c r="K1259" s="98"/>
      <c r="L1259" s="98"/>
      <c r="M1259" s="98"/>
      <c r="N1259" s="98"/>
      <c r="O1259" s="98"/>
      <c r="P1259" s="98"/>
      <c r="Q1259" s="98"/>
      <c r="R1259" s="98"/>
      <c r="S1259" s="98"/>
    </row>
    <row r="1260" spans="1:19" x14ac:dyDescent="0.25">
      <c r="B1260" s="94" t="s">
        <v>108</v>
      </c>
      <c r="C1260" s="95">
        <v>1</v>
      </c>
      <c r="D1260" s="98">
        <f>$C1260*VLOOKUP($B1260,FoodDB!$A$2:$I$1016,3,0)</f>
        <v>0</v>
      </c>
      <c r="E1260" s="98">
        <f>$C1260*VLOOKUP($B1260,FoodDB!$A$2:$I$1016,4,0)</f>
        <v>0</v>
      </c>
      <c r="F1260" s="98">
        <f>$C1260*VLOOKUP($B1260,FoodDB!$A$2:$I$1016,5,0)</f>
        <v>0</v>
      </c>
      <c r="G1260" s="98">
        <f>$C1260*VLOOKUP($B1260,FoodDB!$A$2:$I$1016,6,0)</f>
        <v>0</v>
      </c>
      <c r="H1260" s="98">
        <f>$C1260*VLOOKUP($B1260,FoodDB!$A$2:$I$1016,7,0)</f>
        <v>0</v>
      </c>
      <c r="I1260" s="98">
        <f>$C1260*VLOOKUP($B1260,FoodDB!$A$2:$I$1016,8,0)</f>
        <v>0</v>
      </c>
      <c r="J1260" s="98">
        <f>$C1260*VLOOKUP($B1260,FoodDB!$A$2:$I$1016,9,0)</f>
        <v>0</v>
      </c>
      <c r="K1260" s="98"/>
      <c r="L1260" s="98"/>
      <c r="M1260" s="98"/>
      <c r="N1260" s="98"/>
      <c r="O1260" s="98"/>
      <c r="P1260" s="98"/>
      <c r="Q1260" s="98"/>
      <c r="R1260" s="98"/>
      <c r="S1260" s="98"/>
    </row>
    <row r="1261" spans="1:19" x14ac:dyDescent="0.25">
      <c r="B1261" s="94" t="s">
        <v>108</v>
      </c>
      <c r="C1261" s="95">
        <v>1</v>
      </c>
      <c r="D1261" s="98">
        <f>$C1261*VLOOKUP($B1261,FoodDB!$A$2:$I$1016,3,0)</f>
        <v>0</v>
      </c>
      <c r="E1261" s="98">
        <f>$C1261*VLOOKUP($B1261,FoodDB!$A$2:$I$1016,4,0)</f>
        <v>0</v>
      </c>
      <c r="F1261" s="98">
        <f>$C1261*VLOOKUP($B1261,FoodDB!$A$2:$I$1016,5,0)</f>
        <v>0</v>
      </c>
      <c r="G1261" s="98">
        <f>$C1261*VLOOKUP($B1261,FoodDB!$A$2:$I$1016,6,0)</f>
        <v>0</v>
      </c>
      <c r="H1261" s="98">
        <f>$C1261*VLOOKUP($B1261,FoodDB!$A$2:$I$1016,7,0)</f>
        <v>0</v>
      </c>
      <c r="I1261" s="98">
        <f>$C1261*VLOOKUP($B1261,FoodDB!$A$2:$I$1016,8,0)</f>
        <v>0</v>
      </c>
      <c r="J1261" s="98">
        <f>$C1261*VLOOKUP($B1261,FoodDB!$A$2:$I$1016,9,0)</f>
        <v>0</v>
      </c>
      <c r="K1261" s="98"/>
      <c r="L1261" s="98"/>
      <c r="M1261" s="98"/>
      <c r="N1261" s="98"/>
      <c r="O1261" s="98"/>
      <c r="P1261" s="98"/>
      <c r="Q1261" s="98"/>
      <c r="R1261" s="98"/>
      <c r="S1261" s="98"/>
    </row>
    <row r="1262" spans="1:19" x14ac:dyDescent="0.25">
      <c r="B1262" s="94" t="s">
        <v>108</v>
      </c>
      <c r="C1262" s="95">
        <v>1</v>
      </c>
      <c r="D1262" s="98">
        <f>$C1262*VLOOKUP($B1262,FoodDB!$A$2:$I$1016,3,0)</f>
        <v>0</v>
      </c>
      <c r="E1262" s="98">
        <f>$C1262*VLOOKUP($B1262,FoodDB!$A$2:$I$1016,4,0)</f>
        <v>0</v>
      </c>
      <c r="F1262" s="98">
        <f>$C1262*VLOOKUP($B1262,FoodDB!$A$2:$I$1016,5,0)</f>
        <v>0</v>
      </c>
      <c r="G1262" s="98">
        <f>$C1262*VLOOKUP($B1262,FoodDB!$A$2:$I$1016,6,0)</f>
        <v>0</v>
      </c>
      <c r="H1262" s="98">
        <f>$C1262*VLOOKUP($B1262,FoodDB!$A$2:$I$1016,7,0)</f>
        <v>0</v>
      </c>
      <c r="I1262" s="98">
        <f>$C1262*VLOOKUP($B1262,FoodDB!$A$2:$I$1016,8,0)</f>
        <v>0</v>
      </c>
      <c r="J1262" s="98">
        <f>$C1262*VLOOKUP($B1262,FoodDB!$A$2:$I$1016,9,0)</f>
        <v>0</v>
      </c>
      <c r="K1262" s="98"/>
      <c r="L1262" s="98"/>
      <c r="M1262" s="98"/>
      <c r="N1262" s="98"/>
      <c r="O1262" s="98"/>
      <c r="P1262" s="98"/>
      <c r="Q1262" s="98"/>
      <c r="R1262" s="98"/>
      <c r="S1262" s="98"/>
    </row>
    <row r="1263" spans="1:19" x14ac:dyDescent="0.25">
      <c r="A1263" t="s">
        <v>98</v>
      </c>
      <c r="D1263" s="98"/>
      <c r="E1263" s="98"/>
      <c r="F1263" s="98"/>
      <c r="G1263" s="98">
        <f>SUM(G1256:G1262)</f>
        <v>0</v>
      </c>
      <c r="H1263" s="98">
        <f>SUM(H1256:H1262)</f>
        <v>0</v>
      </c>
      <c r="I1263" s="98">
        <f>SUM(I1256:I1262)</f>
        <v>0</v>
      </c>
      <c r="J1263" s="98">
        <f>SUM(G1263:I1263)</f>
        <v>0</v>
      </c>
      <c r="K1263" s="98"/>
      <c r="L1263" s="98"/>
      <c r="M1263" s="98"/>
      <c r="N1263" s="98"/>
      <c r="O1263" s="98"/>
      <c r="P1263" s="98"/>
      <c r="Q1263" s="98"/>
      <c r="R1263" s="98"/>
      <c r="S1263" s="98"/>
    </row>
    <row r="1264" spans="1:19" x14ac:dyDescent="0.25">
      <c r="A1264" t="s">
        <v>102</v>
      </c>
      <c r="B1264" t="s">
        <v>103</v>
      </c>
      <c r="D1264" s="98"/>
      <c r="E1264" s="98"/>
      <c r="F1264" s="98"/>
      <c r="G1264" s="98" t="e">
        <f>VLOOKUP($A1256,LossChart!$A$3:$AB$105,14,0)</f>
        <v>#N/A</v>
      </c>
      <c r="H1264" s="98" t="e">
        <f>VLOOKUP($A1256,LossChart!$A$3:$AB$105,15,0)</f>
        <v>#N/A</v>
      </c>
      <c r="I1264" s="98" t="e">
        <f>VLOOKUP($A1256,LossChart!$A$3:$AB$105,16,0)</f>
        <v>#N/A</v>
      </c>
      <c r="J1264" s="98" t="e">
        <f>VLOOKUP($A1256,LossChart!$A$3:$AB$105,17,0)</f>
        <v>#N/A</v>
      </c>
      <c r="K1264" s="98"/>
      <c r="L1264" s="98"/>
      <c r="M1264" s="98"/>
      <c r="N1264" s="98"/>
      <c r="O1264" s="98"/>
      <c r="P1264" s="98"/>
      <c r="Q1264" s="98"/>
      <c r="R1264" s="98"/>
      <c r="S1264" s="98"/>
    </row>
    <row r="1265" spans="1:19" x14ac:dyDescent="0.25">
      <c r="A1265" t="s">
        <v>104</v>
      </c>
      <c r="D1265" s="98"/>
      <c r="E1265" s="98"/>
      <c r="F1265" s="98"/>
      <c r="G1265" s="98" t="e">
        <f>G1264-G1263</f>
        <v>#N/A</v>
      </c>
      <c r="H1265" s="98" t="e">
        <f>H1264-H1263</f>
        <v>#N/A</v>
      </c>
      <c r="I1265" s="98" t="e">
        <f>I1264-I1263</f>
        <v>#N/A</v>
      </c>
      <c r="J1265" s="98" t="e">
        <f>J1264-J1263</f>
        <v>#N/A</v>
      </c>
      <c r="K1265" s="98"/>
      <c r="L1265" s="98"/>
      <c r="M1265" s="98"/>
      <c r="N1265" s="98"/>
      <c r="O1265" s="98"/>
      <c r="P1265" s="98"/>
      <c r="Q1265" s="98"/>
      <c r="R1265" s="98"/>
      <c r="S1265" s="98"/>
    </row>
    <row r="1267" spans="1:19" ht="60" x14ac:dyDescent="0.25">
      <c r="A1267" s="21" t="s">
        <v>63</v>
      </c>
      <c r="B1267" s="21" t="s">
        <v>93</v>
      </c>
      <c r="C1267" s="21" t="s">
        <v>94</v>
      </c>
      <c r="D1267" s="92" t="str">
        <f>FoodDB!$C$1</f>
        <v>Fat
(g)</v>
      </c>
      <c r="E1267" s="92" t="str">
        <f>FoodDB!$D$1</f>
        <v xml:space="preserve"> Carbs
(g)</v>
      </c>
      <c r="F1267" s="92" t="str">
        <f>FoodDB!$E$1</f>
        <v>Protein
(g)</v>
      </c>
      <c r="G1267" s="92" t="str">
        <f>FoodDB!$F$1</f>
        <v>Fat
(Cal)</v>
      </c>
      <c r="H1267" s="92" t="str">
        <f>FoodDB!$G$1</f>
        <v>Carb
(Cal)</v>
      </c>
      <c r="I1267" s="92" t="str">
        <f>FoodDB!$H$1</f>
        <v>Protein
(Cal)</v>
      </c>
      <c r="J1267" s="92" t="str">
        <f>FoodDB!$I$1</f>
        <v>Total
Calories</v>
      </c>
      <c r="K1267" s="92"/>
      <c r="L1267" s="92" t="s">
        <v>110</v>
      </c>
      <c r="M1267" s="92" t="s">
        <v>111</v>
      </c>
      <c r="N1267" s="92" t="s">
        <v>112</v>
      </c>
      <c r="O1267" s="92" t="s">
        <v>113</v>
      </c>
      <c r="P1267" s="92" t="s">
        <v>118</v>
      </c>
      <c r="Q1267" s="92" t="s">
        <v>119</v>
      </c>
      <c r="R1267" s="92" t="s">
        <v>120</v>
      </c>
      <c r="S1267" s="92" t="s">
        <v>121</v>
      </c>
    </row>
    <row r="1268" spans="1:19" x14ac:dyDescent="0.25">
      <c r="A1268" s="93">
        <f>A1256+1</f>
        <v>43099</v>
      </c>
      <c r="B1268" s="94" t="s">
        <v>108</v>
      </c>
      <c r="C1268" s="95">
        <v>1</v>
      </c>
      <c r="D1268" s="98">
        <f>$C1268*VLOOKUP($B1268,FoodDB!$A$2:$I$1016,3,0)</f>
        <v>0</v>
      </c>
      <c r="E1268" s="98">
        <f>$C1268*VLOOKUP($B1268,FoodDB!$A$2:$I$1016,4,0)</f>
        <v>0</v>
      </c>
      <c r="F1268" s="98">
        <f>$C1268*VLOOKUP($B1268,FoodDB!$A$2:$I$1016,5,0)</f>
        <v>0</v>
      </c>
      <c r="G1268" s="98">
        <f>$C1268*VLOOKUP($B1268,FoodDB!$A$2:$I$1016,6,0)</f>
        <v>0</v>
      </c>
      <c r="H1268" s="98">
        <f>$C1268*VLOOKUP($B1268,FoodDB!$A$2:$I$1016,7,0)</f>
        <v>0</v>
      </c>
      <c r="I1268" s="98">
        <f>$C1268*VLOOKUP($B1268,FoodDB!$A$2:$I$1016,8,0)</f>
        <v>0</v>
      </c>
      <c r="J1268" s="98">
        <f>$C1268*VLOOKUP($B1268,FoodDB!$A$2:$I$1016,9,0)</f>
        <v>0</v>
      </c>
      <c r="K1268" s="98"/>
      <c r="L1268" s="98">
        <f>SUM(G1268:G1274)</f>
        <v>0</v>
      </c>
      <c r="M1268" s="98">
        <f>SUM(H1268:H1274)</f>
        <v>0</v>
      </c>
      <c r="N1268" s="98">
        <f>SUM(I1268:I1274)</f>
        <v>0</v>
      </c>
      <c r="O1268" s="98">
        <f>SUM(L1268:N1268)</f>
        <v>0</v>
      </c>
      <c r="P1268" s="98">
        <f>VLOOKUP($A1268,LossChart!$A$3:$AB$999,14,0)-L1268</f>
        <v>863.10298842321617</v>
      </c>
      <c r="Q1268" s="98">
        <f>VLOOKUP($A1268,LossChart!$A$3:$AB$999,15,0)-M1268</f>
        <v>116</v>
      </c>
      <c r="R1268" s="98">
        <f>VLOOKUP($A1268,LossChart!$A$3:$AB$999,16,0)-N1268</f>
        <v>477.30407413615825</v>
      </c>
      <c r="S1268" s="98">
        <f>VLOOKUP($A1268,LossChart!$A$3:$AB$999,17,0)-O1268</f>
        <v>1456.4070625593745</v>
      </c>
    </row>
    <row r="1269" spans="1:19" x14ac:dyDescent="0.25">
      <c r="B1269" s="94" t="s">
        <v>108</v>
      </c>
      <c r="C1269" s="95">
        <v>1</v>
      </c>
      <c r="D1269" s="98">
        <f>$C1269*VLOOKUP($B1269,FoodDB!$A$2:$I$1016,3,0)</f>
        <v>0</v>
      </c>
      <c r="E1269" s="98">
        <f>$C1269*VLOOKUP($B1269,FoodDB!$A$2:$I$1016,4,0)</f>
        <v>0</v>
      </c>
      <c r="F1269" s="98">
        <f>$C1269*VLOOKUP($B1269,FoodDB!$A$2:$I$1016,5,0)</f>
        <v>0</v>
      </c>
      <c r="G1269" s="98">
        <f>$C1269*VLOOKUP($B1269,FoodDB!$A$2:$I$1016,6,0)</f>
        <v>0</v>
      </c>
      <c r="H1269" s="98">
        <f>$C1269*VLOOKUP($B1269,FoodDB!$A$2:$I$1016,7,0)</f>
        <v>0</v>
      </c>
      <c r="I1269" s="98">
        <f>$C1269*VLOOKUP($B1269,FoodDB!$A$2:$I$1016,8,0)</f>
        <v>0</v>
      </c>
      <c r="J1269" s="98">
        <f>$C1269*VLOOKUP($B1269,FoodDB!$A$2:$I$1016,9,0)</f>
        <v>0</v>
      </c>
      <c r="K1269" s="98"/>
      <c r="L1269" s="98"/>
      <c r="M1269" s="98"/>
      <c r="N1269" s="98"/>
      <c r="O1269" s="98"/>
      <c r="P1269" s="98"/>
      <c r="Q1269" s="98"/>
      <c r="R1269" s="98"/>
      <c r="S1269" s="98"/>
    </row>
    <row r="1270" spans="1:19" x14ac:dyDescent="0.25">
      <c r="B1270" s="94" t="s">
        <v>108</v>
      </c>
      <c r="C1270" s="95">
        <v>1</v>
      </c>
      <c r="D1270" s="98">
        <f>$C1270*VLOOKUP($B1270,FoodDB!$A$2:$I$1016,3,0)</f>
        <v>0</v>
      </c>
      <c r="E1270" s="98">
        <f>$C1270*VLOOKUP($B1270,FoodDB!$A$2:$I$1016,4,0)</f>
        <v>0</v>
      </c>
      <c r="F1270" s="98">
        <f>$C1270*VLOOKUP($B1270,FoodDB!$A$2:$I$1016,5,0)</f>
        <v>0</v>
      </c>
      <c r="G1270" s="98">
        <f>$C1270*VLOOKUP($B1270,FoodDB!$A$2:$I$1016,6,0)</f>
        <v>0</v>
      </c>
      <c r="H1270" s="98">
        <f>$C1270*VLOOKUP($B1270,FoodDB!$A$2:$I$1016,7,0)</f>
        <v>0</v>
      </c>
      <c r="I1270" s="98">
        <f>$C1270*VLOOKUP($B1270,FoodDB!$A$2:$I$1016,8,0)</f>
        <v>0</v>
      </c>
      <c r="J1270" s="98">
        <f>$C1270*VLOOKUP($B1270,FoodDB!$A$2:$I$1016,9,0)</f>
        <v>0</v>
      </c>
      <c r="K1270" s="98"/>
      <c r="L1270" s="98"/>
      <c r="M1270" s="98"/>
      <c r="N1270" s="98"/>
      <c r="O1270" s="98"/>
      <c r="P1270" s="98"/>
      <c r="Q1270" s="98"/>
      <c r="R1270" s="98"/>
      <c r="S1270" s="98"/>
    </row>
    <row r="1271" spans="1:19" x14ac:dyDescent="0.25">
      <c r="B1271" s="94" t="s">
        <v>108</v>
      </c>
      <c r="C1271" s="95">
        <v>1</v>
      </c>
      <c r="D1271" s="98">
        <f>$C1271*VLOOKUP($B1271,FoodDB!$A$2:$I$1016,3,0)</f>
        <v>0</v>
      </c>
      <c r="E1271" s="98">
        <f>$C1271*VLOOKUP($B1271,FoodDB!$A$2:$I$1016,4,0)</f>
        <v>0</v>
      </c>
      <c r="F1271" s="98">
        <f>$C1271*VLOOKUP($B1271,FoodDB!$A$2:$I$1016,5,0)</f>
        <v>0</v>
      </c>
      <c r="G1271" s="98">
        <f>$C1271*VLOOKUP($B1271,FoodDB!$A$2:$I$1016,6,0)</f>
        <v>0</v>
      </c>
      <c r="H1271" s="98">
        <f>$C1271*VLOOKUP($B1271,FoodDB!$A$2:$I$1016,7,0)</f>
        <v>0</v>
      </c>
      <c r="I1271" s="98">
        <f>$C1271*VLOOKUP($B1271,FoodDB!$A$2:$I$1016,8,0)</f>
        <v>0</v>
      </c>
      <c r="J1271" s="98">
        <f>$C1271*VLOOKUP($B1271,FoodDB!$A$2:$I$1016,9,0)</f>
        <v>0</v>
      </c>
      <c r="K1271" s="98"/>
      <c r="L1271" s="98"/>
      <c r="M1271" s="98"/>
      <c r="N1271" s="98"/>
      <c r="O1271" s="98"/>
      <c r="P1271" s="98"/>
      <c r="Q1271" s="98"/>
      <c r="R1271" s="98"/>
      <c r="S1271" s="98"/>
    </row>
    <row r="1272" spans="1:19" x14ac:dyDescent="0.25">
      <c r="B1272" s="94" t="s">
        <v>108</v>
      </c>
      <c r="C1272" s="95">
        <v>1</v>
      </c>
      <c r="D1272" s="98">
        <f>$C1272*VLOOKUP($B1272,FoodDB!$A$2:$I$1016,3,0)</f>
        <v>0</v>
      </c>
      <c r="E1272" s="98">
        <f>$C1272*VLOOKUP($B1272,FoodDB!$A$2:$I$1016,4,0)</f>
        <v>0</v>
      </c>
      <c r="F1272" s="98">
        <f>$C1272*VLOOKUP($B1272,FoodDB!$A$2:$I$1016,5,0)</f>
        <v>0</v>
      </c>
      <c r="G1272" s="98">
        <f>$C1272*VLOOKUP($B1272,FoodDB!$A$2:$I$1016,6,0)</f>
        <v>0</v>
      </c>
      <c r="H1272" s="98">
        <f>$C1272*VLOOKUP($B1272,FoodDB!$A$2:$I$1016,7,0)</f>
        <v>0</v>
      </c>
      <c r="I1272" s="98">
        <f>$C1272*VLOOKUP($B1272,FoodDB!$A$2:$I$1016,8,0)</f>
        <v>0</v>
      </c>
      <c r="J1272" s="98">
        <f>$C1272*VLOOKUP($B1272,FoodDB!$A$2:$I$1016,9,0)</f>
        <v>0</v>
      </c>
      <c r="K1272" s="98"/>
      <c r="L1272" s="98"/>
      <c r="M1272" s="98"/>
      <c r="N1272" s="98"/>
      <c r="O1272" s="98"/>
      <c r="P1272" s="98"/>
      <c r="Q1272" s="98"/>
      <c r="R1272" s="98"/>
      <c r="S1272" s="98"/>
    </row>
    <row r="1273" spans="1:19" x14ac:dyDescent="0.25">
      <c r="B1273" s="94" t="s">
        <v>108</v>
      </c>
      <c r="C1273" s="95">
        <v>1</v>
      </c>
      <c r="D1273" s="98">
        <f>$C1273*VLOOKUP($B1273,FoodDB!$A$2:$I$1016,3,0)</f>
        <v>0</v>
      </c>
      <c r="E1273" s="98">
        <f>$C1273*VLOOKUP($B1273,FoodDB!$A$2:$I$1016,4,0)</f>
        <v>0</v>
      </c>
      <c r="F1273" s="98">
        <f>$C1273*VLOOKUP($B1273,FoodDB!$A$2:$I$1016,5,0)</f>
        <v>0</v>
      </c>
      <c r="G1273" s="98">
        <f>$C1273*VLOOKUP($B1273,FoodDB!$A$2:$I$1016,6,0)</f>
        <v>0</v>
      </c>
      <c r="H1273" s="98">
        <f>$C1273*VLOOKUP($B1273,FoodDB!$A$2:$I$1016,7,0)</f>
        <v>0</v>
      </c>
      <c r="I1273" s="98">
        <f>$C1273*VLOOKUP($B1273,FoodDB!$A$2:$I$1016,8,0)</f>
        <v>0</v>
      </c>
      <c r="J1273" s="98">
        <f>$C1273*VLOOKUP($B1273,FoodDB!$A$2:$I$1016,9,0)</f>
        <v>0</v>
      </c>
      <c r="K1273" s="98"/>
      <c r="L1273" s="98"/>
      <c r="M1273" s="98"/>
      <c r="N1273" s="98"/>
      <c r="O1273" s="98"/>
      <c r="P1273" s="98"/>
      <c r="Q1273" s="98"/>
      <c r="R1273" s="98"/>
      <c r="S1273" s="98"/>
    </row>
    <row r="1274" spans="1:19" x14ac:dyDescent="0.25">
      <c r="B1274" s="94" t="s">
        <v>108</v>
      </c>
      <c r="C1274" s="95">
        <v>1</v>
      </c>
      <c r="D1274" s="98">
        <f>$C1274*VLOOKUP($B1274,FoodDB!$A$2:$I$1016,3,0)</f>
        <v>0</v>
      </c>
      <c r="E1274" s="98">
        <f>$C1274*VLOOKUP($B1274,FoodDB!$A$2:$I$1016,4,0)</f>
        <v>0</v>
      </c>
      <c r="F1274" s="98">
        <f>$C1274*VLOOKUP($B1274,FoodDB!$A$2:$I$1016,5,0)</f>
        <v>0</v>
      </c>
      <c r="G1274" s="98">
        <f>$C1274*VLOOKUP($B1274,FoodDB!$A$2:$I$1016,6,0)</f>
        <v>0</v>
      </c>
      <c r="H1274" s="98">
        <f>$C1274*VLOOKUP($B1274,FoodDB!$A$2:$I$1016,7,0)</f>
        <v>0</v>
      </c>
      <c r="I1274" s="98">
        <f>$C1274*VLOOKUP($B1274,FoodDB!$A$2:$I$1016,8,0)</f>
        <v>0</v>
      </c>
      <c r="J1274" s="98">
        <f>$C1274*VLOOKUP($B1274,FoodDB!$A$2:$I$1016,9,0)</f>
        <v>0</v>
      </c>
      <c r="K1274" s="98"/>
      <c r="L1274" s="98"/>
      <c r="M1274" s="98"/>
      <c r="N1274" s="98"/>
      <c r="O1274" s="98"/>
      <c r="P1274" s="98"/>
      <c r="Q1274" s="98"/>
      <c r="R1274" s="98"/>
      <c r="S1274" s="98"/>
    </row>
    <row r="1275" spans="1:19" x14ac:dyDescent="0.25">
      <c r="A1275" t="s">
        <v>98</v>
      </c>
      <c r="D1275" s="98"/>
      <c r="E1275" s="98"/>
      <c r="F1275" s="98"/>
      <c r="G1275" s="98">
        <f>SUM(G1268:G1274)</f>
        <v>0</v>
      </c>
      <c r="H1275" s="98">
        <f>SUM(H1268:H1274)</f>
        <v>0</v>
      </c>
      <c r="I1275" s="98">
        <f>SUM(I1268:I1274)</f>
        <v>0</v>
      </c>
      <c r="J1275" s="98">
        <f>SUM(G1275:I1275)</f>
        <v>0</v>
      </c>
      <c r="K1275" s="98"/>
      <c r="L1275" s="98"/>
      <c r="M1275" s="98"/>
      <c r="N1275" s="98"/>
      <c r="O1275" s="98"/>
      <c r="P1275" s="98"/>
      <c r="Q1275" s="98"/>
      <c r="R1275" s="98"/>
      <c r="S1275" s="98"/>
    </row>
    <row r="1276" spans="1:19" x14ac:dyDescent="0.25">
      <c r="A1276" t="s">
        <v>102</v>
      </c>
      <c r="B1276" t="s">
        <v>103</v>
      </c>
      <c r="D1276" s="98"/>
      <c r="E1276" s="98"/>
      <c r="F1276" s="98"/>
      <c r="G1276" s="98" t="e">
        <f>VLOOKUP($A1268,LossChart!$A$3:$AB$105,14,0)</f>
        <v>#N/A</v>
      </c>
      <c r="H1276" s="98" t="e">
        <f>VLOOKUP($A1268,LossChart!$A$3:$AB$105,15,0)</f>
        <v>#N/A</v>
      </c>
      <c r="I1276" s="98" t="e">
        <f>VLOOKUP($A1268,LossChart!$A$3:$AB$105,16,0)</f>
        <v>#N/A</v>
      </c>
      <c r="J1276" s="98" t="e">
        <f>VLOOKUP($A1268,LossChart!$A$3:$AB$105,17,0)</f>
        <v>#N/A</v>
      </c>
      <c r="K1276" s="98"/>
      <c r="L1276" s="98"/>
      <c r="M1276" s="98"/>
      <c r="N1276" s="98"/>
      <c r="O1276" s="98"/>
      <c r="P1276" s="98"/>
      <c r="Q1276" s="98"/>
      <c r="R1276" s="98"/>
      <c r="S1276" s="98"/>
    </row>
    <row r="1277" spans="1:19" x14ac:dyDescent="0.25">
      <c r="A1277" t="s">
        <v>104</v>
      </c>
      <c r="D1277" s="98"/>
      <c r="E1277" s="98"/>
      <c r="F1277" s="98"/>
      <c r="G1277" s="98" t="e">
        <f>G1276-G1275</f>
        <v>#N/A</v>
      </c>
      <c r="H1277" s="98" t="e">
        <f>H1276-H1275</f>
        <v>#N/A</v>
      </c>
      <c r="I1277" s="98" t="e">
        <f>I1276-I1275</f>
        <v>#N/A</v>
      </c>
      <c r="J1277" s="98" t="e">
        <f>J1276-J1275</f>
        <v>#N/A</v>
      </c>
      <c r="K1277" s="98"/>
      <c r="L1277" s="98"/>
      <c r="M1277" s="98"/>
      <c r="N1277" s="98"/>
      <c r="O1277" s="98"/>
      <c r="P1277" s="98"/>
      <c r="Q1277" s="98"/>
      <c r="R1277" s="98"/>
      <c r="S1277" s="98"/>
    </row>
    <row r="1279" spans="1:19" ht="60" x14ac:dyDescent="0.25">
      <c r="A1279" s="21" t="s">
        <v>63</v>
      </c>
      <c r="B1279" s="21" t="s">
        <v>93</v>
      </c>
      <c r="C1279" s="21" t="s">
        <v>94</v>
      </c>
      <c r="D1279" s="92" t="str">
        <f>FoodDB!$C$1</f>
        <v>Fat
(g)</v>
      </c>
      <c r="E1279" s="92" t="str">
        <f>FoodDB!$D$1</f>
        <v xml:space="preserve"> Carbs
(g)</v>
      </c>
      <c r="F1279" s="92" t="str">
        <f>FoodDB!$E$1</f>
        <v>Protein
(g)</v>
      </c>
      <c r="G1279" s="92" t="str">
        <f>FoodDB!$F$1</f>
        <v>Fat
(Cal)</v>
      </c>
      <c r="H1279" s="92" t="str">
        <f>FoodDB!$G$1</f>
        <v>Carb
(Cal)</v>
      </c>
      <c r="I1279" s="92" t="str">
        <f>FoodDB!$H$1</f>
        <v>Protein
(Cal)</v>
      </c>
      <c r="J1279" s="92" t="str">
        <f>FoodDB!$I$1</f>
        <v>Total
Calories</v>
      </c>
      <c r="K1279" s="92"/>
      <c r="L1279" s="92" t="s">
        <v>110</v>
      </c>
      <c r="M1279" s="92" t="s">
        <v>111</v>
      </c>
      <c r="N1279" s="92" t="s">
        <v>112</v>
      </c>
      <c r="O1279" s="92" t="s">
        <v>113</v>
      </c>
      <c r="P1279" s="92" t="s">
        <v>118</v>
      </c>
      <c r="Q1279" s="92" t="s">
        <v>119</v>
      </c>
      <c r="R1279" s="92" t="s">
        <v>120</v>
      </c>
      <c r="S1279" s="92" t="s">
        <v>121</v>
      </c>
    </row>
    <row r="1280" spans="1:19" x14ac:dyDescent="0.25">
      <c r="A1280" s="93">
        <f>A1268+1</f>
        <v>43100</v>
      </c>
      <c r="B1280" s="94" t="s">
        <v>108</v>
      </c>
      <c r="C1280" s="95">
        <v>1</v>
      </c>
      <c r="D1280" s="98">
        <f>$C1280*VLOOKUP($B1280,FoodDB!$A$2:$I$1016,3,0)</f>
        <v>0</v>
      </c>
      <c r="E1280" s="98">
        <f>$C1280*VLOOKUP($B1280,FoodDB!$A$2:$I$1016,4,0)</f>
        <v>0</v>
      </c>
      <c r="F1280" s="98">
        <f>$C1280*VLOOKUP($B1280,FoodDB!$A$2:$I$1016,5,0)</f>
        <v>0</v>
      </c>
      <c r="G1280" s="98">
        <f>$C1280*VLOOKUP($B1280,FoodDB!$A$2:$I$1016,6,0)</f>
        <v>0</v>
      </c>
      <c r="H1280" s="98">
        <f>$C1280*VLOOKUP($B1280,FoodDB!$A$2:$I$1016,7,0)</f>
        <v>0</v>
      </c>
      <c r="I1280" s="98">
        <f>$C1280*VLOOKUP($B1280,FoodDB!$A$2:$I$1016,8,0)</f>
        <v>0</v>
      </c>
      <c r="J1280" s="98">
        <f>$C1280*VLOOKUP($B1280,FoodDB!$A$2:$I$1016,9,0)</f>
        <v>0</v>
      </c>
      <c r="K1280" s="98"/>
      <c r="L1280" s="98">
        <f>SUM(G1280:G1286)</f>
        <v>0</v>
      </c>
      <c r="M1280" s="98">
        <f>SUM(H1280:H1286)</f>
        <v>0</v>
      </c>
      <c r="N1280" s="98">
        <f>SUM(I1280:I1286)</f>
        <v>0</v>
      </c>
      <c r="O1280" s="98">
        <f>SUM(L1280:N1280)</f>
        <v>0</v>
      </c>
      <c r="P1280" s="98">
        <f>VLOOKUP($A1280,LossChart!$A$3:$AB$999,14,0)-L1280</f>
        <v>866.64195230639598</v>
      </c>
      <c r="Q1280" s="98">
        <f>VLOOKUP($A1280,LossChart!$A$3:$AB$999,15,0)-M1280</f>
        <v>116</v>
      </c>
      <c r="R1280" s="98">
        <f>VLOOKUP($A1280,LossChart!$A$3:$AB$999,16,0)-N1280</f>
        <v>477.30407413615825</v>
      </c>
      <c r="S1280" s="98">
        <f>VLOOKUP($A1280,LossChart!$A$3:$AB$999,17,0)-O1280</f>
        <v>1459.9460264425543</v>
      </c>
    </row>
    <row r="1281" spans="1:19" x14ac:dyDescent="0.25">
      <c r="B1281" s="94" t="s">
        <v>108</v>
      </c>
      <c r="C1281" s="95">
        <v>1</v>
      </c>
      <c r="D1281" s="98">
        <f>$C1281*VLOOKUP($B1281,FoodDB!$A$2:$I$1016,3,0)</f>
        <v>0</v>
      </c>
      <c r="E1281" s="98">
        <f>$C1281*VLOOKUP($B1281,FoodDB!$A$2:$I$1016,4,0)</f>
        <v>0</v>
      </c>
      <c r="F1281" s="98">
        <f>$C1281*VLOOKUP($B1281,FoodDB!$A$2:$I$1016,5,0)</f>
        <v>0</v>
      </c>
      <c r="G1281" s="98">
        <f>$C1281*VLOOKUP($B1281,FoodDB!$A$2:$I$1016,6,0)</f>
        <v>0</v>
      </c>
      <c r="H1281" s="98">
        <f>$C1281*VLOOKUP($B1281,FoodDB!$A$2:$I$1016,7,0)</f>
        <v>0</v>
      </c>
      <c r="I1281" s="98">
        <f>$C1281*VLOOKUP($B1281,FoodDB!$A$2:$I$1016,8,0)</f>
        <v>0</v>
      </c>
      <c r="J1281" s="98">
        <f>$C1281*VLOOKUP($B1281,FoodDB!$A$2:$I$1016,9,0)</f>
        <v>0</v>
      </c>
      <c r="K1281" s="98"/>
      <c r="L1281" s="98"/>
      <c r="M1281" s="98"/>
      <c r="N1281" s="98"/>
      <c r="O1281" s="98"/>
      <c r="P1281" s="98"/>
      <c r="Q1281" s="98"/>
      <c r="R1281" s="98"/>
      <c r="S1281" s="98"/>
    </row>
    <row r="1282" spans="1:19" x14ac:dyDescent="0.25">
      <c r="B1282" s="94" t="s">
        <v>108</v>
      </c>
      <c r="C1282" s="95">
        <v>1</v>
      </c>
      <c r="D1282" s="98">
        <f>$C1282*VLOOKUP($B1282,FoodDB!$A$2:$I$1016,3,0)</f>
        <v>0</v>
      </c>
      <c r="E1282" s="98">
        <f>$C1282*VLOOKUP($B1282,FoodDB!$A$2:$I$1016,4,0)</f>
        <v>0</v>
      </c>
      <c r="F1282" s="98">
        <f>$C1282*VLOOKUP($B1282,FoodDB!$A$2:$I$1016,5,0)</f>
        <v>0</v>
      </c>
      <c r="G1282" s="98">
        <f>$C1282*VLOOKUP($B1282,FoodDB!$A$2:$I$1016,6,0)</f>
        <v>0</v>
      </c>
      <c r="H1282" s="98">
        <f>$C1282*VLOOKUP($B1282,FoodDB!$A$2:$I$1016,7,0)</f>
        <v>0</v>
      </c>
      <c r="I1282" s="98">
        <f>$C1282*VLOOKUP($B1282,FoodDB!$A$2:$I$1016,8,0)</f>
        <v>0</v>
      </c>
      <c r="J1282" s="98">
        <f>$C1282*VLOOKUP($B1282,FoodDB!$A$2:$I$1016,9,0)</f>
        <v>0</v>
      </c>
      <c r="K1282" s="98"/>
      <c r="L1282" s="98"/>
      <c r="M1282" s="98"/>
      <c r="N1282" s="98"/>
      <c r="O1282" s="98"/>
      <c r="P1282" s="98"/>
      <c r="Q1282" s="98"/>
      <c r="R1282" s="98"/>
      <c r="S1282" s="98"/>
    </row>
    <row r="1283" spans="1:19" x14ac:dyDescent="0.25">
      <c r="B1283" s="94" t="s">
        <v>108</v>
      </c>
      <c r="C1283" s="95">
        <v>1</v>
      </c>
      <c r="D1283" s="98">
        <f>$C1283*VLOOKUP($B1283,FoodDB!$A$2:$I$1016,3,0)</f>
        <v>0</v>
      </c>
      <c r="E1283" s="98">
        <f>$C1283*VLOOKUP($B1283,FoodDB!$A$2:$I$1016,4,0)</f>
        <v>0</v>
      </c>
      <c r="F1283" s="98">
        <f>$C1283*VLOOKUP($B1283,FoodDB!$A$2:$I$1016,5,0)</f>
        <v>0</v>
      </c>
      <c r="G1283" s="98">
        <f>$C1283*VLOOKUP($B1283,FoodDB!$A$2:$I$1016,6,0)</f>
        <v>0</v>
      </c>
      <c r="H1283" s="98">
        <f>$C1283*VLOOKUP($B1283,FoodDB!$A$2:$I$1016,7,0)</f>
        <v>0</v>
      </c>
      <c r="I1283" s="98">
        <f>$C1283*VLOOKUP($B1283,FoodDB!$A$2:$I$1016,8,0)</f>
        <v>0</v>
      </c>
      <c r="J1283" s="98">
        <f>$C1283*VLOOKUP($B1283,FoodDB!$A$2:$I$1016,9,0)</f>
        <v>0</v>
      </c>
      <c r="K1283" s="98"/>
      <c r="L1283" s="98"/>
      <c r="M1283" s="98"/>
      <c r="N1283" s="98"/>
      <c r="O1283" s="98"/>
      <c r="P1283" s="98"/>
      <c r="Q1283" s="98"/>
      <c r="R1283" s="98"/>
      <c r="S1283" s="98"/>
    </row>
    <row r="1284" spans="1:19" x14ac:dyDescent="0.25">
      <c r="B1284" s="94" t="s">
        <v>108</v>
      </c>
      <c r="C1284" s="95">
        <v>1</v>
      </c>
      <c r="D1284" s="98">
        <f>$C1284*VLOOKUP($B1284,FoodDB!$A$2:$I$1016,3,0)</f>
        <v>0</v>
      </c>
      <c r="E1284" s="98">
        <f>$C1284*VLOOKUP($B1284,FoodDB!$A$2:$I$1016,4,0)</f>
        <v>0</v>
      </c>
      <c r="F1284" s="98">
        <f>$C1284*VLOOKUP($B1284,FoodDB!$A$2:$I$1016,5,0)</f>
        <v>0</v>
      </c>
      <c r="G1284" s="98">
        <f>$C1284*VLOOKUP($B1284,FoodDB!$A$2:$I$1016,6,0)</f>
        <v>0</v>
      </c>
      <c r="H1284" s="98">
        <f>$C1284*VLOOKUP($B1284,FoodDB!$A$2:$I$1016,7,0)</f>
        <v>0</v>
      </c>
      <c r="I1284" s="98">
        <f>$C1284*VLOOKUP($B1284,FoodDB!$A$2:$I$1016,8,0)</f>
        <v>0</v>
      </c>
      <c r="J1284" s="98">
        <f>$C1284*VLOOKUP($B1284,FoodDB!$A$2:$I$1016,9,0)</f>
        <v>0</v>
      </c>
      <c r="K1284" s="98"/>
      <c r="L1284" s="98"/>
      <c r="M1284" s="98"/>
      <c r="N1284" s="98"/>
      <c r="O1284" s="98"/>
      <c r="P1284" s="98"/>
      <c r="Q1284" s="98"/>
      <c r="R1284" s="98"/>
      <c r="S1284" s="98"/>
    </row>
    <row r="1285" spans="1:19" x14ac:dyDescent="0.25">
      <c r="B1285" s="94" t="s">
        <v>108</v>
      </c>
      <c r="C1285" s="95">
        <v>1</v>
      </c>
      <c r="D1285" s="98">
        <f>$C1285*VLOOKUP($B1285,FoodDB!$A$2:$I$1016,3,0)</f>
        <v>0</v>
      </c>
      <c r="E1285" s="98">
        <f>$C1285*VLOOKUP($B1285,FoodDB!$A$2:$I$1016,4,0)</f>
        <v>0</v>
      </c>
      <c r="F1285" s="98">
        <f>$C1285*VLOOKUP($B1285,FoodDB!$A$2:$I$1016,5,0)</f>
        <v>0</v>
      </c>
      <c r="G1285" s="98">
        <f>$C1285*VLOOKUP($B1285,FoodDB!$A$2:$I$1016,6,0)</f>
        <v>0</v>
      </c>
      <c r="H1285" s="98">
        <f>$C1285*VLOOKUP($B1285,FoodDB!$A$2:$I$1016,7,0)</f>
        <v>0</v>
      </c>
      <c r="I1285" s="98">
        <f>$C1285*VLOOKUP($B1285,FoodDB!$A$2:$I$1016,8,0)</f>
        <v>0</v>
      </c>
      <c r="J1285" s="98">
        <f>$C1285*VLOOKUP($B1285,FoodDB!$A$2:$I$1016,9,0)</f>
        <v>0</v>
      </c>
      <c r="K1285" s="98"/>
      <c r="L1285" s="98"/>
      <c r="M1285" s="98"/>
      <c r="N1285" s="98"/>
      <c r="O1285" s="98"/>
      <c r="P1285" s="98"/>
      <c r="Q1285" s="98"/>
      <c r="R1285" s="98"/>
      <c r="S1285" s="98"/>
    </row>
    <row r="1286" spans="1:19" x14ac:dyDescent="0.25">
      <c r="B1286" s="94" t="s">
        <v>108</v>
      </c>
      <c r="C1286" s="95">
        <v>1</v>
      </c>
      <c r="D1286" s="98">
        <f>$C1286*VLOOKUP($B1286,FoodDB!$A$2:$I$1016,3,0)</f>
        <v>0</v>
      </c>
      <c r="E1286" s="98">
        <f>$C1286*VLOOKUP($B1286,FoodDB!$A$2:$I$1016,4,0)</f>
        <v>0</v>
      </c>
      <c r="F1286" s="98">
        <f>$C1286*VLOOKUP($B1286,FoodDB!$A$2:$I$1016,5,0)</f>
        <v>0</v>
      </c>
      <c r="G1286" s="98">
        <f>$C1286*VLOOKUP($B1286,FoodDB!$A$2:$I$1016,6,0)</f>
        <v>0</v>
      </c>
      <c r="H1286" s="98">
        <f>$C1286*VLOOKUP($B1286,FoodDB!$A$2:$I$1016,7,0)</f>
        <v>0</v>
      </c>
      <c r="I1286" s="98">
        <f>$C1286*VLOOKUP($B1286,FoodDB!$A$2:$I$1016,8,0)</f>
        <v>0</v>
      </c>
      <c r="J1286" s="98">
        <f>$C1286*VLOOKUP($B1286,FoodDB!$A$2:$I$1016,9,0)</f>
        <v>0</v>
      </c>
      <c r="K1286" s="98"/>
      <c r="L1286" s="98"/>
      <c r="M1286" s="98"/>
      <c r="N1286" s="98"/>
      <c r="O1286" s="98"/>
      <c r="P1286" s="98"/>
      <c r="Q1286" s="98"/>
      <c r="R1286" s="98"/>
      <c r="S1286" s="98"/>
    </row>
    <row r="1287" spans="1:19" x14ac:dyDescent="0.25">
      <c r="A1287" t="s">
        <v>98</v>
      </c>
      <c r="D1287" s="98"/>
      <c r="E1287" s="98"/>
      <c r="F1287" s="98"/>
      <c r="G1287" s="98">
        <f>SUM(G1280:G1286)</f>
        <v>0</v>
      </c>
      <c r="H1287" s="98">
        <f>SUM(H1280:H1286)</f>
        <v>0</v>
      </c>
      <c r="I1287" s="98">
        <f>SUM(I1280:I1286)</f>
        <v>0</v>
      </c>
      <c r="J1287" s="98">
        <f>SUM(G1287:I1287)</f>
        <v>0</v>
      </c>
      <c r="K1287" s="98"/>
      <c r="L1287" s="98"/>
      <c r="M1287" s="98"/>
      <c r="N1287" s="98"/>
      <c r="O1287" s="98"/>
      <c r="P1287" s="98"/>
      <c r="Q1287" s="98"/>
      <c r="R1287" s="98"/>
      <c r="S1287" s="98"/>
    </row>
    <row r="1288" spans="1:19" x14ac:dyDescent="0.25">
      <c r="A1288" t="s">
        <v>102</v>
      </c>
      <c r="B1288" t="s">
        <v>103</v>
      </c>
      <c r="D1288" s="98"/>
      <c r="E1288" s="98"/>
      <c r="F1288" s="98"/>
      <c r="G1288" s="98" t="e">
        <f>VLOOKUP($A1280,LossChart!$A$3:$AB$105,14,0)</f>
        <v>#N/A</v>
      </c>
      <c r="H1288" s="98" t="e">
        <f>VLOOKUP($A1280,LossChart!$A$3:$AB$105,15,0)</f>
        <v>#N/A</v>
      </c>
      <c r="I1288" s="98" t="e">
        <f>VLOOKUP($A1280,LossChart!$A$3:$AB$105,16,0)</f>
        <v>#N/A</v>
      </c>
      <c r="J1288" s="98" t="e">
        <f>VLOOKUP($A1280,LossChart!$A$3:$AB$105,17,0)</f>
        <v>#N/A</v>
      </c>
      <c r="K1288" s="98"/>
      <c r="L1288" s="98"/>
      <c r="M1288" s="98"/>
      <c r="N1288" s="98"/>
      <c r="O1288" s="98"/>
      <c r="P1288" s="98"/>
      <c r="Q1288" s="98"/>
      <c r="R1288" s="98"/>
      <c r="S1288" s="98"/>
    </row>
    <row r="1289" spans="1:19" x14ac:dyDescent="0.25">
      <c r="A1289" t="s">
        <v>104</v>
      </c>
      <c r="D1289" s="98"/>
      <c r="E1289" s="98"/>
      <c r="F1289" s="98"/>
      <c r="G1289" s="98" t="e">
        <f>G1288-G1287</f>
        <v>#N/A</v>
      </c>
      <c r="H1289" s="98" t="e">
        <f>H1288-H1287</f>
        <v>#N/A</v>
      </c>
      <c r="I1289" s="98" t="e">
        <f>I1288-I1287</f>
        <v>#N/A</v>
      </c>
      <c r="J1289" s="98" t="e">
        <f>J1288-J1287</f>
        <v>#N/A</v>
      </c>
      <c r="K1289" s="98"/>
      <c r="L1289" s="98"/>
      <c r="M1289" s="98"/>
      <c r="N1289" s="98"/>
      <c r="O1289" s="98"/>
      <c r="P1289" s="98"/>
      <c r="Q1289" s="98"/>
      <c r="R1289" s="98"/>
      <c r="S1289" s="98"/>
    </row>
    <row r="1291" spans="1:19" ht="60" x14ac:dyDescent="0.25">
      <c r="A1291" s="21" t="s">
        <v>63</v>
      </c>
      <c r="B1291" s="21" t="s">
        <v>93</v>
      </c>
      <c r="C1291" s="21" t="s">
        <v>94</v>
      </c>
      <c r="D1291" s="92" t="str">
        <f>FoodDB!$C$1</f>
        <v>Fat
(g)</v>
      </c>
      <c r="E1291" s="92" t="str">
        <f>FoodDB!$D$1</f>
        <v xml:space="preserve"> Carbs
(g)</v>
      </c>
      <c r="F1291" s="92" t="str">
        <f>FoodDB!$E$1</f>
        <v>Protein
(g)</v>
      </c>
      <c r="G1291" s="92" t="str">
        <f>FoodDB!$F$1</f>
        <v>Fat
(Cal)</v>
      </c>
      <c r="H1291" s="92" t="str">
        <f>FoodDB!$G$1</f>
        <v>Carb
(Cal)</v>
      </c>
      <c r="I1291" s="92" t="str">
        <f>FoodDB!$H$1</f>
        <v>Protein
(Cal)</v>
      </c>
      <c r="J1291" s="92" t="str">
        <f>FoodDB!$I$1</f>
        <v>Total
Calories</v>
      </c>
      <c r="K1291" s="92"/>
      <c r="L1291" s="92" t="s">
        <v>110</v>
      </c>
      <c r="M1291" s="92" t="s">
        <v>111</v>
      </c>
      <c r="N1291" s="92" t="s">
        <v>112</v>
      </c>
      <c r="O1291" s="92" t="s">
        <v>113</v>
      </c>
      <c r="P1291" s="92" t="s">
        <v>118</v>
      </c>
      <c r="Q1291" s="92" t="s">
        <v>119</v>
      </c>
      <c r="R1291" s="92" t="s">
        <v>120</v>
      </c>
      <c r="S1291" s="92" t="s">
        <v>121</v>
      </c>
    </row>
    <row r="1292" spans="1:19" x14ac:dyDescent="0.25">
      <c r="A1292" s="93">
        <f>A1280+1</f>
        <v>43101</v>
      </c>
      <c r="B1292" s="94" t="s">
        <v>108</v>
      </c>
      <c r="C1292" s="95">
        <v>1</v>
      </c>
      <c r="D1292" s="98">
        <f>$C1292*VLOOKUP($B1292,FoodDB!$A$2:$I$1016,3,0)</f>
        <v>0</v>
      </c>
      <c r="E1292" s="98">
        <f>$C1292*VLOOKUP($B1292,FoodDB!$A$2:$I$1016,4,0)</f>
        <v>0</v>
      </c>
      <c r="F1292" s="98">
        <f>$C1292*VLOOKUP($B1292,FoodDB!$A$2:$I$1016,5,0)</f>
        <v>0</v>
      </c>
      <c r="G1292" s="98">
        <f>$C1292*VLOOKUP($B1292,FoodDB!$A$2:$I$1016,6,0)</f>
        <v>0</v>
      </c>
      <c r="H1292" s="98">
        <f>$C1292*VLOOKUP($B1292,FoodDB!$A$2:$I$1016,7,0)</f>
        <v>0</v>
      </c>
      <c r="I1292" s="98">
        <f>$C1292*VLOOKUP($B1292,FoodDB!$A$2:$I$1016,8,0)</f>
        <v>0</v>
      </c>
      <c r="J1292" s="98">
        <f>$C1292*VLOOKUP($B1292,FoodDB!$A$2:$I$1016,9,0)</f>
        <v>0</v>
      </c>
      <c r="K1292" s="98"/>
      <c r="L1292" s="98">
        <f>SUM(G1292:G1298)</f>
        <v>0</v>
      </c>
      <c r="M1292" s="98">
        <f>SUM(H1292:H1298)</f>
        <v>0</v>
      </c>
      <c r="N1292" s="98">
        <f>SUM(I1292:I1298)</f>
        <v>0</v>
      </c>
      <c r="O1292" s="98">
        <f>SUM(L1292:N1292)</f>
        <v>0</v>
      </c>
      <c r="P1292" s="98" t="e">
        <f>VLOOKUP($A1292,LossChart!$A$3:$AB$999,14,0)-L1292</f>
        <v>#N/A</v>
      </c>
      <c r="Q1292" s="98" t="e">
        <f>VLOOKUP($A1292,LossChart!$A$3:$AB$999,15,0)-M1292</f>
        <v>#N/A</v>
      </c>
      <c r="R1292" s="98" t="e">
        <f>VLOOKUP($A1292,LossChart!$A$3:$AB$999,16,0)-N1292</f>
        <v>#N/A</v>
      </c>
      <c r="S1292" s="98" t="e">
        <f>VLOOKUP($A1292,LossChart!$A$3:$AB$999,17,0)-O1292</f>
        <v>#N/A</v>
      </c>
    </row>
    <row r="1293" spans="1:19" x14ac:dyDescent="0.25">
      <c r="B1293" s="94" t="s">
        <v>108</v>
      </c>
      <c r="C1293" s="95">
        <v>1</v>
      </c>
      <c r="D1293" s="98">
        <f>$C1293*VLOOKUP($B1293,FoodDB!$A$2:$I$1016,3,0)</f>
        <v>0</v>
      </c>
      <c r="E1293" s="98">
        <f>$C1293*VLOOKUP($B1293,FoodDB!$A$2:$I$1016,4,0)</f>
        <v>0</v>
      </c>
      <c r="F1293" s="98">
        <f>$C1293*VLOOKUP($B1293,FoodDB!$A$2:$I$1016,5,0)</f>
        <v>0</v>
      </c>
      <c r="G1293" s="98">
        <f>$C1293*VLOOKUP($B1293,FoodDB!$A$2:$I$1016,6,0)</f>
        <v>0</v>
      </c>
      <c r="H1293" s="98">
        <f>$C1293*VLOOKUP($B1293,FoodDB!$A$2:$I$1016,7,0)</f>
        <v>0</v>
      </c>
      <c r="I1293" s="98">
        <f>$C1293*VLOOKUP($B1293,FoodDB!$A$2:$I$1016,8,0)</f>
        <v>0</v>
      </c>
      <c r="J1293" s="98">
        <f>$C1293*VLOOKUP($B1293,FoodDB!$A$2:$I$1016,9,0)</f>
        <v>0</v>
      </c>
      <c r="K1293" s="98"/>
      <c r="L1293" s="98"/>
      <c r="M1293" s="98"/>
      <c r="N1293" s="98"/>
      <c r="O1293" s="98"/>
      <c r="P1293" s="98"/>
      <c r="Q1293" s="98"/>
      <c r="R1293" s="98"/>
      <c r="S1293" s="98"/>
    </row>
    <row r="1294" spans="1:19" x14ac:dyDescent="0.25">
      <c r="B1294" s="94" t="s">
        <v>108</v>
      </c>
      <c r="C1294" s="95">
        <v>1</v>
      </c>
      <c r="D1294" s="98">
        <f>$C1294*VLOOKUP($B1294,FoodDB!$A$2:$I$1016,3,0)</f>
        <v>0</v>
      </c>
      <c r="E1294" s="98">
        <f>$C1294*VLOOKUP($B1294,FoodDB!$A$2:$I$1016,4,0)</f>
        <v>0</v>
      </c>
      <c r="F1294" s="98">
        <f>$C1294*VLOOKUP($B1294,FoodDB!$A$2:$I$1016,5,0)</f>
        <v>0</v>
      </c>
      <c r="G1294" s="98">
        <f>$C1294*VLOOKUP($B1294,FoodDB!$A$2:$I$1016,6,0)</f>
        <v>0</v>
      </c>
      <c r="H1294" s="98">
        <f>$C1294*VLOOKUP($B1294,FoodDB!$A$2:$I$1016,7,0)</f>
        <v>0</v>
      </c>
      <c r="I1294" s="98">
        <f>$C1294*VLOOKUP($B1294,FoodDB!$A$2:$I$1016,8,0)</f>
        <v>0</v>
      </c>
      <c r="J1294" s="98">
        <f>$C1294*VLOOKUP($B1294,FoodDB!$A$2:$I$1016,9,0)</f>
        <v>0</v>
      </c>
      <c r="K1294" s="98"/>
      <c r="L1294" s="98"/>
      <c r="M1294" s="98"/>
      <c r="N1294" s="98"/>
      <c r="O1294" s="98"/>
      <c r="P1294" s="98"/>
      <c r="Q1294" s="98"/>
      <c r="R1294" s="98"/>
      <c r="S1294" s="98"/>
    </row>
    <row r="1295" spans="1:19" x14ac:dyDescent="0.25">
      <c r="B1295" s="94" t="s">
        <v>108</v>
      </c>
      <c r="C1295" s="95">
        <v>1</v>
      </c>
      <c r="D1295" s="98">
        <f>$C1295*VLOOKUP($B1295,FoodDB!$A$2:$I$1016,3,0)</f>
        <v>0</v>
      </c>
      <c r="E1295" s="98">
        <f>$C1295*VLOOKUP($B1295,FoodDB!$A$2:$I$1016,4,0)</f>
        <v>0</v>
      </c>
      <c r="F1295" s="98">
        <f>$C1295*VLOOKUP($B1295,FoodDB!$A$2:$I$1016,5,0)</f>
        <v>0</v>
      </c>
      <c r="G1295" s="98">
        <f>$C1295*VLOOKUP($B1295,FoodDB!$A$2:$I$1016,6,0)</f>
        <v>0</v>
      </c>
      <c r="H1295" s="98">
        <f>$C1295*VLOOKUP($B1295,FoodDB!$A$2:$I$1016,7,0)</f>
        <v>0</v>
      </c>
      <c r="I1295" s="98">
        <f>$C1295*VLOOKUP($B1295,FoodDB!$A$2:$I$1016,8,0)</f>
        <v>0</v>
      </c>
      <c r="J1295" s="98">
        <f>$C1295*VLOOKUP($B1295,FoodDB!$A$2:$I$1016,9,0)</f>
        <v>0</v>
      </c>
      <c r="K1295" s="98"/>
      <c r="L1295" s="98"/>
      <c r="M1295" s="98"/>
      <c r="N1295" s="98"/>
      <c r="O1295" s="98"/>
      <c r="P1295" s="98"/>
      <c r="Q1295" s="98"/>
      <c r="R1295" s="98"/>
      <c r="S1295" s="98"/>
    </row>
    <row r="1296" spans="1:19" x14ac:dyDescent="0.25">
      <c r="B1296" s="94" t="s">
        <v>108</v>
      </c>
      <c r="C1296" s="95">
        <v>1</v>
      </c>
      <c r="D1296" s="98">
        <f>$C1296*VLOOKUP($B1296,FoodDB!$A$2:$I$1016,3,0)</f>
        <v>0</v>
      </c>
      <c r="E1296" s="98">
        <f>$C1296*VLOOKUP($B1296,FoodDB!$A$2:$I$1016,4,0)</f>
        <v>0</v>
      </c>
      <c r="F1296" s="98">
        <f>$C1296*VLOOKUP($B1296,FoodDB!$A$2:$I$1016,5,0)</f>
        <v>0</v>
      </c>
      <c r="G1296" s="98">
        <f>$C1296*VLOOKUP($B1296,FoodDB!$A$2:$I$1016,6,0)</f>
        <v>0</v>
      </c>
      <c r="H1296" s="98">
        <f>$C1296*VLOOKUP($B1296,FoodDB!$A$2:$I$1016,7,0)</f>
        <v>0</v>
      </c>
      <c r="I1296" s="98">
        <f>$C1296*VLOOKUP($B1296,FoodDB!$A$2:$I$1016,8,0)</f>
        <v>0</v>
      </c>
      <c r="J1296" s="98">
        <f>$C1296*VLOOKUP($B1296,FoodDB!$A$2:$I$1016,9,0)</f>
        <v>0</v>
      </c>
      <c r="K1296" s="98"/>
      <c r="L1296" s="98"/>
      <c r="M1296" s="98"/>
      <c r="N1296" s="98"/>
      <c r="O1296" s="98"/>
      <c r="P1296" s="98"/>
      <c r="Q1296" s="98"/>
      <c r="R1296" s="98"/>
      <c r="S1296" s="98"/>
    </row>
    <row r="1297" spans="1:19" x14ac:dyDescent="0.25">
      <c r="B1297" s="94" t="s">
        <v>108</v>
      </c>
      <c r="C1297" s="95">
        <v>1</v>
      </c>
      <c r="D1297" s="98">
        <f>$C1297*VLOOKUP($B1297,FoodDB!$A$2:$I$1016,3,0)</f>
        <v>0</v>
      </c>
      <c r="E1297" s="98">
        <f>$C1297*VLOOKUP($B1297,FoodDB!$A$2:$I$1016,4,0)</f>
        <v>0</v>
      </c>
      <c r="F1297" s="98">
        <f>$C1297*VLOOKUP($B1297,FoodDB!$A$2:$I$1016,5,0)</f>
        <v>0</v>
      </c>
      <c r="G1297" s="98">
        <f>$C1297*VLOOKUP($B1297,FoodDB!$A$2:$I$1016,6,0)</f>
        <v>0</v>
      </c>
      <c r="H1297" s="98">
        <f>$C1297*VLOOKUP($B1297,FoodDB!$A$2:$I$1016,7,0)</f>
        <v>0</v>
      </c>
      <c r="I1297" s="98">
        <f>$C1297*VLOOKUP($B1297,FoodDB!$A$2:$I$1016,8,0)</f>
        <v>0</v>
      </c>
      <c r="J1297" s="98">
        <f>$C1297*VLOOKUP($B1297,FoodDB!$A$2:$I$1016,9,0)</f>
        <v>0</v>
      </c>
      <c r="K1297" s="98"/>
      <c r="L1297" s="98"/>
      <c r="M1297" s="98"/>
      <c r="N1297" s="98"/>
      <c r="O1297" s="98"/>
      <c r="P1297" s="98"/>
      <c r="Q1297" s="98"/>
      <c r="R1297" s="98"/>
      <c r="S1297" s="98"/>
    </row>
    <row r="1298" spans="1:19" x14ac:dyDescent="0.25">
      <c r="B1298" s="94" t="s">
        <v>108</v>
      </c>
      <c r="C1298" s="95">
        <v>1</v>
      </c>
      <c r="D1298" s="98">
        <f>$C1298*VLOOKUP($B1298,FoodDB!$A$2:$I$1016,3,0)</f>
        <v>0</v>
      </c>
      <c r="E1298" s="98">
        <f>$C1298*VLOOKUP($B1298,FoodDB!$A$2:$I$1016,4,0)</f>
        <v>0</v>
      </c>
      <c r="F1298" s="98">
        <f>$C1298*VLOOKUP($B1298,FoodDB!$A$2:$I$1016,5,0)</f>
        <v>0</v>
      </c>
      <c r="G1298" s="98">
        <f>$C1298*VLOOKUP($B1298,FoodDB!$A$2:$I$1016,6,0)</f>
        <v>0</v>
      </c>
      <c r="H1298" s="98">
        <f>$C1298*VLOOKUP($B1298,FoodDB!$A$2:$I$1016,7,0)</f>
        <v>0</v>
      </c>
      <c r="I1298" s="98">
        <f>$C1298*VLOOKUP($B1298,FoodDB!$A$2:$I$1016,8,0)</f>
        <v>0</v>
      </c>
      <c r="J1298" s="98">
        <f>$C1298*VLOOKUP($B1298,FoodDB!$A$2:$I$1016,9,0)</f>
        <v>0</v>
      </c>
      <c r="K1298" s="98"/>
      <c r="L1298" s="98"/>
      <c r="M1298" s="98"/>
      <c r="N1298" s="98"/>
      <c r="O1298" s="98"/>
      <c r="P1298" s="98"/>
      <c r="Q1298" s="98"/>
      <c r="R1298" s="98"/>
      <c r="S1298" s="98"/>
    </row>
    <row r="1299" spans="1:19" x14ac:dyDescent="0.25">
      <c r="A1299" t="s">
        <v>98</v>
      </c>
      <c r="D1299" s="98"/>
      <c r="E1299" s="98"/>
      <c r="F1299" s="98"/>
      <c r="G1299" s="98">
        <f>SUM(G1292:G1298)</f>
        <v>0</v>
      </c>
      <c r="H1299" s="98">
        <f>SUM(H1292:H1298)</f>
        <v>0</v>
      </c>
      <c r="I1299" s="98">
        <f>SUM(I1292:I1298)</f>
        <v>0</v>
      </c>
      <c r="J1299" s="98">
        <f>SUM(G1299:I1299)</f>
        <v>0</v>
      </c>
      <c r="K1299" s="98"/>
      <c r="L1299" s="98"/>
      <c r="M1299" s="98"/>
      <c r="N1299" s="98"/>
      <c r="O1299" s="98"/>
      <c r="P1299" s="98"/>
      <c r="Q1299" s="98"/>
      <c r="R1299" s="98"/>
      <c r="S1299" s="98"/>
    </row>
    <row r="1300" spans="1:19" x14ac:dyDescent="0.25">
      <c r="A1300" t="s">
        <v>102</v>
      </c>
      <c r="B1300" t="s">
        <v>103</v>
      </c>
      <c r="D1300" s="98"/>
      <c r="E1300" s="98"/>
      <c r="F1300" s="98"/>
      <c r="G1300" s="98" t="e">
        <f>VLOOKUP($A1292,LossChart!$A$3:$AB$105,14,0)</f>
        <v>#N/A</v>
      </c>
      <c r="H1300" s="98" t="e">
        <f>VLOOKUP($A1292,LossChart!$A$3:$AB$105,15,0)</f>
        <v>#N/A</v>
      </c>
      <c r="I1300" s="98" t="e">
        <f>VLOOKUP($A1292,LossChart!$A$3:$AB$105,16,0)</f>
        <v>#N/A</v>
      </c>
      <c r="J1300" s="98" t="e">
        <f>VLOOKUP($A1292,LossChart!$A$3:$AB$105,17,0)</f>
        <v>#N/A</v>
      </c>
      <c r="K1300" s="98"/>
      <c r="L1300" s="98"/>
      <c r="M1300" s="98"/>
      <c r="N1300" s="98"/>
      <c r="O1300" s="98"/>
      <c r="P1300" s="98"/>
      <c r="Q1300" s="98"/>
      <c r="R1300" s="98"/>
      <c r="S1300" s="98"/>
    </row>
    <row r="1301" spans="1:19" x14ac:dyDescent="0.25">
      <c r="A1301" t="s">
        <v>104</v>
      </c>
      <c r="D1301" s="98"/>
      <c r="E1301" s="98"/>
      <c r="F1301" s="98"/>
      <c r="G1301" s="98" t="e">
        <f>G1300-G1299</f>
        <v>#N/A</v>
      </c>
      <c r="H1301" s="98" t="e">
        <f>H1300-H1299</f>
        <v>#N/A</v>
      </c>
      <c r="I1301" s="98" t="e">
        <f>I1300-I1299</f>
        <v>#N/A</v>
      </c>
      <c r="J1301" s="98" t="e">
        <f>J1300-J1299</f>
        <v>#N/A</v>
      </c>
      <c r="K1301" s="98"/>
      <c r="L1301" s="98"/>
      <c r="M1301" s="98"/>
      <c r="N1301" s="98"/>
      <c r="O1301" s="98"/>
      <c r="P1301" s="98"/>
      <c r="Q1301" s="98"/>
      <c r="R1301" s="98"/>
      <c r="S1301" s="98"/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FoodDB!$A$2:$A$46</xm:f>
          </x14:formula1>
          <x14:formula2>
            <xm:f>0</xm:f>
          </x14:formula2>
          <xm:sqref>B2:B5 B9:B10 B14:B16 B20:B23 B29:B33 B39:B43 B49:B55 B61:B67 B73:B79 B85:B91 B97:B103 B109:B115 B121:B127 B130:B136 B142:B148 B154:B161 B167:B174 B180:B186 B192:B198 B204:B213 B219:B228 B234:B240 B246:B252 B258:B264 B270:B276 B282:B288 B294:B300 B306:B314 B320:B326 B332:B338 B344:B350 B356:B362 B368:B374 B380:B386 B392:B398 B404:B410 B416:B422 B428:B434 B440:B446 B452:B458 B464:B470 B476:B482 B488:B494 B500:B506 B512:B518 B524:B530 B536:B542 B548:B554 B560:B566 B572:B578 B584:B590 B596:B602 B608:B614 B620:B626 B632:B638 B644:B650 B656:B662 B668:B674 B680:B686 B692:B698 B704:B710 B716:B722 B728:B734 B740:B746 B752:B758 B764:B770 B776:B782 B788:B794 B800:B806 B812:B818 B824:B830 B836:B842 B848:B854 B860:B866 B872:B878 B884:B890 B896:B902 B908:B914 B920:B926 B932:B938 B944:B950 B956:B962 B968:B974 B980:B986 B992:B998 B1004:B1010 B1016:B1022 B1028:B1034 B1040:B1046 B1052:B1058 B1064:B1070 B1076:B1082 B1088:B1094 B1100:B1106 B1112:B1118 B1124:B1130 B1136:B1142 B1148:B1154 B1160:B1166 B1172:B1178 B1184:B1190 B1196:B1202 B1208:B1214 B1220:B1226 B1232:B1238 B1244:B1250 B1256:B1262 B1268:B1274 B1280:B1286 B1292:B1298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"/>
  <sheetViews>
    <sheetView zoomScale="150" zoomScaleNormal="150" workbookViewId="0">
      <pane ySplit="1" topLeftCell="A2" activePane="bottomLeft" state="frozen"/>
      <selection pane="bottomLeft" activeCell="I22" sqref="I22"/>
    </sheetView>
  </sheetViews>
  <sheetFormatPr defaultRowHeight="15" x14ac:dyDescent="0.25"/>
  <cols>
    <col min="1" max="1" width="20.85546875" style="33" customWidth="1"/>
    <col min="2" max="2" width="11" style="99" customWidth="1"/>
    <col min="3" max="3" width="5.140625" style="33" customWidth="1"/>
    <col min="4" max="4" width="5.85546875" style="33" customWidth="1"/>
    <col min="5" max="5" width="12.140625" style="33" customWidth="1"/>
    <col min="6" max="6" width="6.28515625" style="33" customWidth="1"/>
    <col min="7" max="7" width="5.140625" style="33" customWidth="1"/>
    <col min="8" max="8" width="7.42578125" style="33" customWidth="1"/>
    <col min="9" max="9" width="8.85546875" style="33" customWidth="1"/>
    <col min="10" max="1025" width="11.5703125" style="33" customWidth="1"/>
  </cols>
  <sheetData>
    <row r="1" spans="1:9" ht="45" x14ac:dyDescent="0.25">
      <c r="A1" s="100" t="s">
        <v>93</v>
      </c>
      <c r="B1" s="101" t="s">
        <v>136</v>
      </c>
      <c r="C1" s="102" t="s">
        <v>71</v>
      </c>
      <c r="D1" s="102" t="s">
        <v>137</v>
      </c>
      <c r="E1" s="102" t="s">
        <v>73</v>
      </c>
      <c r="F1" s="102" t="s">
        <v>138</v>
      </c>
      <c r="G1" s="102" t="s">
        <v>139</v>
      </c>
      <c r="H1" s="102" t="s">
        <v>140</v>
      </c>
      <c r="I1" s="103" t="s">
        <v>141</v>
      </c>
    </row>
    <row r="2" spans="1:9" x14ac:dyDescent="0.25">
      <c r="A2" s="33" t="s">
        <v>108</v>
      </c>
      <c r="B2" s="99">
        <v>1</v>
      </c>
      <c r="C2" s="104">
        <v>0</v>
      </c>
      <c r="D2" s="104">
        <v>0</v>
      </c>
      <c r="E2" s="104">
        <v>0</v>
      </c>
      <c r="F2" s="104">
        <f t="shared" ref="F2:F35" si="0">9*C2</f>
        <v>0</v>
      </c>
      <c r="G2" s="104">
        <f t="shared" ref="G2:G35" si="1">4*D2</f>
        <v>0</v>
      </c>
      <c r="H2" s="104">
        <f t="shared" ref="H2:H35" si="2">4*E2</f>
        <v>0</v>
      </c>
      <c r="I2" s="104">
        <f t="shared" ref="I2:I20" si="3">SUM(F2:H2)</f>
        <v>0</v>
      </c>
    </row>
    <row r="3" spans="1:9" x14ac:dyDescent="0.25">
      <c r="A3" s="33" t="s">
        <v>127</v>
      </c>
      <c r="B3" s="99" t="s">
        <v>142</v>
      </c>
      <c r="C3" s="104">
        <v>15</v>
      </c>
      <c r="D3" s="104">
        <v>2</v>
      </c>
      <c r="E3" s="104">
        <v>7</v>
      </c>
      <c r="F3" s="104">
        <f t="shared" si="0"/>
        <v>135</v>
      </c>
      <c r="G3" s="104">
        <f t="shared" si="1"/>
        <v>8</v>
      </c>
      <c r="H3" s="104">
        <f t="shared" si="2"/>
        <v>28</v>
      </c>
      <c r="I3" s="104">
        <f t="shared" si="3"/>
        <v>171</v>
      </c>
    </row>
    <row r="4" spans="1:9" x14ac:dyDescent="0.25">
      <c r="A4" s="33" t="s">
        <v>106</v>
      </c>
      <c r="B4" s="99" t="s">
        <v>143</v>
      </c>
      <c r="C4" s="33">
        <v>0.1</v>
      </c>
      <c r="D4" s="33">
        <v>1.8</v>
      </c>
      <c r="E4" s="33">
        <v>2.2000000000000002</v>
      </c>
      <c r="F4" s="104">
        <f t="shared" si="0"/>
        <v>0.9</v>
      </c>
      <c r="G4" s="104">
        <f t="shared" si="1"/>
        <v>7.2</v>
      </c>
      <c r="H4" s="104">
        <f t="shared" si="2"/>
        <v>8.8000000000000007</v>
      </c>
      <c r="I4" s="104">
        <f t="shared" si="3"/>
        <v>16.899999999999999</v>
      </c>
    </row>
    <row r="5" spans="1:9" x14ac:dyDescent="0.25">
      <c r="A5" s="33" t="s">
        <v>130</v>
      </c>
      <c r="B5" s="99" t="s">
        <v>143</v>
      </c>
      <c r="C5" s="33">
        <v>0</v>
      </c>
      <c r="D5" s="33">
        <v>5.35</v>
      </c>
      <c r="E5" s="33">
        <v>0</v>
      </c>
      <c r="F5" s="104">
        <f t="shared" si="0"/>
        <v>0</v>
      </c>
      <c r="G5" s="104">
        <f t="shared" si="1"/>
        <v>21.4</v>
      </c>
      <c r="H5" s="104">
        <f t="shared" si="2"/>
        <v>0</v>
      </c>
      <c r="I5" s="104">
        <f t="shared" si="3"/>
        <v>21.4</v>
      </c>
    </row>
    <row r="6" spans="1:9" x14ac:dyDescent="0.25">
      <c r="A6" s="33" t="s">
        <v>96</v>
      </c>
      <c r="B6" s="99" t="s">
        <v>144</v>
      </c>
      <c r="C6" s="104">
        <f>4.5*0/14</f>
        <v>0</v>
      </c>
      <c r="D6" s="104">
        <f>4.5*2/14</f>
        <v>0.6428571428571429</v>
      </c>
      <c r="E6" s="104">
        <f>4.5*1/14</f>
        <v>0.32142857142857145</v>
      </c>
      <c r="F6" s="104">
        <f t="shared" si="0"/>
        <v>0</v>
      </c>
      <c r="G6" s="104">
        <f t="shared" si="1"/>
        <v>2.5714285714285716</v>
      </c>
      <c r="H6" s="104">
        <f t="shared" si="2"/>
        <v>1.2857142857142858</v>
      </c>
      <c r="I6" s="104">
        <f t="shared" si="3"/>
        <v>3.8571428571428577</v>
      </c>
    </row>
    <row r="7" spans="1:9" x14ac:dyDescent="0.25">
      <c r="A7" s="33" t="s">
        <v>109</v>
      </c>
      <c r="B7" s="99" t="s">
        <v>145</v>
      </c>
      <c r="C7" s="104">
        <v>12</v>
      </c>
      <c r="D7" s="104">
        <v>0</v>
      </c>
      <c r="E7" s="104">
        <v>0</v>
      </c>
      <c r="F7" s="104">
        <f t="shared" si="0"/>
        <v>108</v>
      </c>
      <c r="G7" s="104">
        <f t="shared" si="1"/>
        <v>0</v>
      </c>
      <c r="H7" s="104">
        <f t="shared" si="2"/>
        <v>0</v>
      </c>
      <c r="I7" s="104">
        <f t="shared" si="3"/>
        <v>108</v>
      </c>
    </row>
    <row r="8" spans="1:9" x14ac:dyDescent="0.25">
      <c r="A8" s="33" t="s">
        <v>135</v>
      </c>
      <c r="B8" s="99" t="s">
        <v>146</v>
      </c>
      <c r="C8" s="104">
        <v>1.6</v>
      </c>
      <c r="D8" s="104">
        <f>29-12</f>
        <v>17</v>
      </c>
      <c r="E8" s="104">
        <v>11</v>
      </c>
      <c r="F8" s="104">
        <f t="shared" si="0"/>
        <v>14.4</v>
      </c>
      <c r="G8" s="104">
        <f t="shared" si="1"/>
        <v>68</v>
      </c>
      <c r="H8" s="104">
        <f t="shared" si="2"/>
        <v>44</v>
      </c>
      <c r="I8" s="104">
        <f t="shared" si="3"/>
        <v>126.4</v>
      </c>
    </row>
    <row r="9" spans="1:9" x14ac:dyDescent="0.25">
      <c r="A9" s="105" t="s">
        <v>97</v>
      </c>
      <c r="B9" s="106" t="s">
        <v>145</v>
      </c>
      <c r="C9" s="104">
        <v>9</v>
      </c>
      <c r="D9" s="104">
        <v>2</v>
      </c>
      <c r="E9" s="107">
        <v>4.7</v>
      </c>
      <c r="F9" s="104">
        <f t="shared" si="0"/>
        <v>81</v>
      </c>
      <c r="G9" s="104">
        <f t="shared" si="1"/>
        <v>8</v>
      </c>
      <c r="H9" s="104">
        <f t="shared" si="2"/>
        <v>18.8</v>
      </c>
      <c r="I9" s="104">
        <f t="shared" si="3"/>
        <v>107.8</v>
      </c>
    </row>
    <row r="10" spans="1:9" x14ac:dyDescent="0.25">
      <c r="A10" s="33" t="s">
        <v>126</v>
      </c>
      <c r="B10" s="99" t="s">
        <v>143</v>
      </c>
      <c r="C10" s="104">
        <v>3.6</v>
      </c>
      <c r="D10" s="104">
        <v>0</v>
      </c>
      <c r="E10" s="104">
        <v>31</v>
      </c>
      <c r="F10" s="104">
        <f t="shared" si="0"/>
        <v>32.4</v>
      </c>
      <c r="G10" s="104">
        <f t="shared" si="1"/>
        <v>0</v>
      </c>
      <c r="H10" s="104">
        <f t="shared" si="2"/>
        <v>124</v>
      </c>
      <c r="I10" s="104">
        <f t="shared" si="3"/>
        <v>156.4</v>
      </c>
    </row>
    <row r="11" spans="1:9" x14ac:dyDescent="0.25">
      <c r="A11" s="33" t="s">
        <v>147</v>
      </c>
      <c r="B11" s="99" t="s">
        <v>148</v>
      </c>
      <c r="C11" s="104">
        <v>10</v>
      </c>
      <c r="D11" s="104">
        <v>0</v>
      </c>
      <c r="E11" s="104">
        <v>28</v>
      </c>
      <c r="F11" s="104">
        <f t="shared" si="0"/>
        <v>90</v>
      </c>
      <c r="G11" s="104">
        <f t="shared" si="1"/>
        <v>0</v>
      </c>
      <c r="H11" s="104">
        <f t="shared" si="2"/>
        <v>112</v>
      </c>
      <c r="I11" s="104">
        <f t="shared" si="3"/>
        <v>202</v>
      </c>
    </row>
    <row r="12" spans="1:9" x14ac:dyDescent="0.25">
      <c r="A12" s="33" t="s">
        <v>149</v>
      </c>
      <c r="B12" s="99">
        <v>1</v>
      </c>
      <c r="C12" s="104">
        <v>8.3000000000000007</v>
      </c>
      <c r="D12" s="104">
        <v>0</v>
      </c>
      <c r="E12" s="104">
        <v>11.46</v>
      </c>
      <c r="F12" s="104">
        <f t="shared" si="0"/>
        <v>74.7</v>
      </c>
      <c r="G12" s="104">
        <f t="shared" si="1"/>
        <v>0</v>
      </c>
      <c r="H12" s="104">
        <f t="shared" si="2"/>
        <v>45.84</v>
      </c>
      <c r="I12" s="104">
        <f t="shared" si="3"/>
        <v>120.54</v>
      </c>
    </row>
    <row r="13" spans="1:9" x14ac:dyDescent="0.25">
      <c r="A13" s="33" t="s">
        <v>99</v>
      </c>
      <c r="B13" s="99">
        <v>1</v>
      </c>
      <c r="C13" s="104">
        <v>6.18</v>
      </c>
      <c r="D13" s="104">
        <v>0</v>
      </c>
      <c r="E13" s="104">
        <v>8.52</v>
      </c>
      <c r="F13" s="104">
        <f t="shared" si="0"/>
        <v>55.62</v>
      </c>
      <c r="G13" s="104">
        <f t="shared" si="1"/>
        <v>0</v>
      </c>
      <c r="H13" s="104">
        <f t="shared" si="2"/>
        <v>34.08</v>
      </c>
      <c r="I13" s="104">
        <f t="shared" si="3"/>
        <v>89.699999999999989</v>
      </c>
    </row>
    <row r="14" spans="1:9" x14ac:dyDescent="0.25">
      <c r="A14" s="33" t="s">
        <v>150</v>
      </c>
      <c r="B14" s="99">
        <v>1</v>
      </c>
      <c r="C14" s="104">
        <v>5.4</v>
      </c>
      <c r="D14" s="104">
        <v>0</v>
      </c>
      <c r="E14" s="104">
        <v>7.46</v>
      </c>
      <c r="F14" s="104">
        <f t="shared" si="0"/>
        <v>48.6</v>
      </c>
      <c r="G14" s="104">
        <f t="shared" si="1"/>
        <v>0</v>
      </c>
      <c r="H14" s="104">
        <f t="shared" si="2"/>
        <v>29.84</v>
      </c>
      <c r="I14" s="104">
        <f t="shared" si="3"/>
        <v>78.44</v>
      </c>
    </row>
    <row r="15" spans="1:9" x14ac:dyDescent="0.25">
      <c r="A15" s="33" t="s">
        <v>133</v>
      </c>
      <c r="B15" s="99" t="s">
        <v>151</v>
      </c>
      <c r="C15" s="104">
        <v>0</v>
      </c>
      <c r="D15" s="104">
        <v>0</v>
      </c>
      <c r="E15" s="104">
        <v>0</v>
      </c>
      <c r="F15" s="104">
        <f t="shared" si="0"/>
        <v>0</v>
      </c>
      <c r="G15" s="104">
        <f t="shared" si="1"/>
        <v>0</v>
      </c>
      <c r="H15" s="104">
        <f t="shared" si="2"/>
        <v>0</v>
      </c>
      <c r="I15" s="104">
        <f t="shared" si="3"/>
        <v>0</v>
      </c>
    </row>
    <row r="16" spans="1:9" x14ac:dyDescent="0.25">
      <c r="A16" s="33" t="s">
        <v>125</v>
      </c>
      <c r="B16" s="99" t="s">
        <v>151</v>
      </c>
      <c r="C16" s="33">
        <v>1.5</v>
      </c>
      <c r="D16" s="33">
        <v>3</v>
      </c>
      <c r="E16" s="33">
        <v>25</v>
      </c>
      <c r="F16" s="104">
        <f t="shared" si="0"/>
        <v>13.5</v>
      </c>
      <c r="G16" s="104">
        <f t="shared" si="1"/>
        <v>12</v>
      </c>
      <c r="H16" s="104">
        <f t="shared" si="2"/>
        <v>100</v>
      </c>
      <c r="I16" s="104">
        <f t="shared" si="3"/>
        <v>125.5</v>
      </c>
    </row>
    <row r="17" spans="1:9" x14ac:dyDescent="0.25">
      <c r="A17" s="33" t="s">
        <v>101</v>
      </c>
      <c r="B17" s="99">
        <v>1</v>
      </c>
      <c r="C17" s="104">
        <v>5</v>
      </c>
      <c r="D17" s="104">
        <v>0</v>
      </c>
      <c r="E17" s="104">
        <v>6</v>
      </c>
      <c r="F17" s="104">
        <f t="shared" si="0"/>
        <v>45</v>
      </c>
      <c r="G17" s="104">
        <f t="shared" si="1"/>
        <v>0</v>
      </c>
      <c r="H17" s="104">
        <f t="shared" si="2"/>
        <v>24</v>
      </c>
      <c r="I17" s="104">
        <f t="shared" si="3"/>
        <v>69</v>
      </c>
    </row>
    <row r="18" spans="1:9" x14ac:dyDescent="0.25">
      <c r="A18" s="33" t="s">
        <v>107</v>
      </c>
      <c r="B18" s="99">
        <v>1</v>
      </c>
      <c r="C18" s="33">
        <v>0.5</v>
      </c>
      <c r="D18" s="33">
        <v>0</v>
      </c>
      <c r="E18" s="33">
        <v>0</v>
      </c>
      <c r="F18" s="104">
        <f t="shared" si="0"/>
        <v>4.5</v>
      </c>
      <c r="G18" s="104">
        <f t="shared" si="1"/>
        <v>0</v>
      </c>
      <c r="H18" s="104">
        <f t="shared" si="2"/>
        <v>0</v>
      </c>
      <c r="I18" s="104">
        <f t="shared" si="3"/>
        <v>4.5</v>
      </c>
    </row>
    <row r="19" spans="1:9" x14ac:dyDescent="0.25">
      <c r="A19" s="33" t="s">
        <v>122</v>
      </c>
      <c r="B19" s="99" t="s">
        <v>143</v>
      </c>
      <c r="C19" s="33">
        <v>18</v>
      </c>
      <c r="D19" s="33">
        <v>0</v>
      </c>
      <c r="E19" s="33">
        <v>26</v>
      </c>
      <c r="F19" s="104">
        <f t="shared" si="0"/>
        <v>162</v>
      </c>
      <c r="G19" s="104">
        <f t="shared" si="1"/>
        <v>0</v>
      </c>
      <c r="H19" s="104">
        <f t="shared" si="2"/>
        <v>104</v>
      </c>
      <c r="I19" s="104">
        <f t="shared" si="3"/>
        <v>266</v>
      </c>
    </row>
    <row r="20" spans="1:9" x14ac:dyDescent="0.25">
      <c r="A20" s="33" t="s">
        <v>95</v>
      </c>
      <c r="B20" s="99" t="s">
        <v>152</v>
      </c>
      <c r="C20" s="104">
        <v>0.5</v>
      </c>
      <c r="D20" s="104">
        <v>0</v>
      </c>
      <c r="E20" s="104">
        <v>50</v>
      </c>
      <c r="F20" s="104">
        <f t="shared" si="0"/>
        <v>4.5</v>
      </c>
      <c r="G20" s="104">
        <f t="shared" si="1"/>
        <v>0</v>
      </c>
      <c r="H20" s="104">
        <f t="shared" si="2"/>
        <v>200</v>
      </c>
      <c r="I20" s="104">
        <f t="shared" si="3"/>
        <v>204.5</v>
      </c>
    </row>
    <row r="21" spans="1:9" x14ac:dyDescent="0.25">
      <c r="A21" s="33" t="s">
        <v>153</v>
      </c>
      <c r="B21" s="99" t="s">
        <v>154</v>
      </c>
      <c r="C21" s="104">
        <v>0</v>
      </c>
      <c r="D21" s="104">
        <v>0</v>
      </c>
      <c r="E21" s="104">
        <v>0</v>
      </c>
      <c r="F21" s="104">
        <f t="shared" si="0"/>
        <v>0</v>
      </c>
      <c r="G21" s="104">
        <f t="shared" si="1"/>
        <v>0</v>
      </c>
      <c r="H21" s="104">
        <f t="shared" si="2"/>
        <v>0</v>
      </c>
      <c r="I21" s="104">
        <v>98</v>
      </c>
    </row>
    <row r="22" spans="1:9" x14ac:dyDescent="0.25">
      <c r="A22" s="33" t="s">
        <v>100</v>
      </c>
      <c r="B22" s="99" t="s">
        <v>155</v>
      </c>
      <c r="C22" s="104">
        <v>0</v>
      </c>
      <c r="D22" s="104">
        <v>1</v>
      </c>
      <c r="E22" s="104">
        <v>0.6</v>
      </c>
      <c r="F22" s="104">
        <f t="shared" si="0"/>
        <v>0</v>
      </c>
      <c r="G22" s="104">
        <f t="shared" si="1"/>
        <v>4</v>
      </c>
      <c r="H22" s="104">
        <f t="shared" si="2"/>
        <v>2.4</v>
      </c>
      <c r="I22" s="104">
        <f t="shared" ref="I22:I35" si="4">SUM(F22:H22)</f>
        <v>6.4</v>
      </c>
    </row>
    <row r="23" spans="1:9" x14ac:dyDescent="0.25">
      <c r="A23" s="33" t="s">
        <v>156</v>
      </c>
      <c r="B23" s="99" t="s">
        <v>145</v>
      </c>
      <c r="C23" s="104">
        <v>14</v>
      </c>
      <c r="D23" s="104">
        <v>0</v>
      </c>
      <c r="E23" s="104">
        <v>0</v>
      </c>
      <c r="F23" s="104">
        <f t="shared" si="0"/>
        <v>126</v>
      </c>
      <c r="G23" s="104">
        <f t="shared" si="1"/>
        <v>0</v>
      </c>
      <c r="H23" s="104">
        <f t="shared" si="2"/>
        <v>0</v>
      </c>
      <c r="I23" s="104">
        <f t="shared" si="4"/>
        <v>126</v>
      </c>
    </row>
    <row r="24" spans="1:9" x14ac:dyDescent="0.25">
      <c r="A24" s="33" t="s">
        <v>134</v>
      </c>
      <c r="B24" s="99" t="s">
        <v>144</v>
      </c>
      <c r="C24" s="104">
        <v>14</v>
      </c>
      <c r="D24" s="104">
        <v>3</v>
      </c>
      <c r="E24" s="104">
        <v>7</v>
      </c>
      <c r="F24" s="104">
        <f t="shared" si="0"/>
        <v>126</v>
      </c>
      <c r="G24" s="104">
        <f t="shared" si="1"/>
        <v>12</v>
      </c>
      <c r="H24" s="104">
        <f t="shared" si="2"/>
        <v>28</v>
      </c>
      <c r="I24" s="104">
        <f t="shared" si="4"/>
        <v>166</v>
      </c>
    </row>
    <row r="25" spans="1:9" x14ac:dyDescent="0.25">
      <c r="A25" s="33" t="s">
        <v>123</v>
      </c>
      <c r="B25" s="99" t="s">
        <v>157</v>
      </c>
      <c r="C25" s="104">
        <v>6</v>
      </c>
      <c r="D25" s="104">
        <v>0</v>
      </c>
      <c r="E25" s="104">
        <v>7</v>
      </c>
      <c r="F25" s="104">
        <f t="shared" si="0"/>
        <v>54</v>
      </c>
      <c r="G25" s="104">
        <f t="shared" si="1"/>
        <v>0</v>
      </c>
      <c r="H25" s="104">
        <f t="shared" si="2"/>
        <v>28</v>
      </c>
      <c r="I25" s="104">
        <f t="shared" si="4"/>
        <v>82</v>
      </c>
    </row>
    <row r="26" spans="1:9" x14ac:dyDescent="0.25">
      <c r="A26" s="33" t="s">
        <v>131</v>
      </c>
      <c r="B26" s="99" t="s">
        <v>158</v>
      </c>
      <c r="C26" s="104">
        <v>7</v>
      </c>
      <c r="D26" s="104">
        <v>3</v>
      </c>
      <c r="E26" s="104">
        <v>1</v>
      </c>
      <c r="F26" s="104">
        <f t="shared" si="0"/>
        <v>63</v>
      </c>
      <c r="G26" s="104">
        <f t="shared" si="1"/>
        <v>12</v>
      </c>
      <c r="H26" s="104">
        <f t="shared" si="2"/>
        <v>4</v>
      </c>
      <c r="I26" s="104">
        <f t="shared" si="4"/>
        <v>79</v>
      </c>
    </row>
    <row r="27" spans="1:9" x14ac:dyDescent="0.25">
      <c r="A27" s="33" t="s">
        <v>159</v>
      </c>
      <c r="B27" s="99" t="s">
        <v>160</v>
      </c>
      <c r="C27" s="104">
        <v>11</v>
      </c>
      <c r="D27" s="104">
        <v>0</v>
      </c>
      <c r="E27" s="104">
        <v>23</v>
      </c>
      <c r="F27" s="104">
        <f t="shared" si="0"/>
        <v>99</v>
      </c>
      <c r="G27" s="104">
        <f t="shared" si="1"/>
        <v>0</v>
      </c>
      <c r="H27" s="104">
        <f t="shared" si="2"/>
        <v>92</v>
      </c>
      <c r="I27" s="104">
        <f t="shared" si="4"/>
        <v>191</v>
      </c>
    </row>
    <row r="28" spans="1:9" x14ac:dyDescent="0.25">
      <c r="A28" s="33" t="s">
        <v>128</v>
      </c>
      <c r="B28" s="99" t="s">
        <v>161</v>
      </c>
      <c r="C28" s="104">
        <v>0.2</v>
      </c>
      <c r="D28" s="104">
        <v>2.4</v>
      </c>
      <c r="E28" s="104">
        <v>0.8</v>
      </c>
      <c r="F28" s="104">
        <f t="shared" si="0"/>
        <v>1.8</v>
      </c>
      <c r="G28" s="104">
        <f t="shared" si="1"/>
        <v>9.6</v>
      </c>
      <c r="H28" s="104">
        <f t="shared" si="2"/>
        <v>3.2</v>
      </c>
      <c r="I28" s="104">
        <f t="shared" si="4"/>
        <v>14.600000000000001</v>
      </c>
    </row>
    <row r="29" spans="1:9" x14ac:dyDescent="0.25">
      <c r="A29" s="33" t="s">
        <v>162</v>
      </c>
      <c r="B29" s="99" t="s">
        <v>163</v>
      </c>
      <c r="C29" s="104">
        <v>0.2</v>
      </c>
      <c r="D29" s="104">
        <v>3.3</v>
      </c>
      <c r="E29" s="104">
        <v>1.1000000000000001</v>
      </c>
      <c r="F29" s="104">
        <f t="shared" si="0"/>
        <v>1.8</v>
      </c>
      <c r="G29" s="104">
        <f t="shared" si="1"/>
        <v>13.2</v>
      </c>
      <c r="H29" s="104">
        <f t="shared" si="2"/>
        <v>4.4000000000000004</v>
      </c>
      <c r="I29" s="104">
        <f t="shared" si="4"/>
        <v>19.399999999999999</v>
      </c>
    </row>
    <row r="30" spans="1:9" x14ac:dyDescent="0.25">
      <c r="A30" s="33" t="s">
        <v>164</v>
      </c>
      <c r="B30" s="99" t="s">
        <v>165</v>
      </c>
      <c r="C30" s="104">
        <v>0.4</v>
      </c>
      <c r="D30" s="104">
        <v>4.8</v>
      </c>
      <c r="E30" s="104">
        <v>1.6</v>
      </c>
      <c r="F30" s="104">
        <f t="shared" si="0"/>
        <v>3.6</v>
      </c>
      <c r="G30" s="104">
        <f t="shared" si="1"/>
        <v>19.2</v>
      </c>
      <c r="H30" s="104">
        <f t="shared" si="2"/>
        <v>6.4</v>
      </c>
      <c r="I30" s="104">
        <f t="shared" si="4"/>
        <v>29.200000000000003</v>
      </c>
    </row>
    <row r="31" spans="1:9" x14ac:dyDescent="0.25">
      <c r="A31" s="33" t="s">
        <v>132</v>
      </c>
      <c r="B31" s="99" t="s">
        <v>166</v>
      </c>
      <c r="C31" s="33">
        <v>0.5</v>
      </c>
      <c r="D31" s="33">
        <v>1</v>
      </c>
      <c r="E31" s="33">
        <v>12</v>
      </c>
      <c r="F31" s="33">
        <f t="shared" si="0"/>
        <v>4.5</v>
      </c>
      <c r="G31" s="33">
        <f t="shared" si="1"/>
        <v>4</v>
      </c>
      <c r="H31" s="33">
        <f t="shared" si="2"/>
        <v>48</v>
      </c>
      <c r="I31" s="33">
        <f t="shared" si="4"/>
        <v>56.5</v>
      </c>
    </row>
    <row r="32" spans="1:9" x14ac:dyDescent="0.25">
      <c r="A32" s="33" t="s">
        <v>167</v>
      </c>
      <c r="B32" s="99" t="s">
        <v>168</v>
      </c>
      <c r="C32" s="33">
        <v>5</v>
      </c>
      <c r="D32" s="33">
        <v>0</v>
      </c>
      <c r="E32" s="33">
        <v>25</v>
      </c>
      <c r="F32" s="33">
        <f t="shared" si="0"/>
        <v>45</v>
      </c>
      <c r="G32" s="33">
        <f t="shared" si="1"/>
        <v>0</v>
      </c>
      <c r="H32" s="33">
        <f t="shared" si="2"/>
        <v>100</v>
      </c>
      <c r="I32" s="33">
        <f t="shared" si="4"/>
        <v>145</v>
      </c>
    </row>
    <row r="33" spans="1:9" x14ac:dyDescent="0.25">
      <c r="A33" s="33" t="s">
        <v>105</v>
      </c>
      <c r="B33" s="99" t="s">
        <v>169</v>
      </c>
      <c r="C33" s="104">
        <v>0.8</v>
      </c>
      <c r="D33" s="104">
        <v>0</v>
      </c>
      <c r="E33" s="104">
        <v>34</v>
      </c>
      <c r="F33" s="104">
        <f t="shared" si="0"/>
        <v>7.2</v>
      </c>
      <c r="G33" s="104">
        <f t="shared" si="1"/>
        <v>0</v>
      </c>
      <c r="H33" s="104">
        <f t="shared" si="2"/>
        <v>136</v>
      </c>
      <c r="I33" s="104">
        <f t="shared" si="4"/>
        <v>143.19999999999999</v>
      </c>
    </row>
    <row r="34" spans="1:9" x14ac:dyDescent="0.25">
      <c r="A34" s="33" t="s">
        <v>124</v>
      </c>
      <c r="B34" s="99" t="s">
        <v>170</v>
      </c>
      <c r="C34" s="104">
        <v>0.5</v>
      </c>
      <c r="D34" s="104">
        <v>2</v>
      </c>
      <c r="E34" s="104">
        <v>10</v>
      </c>
      <c r="F34" s="104">
        <f t="shared" si="0"/>
        <v>4.5</v>
      </c>
      <c r="G34" s="104">
        <f t="shared" si="1"/>
        <v>8</v>
      </c>
      <c r="H34" s="104">
        <f t="shared" si="2"/>
        <v>40</v>
      </c>
      <c r="I34" s="104">
        <f t="shared" si="4"/>
        <v>52.5</v>
      </c>
    </row>
    <row r="35" spans="1:9" x14ac:dyDescent="0.25">
      <c r="A35" s="33" t="s">
        <v>129</v>
      </c>
      <c r="B35" s="99" t="s">
        <v>171</v>
      </c>
      <c r="C35" s="33">
        <v>0.6</v>
      </c>
      <c r="D35" s="33">
        <v>4.9000000000000004</v>
      </c>
      <c r="E35" s="33">
        <v>2.4</v>
      </c>
      <c r="F35" s="33">
        <f t="shared" si="0"/>
        <v>5.3999999999999995</v>
      </c>
      <c r="G35" s="33">
        <f t="shared" si="1"/>
        <v>19.600000000000001</v>
      </c>
      <c r="H35" s="33">
        <f t="shared" si="2"/>
        <v>9.6</v>
      </c>
      <c r="I35" s="33">
        <f t="shared" si="4"/>
        <v>34.6</v>
      </c>
    </row>
  </sheetData>
  <autoFilter ref="A1:I20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6318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14</vt:i4>
      </vt:variant>
    </vt:vector>
  </HeadingPairs>
  <TitlesOfParts>
    <vt:vector size="24" baseType="lpstr">
      <vt:lpstr>Measured</vt:lpstr>
      <vt:lpstr>TDEE</vt:lpstr>
      <vt:lpstr>BF_DoD</vt:lpstr>
      <vt:lpstr>Protein_Amt</vt:lpstr>
      <vt:lpstr>Max_LBM</vt:lpstr>
      <vt:lpstr>LossChart</vt:lpstr>
      <vt:lpstr>Scale</vt:lpstr>
      <vt:lpstr>FoodLog</vt:lpstr>
      <vt:lpstr>FoodDB</vt:lpstr>
      <vt:lpstr>H2O_Fasting</vt:lpstr>
      <vt:lpstr>FoodDB!__xlnm._FilterDatabase</vt:lpstr>
      <vt:lpstr>FoodDB!_FilterDatabase</vt:lpstr>
      <vt:lpstr>FoodDB!_FilterDatabase_0</vt:lpstr>
      <vt:lpstr>FoodDB!_FilterDatabase_0_0</vt:lpstr>
      <vt:lpstr>FoodDB!_FilterDatabase_0_0_0</vt:lpstr>
      <vt:lpstr>FoodDB!_FilterDatabase_0_0_0_0</vt:lpstr>
      <vt:lpstr>FoodDB!_FilterDatabase_0_0_0_0_0</vt:lpstr>
      <vt:lpstr>FoodDB!df</vt:lpstr>
      <vt:lpstr>FoodDB!filter2</vt:lpstr>
      <vt:lpstr>FoodDB!filter5</vt:lpstr>
      <vt:lpstr>FoodDB!sdfsdf</vt:lpstr>
      <vt:lpstr>FoodDB!that</vt:lpstr>
      <vt:lpstr>FoodDB!this</vt:lpstr>
      <vt:lpstr>FoodDB!wer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132</cp:revision>
  <cp:lastPrinted>1601-01-01T00:00:00Z</cp:lastPrinted>
  <dcterms:created xsi:type="dcterms:W3CDTF">2017-09-14T17:05:16Z</dcterms:created>
  <dcterms:modified xsi:type="dcterms:W3CDTF">2017-10-12T19:32:53Z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