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7"/>
  </bookViews>
  <sheets>
    <sheet name="Measured" sheetId="1" r:id="rId1"/>
    <sheet name="TDEE" sheetId="2" r:id="rId2"/>
    <sheet name="BF_DoD" sheetId="3" r:id="rId3"/>
    <sheet name="Protein_Amt" sheetId="4" r:id="rId4"/>
    <sheet name="Max_LBM" sheetId="5" r:id="rId5"/>
    <sheet name="LossChart" sheetId="6" r:id="rId6"/>
    <sheet name="Scale" sheetId="7" r:id="rId7"/>
    <sheet name="FoodLog" sheetId="8" r:id="rId8"/>
    <sheet name="FoodDB" sheetId="9" r:id="rId9"/>
    <sheet name="H2O_Fasting" sheetId="10" r:id="rId10"/>
  </sheets>
  <definedNames>
    <definedName name="__xlnm._FilterDatabase" localSheetId="8">FoodDB!$A$1:$I$20</definedName>
    <definedName name="_xlnm._FilterDatabase" localSheetId="8">FoodDB!$A$1:$I$20</definedName>
    <definedName name="_FilterDatabase_0" localSheetId="8">FoodDB!$A$1:$I$20</definedName>
    <definedName name="_FilterDatabase_0_0" localSheetId="8">FoodDB!$A$1:$I$20</definedName>
    <definedName name="_FilterDatabase_0_0_0" localSheetId="8">FoodDB!$A$1:$I$20</definedName>
    <definedName name="_FilterDatabase_0_0_0_0" localSheetId="8">FoodDB!$A$1:$I$20</definedName>
    <definedName name="_FilterDatabase_0_0_0_0_0" localSheetId="8">FoodDB!$A$1:$I$20</definedName>
    <definedName name="filter2" localSheetId="8">FoodDB!$A$1:$I$20</definedName>
    <definedName name="filter5" localSheetId="8">FoodDB!$A$1:$I$20</definedName>
    <definedName name="that" localSheetId="8">FoodDB!$A$1:$I$20</definedName>
    <definedName name="this" localSheetId="8">FoodDB!$A$1:$I$20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223" i="8" l="1"/>
  <c r="I223" i="8"/>
  <c r="H223" i="8"/>
  <c r="G223" i="8"/>
  <c r="F223" i="8"/>
  <c r="E223" i="8"/>
  <c r="D223" i="8"/>
  <c r="J222" i="8"/>
  <c r="I222" i="8"/>
  <c r="H222" i="8"/>
  <c r="G222" i="8"/>
  <c r="F222" i="8"/>
  <c r="E222" i="8"/>
  <c r="D222" i="8"/>
  <c r="J221" i="8"/>
  <c r="I221" i="8"/>
  <c r="H221" i="8"/>
  <c r="G221" i="8"/>
  <c r="F221" i="8"/>
  <c r="E221" i="8"/>
  <c r="D221" i="8"/>
  <c r="B4" i="10" l="1"/>
  <c r="B5" i="10" s="1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B130" i="10" s="1"/>
  <c r="B131" i="10" s="1"/>
  <c r="B132" i="10" s="1"/>
  <c r="B133" i="10" s="1"/>
  <c r="B134" i="10" s="1"/>
  <c r="B135" i="10" s="1"/>
  <c r="B136" i="10" s="1"/>
  <c r="B137" i="10" s="1"/>
  <c r="B138" i="10" s="1"/>
  <c r="B139" i="10" s="1"/>
  <c r="B140" i="10" s="1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B169" i="10" s="1"/>
  <c r="B170" i="10" s="1"/>
  <c r="B171" i="10" s="1"/>
  <c r="B172" i="10" s="1"/>
  <c r="B173" i="10" s="1"/>
  <c r="B174" i="10" s="1"/>
  <c r="B175" i="10" s="1"/>
  <c r="B176" i="10" s="1"/>
  <c r="B177" i="10" s="1"/>
  <c r="B178" i="10" s="1"/>
  <c r="B179" i="10" s="1"/>
  <c r="B180" i="10" s="1"/>
  <c r="B181" i="10" s="1"/>
  <c r="B182" i="10" s="1"/>
  <c r="B183" i="10" s="1"/>
  <c r="B184" i="10" s="1"/>
  <c r="B185" i="10" s="1"/>
  <c r="B186" i="10" s="1"/>
  <c r="B187" i="10" s="1"/>
  <c r="B188" i="10" s="1"/>
  <c r="B189" i="10" s="1"/>
  <c r="B190" i="10" s="1"/>
  <c r="B191" i="10" s="1"/>
  <c r="B192" i="10" s="1"/>
  <c r="B193" i="10" s="1"/>
  <c r="B194" i="10" s="1"/>
  <c r="B195" i="10" s="1"/>
  <c r="B196" i="10" s="1"/>
  <c r="B197" i="10" s="1"/>
  <c r="B198" i="10" s="1"/>
  <c r="B199" i="10" s="1"/>
  <c r="B200" i="10" s="1"/>
  <c r="B201" i="10" s="1"/>
  <c r="B202" i="10" s="1"/>
  <c r="B203" i="10" s="1"/>
  <c r="B204" i="10" s="1"/>
  <c r="B205" i="10" s="1"/>
  <c r="B206" i="10" s="1"/>
  <c r="B207" i="10" s="1"/>
  <c r="B208" i="10" s="1"/>
  <c r="B209" i="10" s="1"/>
  <c r="B210" i="10" s="1"/>
  <c r="B211" i="10" s="1"/>
  <c r="B212" i="10" s="1"/>
  <c r="B213" i="10" s="1"/>
  <c r="B214" i="10" s="1"/>
  <c r="B215" i="10" s="1"/>
  <c r="B216" i="10" s="1"/>
  <c r="B217" i="10" s="1"/>
  <c r="B218" i="10" s="1"/>
  <c r="B219" i="10" s="1"/>
  <c r="B220" i="10" s="1"/>
  <c r="B221" i="10" s="1"/>
  <c r="B222" i="10" s="1"/>
  <c r="B223" i="10" s="1"/>
  <c r="B224" i="10" s="1"/>
  <c r="B225" i="10" s="1"/>
  <c r="B226" i="10" s="1"/>
  <c r="B227" i="10" s="1"/>
  <c r="B228" i="10" s="1"/>
  <c r="B229" i="10" s="1"/>
  <c r="B230" i="10" s="1"/>
  <c r="B231" i="10" s="1"/>
  <c r="B232" i="10" s="1"/>
  <c r="B233" i="10" s="1"/>
  <c r="B234" i="10" s="1"/>
  <c r="B235" i="10" s="1"/>
  <c r="B236" i="10" s="1"/>
  <c r="B237" i="10" s="1"/>
  <c r="B238" i="10" s="1"/>
  <c r="B239" i="10" s="1"/>
  <c r="B240" i="10" s="1"/>
  <c r="B241" i="10" s="1"/>
  <c r="B242" i="10" s="1"/>
  <c r="B243" i="10" s="1"/>
  <c r="B244" i="10" s="1"/>
  <c r="B245" i="10" s="1"/>
  <c r="B246" i="10" s="1"/>
  <c r="B247" i="10" s="1"/>
  <c r="B248" i="10" s="1"/>
  <c r="B249" i="10" s="1"/>
  <c r="B250" i="10" s="1"/>
  <c r="B251" i="10" s="1"/>
  <c r="B252" i="10" s="1"/>
  <c r="B253" i="10" s="1"/>
  <c r="B254" i="10" s="1"/>
  <c r="B255" i="10" s="1"/>
  <c r="B256" i="10" s="1"/>
  <c r="B257" i="10" s="1"/>
  <c r="B258" i="10" s="1"/>
  <c r="B259" i="10" s="1"/>
  <c r="B260" i="10" s="1"/>
  <c r="B261" i="10" s="1"/>
  <c r="B262" i="10" s="1"/>
  <c r="B263" i="10" s="1"/>
  <c r="B264" i="10" s="1"/>
  <c r="B265" i="10" s="1"/>
  <c r="B266" i="10" s="1"/>
  <c r="B267" i="10" s="1"/>
  <c r="B268" i="10" s="1"/>
  <c r="B269" i="10" s="1"/>
  <c r="B270" i="10" s="1"/>
  <c r="B271" i="10" s="1"/>
  <c r="B272" i="10" s="1"/>
  <c r="B273" i="10" s="1"/>
  <c r="B274" i="10" s="1"/>
  <c r="B275" i="10" s="1"/>
  <c r="B276" i="10" s="1"/>
  <c r="B277" i="10" s="1"/>
  <c r="B278" i="10" s="1"/>
  <c r="B279" i="10" s="1"/>
  <c r="B280" i="10" s="1"/>
  <c r="B281" i="10" s="1"/>
  <c r="B282" i="10" s="1"/>
  <c r="B283" i="10" s="1"/>
  <c r="B284" i="10" s="1"/>
  <c r="B285" i="10" s="1"/>
  <c r="B286" i="10" s="1"/>
  <c r="B287" i="10" s="1"/>
  <c r="B288" i="10" s="1"/>
  <c r="B289" i="10" s="1"/>
  <c r="B290" i="10" s="1"/>
  <c r="B291" i="10" s="1"/>
  <c r="B292" i="10" s="1"/>
  <c r="B293" i="10" s="1"/>
  <c r="B294" i="10" s="1"/>
  <c r="B295" i="10" s="1"/>
  <c r="B296" i="10" s="1"/>
  <c r="B297" i="10" s="1"/>
  <c r="B298" i="10" s="1"/>
  <c r="B299" i="10" s="1"/>
  <c r="B300" i="10" s="1"/>
  <c r="B301" i="10" s="1"/>
  <c r="B302" i="10" s="1"/>
  <c r="B303" i="10" s="1"/>
  <c r="B304" i="10" s="1"/>
  <c r="B305" i="10" s="1"/>
  <c r="B306" i="10" s="1"/>
  <c r="B307" i="10" s="1"/>
  <c r="B308" i="10" s="1"/>
  <c r="B309" i="10" s="1"/>
  <c r="B310" i="10" s="1"/>
  <c r="B311" i="10" s="1"/>
  <c r="B312" i="10" s="1"/>
  <c r="B313" i="10" s="1"/>
  <c r="B314" i="10" s="1"/>
  <c r="B315" i="10" s="1"/>
  <c r="B316" i="10" s="1"/>
  <c r="B317" i="10" s="1"/>
  <c r="B318" i="10" s="1"/>
  <c r="B319" i="10" s="1"/>
  <c r="B320" i="10" s="1"/>
  <c r="B321" i="10" s="1"/>
  <c r="B322" i="10" s="1"/>
  <c r="B323" i="10" s="1"/>
  <c r="B324" i="10" s="1"/>
  <c r="B325" i="10" s="1"/>
  <c r="B326" i="10" s="1"/>
  <c r="B327" i="10" s="1"/>
  <c r="B328" i="10" s="1"/>
  <c r="B329" i="10" s="1"/>
  <c r="B330" i="10" s="1"/>
  <c r="B331" i="10" s="1"/>
  <c r="B332" i="10" s="1"/>
  <c r="B333" i="10" s="1"/>
  <c r="B334" i="10" s="1"/>
  <c r="B335" i="10" s="1"/>
  <c r="B336" i="10" s="1"/>
  <c r="B337" i="10" s="1"/>
  <c r="B338" i="10" s="1"/>
  <c r="B339" i="10" s="1"/>
  <c r="B340" i="10" s="1"/>
  <c r="B341" i="10" s="1"/>
  <c r="B342" i="10" s="1"/>
  <c r="B343" i="10" s="1"/>
  <c r="B344" i="10" s="1"/>
  <c r="B345" i="10" s="1"/>
  <c r="B346" i="10" s="1"/>
  <c r="B347" i="10" s="1"/>
  <c r="B348" i="10" s="1"/>
  <c r="B349" i="10" s="1"/>
  <c r="B350" i="10" s="1"/>
  <c r="B351" i="10" s="1"/>
  <c r="B352" i="10" s="1"/>
  <c r="B353" i="10" s="1"/>
  <c r="B354" i="10" s="1"/>
  <c r="B355" i="10" s="1"/>
  <c r="B356" i="10" s="1"/>
  <c r="B357" i="10" s="1"/>
  <c r="B358" i="10" s="1"/>
  <c r="B359" i="10" s="1"/>
  <c r="B360" i="10" s="1"/>
  <c r="B361" i="10" s="1"/>
  <c r="B362" i="10" s="1"/>
  <c r="B363" i="10" s="1"/>
  <c r="B364" i="10" s="1"/>
  <c r="B365" i="10" s="1"/>
  <c r="B366" i="10" s="1"/>
  <c r="B367" i="10" s="1"/>
  <c r="B368" i="10" s="1"/>
  <c r="B369" i="10" s="1"/>
  <c r="B370" i="10" s="1"/>
  <c r="B371" i="10" s="1"/>
  <c r="B372" i="10" s="1"/>
  <c r="B373" i="10" s="1"/>
  <c r="B374" i="10" s="1"/>
  <c r="B375" i="10" s="1"/>
  <c r="B376" i="10" s="1"/>
  <c r="B377" i="10" s="1"/>
  <c r="B378" i="10" s="1"/>
  <c r="B379" i="10" s="1"/>
  <c r="B380" i="10" s="1"/>
  <c r="B381" i="10" s="1"/>
  <c r="B382" i="10" s="1"/>
  <c r="B383" i="10" s="1"/>
  <c r="B384" i="10" s="1"/>
  <c r="B385" i="10" s="1"/>
  <c r="B386" i="10" s="1"/>
  <c r="B387" i="10" s="1"/>
  <c r="B388" i="10" s="1"/>
  <c r="C3" i="10"/>
  <c r="H33" i="9"/>
  <c r="I33" i="9" s="1"/>
  <c r="G33" i="9"/>
  <c r="F33" i="9"/>
  <c r="H32" i="9"/>
  <c r="I32" i="9" s="1"/>
  <c r="G32" i="9"/>
  <c r="F32" i="9"/>
  <c r="H31" i="9"/>
  <c r="I31" i="9" s="1"/>
  <c r="G31" i="9"/>
  <c r="F31" i="9"/>
  <c r="H30" i="9"/>
  <c r="I30" i="9" s="1"/>
  <c r="G30" i="9"/>
  <c r="F30" i="9"/>
  <c r="H29" i="9"/>
  <c r="I29" i="9" s="1"/>
  <c r="G29" i="9"/>
  <c r="F29" i="9"/>
  <c r="H28" i="9"/>
  <c r="I28" i="9" s="1"/>
  <c r="G28" i="9"/>
  <c r="F28" i="9"/>
  <c r="H27" i="9"/>
  <c r="I27" i="9" s="1"/>
  <c r="G27" i="9"/>
  <c r="F27" i="9"/>
  <c r="H26" i="9"/>
  <c r="I26" i="9" s="1"/>
  <c r="G26" i="9"/>
  <c r="F26" i="9"/>
  <c r="H25" i="9"/>
  <c r="I25" i="9" s="1"/>
  <c r="G25" i="9"/>
  <c r="F25" i="9"/>
  <c r="H24" i="9"/>
  <c r="I24" i="9" s="1"/>
  <c r="G24" i="9"/>
  <c r="F24" i="9"/>
  <c r="H23" i="9"/>
  <c r="I23" i="9" s="1"/>
  <c r="G23" i="9"/>
  <c r="F23" i="9"/>
  <c r="H22" i="9"/>
  <c r="I22" i="9" s="1"/>
  <c r="G22" i="9"/>
  <c r="F22" i="9"/>
  <c r="H21" i="9"/>
  <c r="I21" i="9" s="1"/>
  <c r="G21" i="9"/>
  <c r="F21" i="9"/>
  <c r="H20" i="9"/>
  <c r="I20" i="9" s="1"/>
  <c r="G20" i="9"/>
  <c r="F20" i="9"/>
  <c r="I19" i="9"/>
  <c r="H19" i="9"/>
  <c r="G19" i="9"/>
  <c r="F19" i="9"/>
  <c r="I18" i="9"/>
  <c r="H18" i="9"/>
  <c r="G18" i="9"/>
  <c r="F18" i="9"/>
  <c r="I17" i="9"/>
  <c r="H17" i="9"/>
  <c r="G17" i="9"/>
  <c r="F17" i="9"/>
  <c r="I16" i="9"/>
  <c r="H16" i="9"/>
  <c r="G16" i="9"/>
  <c r="F16" i="9"/>
  <c r="I15" i="9"/>
  <c r="H15" i="9"/>
  <c r="G15" i="9"/>
  <c r="F15" i="9"/>
  <c r="I14" i="9"/>
  <c r="H14" i="9"/>
  <c r="G14" i="9"/>
  <c r="F14" i="9"/>
  <c r="I13" i="9"/>
  <c r="H13" i="9"/>
  <c r="G13" i="9"/>
  <c r="F13" i="9"/>
  <c r="I12" i="9"/>
  <c r="H12" i="9"/>
  <c r="G12" i="9"/>
  <c r="F12" i="9"/>
  <c r="I11" i="9"/>
  <c r="H11" i="9"/>
  <c r="G11" i="9"/>
  <c r="F11" i="9"/>
  <c r="I10" i="9"/>
  <c r="H10" i="9"/>
  <c r="G10" i="9"/>
  <c r="F10" i="9"/>
  <c r="I9" i="9"/>
  <c r="H9" i="9"/>
  <c r="G9" i="9"/>
  <c r="F9" i="9"/>
  <c r="H8" i="9"/>
  <c r="F8" i="9"/>
  <c r="D8" i="9"/>
  <c r="G8" i="9" s="1"/>
  <c r="I8" i="9" s="1"/>
  <c r="H7" i="9"/>
  <c r="G7" i="9"/>
  <c r="F7" i="9"/>
  <c r="I7" i="9" s="1"/>
  <c r="F6" i="9"/>
  <c r="E6" i="9"/>
  <c r="H6" i="9" s="1"/>
  <c r="D6" i="9"/>
  <c r="G6" i="9" s="1"/>
  <c r="C6" i="9"/>
  <c r="I4" i="9"/>
  <c r="H4" i="9"/>
  <c r="G4" i="9"/>
  <c r="F4" i="9"/>
  <c r="I3" i="9"/>
  <c r="H3" i="9"/>
  <c r="G3" i="9"/>
  <c r="F3" i="9"/>
  <c r="I2" i="9"/>
  <c r="H2" i="9"/>
  <c r="G2" i="9"/>
  <c r="F2" i="9"/>
  <c r="J1296" i="8"/>
  <c r="I1296" i="8"/>
  <c r="H1296" i="8"/>
  <c r="G1296" i="8"/>
  <c r="F1296" i="8"/>
  <c r="E1296" i="8"/>
  <c r="D1296" i="8"/>
  <c r="J1295" i="8"/>
  <c r="I1295" i="8"/>
  <c r="H1295" i="8"/>
  <c r="G1295" i="8"/>
  <c r="F1295" i="8"/>
  <c r="E1295" i="8"/>
  <c r="D1295" i="8"/>
  <c r="J1294" i="8"/>
  <c r="I1294" i="8"/>
  <c r="H1294" i="8"/>
  <c r="G1294" i="8"/>
  <c r="F1294" i="8"/>
  <c r="E1294" i="8"/>
  <c r="D1294" i="8"/>
  <c r="J1293" i="8"/>
  <c r="I1293" i="8"/>
  <c r="H1293" i="8"/>
  <c r="G1293" i="8"/>
  <c r="F1293" i="8"/>
  <c r="E1293" i="8"/>
  <c r="D1293" i="8"/>
  <c r="J1292" i="8"/>
  <c r="I1292" i="8"/>
  <c r="H1292" i="8"/>
  <c r="G1292" i="8"/>
  <c r="F1292" i="8"/>
  <c r="E1292" i="8"/>
  <c r="D1292" i="8"/>
  <c r="J1291" i="8"/>
  <c r="I1291" i="8"/>
  <c r="H1291" i="8"/>
  <c r="G1291" i="8"/>
  <c r="F1291" i="8"/>
  <c r="E1291" i="8"/>
  <c r="D1291" i="8"/>
  <c r="J1290" i="8"/>
  <c r="I1290" i="8"/>
  <c r="H1290" i="8"/>
  <c r="G1290" i="8"/>
  <c r="L1290" i="8" s="1"/>
  <c r="F1290" i="8"/>
  <c r="E1290" i="8"/>
  <c r="D1290" i="8"/>
  <c r="J1289" i="8"/>
  <c r="I1289" i="8"/>
  <c r="H1289" i="8"/>
  <c r="G1289" i="8"/>
  <c r="F1289" i="8"/>
  <c r="E1289" i="8"/>
  <c r="D1289" i="8"/>
  <c r="J1284" i="8"/>
  <c r="I1284" i="8"/>
  <c r="H1284" i="8"/>
  <c r="G1284" i="8"/>
  <c r="F1284" i="8"/>
  <c r="E1284" i="8"/>
  <c r="D1284" i="8"/>
  <c r="J1283" i="8"/>
  <c r="I1283" i="8"/>
  <c r="H1283" i="8"/>
  <c r="G1283" i="8"/>
  <c r="F1283" i="8"/>
  <c r="E1283" i="8"/>
  <c r="D1283" i="8"/>
  <c r="J1282" i="8"/>
  <c r="I1282" i="8"/>
  <c r="H1282" i="8"/>
  <c r="G1282" i="8"/>
  <c r="F1282" i="8"/>
  <c r="E1282" i="8"/>
  <c r="D1282" i="8"/>
  <c r="J1281" i="8"/>
  <c r="I1281" i="8"/>
  <c r="H1281" i="8"/>
  <c r="G1281" i="8"/>
  <c r="F1281" i="8"/>
  <c r="E1281" i="8"/>
  <c r="D1281" i="8"/>
  <c r="J1280" i="8"/>
  <c r="I1280" i="8"/>
  <c r="H1280" i="8"/>
  <c r="G1280" i="8"/>
  <c r="F1280" i="8"/>
  <c r="E1280" i="8"/>
  <c r="D1280" i="8"/>
  <c r="J1279" i="8"/>
  <c r="I1279" i="8"/>
  <c r="H1279" i="8"/>
  <c r="G1279" i="8"/>
  <c r="F1279" i="8"/>
  <c r="E1279" i="8"/>
  <c r="D1279" i="8"/>
  <c r="J1278" i="8"/>
  <c r="I1278" i="8"/>
  <c r="H1278" i="8"/>
  <c r="G1278" i="8"/>
  <c r="G1285" i="8" s="1"/>
  <c r="F1278" i="8"/>
  <c r="E1278" i="8"/>
  <c r="D1278" i="8"/>
  <c r="J1277" i="8"/>
  <c r="I1277" i="8"/>
  <c r="H1277" i="8"/>
  <c r="G1277" i="8"/>
  <c r="F1277" i="8"/>
  <c r="E1277" i="8"/>
  <c r="D1277" i="8"/>
  <c r="J1272" i="8"/>
  <c r="I1272" i="8"/>
  <c r="H1272" i="8"/>
  <c r="G1272" i="8"/>
  <c r="F1272" i="8"/>
  <c r="E1272" i="8"/>
  <c r="D1272" i="8"/>
  <c r="J1271" i="8"/>
  <c r="I1271" i="8"/>
  <c r="H1271" i="8"/>
  <c r="G1271" i="8"/>
  <c r="F1271" i="8"/>
  <c r="E1271" i="8"/>
  <c r="D1271" i="8"/>
  <c r="J1270" i="8"/>
  <c r="I1270" i="8"/>
  <c r="H1270" i="8"/>
  <c r="G1270" i="8"/>
  <c r="F1270" i="8"/>
  <c r="E1270" i="8"/>
  <c r="D1270" i="8"/>
  <c r="J1269" i="8"/>
  <c r="I1269" i="8"/>
  <c r="H1269" i="8"/>
  <c r="G1269" i="8"/>
  <c r="F1269" i="8"/>
  <c r="E1269" i="8"/>
  <c r="D1269" i="8"/>
  <c r="J1268" i="8"/>
  <c r="I1268" i="8"/>
  <c r="H1268" i="8"/>
  <c r="G1268" i="8"/>
  <c r="F1268" i="8"/>
  <c r="E1268" i="8"/>
  <c r="D1268" i="8"/>
  <c r="J1267" i="8"/>
  <c r="I1267" i="8"/>
  <c r="H1267" i="8"/>
  <c r="G1267" i="8"/>
  <c r="F1267" i="8"/>
  <c r="E1267" i="8"/>
  <c r="D1267" i="8"/>
  <c r="J1266" i="8"/>
  <c r="I1266" i="8"/>
  <c r="H1266" i="8"/>
  <c r="G1266" i="8"/>
  <c r="G1273" i="8" s="1"/>
  <c r="F1266" i="8"/>
  <c r="E1266" i="8"/>
  <c r="D1266" i="8"/>
  <c r="J1265" i="8"/>
  <c r="I1265" i="8"/>
  <c r="H1265" i="8"/>
  <c r="G1265" i="8"/>
  <c r="F1265" i="8"/>
  <c r="E1265" i="8"/>
  <c r="D1265" i="8"/>
  <c r="J1260" i="8"/>
  <c r="I1260" i="8"/>
  <c r="H1260" i="8"/>
  <c r="G1260" i="8"/>
  <c r="F1260" i="8"/>
  <c r="E1260" i="8"/>
  <c r="D1260" i="8"/>
  <c r="J1259" i="8"/>
  <c r="I1259" i="8"/>
  <c r="H1259" i="8"/>
  <c r="G1259" i="8"/>
  <c r="F1259" i="8"/>
  <c r="E1259" i="8"/>
  <c r="D1259" i="8"/>
  <c r="J1258" i="8"/>
  <c r="I1258" i="8"/>
  <c r="H1258" i="8"/>
  <c r="G1258" i="8"/>
  <c r="F1258" i="8"/>
  <c r="E1258" i="8"/>
  <c r="D1258" i="8"/>
  <c r="J1257" i="8"/>
  <c r="I1257" i="8"/>
  <c r="H1257" i="8"/>
  <c r="G1257" i="8"/>
  <c r="F1257" i="8"/>
  <c r="E1257" i="8"/>
  <c r="D1257" i="8"/>
  <c r="J1256" i="8"/>
  <c r="I1256" i="8"/>
  <c r="H1256" i="8"/>
  <c r="G1256" i="8"/>
  <c r="F1256" i="8"/>
  <c r="E1256" i="8"/>
  <c r="D1256" i="8"/>
  <c r="J1255" i="8"/>
  <c r="I1255" i="8"/>
  <c r="H1255" i="8"/>
  <c r="G1255" i="8"/>
  <c r="F1255" i="8"/>
  <c r="E1255" i="8"/>
  <c r="D1255" i="8"/>
  <c r="J1254" i="8"/>
  <c r="I1254" i="8"/>
  <c r="H1254" i="8"/>
  <c r="G1254" i="8"/>
  <c r="L1254" i="8" s="1"/>
  <c r="F1254" i="8"/>
  <c r="E1254" i="8"/>
  <c r="D1254" i="8"/>
  <c r="J1253" i="8"/>
  <c r="I1253" i="8"/>
  <c r="H1253" i="8"/>
  <c r="G1253" i="8"/>
  <c r="F1253" i="8"/>
  <c r="E1253" i="8"/>
  <c r="D1253" i="8"/>
  <c r="J1248" i="8"/>
  <c r="I1248" i="8"/>
  <c r="H1248" i="8"/>
  <c r="G1248" i="8"/>
  <c r="F1248" i="8"/>
  <c r="E1248" i="8"/>
  <c r="D1248" i="8"/>
  <c r="J1247" i="8"/>
  <c r="I1247" i="8"/>
  <c r="H1247" i="8"/>
  <c r="G1247" i="8"/>
  <c r="F1247" i="8"/>
  <c r="E1247" i="8"/>
  <c r="D1247" i="8"/>
  <c r="J1246" i="8"/>
  <c r="I1246" i="8"/>
  <c r="H1246" i="8"/>
  <c r="G1246" i="8"/>
  <c r="F1246" i="8"/>
  <c r="E1246" i="8"/>
  <c r="D1246" i="8"/>
  <c r="J1245" i="8"/>
  <c r="I1245" i="8"/>
  <c r="H1245" i="8"/>
  <c r="G1245" i="8"/>
  <c r="F1245" i="8"/>
  <c r="E1245" i="8"/>
  <c r="D1245" i="8"/>
  <c r="J1244" i="8"/>
  <c r="I1244" i="8"/>
  <c r="H1244" i="8"/>
  <c r="G1244" i="8"/>
  <c r="F1244" i="8"/>
  <c r="E1244" i="8"/>
  <c r="D1244" i="8"/>
  <c r="J1243" i="8"/>
  <c r="I1243" i="8"/>
  <c r="H1243" i="8"/>
  <c r="G1243" i="8"/>
  <c r="F1243" i="8"/>
  <c r="E1243" i="8"/>
  <c r="D1243" i="8"/>
  <c r="J1242" i="8"/>
  <c r="I1242" i="8"/>
  <c r="H1242" i="8"/>
  <c r="G1242" i="8"/>
  <c r="L1242" i="8" s="1"/>
  <c r="F1242" i="8"/>
  <c r="E1242" i="8"/>
  <c r="D1242" i="8"/>
  <c r="J1241" i="8"/>
  <c r="I1241" i="8"/>
  <c r="H1241" i="8"/>
  <c r="G1241" i="8"/>
  <c r="F1241" i="8"/>
  <c r="E1241" i="8"/>
  <c r="D1241" i="8"/>
  <c r="J1236" i="8"/>
  <c r="I1236" i="8"/>
  <c r="H1236" i="8"/>
  <c r="G1236" i="8"/>
  <c r="F1236" i="8"/>
  <c r="E1236" i="8"/>
  <c r="D1236" i="8"/>
  <c r="J1235" i="8"/>
  <c r="I1235" i="8"/>
  <c r="H1235" i="8"/>
  <c r="G1235" i="8"/>
  <c r="F1235" i="8"/>
  <c r="E1235" i="8"/>
  <c r="D1235" i="8"/>
  <c r="J1234" i="8"/>
  <c r="I1234" i="8"/>
  <c r="H1234" i="8"/>
  <c r="G1234" i="8"/>
  <c r="F1234" i="8"/>
  <c r="E1234" i="8"/>
  <c r="D1234" i="8"/>
  <c r="J1233" i="8"/>
  <c r="I1233" i="8"/>
  <c r="H1233" i="8"/>
  <c r="G1233" i="8"/>
  <c r="F1233" i="8"/>
  <c r="E1233" i="8"/>
  <c r="D1233" i="8"/>
  <c r="J1232" i="8"/>
  <c r="I1232" i="8"/>
  <c r="H1232" i="8"/>
  <c r="G1232" i="8"/>
  <c r="F1232" i="8"/>
  <c r="E1232" i="8"/>
  <c r="D1232" i="8"/>
  <c r="J1231" i="8"/>
  <c r="I1231" i="8"/>
  <c r="H1231" i="8"/>
  <c r="G1231" i="8"/>
  <c r="F1231" i="8"/>
  <c r="E1231" i="8"/>
  <c r="D1231" i="8"/>
  <c r="J1230" i="8"/>
  <c r="I1230" i="8"/>
  <c r="H1230" i="8"/>
  <c r="G1230" i="8"/>
  <c r="G1237" i="8" s="1"/>
  <c r="F1230" i="8"/>
  <c r="E1230" i="8"/>
  <c r="D1230" i="8"/>
  <c r="J1229" i="8"/>
  <c r="I1229" i="8"/>
  <c r="H1229" i="8"/>
  <c r="G1229" i="8"/>
  <c r="F1229" i="8"/>
  <c r="E1229" i="8"/>
  <c r="D1229" i="8"/>
  <c r="J1224" i="8"/>
  <c r="I1224" i="8"/>
  <c r="H1224" i="8"/>
  <c r="G1224" i="8"/>
  <c r="F1224" i="8"/>
  <c r="E1224" i="8"/>
  <c r="D1224" i="8"/>
  <c r="J1223" i="8"/>
  <c r="I1223" i="8"/>
  <c r="H1223" i="8"/>
  <c r="G1223" i="8"/>
  <c r="F1223" i="8"/>
  <c r="E1223" i="8"/>
  <c r="D1223" i="8"/>
  <c r="J1222" i="8"/>
  <c r="I1222" i="8"/>
  <c r="H1222" i="8"/>
  <c r="G1222" i="8"/>
  <c r="F1222" i="8"/>
  <c r="E1222" i="8"/>
  <c r="D1222" i="8"/>
  <c r="J1221" i="8"/>
  <c r="I1221" i="8"/>
  <c r="H1221" i="8"/>
  <c r="G1221" i="8"/>
  <c r="F1221" i="8"/>
  <c r="E1221" i="8"/>
  <c r="D1221" i="8"/>
  <c r="J1220" i="8"/>
  <c r="I1220" i="8"/>
  <c r="H1220" i="8"/>
  <c r="G1220" i="8"/>
  <c r="F1220" i="8"/>
  <c r="E1220" i="8"/>
  <c r="D1220" i="8"/>
  <c r="J1219" i="8"/>
  <c r="I1219" i="8"/>
  <c r="H1219" i="8"/>
  <c r="G1219" i="8"/>
  <c r="F1219" i="8"/>
  <c r="E1219" i="8"/>
  <c r="D1219" i="8"/>
  <c r="J1218" i="8"/>
  <c r="I1218" i="8"/>
  <c r="H1218" i="8"/>
  <c r="G1218" i="8"/>
  <c r="G1225" i="8" s="1"/>
  <c r="F1218" i="8"/>
  <c r="E1218" i="8"/>
  <c r="D1218" i="8"/>
  <c r="J1217" i="8"/>
  <c r="I1217" i="8"/>
  <c r="H1217" i="8"/>
  <c r="G1217" i="8"/>
  <c r="F1217" i="8"/>
  <c r="E1217" i="8"/>
  <c r="D1217" i="8"/>
  <c r="J1212" i="8"/>
  <c r="I1212" i="8"/>
  <c r="H1212" i="8"/>
  <c r="G1212" i="8"/>
  <c r="F1212" i="8"/>
  <c r="E1212" i="8"/>
  <c r="D1212" i="8"/>
  <c r="J1211" i="8"/>
  <c r="I1211" i="8"/>
  <c r="H1211" i="8"/>
  <c r="G1211" i="8"/>
  <c r="F1211" i="8"/>
  <c r="E1211" i="8"/>
  <c r="D1211" i="8"/>
  <c r="J1210" i="8"/>
  <c r="I1210" i="8"/>
  <c r="H1210" i="8"/>
  <c r="G1210" i="8"/>
  <c r="F1210" i="8"/>
  <c r="E1210" i="8"/>
  <c r="D1210" i="8"/>
  <c r="J1209" i="8"/>
  <c r="I1209" i="8"/>
  <c r="H1209" i="8"/>
  <c r="G1209" i="8"/>
  <c r="F1209" i="8"/>
  <c r="E1209" i="8"/>
  <c r="D1209" i="8"/>
  <c r="J1208" i="8"/>
  <c r="I1208" i="8"/>
  <c r="H1208" i="8"/>
  <c r="G1208" i="8"/>
  <c r="F1208" i="8"/>
  <c r="E1208" i="8"/>
  <c r="D1208" i="8"/>
  <c r="J1207" i="8"/>
  <c r="I1207" i="8"/>
  <c r="H1207" i="8"/>
  <c r="G1207" i="8"/>
  <c r="F1207" i="8"/>
  <c r="E1207" i="8"/>
  <c r="D1207" i="8"/>
  <c r="J1206" i="8"/>
  <c r="I1206" i="8"/>
  <c r="H1206" i="8"/>
  <c r="G1206" i="8"/>
  <c r="L1206" i="8" s="1"/>
  <c r="F1206" i="8"/>
  <c r="E1206" i="8"/>
  <c r="D1206" i="8"/>
  <c r="J1205" i="8"/>
  <c r="I1205" i="8"/>
  <c r="H1205" i="8"/>
  <c r="G1205" i="8"/>
  <c r="F1205" i="8"/>
  <c r="E1205" i="8"/>
  <c r="D1205" i="8"/>
  <c r="J1200" i="8"/>
  <c r="I1200" i="8"/>
  <c r="H1200" i="8"/>
  <c r="G1200" i="8"/>
  <c r="F1200" i="8"/>
  <c r="E1200" i="8"/>
  <c r="D1200" i="8"/>
  <c r="J1199" i="8"/>
  <c r="I1199" i="8"/>
  <c r="H1199" i="8"/>
  <c r="G1199" i="8"/>
  <c r="F1199" i="8"/>
  <c r="E1199" i="8"/>
  <c r="D1199" i="8"/>
  <c r="J1198" i="8"/>
  <c r="I1198" i="8"/>
  <c r="H1198" i="8"/>
  <c r="G1198" i="8"/>
  <c r="F1198" i="8"/>
  <c r="E1198" i="8"/>
  <c r="D1198" i="8"/>
  <c r="J1197" i="8"/>
  <c r="I1197" i="8"/>
  <c r="H1197" i="8"/>
  <c r="G1197" i="8"/>
  <c r="F1197" i="8"/>
  <c r="E1197" i="8"/>
  <c r="D1197" i="8"/>
  <c r="J1196" i="8"/>
  <c r="I1196" i="8"/>
  <c r="H1196" i="8"/>
  <c r="G1196" i="8"/>
  <c r="F1196" i="8"/>
  <c r="E1196" i="8"/>
  <c r="D1196" i="8"/>
  <c r="J1195" i="8"/>
  <c r="I1195" i="8"/>
  <c r="H1195" i="8"/>
  <c r="G1195" i="8"/>
  <c r="F1195" i="8"/>
  <c r="E1195" i="8"/>
  <c r="D1195" i="8"/>
  <c r="J1194" i="8"/>
  <c r="I1194" i="8"/>
  <c r="H1194" i="8"/>
  <c r="G1194" i="8"/>
  <c r="L1194" i="8" s="1"/>
  <c r="F1194" i="8"/>
  <c r="E1194" i="8"/>
  <c r="D1194" i="8"/>
  <c r="J1193" i="8"/>
  <c r="I1193" i="8"/>
  <c r="H1193" i="8"/>
  <c r="G1193" i="8"/>
  <c r="F1193" i="8"/>
  <c r="E1193" i="8"/>
  <c r="D1193" i="8"/>
  <c r="J1188" i="8"/>
  <c r="I1188" i="8"/>
  <c r="H1188" i="8"/>
  <c r="G1188" i="8"/>
  <c r="F1188" i="8"/>
  <c r="E1188" i="8"/>
  <c r="D1188" i="8"/>
  <c r="J1187" i="8"/>
  <c r="I1187" i="8"/>
  <c r="H1187" i="8"/>
  <c r="G1187" i="8"/>
  <c r="F1187" i="8"/>
  <c r="E1187" i="8"/>
  <c r="D1187" i="8"/>
  <c r="J1186" i="8"/>
  <c r="I1186" i="8"/>
  <c r="H1186" i="8"/>
  <c r="G1186" i="8"/>
  <c r="F1186" i="8"/>
  <c r="E1186" i="8"/>
  <c r="D1186" i="8"/>
  <c r="J1185" i="8"/>
  <c r="I1185" i="8"/>
  <c r="H1185" i="8"/>
  <c r="G1185" i="8"/>
  <c r="F1185" i="8"/>
  <c r="E1185" i="8"/>
  <c r="D1185" i="8"/>
  <c r="J1184" i="8"/>
  <c r="I1184" i="8"/>
  <c r="H1184" i="8"/>
  <c r="G1184" i="8"/>
  <c r="F1184" i="8"/>
  <c r="E1184" i="8"/>
  <c r="D1184" i="8"/>
  <c r="J1183" i="8"/>
  <c r="I1183" i="8"/>
  <c r="H1183" i="8"/>
  <c r="G1183" i="8"/>
  <c r="F1183" i="8"/>
  <c r="E1183" i="8"/>
  <c r="D1183" i="8"/>
  <c r="J1182" i="8"/>
  <c r="I1182" i="8"/>
  <c r="H1182" i="8"/>
  <c r="G1182" i="8"/>
  <c r="G1189" i="8" s="1"/>
  <c r="F1182" i="8"/>
  <c r="E1182" i="8"/>
  <c r="D1182" i="8"/>
  <c r="J1181" i="8"/>
  <c r="I1181" i="8"/>
  <c r="H1181" i="8"/>
  <c r="G1181" i="8"/>
  <c r="F1181" i="8"/>
  <c r="E1181" i="8"/>
  <c r="D1181" i="8"/>
  <c r="J1176" i="8"/>
  <c r="I1176" i="8"/>
  <c r="H1176" i="8"/>
  <c r="G1176" i="8"/>
  <c r="F1176" i="8"/>
  <c r="E1176" i="8"/>
  <c r="D1176" i="8"/>
  <c r="J1175" i="8"/>
  <c r="I1175" i="8"/>
  <c r="H1175" i="8"/>
  <c r="G1175" i="8"/>
  <c r="F1175" i="8"/>
  <c r="E1175" i="8"/>
  <c r="D1175" i="8"/>
  <c r="J1174" i="8"/>
  <c r="I1174" i="8"/>
  <c r="H1174" i="8"/>
  <c r="G1174" i="8"/>
  <c r="F1174" i="8"/>
  <c r="E1174" i="8"/>
  <c r="D1174" i="8"/>
  <c r="J1173" i="8"/>
  <c r="I1173" i="8"/>
  <c r="H1173" i="8"/>
  <c r="G1173" i="8"/>
  <c r="F1173" i="8"/>
  <c r="E1173" i="8"/>
  <c r="D1173" i="8"/>
  <c r="J1172" i="8"/>
  <c r="I1172" i="8"/>
  <c r="H1172" i="8"/>
  <c r="G1172" i="8"/>
  <c r="F1172" i="8"/>
  <c r="E1172" i="8"/>
  <c r="D1172" i="8"/>
  <c r="J1171" i="8"/>
  <c r="I1171" i="8"/>
  <c r="H1171" i="8"/>
  <c r="G1171" i="8"/>
  <c r="F1171" i="8"/>
  <c r="E1171" i="8"/>
  <c r="D1171" i="8"/>
  <c r="J1170" i="8"/>
  <c r="I1170" i="8"/>
  <c r="H1170" i="8"/>
  <c r="G1170" i="8"/>
  <c r="G1177" i="8" s="1"/>
  <c r="F1170" i="8"/>
  <c r="E1170" i="8"/>
  <c r="D1170" i="8"/>
  <c r="J1169" i="8"/>
  <c r="I1169" i="8"/>
  <c r="H1169" i="8"/>
  <c r="G1169" i="8"/>
  <c r="F1169" i="8"/>
  <c r="E1169" i="8"/>
  <c r="D1169" i="8"/>
  <c r="J1164" i="8"/>
  <c r="I1164" i="8"/>
  <c r="H1164" i="8"/>
  <c r="G1164" i="8"/>
  <c r="F1164" i="8"/>
  <c r="E1164" i="8"/>
  <c r="D1164" i="8"/>
  <c r="J1163" i="8"/>
  <c r="I1163" i="8"/>
  <c r="H1163" i="8"/>
  <c r="G1163" i="8"/>
  <c r="F1163" i="8"/>
  <c r="E1163" i="8"/>
  <c r="D1163" i="8"/>
  <c r="J1162" i="8"/>
  <c r="I1162" i="8"/>
  <c r="H1162" i="8"/>
  <c r="G1162" i="8"/>
  <c r="F1162" i="8"/>
  <c r="E1162" i="8"/>
  <c r="D1162" i="8"/>
  <c r="J1161" i="8"/>
  <c r="I1161" i="8"/>
  <c r="H1161" i="8"/>
  <c r="G1161" i="8"/>
  <c r="F1161" i="8"/>
  <c r="E1161" i="8"/>
  <c r="D1161" i="8"/>
  <c r="J1160" i="8"/>
  <c r="I1160" i="8"/>
  <c r="H1160" i="8"/>
  <c r="G1160" i="8"/>
  <c r="F1160" i="8"/>
  <c r="E1160" i="8"/>
  <c r="D1160" i="8"/>
  <c r="J1159" i="8"/>
  <c r="I1159" i="8"/>
  <c r="H1159" i="8"/>
  <c r="G1159" i="8"/>
  <c r="F1159" i="8"/>
  <c r="E1159" i="8"/>
  <c r="D1159" i="8"/>
  <c r="J1158" i="8"/>
  <c r="I1158" i="8"/>
  <c r="H1158" i="8"/>
  <c r="G1158" i="8"/>
  <c r="L1158" i="8" s="1"/>
  <c r="F1158" i="8"/>
  <c r="E1158" i="8"/>
  <c r="D1158" i="8"/>
  <c r="J1157" i="8"/>
  <c r="I1157" i="8"/>
  <c r="H1157" i="8"/>
  <c r="G1157" i="8"/>
  <c r="F1157" i="8"/>
  <c r="E1157" i="8"/>
  <c r="D1157" i="8"/>
  <c r="J1152" i="8"/>
  <c r="I1152" i="8"/>
  <c r="H1152" i="8"/>
  <c r="G1152" i="8"/>
  <c r="F1152" i="8"/>
  <c r="E1152" i="8"/>
  <c r="D1152" i="8"/>
  <c r="J1151" i="8"/>
  <c r="I1151" i="8"/>
  <c r="H1151" i="8"/>
  <c r="G1151" i="8"/>
  <c r="F1151" i="8"/>
  <c r="E1151" i="8"/>
  <c r="D1151" i="8"/>
  <c r="J1150" i="8"/>
  <c r="I1150" i="8"/>
  <c r="H1150" i="8"/>
  <c r="G1150" i="8"/>
  <c r="F1150" i="8"/>
  <c r="E1150" i="8"/>
  <c r="D1150" i="8"/>
  <c r="J1149" i="8"/>
  <c r="I1149" i="8"/>
  <c r="H1149" i="8"/>
  <c r="G1149" i="8"/>
  <c r="F1149" i="8"/>
  <c r="E1149" i="8"/>
  <c r="D1149" i="8"/>
  <c r="J1148" i="8"/>
  <c r="I1148" i="8"/>
  <c r="H1148" i="8"/>
  <c r="G1148" i="8"/>
  <c r="F1148" i="8"/>
  <c r="E1148" i="8"/>
  <c r="D1148" i="8"/>
  <c r="J1147" i="8"/>
  <c r="I1147" i="8"/>
  <c r="H1147" i="8"/>
  <c r="G1147" i="8"/>
  <c r="F1147" i="8"/>
  <c r="E1147" i="8"/>
  <c r="D1147" i="8"/>
  <c r="J1146" i="8"/>
  <c r="I1146" i="8"/>
  <c r="H1146" i="8"/>
  <c r="G1146" i="8"/>
  <c r="L1146" i="8" s="1"/>
  <c r="F1146" i="8"/>
  <c r="E1146" i="8"/>
  <c r="D1146" i="8"/>
  <c r="J1145" i="8"/>
  <c r="I1145" i="8"/>
  <c r="H1145" i="8"/>
  <c r="G1145" i="8"/>
  <c r="F1145" i="8"/>
  <c r="E1145" i="8"/>
  <c r="D1145" i="8"/>
  <c r="J1140" i="8"/>
  <c r="I1140" i="8"/>
  <c r="H1140" i="8"/>
  <c r="G1140" i="8"/>
  <c r="F1140" i="8"/>
  <c r="E1140" i="8"/>
  <c r="D1140" i="8"/>
  <c r="J1139" i="8"/>
  <c r="I1139" i="8"/>
  <c r="H1139" i="8"/>
  <c r="G1139" i="8"/>
  <c r="F1139" i="8"/>
  <c r="E1139" i="8"/>
  <c r="D1139" i="8"/>
  <c r="J1138" i="8"/>
  <c r="I1138" i="8"/>
  <c r="H1138" i="8"/>
  <c r="G1138" i="8"/>
  <c r="F1138" i="8"/>
  <c r="E1138" i="8"/>
  <c r="D1138" i="8"/>
  <c r="J1137" i="8"/>
  <c r="I1137" i="8"/>
  <c r="H1137" i="8"/>
  <c r="G1137" i="8"/>
  <c r="F1137" i="8"/>
  <c r="E1137" i="8"/>
  <c r="D1137" i="8"/>
  <c r="J1136" i="8"/>
  <c r="I1136" i="8"/>
  <c r="H1136" i="8"/>
  <c r="G1136" i="8"/>
  <c r="F1136" i="8"/>
  <c r="E1136" i="8"/>
  <c r="D1136" i="8"/>
  <c r="J1135" i="8"/>
  <c r="I1135" i="8"/>
  <c r="H1135" i="8"/>
  <c r="G1135" i="8"/>
  <c r="F1135" i="8"/>
  <c r="E1135" i="8"/>
  <c r="D1135" i="8"/>
  <c r="J1134" i="8"/>
  <c r="I1134" i="8"/>
  <c r="H1134" i="8"/>
  <c r="G1134" i="8"/>
  <c r="G1141" i="8" s="1"/>
  <c r="F1134" i="8"/>
  <c r="E1134" i="8"/>
  <c r="D1134" i="8"/>
  <c r="J1133" i="8"/>
  <c r="I1133" i="8"/>
  <c r="H1133" i="8"/>
  <c r="G1133" i="8"/>
  <c r="F1133" i="8"/>
  <c r="E1133" i="8"/>
  <c r="D1133" i="8"/>
  <c r="J1128" i="8"/>
  <c r="I1128" i="8"/>
  <c r="H1128" i="8"/>
  <c r="G1128" i="8"/>
  <c r="F1128" i="8"/>
  <c r="E1128" i="8"/>
  <c r="D1128" i="8"/>
  <c r="J1127" i="8"/>
  <c r="I1127" i="8"/>
  <c r="H1127" i="8"/>
  <c r="G1127" i="8"/>
  <c r="F1127" i="8"/>
  <c r="E1127" i="8"/>
  <c r="D1127" i="8"/>
  <c r="J1126" i="8"/>
  <c r="I1126" i="8"/>
  <c r="H1126" i="8"/>
  <c r="G1126" i="8"/>
  <c r="F1126" i="8"/>
  <c r="E1126" i="8"/>
  <c r="D1126" i="8"/>
  <c r="J1125" i="8"/>
  <c r="I1125" i="8"/>
  <c r="H1125" i="8"/>
  <c r="G1125" i="8"/>
  <c r="F1125" i="8"/>
  <c r="E1125" i="8"/>
  <c r="D1125" i="8"/>
  <c r="J1124" i="8"/>
  <c r="I1124" i="8"/>
  <c r="H1124" i="8"/>
  <c r="G1124" i="8"/>
  <c r="F1124" i="8"/>
  <c r="E1124" i="8"/>
  <c r="D1124" i="8"/>
  <c r="J1123" i="8"/>
  <c r="I1123" i="8"/>
  <c r="H1123" i="8"/>
  <c r="G1123" i="8"/>
  <c r="F1123" i="8"/>
  <c r="E1123" i="8"/>
  <c r="D1123" i="8"/>
  <c r="J1122" i="8"/>
  <c r="I1122" i="8"/>
  <c r="H1122" i="8"/>
  <c r="G1122" i="8"/>
  <c r="G1129" i="8" s="1"/>
  <c r="F1122" i="8"/>
  <c r="E1122" i="8"/>
  <c r="D1122" i="8"/>
  <c r="J1121" i="8"/>
  <c r="I1121" i="8"/>
  <c r="H1121" i="8"/>
  <c r="G1121" i="8"/>
  <c r="F1121" i="8"/>
  <c r="E1121" i="8"/>
  <c r="D1121" i="8"/>
  <c r="J1116" i="8"/>
  <c r="I1116" i="8"/>
  <c r="H1116" i="8"/>
  <c r="G1116" i="8"/>
  <c r="F1116" i="8"/>
  <c r="E1116" i="8"/>
  <c r="D1116" i="8"/>
  <c r="J1115" i="8"/>
  <c r="I1115" i="8"/>
  <c r="H1115" i="8"/>
  <c r="G1115" i="8"/>
  <c r="F1115" i="8"/>
  <c r="E1115" i="8"/>
  <c r="D1115" i="8"/>
  <c r="J1114" i="8"/>
  <c r="I1114" i="8"/>
  <c r="H1114" i="8"/>
  <c r="G1114" i="8"/>
  <c r="F1114" i="8"/>
  <c r="E1114" i="8"/>
  <c r="D1114" i="8"/>
  <c r="J1113" i="8"/>
  <c r="I1113" i="8"/>
  <c r="H1113" i="8"/>
  <c r="G1113" i="8"/>
  <c r="F1113" i="8"/>
  <c r="E1113" i="8"/>
  <c r="D1113" i="8"/>
  <c r="J1112" i="8"/>
  <c r="I1112" i="8"/>
  <c r="H1112" i="8"/>
  <c r="G1112" i="8"/>
  <c r="F1112" i="8"/>
  <c r="E1112" i="8"/>
  <c r="D1112" i="8"/>
  <c r="J1111" i="8"/>
  <c r="I1111" i="8"/>
  <c r="H1111" i="8"/>
  <c r="G1111" i="8"/>
  <c r="F1111" i="8"/>
  <c r="E1111" i="8"/>
  <c r="D1111" i="8"/>
  <c r="J1110" i="8"/>
  <c r="I1110" i="8"/>
  <c r="H1110" i="8"/>
  <c r="G1110" i="8"/>
  <c r="L1110" i="8" s="1"/>
  <c r="F1110" i="8"/>
  <c r="E1110" i="8"/>
  <c r="D1110" i="8"/>
  <c r="J1109" i="8"/>
  <c r="I1109" i="8"/>
  <c r="H1109" i="8"/>
  <c r="G1109" i="8"/>
  <c r="F1109" i="8"/>
  <c r="E1109" i="8"/>
  <c r="D1109" i="8"/>
  <c r="J1104" i="8"/>
  <c r="I1104" i="8"/>
  <c r="H1104" i="8"/>
  <c r="G1104" i="8"/>
  <c r="F1104" i="8"/>
  <c r="E1104" i="8"/>
  <c r="D1104" i="8"/>
  <c r="J1103" i="8"/>
  <c r="I1103" i="8"/>
  <c r="H1103" i="8"/>
  <c r="G1103" i="8"/>
  <c r="F1103" i="8"/>
  <c r="E1103" i="8"/>
  <c r="D1103" i="8"/>
  <c r="J1102" i="8"/>
  <c r="I1102" i="8"/>
  <c r="H1102" i="8"/>
  <c r="G1102" i="8"/>
  <c r="F1102" i="8"/>
  <c r="E1102" i="8"/>
  <c r="D1102" i="8"/>
  <c r="J1101" i="8"/>
  <c r="I1101" i="8"/>
  <c r="H1101" i="8"/>
  <c r="G1101" i="8"/>
  <c r="F1101" i="8"/>
  <c r="E1101" i="8"/>
  <c r="D1101" i="8"/>
  <c r="J1100" i="8"/>
  <c r="I1100" i="8"/>
  <c r="H1100" i="8"/>
  <c r="G1100" i="8"/>
  <c r="F1100" i="8"/>
  <c r="E1100" i="8"/>
  <c r="D1100" i="8"/>
  <c r="J1099" i="8"/>
  <c r="I1099" i="8"/>
  <c r="H1099" i="8"/>
  <c r="G1099" i="8"/>
  <c r="F1099" i="8"/>
  <c r="E1099" i="8"/>
  <c r="D1099" i="8"/>
  <c r="J1098" i="8"/>
  <c r="I1098" i="8"/>
  <c r="H1098" i="8"/>
  <c r="G1098" i="8"/>
  <c r="F1098" i="8"/>
  <c r="E1098" i="8"/>
  <c r="D1098" i="8"/>
  <c r="J1097" i="8"/>
  <c r="I1097" i="8"/>
  <c r="H1097" i="8"/>
  <c r="G1097" i="8"/>
  <c r="F1097" i="8"/>
  <c r="E1097" i="8"/>
  <c r="D1097" i="8"/>
  <c r="J1092" i="8"/>
  <c r="I1092" i="8"/>
  <c r="H1092" i="8"/>
  <c r="G1092" i="8"/>
  <c r="F1092" i="8"/>
  <c r="E1092" i="8"/>
  <c r="D1092" i="8"/>
  <c r="J1091" i="8"/>
  <c r="I1091" i="8"/>
  <c r="H1091" i="8"/>
  <c r="G1091" i="8"/>
  <c r="F1091" i="8"/>
  <c r="E1091" i="8"/>
  <c r="D1091" i="8"/>
  <c r="J1090" i="8"/>
  <c r="I1090" i="8"/>
  <c r="H1090" i="8"/>
  <c r="G1090" i="8"/>
  <c r="F1090" i="8"/>
  <c r="E1090" i="8"/>
  <c r="D1090" i="8"/>
  <c r="J1089" i="8"/>
  <c r="I1089" i="8"/>
  <c r="H1089" i="8"/>
  <c r="G1089" i="8"/>
  <c r="F1089" i="8"/>
  <c r="E1089" i="8"/>
  <c r="D1089" i="8"/>
  <c r="J1088" i="8"/>
  <c r="I1088" i="8"/>
  <c r="H1088" i="8"/>
  <c r="G1088" i="8"/>
  <c r="F1088" i="8"/>
  <c r="E1088" i="8"/>
  <c r="D1088" i="8"/>
  <c r="J1087" i="8"/>
  <c r="I1087" i="8"/>
  <c r="H1087" i="8"/>
  <c r="G1087" i="8"/>
  <c r="F1087" i="8"/>
  <c r="E1087" i="8"/>
  <c r="D1087" i="8"/>
  <c r="J1086" i="8"/>
  <c r="I1086" i="8"/>
  <c r="H1086" i="8"/>
  <c r="H1093" i="8" s="1"/>
  <c r="G1086" i="8"/>
  <c r="F1086" i="8"/>
  <c r="E1086" i="8"/>
  <c r="D1086" i="8"/>
  <c r="J1085" i="8"/>
  <c r="I1085" i="8"/>
  <c r="H1085" i="8"/>
  <c r="G1085" i="8"/>
  <c r="F1085" i="8"/>
  <c r="E1085" i="8"/>
  <c r="D1085" i="8"/>
  <c r="J1080" i="8"/>
  <c r="I1080" i="8"/>
  <c r="H1080" i="8"/>
  <c r="G1080" i="8"/>
  <c r="F1080" i="8"/>
  <c r="E1080" i="8"/>
  <c r="D1080" i="8"/>
  <c r="J1079" i="8"/>
  <c r="I1079" i="8"/>
  <c r="H1079" i="8"/>
  <c r="G1079" i="8"/>
  <c r="F1079" i="8"/>
  <c r="E1079" i="8"/>
  <c r="D1079" i="8"/>
  <c r="J1078" i="8"/>
  <c r="I1078" i="8"/>
  <c r="H1078" i="8"/>
  <c r="G1078" i="8"/>
  <c r="F1078" i="8"/>
  <c r="E1078" i="8"/>
  <c r="D1078" i="8"/>
  <c r="J1077" i="8"/>
  <c r="I1077" i="8"/>
  <c r="H1077" i="8"/>
  <c r="G1077" i="8"/>
  <c r="F1077" i="8"/>
  <c r="E1077" i="8"/>
  <c r="D1077" i="8"/>
  <c r="J1076" i="8"/>
  <c r="I1076" i="8"/>
  <c r="H1076" i="8"/>
  <c r="G1076" i="8"/>
  <c r="F1076" i="8"/>
  <c r="E1076" i="8"/>
  <c r="D1076" i="8"/>
  <c r="J1075" i="8"/>
  <c r="I1075" i="8"/>
  <c r="H1075" i="8"/>
  <c r="G1075" i="8"/>
  <c r="F1075" i="8"/>
  <c r="E1075" i="8"/>
  <c r="D1075" i="8"/>
  <c r="J1074" i="8"/>
  <c r="I1074" i="8"/>
  <c r="H1074" i="8"/>
  <c r="M1074" i="8" s="1"/>
  <c r="G1074" i="8"/>
  <c r="F1074" i="8"/>
  <c r="E1074" i="8"/>
  <c r="D1074" i="8"/>
  <c r="J1073" i="8"/>
  <c r="I1073" i="8"/>
  <c r="H1073" i="8"/>
  <c r="G1073" i="8"/>
  <c r="F1073" i="8"/>
  <c r="E1073" i="8"/>
  <c r="D1073" i="8"/>
  <c r="J1068" i="8"/>
  <c r="I1068" i="8"/>
  <c r="H1068" i="8"/>
  <c r="G1068" i="8"/>
  <c r="F1068" i="8"/>
  <c r="E1068" i="8"/>
  <c r="D1068" i="8"/>
  <c r="J1067" i="8"/>
  <c r="I1067" i="8"/>
  <c r="H1067" i="8"/>
  <c r="G1067" i="8"/>
  <c r="F1067" i="8"/>
  <c r="E1067" i="8"/>
  <c r="D1067" i="8"/>
  <c r="J1066" i="8"/>
  <c r="I1066" i="8"/>
  <c r="H1066" i="8"/>
  <c r="G1066" i="8"/>
  <c r="F1066" i="8"/>
  <c r="E1066" i="8"/>
  <c r="D1066" i="8"/>
  <c r="J1065" i="8"/>
  <c r="I1065" i="8"/>
  <c r="H1065" i="8"/>
  <c r="G1065" i="8"/>
  <c r="F1065" i="8"/>
  <c r="E1065" i="8"/>
  <c r="D1065" i="8"/>
  <c r="J1064" i="8"/>
  <c r="I1064" i="8"/>
  <c r="H1064" i="8"/>
  <c r="G1064" i="8"/>
  <c r="F1064" i="8"/>
  <c r="E1064" i="8"/>
  <c r="D1064" i="8"/>
  <c r="J1063" i="8"/>
  <c r="I1063" i="8"/>
  <c r="H1063" i="8"/>
  <c r="G1063" i="8"/>
  <c r="F1063" i="8"/>
  <c r="E1063" i="8"/>
  <c r="D1063" i="8"/>
  <c r="J1062" i="8"/>
  <c r="I1062" i="8"/>
  <c r="H1062" i="8"/>
  <c r="M1062" i="8" s="1"/>
  <c r="G1062" i="8"/>
  <c r="F1062" i="8"/>
  <c r="E1062" i="8"/>
  <c r="D1062" i="8"/>
  <c r="J1061" i="8"/>
  <c r="I1061" i="8"/>
  <c r="H1061" i="8"/>
  <c r="G1061" i="8"/>
  <c r="F1061" i="8"/>
  <c r="E1061" i="8"/>
  <c r="D1061" i="8"/>
  <c r="J1056" i="8"/>
  <c r="I1056" i="8"/>
  <c r="H1056" i="8"/>
  <c r="G1056" i="8"/>
  <c r="F1056" i="8"/>
  <c r="E1056" i="8"/>
  <c r="D1056" i="8"/>
  <c r="J1055" i="8"/>
  <c r="I1055" i="8"/>
  <c r="H1055" i="8"/>
  <c r="G1055" i="8"/>
  <c r="F1055" i="8"/>
  <c r="E1055" i="8"/>
  <c r="D1055" i="8"/>
  <c r="J1054" i="8"/>
  <c r="I1054" i="8"/>
  <c r="H1054" i="8"/>
  <c r="G1054" i="8"/>
  <c r="F1054" i="8"/>
  <c r="E1054" i="8"/>
  <c r="D1054" i="8"/>
  <c r="J1053" i="8"/>
  <c r="I1053" i="8"/>
  <c r="H1053" i="8"/>
  <c r="G1053" i="8"/>
  <c r="F1053" i="8"/>
  <c r="E1053" i="8"/>
  <c r="D1053" i="8"/>
  <c r="J1052" i="8"/>
  <c r="I1052" i="8"/>
  <c r="H1052" i="8"/>
  <c r="G1052" i="8"/>
  <c r="F1052" i="8"/>
  <c r="E1052" i="8"/>
  <c r="D1052" i="8"/>
  <c r="J1051" i="8"/>
  <c r="I1051" i="8"/>
  <c r="H1051" i="8"/>
  <c r="G1051" i="8"/>
  <c r="F1051" i="8"/>
  <c r="E1051" i="8"/>
  <c r="D1051" i="8"/>
  <c r="J1050" i="8"/>
  <c r="I1050" i="8"/>
  <c r="H1050" i="8"/>
  <c r="M1050" i="8" s="1"/>
  <c r="G1050" i="8"/>
  <c r="F1050" i="8"/>
  <c r="E1050" i="8"/>
  <c r="D1050" i="8"/>
  <c r="J1049" i="8"/>
  <c r="I1049" i="8"/>
  <c r="H1049" i="8"/>
  <c r="G1049" i="8"/>
  <c r="F1049" i="8"/>
  <c r="E1049" i="8"/>
  <c r="D1049" i="8"/>
  <c r="J1044" i="8"/>
  <c r="I1044" i="8"/>
  <c r="H1044" i="8"/>
  <c r="G1044" i="8"/>
  <c r="F1044" i="8"/>
  <c r="E1044" i="8"/>
  <c r="D1044" i="8"/>
  <c r="J1043" i="8"/>
  <c r="I1043" i="8"/>
  <c r="H1043" i="8"/>
  <c r="G1043" i="8"/>
  <c r="F1043" i="8"/>
  <c r="E1043" i="8"/>
  <c r="D1043" i="8"/>
  <c r="J1042" i="8"/>
  <c r="I1042" i="8"/>
  <c r="H1042" i="8"/>
  <c r="G1042" i="8"/>
  <c r="F1042" i="8"/>
  <c r="E1042" i="8"/>
  <c r="D1042" i="8"/>
  <c r="J1041" i="8"/>
  <c r="I1041" i="8"/>
  <c r="H1041" i="8"/>
  <c r="G1041" i="8"/>
  <c r="F1041" i="8"/>
  <c r="E1041" i="8"/>
  <c r="D1041" i="8"/>
  <c r="J1040" i="8"/>
  <c r="I1040" i="8"/>
  <c r="H1040" i="8"/>
  <c r="G1040" i="8"/>
  <c r="F1040" i="8"/>
  <c r="E1040" i="8"/>
  <c r="D1040" i="8"/>
  <c r="J1039" i="8"/>
  <c r="I1039" i="8"/>
  <c r="H1039" i="8"/>
  <c r="G1039" i="8"/>
  <c r="F1039" i="8"/>
  <c r="E1039" i="8"/>
  <c r="D1039" i="8"/>
  <c r="J1038" i="8"/>
  <c r="I1038" i="8"/>
  <c r="H1038" i="8"/>
  <c r="H1045" i="8" s="1"/>
  <c r="G1038" i="8"/>
  <c r="F1038" i="8"/>
  <c r="E1038" i="8"/>
  <c r="D1038" i="8"/>
  <c r="J1037" i="8"/>
  <c r="I1037" i="8"/>
  <c r="H1037" i="8"/>
  <c r="G1037" i="8"/>
  <c r="F1037" i="8"/>
  <c r="E1037" i="8"/>
  <c r="D1037" i="8"/>
  <c r="J1032" i="8"/>
  <c r="I1032" i="8"/>
  <c r="H1032" i="8"/>
  <c r="G1032" i="8"/>
  <c r="F1032" i="8"/>
  <c r="E1032" i="8"/>
  <c r="D1032" i="8"/>
  <c r="J1031" i="8"/>
  <c r="I1031" i="8"/>
  <c r="H1031" i="8"/>
  <c r="G1031" i="8"/>
  <c r="F1031" i="8"/>
  <c r="E1031" i="8"/>
  <c r="D1031" i="8"/>
  <c r="J1030" i="8"/>
  <c r="I1030" i="8"/>
  <c r="H1030" i="8"/>
  <c r="G1030" i="8"/>
  <c r="F1030" i="8"/>
  <c r="E1030" i="8"/>
  <c r="D1030" i="8"/>
  <c r="J1029" i="8"/>
  <c r="I1029" i="8"/>
  <c r="H1029" i="8"/>
  <c r="G1029" i="8"/>
  <c r="F1029" i="8"/>
  <c r="E1029" i="8"/>
  <c r="D1029" i="8"/>
  <c r="J1028" i="8"/>
  <c r="I1028" i="8"/>
  <c r="H1028" i="8"/>
  <c r="G1028" i="8"/>
  <c r="F1028" i="8"/>
  <c r="E1028" i="8"/>
  <c r="D1028" i="8"/>
  <c r="J1027" i="8"/>
  <c r="I1027" i="8"/>
  <c r="H1027" i="8"/>
  <c r="G1027" i="8"/>
  <c r="F1027" i="8"/>
  <c r="E1027" i="8"/>
  <c r="D1027" i="8"/>
  <c r="J1026" i="8"/>
  <c r="I1026" i="8"/>
  <c r="H1026" i="8"/>
  <c r="M1026" i="8" s="1"/>
  <c r="G1026" i="8"/>
  <c r="F1026" i="8"/>
  <c r="E1026" i="8"/>
  <c r="D1026" i="8"/>
  <c r="J1025" i="8"/>
  <c r="I1025" i="8"/>
  <c r="H1025" i="8"/>
  <c r="G1025" i="8"/>
  <c r="F1025" i="8"/>
  <c r="E1025" i="8"/>
  <c r="D1025" i="8"/>
  <c r="J1020" i="8"/>
  <c r="I1020" i="8"/>
  <c r="H1020" i="8"/>
  <c r="G1020" i="8"/>
  <c r="F1020" i="8"/>
  <c r="E1020" i="8"/>
  <c r="D1020" i="8"/>
  <c r="J1019" i="8"/>
  <c r="I1019" i="8"/>
  <c r="H1019" i="8"/>
  <c r="G1019" i="8"/>
  <c r="F1019" i="8"/>
  <c r="E1019" i="8"/>
  <c r="D1019" i="8"/>
  <c r="J1018" i="8"/>
  <c r="I1018" i="8"/>
  <c r="H1018" i="8"/>
  <c r="G1018" i="8"/>
  <c r="F1018" i="8"/>
  <c r="E1018" i="8"/>
  <c r="D1018" i="8"/>
  <c r="J1017" i="8"/>
  <c r="I1017" i="8"/>
  <c r="H1017" i="8"/>
  <c r="G1017" i="8"/>
  <c r="F1017" i="8"/>
  <c r="E1017" i="8"/>
  <c r="D1017" i="8"/>
  <c r="J1016" i="8"/>
  <c r="I1016" i="8"/>
  <c r="H1016" i="8"/>
  <c r="G1016" i="8"/>
  <c r="F1016" i="8"/>
  <c r="E1016" i="8"/>
  <c r="D1016" i="8"/>
  <c r="J1015" i="8"/>
  <c r="I1015" i="8"/>
  <c r="H1015" i="8"/>
  <c r="G1015" i="8"/>
  <c r="F1015" i="8"/>
  <c r="E1015" i="8"/>
  <c r="D1015" i="8"/>
  <c r="J1014" i="8"/>
  <c r="I1014" i="8"/>
  <c r="H1014" i="8"/>
  <c r="M1014" i="8" s="1"/>
  <c r="G1014" i="8"/>
  <c r="F1014" i="8"/>
  <c r="E1014" i="8"/>
  <c r="D1014" i="8"/>
  <c r="J1013" i="8"/>
  <c r="I1013" i="8"/>
  <c r="H1013" i="8"/>
  <c r="G1013" i="8"/>
  <c r="F1013" i="8"/>
  <c r="E1013" i="8"/>
  <c r="D1013" i="8"/>
  <c r="J1008" i="8"/>
  <c r="I1008" i="8"/>
  <c r="H1008" i="8"/>
  <c r="G1008" i="8"/>
  <c r="F1008" i="8"/>
  <c r="E1008" i="8"/>
  <c r="D1008" i="8"/>
  <c r="J1007" i="8"/>
  <c r="I1007" i="8"/>
  <c r="H1007" i="8"/>
  <c r="G1007" i="8"/>
  <c r="F1007" i="8"/>
  <c r="E1007" i="8"/>
  <c r="D1007" i="8"/>
  <c r="J1006" i="8"/>
  <c r="I1006" i="8"/>
  <c r="H1006" i="8"/>
  <c r="G1006" i="8"/>
  <c r="F1006" i="8"/>
  <c r="E1006" i="8"/>
  <c r="D1006" i="8"/>
  <c r="J1005" i="8"/>
  <c r="I1005" i="8"/>
  <c r="H1005" i="8"/>
  <c r="G1005" i="8"/>
  <c r="F1005" i="8"/>
  <c r="E1005" i="8"/>
  <c r="D1005" i="8"/>
  <c r="J1004" i="8"/>
  <c r="I1004" i="8"/>
  <c r="H1004" i="8"/>
  <c r="G1004" i="8"/>
  <c r="G1009" i="8" s="1"/>
  <c r="F1004" i="8"/>
  <c r="E1004" i="8"/>
  <c r="D1004" i="8"/>
  <c r="J1003" i="8"/>
  <c r="I1003" i="8"/>
  <c r="H1003" i="8"/>
  <c r="G1003" i="8"/>
  <c r="F1003" i="8"/>
  <c r="E1003" i="8"/>
  <c r="D1003" i="8"/>
  <c r="J1002" i="8"/>
  <c r="I1002" i="8"/>
  <c r="H1002" i="8"/>
  <c r="G1002" i="8"/>
  <c r="F1002" i="8"/>
  <c r="E1002" i="8"/>
  <c r="D1002" i="8"/>
  <c r="J1001" i="8"/>
  <c r="I1001" i="8"/>
  <c r="H1001" i="8"/>
  <c r="G1001" i="8"/>
  <c r="F1001" i="8"/>
  <c r="E1001" i="8"/>
  <c r="D1001" i="8"/>
  <c r="J996" i="8"/>
  <c r="I996" i="8"/>
  <c r="H996" i="8"/>
  <c r="G996" i="8"/>
  <c r="F996" i="8"/>
  <c r="E996" i="8"/>
  <c r="D996" i="8"/>
  <c r="J995" i="8"/>
  <c r="I995" i="8"/>
  <c r="H995" i="8"/>
  <c r="G995" i="8"/>
  <c r="F995" i="8"/>
  <c r="E995" i="8"/>
  <c r="D995" i="8"/>
  <c r="J994" i="8"/>
  <c r="I994" i="8"/>
  <c r="H994" i="8"/>
  <c r="G994" i="8"/>
  <c r="F994" i="8"/>
  <c r="E994" i="8"/>
  <c r="D994" i="8"/>
  <c r="J993" i="8"/>
  <c r="I993" i="8"/>
  <c r="H993" i="8"/>
  <c r="G993" i="8"/>
  <c r="F993" i="8"/>
  <c r="E993" i="8"/>
  <c r="D993" i="8"/>
  <c r="J992" i="8"/>
  <c r="I992" i="8"/>
  <c r="H992" i="8"/>
  <c r="G992" i="8"/>
  <c r="F992" i="8"/>
  <c r="E992" i="8"/>
  <c r="D992" i="8"/>
  <c r="J991" i="8"/>
  <c r="I991" i="8"/>
  <c r="H991" i="8"/>
  <c r="G991" i="8"/>
  <c r="F991" i="8"/>
  <c r="E991" i="8"/>
  <c r="D991" i="8"/>
  <c r="J990" i="8"/>
  <c r="I990" i="8"/>
  <c r="H990" i="8"/>
  <c r="G990" i="8"/>
  <c r="F990" i="8"/>
  <c r="E990" i="8"/>
  <c r="D990" i="8"/>
  <c r="J989" i="8"/>
  <c r="I989" i="8"/>
  <c r="H989" i="8"/>
  <c r="G989" i="8"/>
  <c r="F989" i="8"/>
  <c r="E989" i="8"/>
  <c r="D989" i="8"/>
  <c r="J984" i="8"/>
  <c r="I984" i="8"/>
  <c r="H984" i="8"/>
  <c r="G984" i="8"/>
  <c r="F984" i="8"/>
  <c r="E984" i="8"/>
  <c r="D984" i="8"/>
  <c r="J983" i="8"/>
  <c r="I983" i="8"/>
  <c r="H983" i="8"/>
  <c r="G983" i="8"/>
  <c r="F983" i="8"/>
  <c r="E983" i="8"/>
  <c r="D983" i="8"/>
  <c r="J982" i="8"/>
  <c r="I982" i="8"/>
  <c r="H982" i="8"/>
  <c r="G982" i="8"/>
  <c r="F982" i="8"/>
  <c r="E982" i="8"/>
  <c r="D982" i="8"/>
  <c r="J981" i="8"/>
  <c r="I981" i="8"/>
  <c r="H981" i="8"/>
  <c r="G981" i="8"/>
  <c r="F981" i="8"/>
  <c r="E981" i="8"/>
  <c r="D981" i="8"/>
  <c r="J980" i="8"/>
  <c r="I980" i="8"/>
  <c r="H980" i="8"/>
  <c r="G980" i="8"/>
  <c r="F980" i="8"/>
  <c r="E980" i="8"/>
  <c r="D980" i="8"/>
  <c r="J979" i="8"/>
  <c r="I979" i="8"/>
  <c r="H979" i="8"/>
  <c r="G979" i="8"/>
  <c r="F979" i="8"/>
  <c r="E979" i="8"/>
  <c r="D979" i="8"/>
  <c r="J978" i="8"/>
  <c r="I978" i="8"/>
  <c r="H978" i="8"/>
  <c r="G978" i="8"/>
  <c r="F978" i="8"/>
  <c r="E978" i="8"/>
  <c r="D978" i="8"/>
  <c r="J977" i="8"/>
  <c r="I977" i="8"/>
  <c r="H977" i="8"/>
  <c r="G977" i="8"/>
  <c r="F977" i="8"/>
  <c r="E977" i="8"/>
  <c r="D977" i="8"/>
  <c r="J972" i="8"/>
  <c r="I972" i="8"/>
  <c r="H972" i="8"/>
  <c r="G972" i="8"/>
  <c r="F972" i="8"/>
  <c r="E972" i="8"/>
  <c r="D972" i="8"/>
  <c r="J971" i="8"/>
  <c r="I971" i="8"/>
  <c r="H971" i="8"/>
  <c r="G971" i="8"/>
  <c r="F971" i="8"/>
  <c r="E971" i="8"/>
  <c r="D971" i="8"/>
  <c r="J970" i="8"/>
  <c r="I970" i="8"/>
  <c r="H970" i="8"/>
  <c r="G970" i="8"/>
  <c r="F970" i="8"/>
  <c r="E970" i="8"/>
  <c r="D970" i="8"/>
  <c r="J969" i="8"/>
  <c r="I969" i="8"/>
  <c r="H969" i="8"/>
  <c r="G969" i="8"/>
  <c r="F969" i="8"/>
  <c r="E969" i="8"/>
  <c r="D969" i="8"/>
  <c r="J968" i="8"/>
  <c r="I968" i="8"/>
  <c r="H968" i="8"/>
  <c r="G968" i="8"/>
  <c r="F968" i="8"/>
  <c r="E968" i="8"/>
  <c r="D968" i="8"/>
  <c r="J967" i="8"/>
  <c r="I967" i="8"/>
  <c r="H967" i="8"/>
  <c r="G967" i="8"/>
  <c r="F967" i="8"/>
  <c r="E967" i="8"/>
  <c r="D967" i="8"/>
  <c r="J966" i="8"/>
  <c r="I966" i="8"/>
  <c r="H966" i="8"/>
  <c r="G966" i="8"/>
  <c r="F966" i="8"/>
  <c r="E966" i="8"/>
  <c r="D966" i="8"/>
  <c r="J965" i="8"/>
  <c r="I965" i="8"/>
  <c r="H965" i="8"/>
  <c r="G965" i="8"/>
  <c r="F965" i="8"/>
  <c r="E965" i="8"/>
  <c r="D965" i="8"/>
  <c r="J960" i="8"/>
  <c r="I960" i="8"/>
  <c r="H960" i="8"/>
  <c r="G960" i="8"/>
  <c r="F960" i="8"/>
  <c r="E960" i="8"/>
  <c r="D960" i="8"/>
  <c r="J959" i="8"/>
  <c r="I959" i="8"/>
  <c r="H959" i="8"/>
  <c r="G959" i="8"/>
  <c r="F959" i="8"/>
  <c r="E959" i="8"/>
  <c r="D959" i="8"/>
  <c r="J958" i="8"/>
  <c r="I958" i="8"/>
  <c r="H958" i="8"/>
  <c r="G958" i="8"/>
  <c r="F958" i="8"/>
  <c r="E958" i="8"/>
  <c r="D958" i="8"/>
  <c r="J957" i="8"/>
  <c r="I957" i="8"/>
  <c r="H957" i="8"/>
  <c r="G957" i="8"/>
  <c r="F957" i="8"/>
  <c r="E957" i="8"/>
  <c r="D957" i="8"/>
  <c r="J956" i="8"/>
  <c r="I956" i="8"/>
  <c r="I961" i="8" s="1"/>
  <c r="H956" i="8"/>
  <c r="G956" i="8"/>
  <c r="F956" i="8"/>
  <c r="E956" i="8"/>
  <c r="D956" i="8"/>
  <c r="J955" i="8"/>
  <c r="I955" i="8"/>
  <c r="H955" i="8"/>
  <c r="H961" i="8" s="1"/>
  <c r="G955" i="8"/>
  <c r="F955" i="8"/>
  <c r="E955" i="8"/>
  <c r="D955" i="8"/>
  <c r="J954" i="8"/>
  <c r="I954" i="8"/>
  <c r="H954" i="8"/>
  <c r="G954" i="8"/>
  <c r="F954" i="8"/>
  <c r="E954" i="8"/>
  <c r="D954" i="8"/>
  <c r="J953" i="8"/>
  <c r="I953" i="8"/>
  <c r="H953" i="8"/>
  <c r="G953" i="8"/>
  <c r="F953" i="8"/>
  <c r="E953" i="8"/>
  <c r="D953" i="8"/>
  <c r="J948" i="8"/>
  <c r="I948" i="8"/>
  <c r="H948" i="8"/>
  <c r="G948" i="8"/>
  <c r="F948" i="8"/>
  <c r="E948" i="8"/>
  <c r="D948" i="8"/>
  <c r="J947" i="8"/>
  <c r="I947" i="8"/>
  <c r="H947" i="8"/>
  <c r="G947" i="8"/>
  <c r="F947" i="8"/>
  <c r="E947" i="8"/>
  <c r="D947" i="8"/>
  <c r="J946" i="8"/>
  <c r="I946" i="8"/>
  <c r="H946" i="8"/>
  <c r="G946" i="8"/>
  <c r="F946" i="8"/>
  <c r="E946" i="8"/>
  <c r="D946" i="8"/>
  <c r="J945" i="8"/>
  <c r="I945" i="8"/>
  <c r="H945" i="8"/>
  <c r="G945" i="8"/>
  <c r="F945" i="8"/>
  <c r="E945" i="8"/>
  <c r="D945" i="8"/>
  <c r="J944" i="8"/>
  <c r="I944" i="8"/>
  <c r="H944" i="8"/>
  <c r="G944" i="8"/>
  <c r="F944" i="8"/>
  <c r="E944" i="8"/>
  <c r="D944" i="8"/>
  <c r="J943" i="8"/>
  <c r="I943" i="8"/>
  <c r="H943" i="8"/>
  <c r="G943" i="8"/>
  <c r="F943" i="8"/>
  <c r="E943" i="8"/>
  <c r="D943" i="8"/>
  <c r="J942" i="8"/>
  <c r="I942" i="8"/>
  <c r="H942" i="8"/>
  <c r="G942" i="8"/>
  <c r="F942" i="8"/>
  <c r="E942" i="8"/>
  <c r="D942" i="8"/>
  <c r="J941" i="8"/>
  <c r="I941" i="8"/>
  <c r="H941" i="8"/>
  <c r="G941" i="8"/>
  <c r="F941" i="8"/>
  <c r="E941" i="8"/>
  <c r="D941" i="8"/>
  <c r="J936" i="8"/>
  <c r="I936" i="8"/>
  <c r="H936" i="8"/>
  <c r="G936" i="8"/>
  <c r="F936" i="8"/>
  <c r="E936" i="8"/>
  <c r="D936" i="8"/>
  <c r="J935" i="8"/>
  <c r="I935" i="8"/>
  <c r="H935" i="8"/>
  <c r="G935" i="8"/>
  <c r="F935" i="8"/>
  <c r="E935" i="8"/>
  <c r="D935" i="8"/>
  <c r="J934" i="8"/>
  <c r="I934" i="8"/>
  <c r="H934" i="8"/>
  <c r="G934" i="8"/>
  <c r="F934" i="8"/>
  <c r="E934" i="8"/>
  <c r="D934" i="8"/>
  <c r="J933" i="8"/>
  <c r="I933" i="8"/>
  <c r="H933" i="8"/>
  <c r="G933" i="8"/>
  <c r="F933" i="8"/>
  <c r="E933" i="8"/>
  <c r="D933" i="8"/>
  <c r="J932" i="8"/>
  <c r="I932" i="8"/>
  <c r="I937" i="8" s="1"/>
  <c r="H932" i="8"/>
  <c r="G932" i="8"/>
  <c r="F932" i="8"/>
  <c r="E932" i="8"/>
  <c r="D932" i="8"/>
  <c r="J931" i="8"/>
  <c r="I931" i="8"/>
  <c r="H931" i="8"/>
  <c r="G931" i="8"/>
  <c r="F931" i="8"/>
  <c r="E931" i="8"/>
  <c r="D931" i="8"/>
  <c r="J930" i="8"/>
  <c r="I930" i="8"/>
  <c r="H930" i="8"/>
  <c r="G930" i="8"/>
  <c r="F930" i="8"/>
  <c r="E930" i="8"/>
  <c r="D930" i="8"/>
  <c r="J929" i="8"/>
  <c r="I929" i="8"/>
  <c r="H929" i="8"/>
  <c r="G929" i="8"/>
  <c r="F929" i="8"/>
  <c r="E929" i="8"/>
  <c r="D929" i="8"/>
  <c r="J924" i="8"/>
  <c r="I924" i="8"/>
  <c r="H924" i="8"/>
  <c r="G924" i="8"/>
  <c r="F924" i="8"/>
  <c r="E924" i="8"/>
  <c r="D924" i="8"/>
  <c r="J923" i="8"/>
  <c r="I923" i="8"/>
  <c r="H923" i="8"/>
  <c r="G923" i="8"/>
  <c r="F923" i="8"/>
  <c r="E923" i="8"/>
  <c r="D923" i="8"/>
  <c r="J922" i="8"/>
  <c r="I922" i="8"/>
  <c r="H922" i="8"/>
  <c r="G922" i="8"/>
  <c r="F922" i="8"/>
  <c r="E922" i="8"/>
  <c r="D922" i="8"/>
  <c r="J921" i="8"/>
  <c r="I921" i="8"/>
  <c r="H921" i="8"/>
  <c r="G921" i="8"/>
  <c r="F921" i="8"/>
  <c r="E921" i="8"/>
  <c r="D921" i="8"/>
  <c r="J920" i="8"/>
  <c r="I920" i="8"/>
  <c r="H920" i="8"/>
  <c r="G920" i="8"/>
  <c r="F920" i="8"/>
  <c r="E920" i="8"/>
  <c r="D920" i="8"/>
  <c r="J919" i="8"/>
  <c r="I919" i="8"/>
  <c r="H919" i="8"/>
  <c r="G919" i="8"/>
  <c r="F919" i="8"/>
  <c r="E919" i="8"/>
  <c r="D919" i="8"/>
  <c r="J918" i="8"/>
  <c r="I918" i="8"/>
  <c r="H918" i="8"/>
  <c r="M918" i="8" s="1"/>
  <c r="G918" i="8"/>
  <c r="F918" i="8"/>
  <c r="E918" i="8"/>
  <c r="D918" i="8"/>
  <c r="J917" i="8"/>
  <c r="I917" i="8"/>
  <c r="H917" i="8"/>
  <c r="G917" i="8"/>
  <c r="F917" i="8"/>
  <c r="E917" i="8"/>
  <c r="D917" i="8"/>
  <c r="J912" i="8"/>
  <c r="I912" i="8"/>
  <c r="H912" i="8"/>
  <c r="G912" i="8"/>
  <c r="F912" i="8"/>
  <c r="E912" i="8"/>
  <c r="D912" i="8"/>
  <c r="J911" i="8"/>
  <c r="I911" i="8"/>
  <c r="H911" i="8"/>
  <c r="G911" i="8"/>
  <c r="F911" i="8"/>
  <c r="E911" i="8"/>
  <c r="D911" i="8"/>
  <c r="J910" i="8"/>
  <c r="I910" i="8"/>
  <c r="H910" i="8"/>
  <c r="G910" i="8"/>
  <c r="F910" i="8"/>
  <c r="E910" i="8"/>
  <c r="D910" i="8"/>
  <c r="J909" i="8"/>
  <c r="I909" i="8"/>
  <c r="H909" i="8"/>
  <c r="G909" i="8"/>
  <c r="F909" i="8"/>
  <c r="E909" i="8"/>
  <c r="D909" i="8"/>
  <c r="J908" i="8"/>
  <c r="I908" i="8"/>
  <c r="H908" i="8"/>
  <c r="G908" i="8"/>
  <c r="G913" i="8" s="1"/>
  <c r="F908" i="8"/>
  <c r="E908" i="8"/>
  <c r="D908" i="8"/>
  <c r="J907" i="8"/>
  <c r="I907" i="8"/>
  <c r="H907" i="8"/>
  <c r="G907" i="8"/>
  <c r="F907" i="8"/>
  <c r="E907" i="8"/>
  <c r="D907" i="8"/>
  <c r="J906" i="8"/>
  <c r="I906" i="8"/>
  <c r="H906" i="8"/>
  <c r="G906" i="8"/>
  <c r="F906" i="8"/>
  <c r="E906" i="8"/>
  <c r="D906" i="8"/>
  <c r="J905" i="8"/>
  <c r="I905" i="8"/>
  <c r="H905" i="8"/>
  <c r="G905" i="8"/>
  <c r="F905" i="8"/>
  <c r="E905" i="8"/>
  <c r="D905" i="8"/>
  <c r="J900" i="8"/>
  <c r="I900" i="8"/>
  <c r="H900" i="8"/>
  <c r="G900" i="8"/>
  <c r="F900" i="8"/>
  <c r="E900" i="8"/>
  <c r="D900" i="8"/>
  <c r="J899" i="8"/>
  <c r="I899" i="8"/>
  <c r="H899" i="8"/>
  <c r="G899" i="8"/>
  <c r="F899" i="8"/>
  <c r="E899" i="8"/>
  <c r="D899" i="8"/>
  <c r="J898" i="8"/>
  <c r="I898" i="8"/>
  <c r="H898" i="8"/>
  <c r="G898" i="8"/>
  <c r="F898" i="8"/>
  <c r="E898" i="8"/>
  <c r="D898" i="8"/>
  <c r="J897" i="8"/>
  <c r="I897" i="8"/>
  <c r="H897" i="8"/>
  <c r="G897" i="8"/>
  <c r="F897" i="8"/>
  <c r="E897" i="8"/>
  <c r="D897" i="8"/>
  <c r="J896" i="8"/>
  <c r="I896" i="8"/>
  <c r="H896" i="8"/>
  <c r="G896" i="8"/>
  <c r="F896" i="8"/>
  <c r="E896" i="8"/>
  <c r="D896" i="8"/>
  <c r="J895" i="8"/>
  <c r="I895" i="8"/>
  <c r="H895" i="8"/>
  <c r="G895" i="8"/>
  <c r="F895" i="8"/>
  <c r="E895" i="8"/>
  <c r="D895" i="8"/>
  <c r="J894" i="8"/>
  <c r="I894" i="8"/>
  <c r="H894" i="8"/>
  <c r="G894" i="8"/>
  <c r="F894" i="8"/>
  <c r="E894" i="8"/>
  <c r="D894" i="8"/>
  <c r="J893" i="8"/>
  <c r="I893" i="8"/>
  <c r="H893" i="8"/>
  <c r="G893" i="8"/>
  <c r="F893" i="8"/>
  <c r="E893" i="8"/>
  <c r="D893" i="8"/>
  <c r="J888" i="8"/>
  <c r="I888" i="8"/>
  <c r="H888" i="8"/>
  <c r="G888" i="8"/>
  <c r="F888" i="8"/>
  <c r="E888" i="8"/>
  <c r="D888" i="8"/>
  <c r="J887" i="8"/>
  <c r="I887" i="8"/>
  <c r="H887" i="8"/>
  <c r="G887" i="8"/>
  <c r="F887" i="8"/>
  <c r="E887" i="8"/>
  <c r="D887" i="8"/>
  <c r="J886" i="8"/>
  <c r="I886" i="8"/>
  <c r="H886" i="8"/>
  <c r="G886" i="8"/>
  <c r="F886" i="8"/>
  <c r="E886" i="8"/>
  <c r="D886" i="8"/>
  <c r="J885" i="8"/>
  <c r="I885" i="8"/>
  <c r="H885" i="8"/>
  <c r="G885" i="8"/>
  <c r="F885" i="8"/>
  <c r="E885" i="8"/>
  <c r="D885" i="8"/>
  <c r="J884" i="8"/>
  <c r="I884" i="8"/>
  <c r="H884" i="8"/>
  <c r="G884" i="8"/>
  <c r="F884" i="8"/>
  <c r="E884" i="8"/>
  <c r="D884" i="8"/>
  <c r="J883" i="8"/>
  <c r="I883" i="8"/>
  <c r="H883" i="8"/>
  <c r="G883" i="8"/>
  <c r="F883" i="8"/>
  <c r="E883" i="8"/>
  <c r="D883" i="8"/>
  <c r="J882" i="8"/>
  <c r="I882" i="8"/>
  <c r="H882" i="8"/>
  <c r="G882" i="8"/>
  <c r="F882" i="8"/>
  <c r="E882" i="8"/>
  <c r="D882" i="8"/>
  <c r="J881" i="8"/>
  <c r="I881" i="8"/>
  <c r="H881" i="8"/>
  <c r="G881" i="8"/>
  <c r="F881" i="8"/>
  <c r="E881" i="8"/>
  <c r="D881" i="8"/>
  <c r="J876" i="8"/>
  <c r="I876" i="8"/>
  <c r="H876" i="8"/>
  <c r="G876" i="8"/>
  <c r="F876" i="8"/>
  <c r="E876" i="8"/>
  <c r="D876" i="8"/>
  <c r="J875" i="8"/>
  <c r="I875" i="8"/>
  <c r="H875" i="8"/>
  <c r="G875" i="8"/>
  <c r="F875" i="8"/>
  <c r="E875" i="8"/>
  <c r="D875" i="8"/>
  <c r="J874" i="8"/>
  <c r="I874" i="8"/>
  <c r="H874" i="8"/>
  <c r="G874" i="8"/>
  <c r="F874" i="8"/>
  <c r="E874" i="8"/>
  <c r="D874" i="8"/>
  <c r="J873" i="8"/>
  <c r="I873" i="8"/>
  <c r="H873" i="8"/>
  <c r="G873" i="8"/>
  <c r="F873" i="8"/>
  <c r="E873" i="8"/>
  <c r="D873" i="8"/>
  <c r="J872" i="8"/>
  <c r="I872" i="8"/>
  <c r="H872" i="8"/>
  <c r="G872" i="8"/>
  <c r="F872" i="8"/>
  <c r="E872" i="8"/>
  <c r="D872" i="8"/>
  <c r="J871" i="8"/>
  <c r="I871" i="8"/>
  <c r="H871" i="8"/>
  <c r="G871" i="8"/>
  <c r="F871" i="8"/>
  <c r="E871" i="8"/>
  <c r="D871" i="8"/>
  <c r="J870" i="8"/>
  <c r="I870" i="8"/>
  <c r="H870" i="8"/>
  <c r="G870" i="8"/>
  <c r="F870" i="8"/>
  <c r="E870" i="8"/>
  <c r="D870" i="8"/>
  <c r="J869" i="8"/>
  <c r="I869" i="8"/>
  <c r="H869" i="8"/>
  <c r="G869" i="8"/>
  <c r="F869" i="8"/>
  <c r="E869" i="8"/>
  <c r="D869" i="8"/>
  <c r="J864" i="8"/>
  <c r="I864" i="8"/>
  <c r="H864" i="8"/>
  <c r="G864" i="8"/>
  <c r="F864" i="8"/>
  <c r="E864" i="8"/>
  <c r="D864" i="8"/>
  <c r="J863" i="8"/>
  <c r="I863" i="8"/>
  <c r="H863" i="8"/>
  <c r="G863" i="8"/>
  <c r="F863" i="8"/>
  <c r="E863" i="8"/>
  <c r="D863" i="8"/>
  <c r="J862" i="8"/>
  <c r="I862" i="8"/>
  <c r="H862" i="8"/>
  <c r="G862" i="8"/>
  <c r="F862" i="8"/>
  <c r="E862" i="8"/>
  <c r="D862" i="8"/>
  <c r="J861" i="8"/>
  <c r="I861" i="8"/>
  <c r="H861" i="8"/>
  <c r="G861" i="8"/>
  <c r="F861" i="8"/>
  <c r="E861" i="8"/>
  <c r="D861" i="8"/>
  <c r="J860" i="8"/>
  <c r="I860" i="8"/>
  <c r="I865" i="8" s="1"/>
  <c r="H860" i="8"/>
  <c r="G860" i="8"/>
  <c r="F860" i="8"/>
  <c r="E860" i="8"/>
  <c r="D860" i="8"/>
  <c r="J859" i="8"/>
  <c r="I859" i="8"/>
  <c r="H859" i="8"/>
  <c r="H865" i="8" s="1"/>
  <c r="G859" i="8"/>
  <c r="F859" i="8"/>
  <c r="E859" i="8"/>
  <c r="D859" i="8"/>
  <c r="J858" i="8"/>
  <c r="I858" i="8"/>
  <c r="H858" i="8"/>
  <c r="G858" i="8"/>
  <c r="G865" i="8" s="1"/>
  <c r="J865" i="8" s="1"/>
  <c r="F858" i="8"/>
  <c r="E858" i="8"/>
  <c r="D858" i="8"/>
  <c r="J857" i="8"/>
  <c r="I857" i="8"/>
  <c r="H857" i="8"/>
  <c r="G857" i="8"/>
  <c r="F857" i="8"/>
  <c r="E857" i="8"/>
  <c r="D857" i="8"/>
  <c r="J852" i="8"/>
  <c r="I852" i="8"/>
  <c r="H852" i="8"/>
  <c r="G852" i="8"/>
  <c r="F852" i="8"/>
  <c r="E852" i="8"/>
  <c r="D852" i="8"/>
  <c r="J851" i="8"/>
  <c r="I851" i="8"/>
  <c r="H851" i="8"/>
  <c r="G851" i="8"/>
  <c r="F851" i="8"/>
  <c r="E851" i="8"/>
  <c r="D851" i="8"/>
  <c r="J850" i="8"/>
  <c r="I850" i="8"/>
  <c r="H850" i="8"/>
  <c r="G850" i="8"/>
  <c r="F850" i="8"/>
  <c r="E850" i="8"/>
  <c r="D850" i="8"/>
  <c r="J849" i="8"/>
  <c r="I849" i="8"/>
  <c r="H849" i="8"/>
  <c r="G849" i="8"/>
  <c r="F849" i="8"/>
  <c r="E849" i="8"/>
  <c r="D849" i="8"/>
  <c r="J848" i="8"/>
  <c r="I848" i="8"/>
  <c r="H848" i="8"/>
  <c r="G848" i="8"/>
  <c r="F848" i="8"/>
  <c r="E848" i="8"/>
  <c r="D848" i="8"/>
  <c r="J847" i="8"/>
  <c r="I847" i="8"/>
  <c r="H847" i="8"/>
  <c r="G847" i="8"/>
  <c r="F847" i="8"/>
  <c r="E847" i="8"/>
  <c r="D847" i="8"/>
  <c r="J846" i="8"/>
  <c r="I846" i="8"/>
  <c r="H846" i="8"/>
  <c r="G846" i="8"/>
  <c r="F846" i="8"/>
  <c r="E846" i="8"/>
  <c r="D846" i="8"/>
  <c r="J845" i="8"/>
  <c r="I845" i="8"/>
  <c r="H845" i="8"/>
  <c r="G845" i="8"/>
  <c r="F845" i="8"/>
  <c r="E845" i="8"/>
  <c r="D845" i="8"/>
  <c r="J840" i="8"/>
  <c r="I840" i="8"/>
  <c r="H840" i="8"/>
  <c r="G840" i="8"/>
  <c r="F840" i="8"/>
  <c r="E840" i="8"/>
  <c r="D840" i="8"/>
  <c r="J839" i="8"/>
  <c r="I839" i="8"/>
  <c r="H839" i="8"/>
  <c r="G839" i="8"/>
  <c r="F839" i="8"/>
  <c r="E839" i="8"/>
  <c r="D839" i="8"/>
  <c r="J838" i="8"/>
  <c r="I838" i="8"/>
  <c r="H838" i="8"/>
  <c r="G838" i="8"/>
  <c r="F838" i="8"/>
  <c r="E838" i="8"/>
  <c r="D838" i="8"/>
  <c r="J837" i="8"/>
  <c r="I837" i="8"/>
  <c r="H837" i="8"/>
  <c r="G837" i="8"/>
  <c r="F837" i="8"/>
  <c r="E837" i="8"/>
  <c r="D837" i="8"/>
  <c r="J836" i="8"/>
  <c r="I836" i="8"/>
  <c r="I841" i="8" s="1"/>
  <c r="H836" i="8"/>
  <c r="G836" i="8"/>
  <c r="F836" i="8"/>
  <c r="E836" i="8"/>
  <c r="D836" i="8"/>
  <c r="J835" i="8"/>
  <c r="I835" i="8"/>
  <c r="H835" i="8"/>
  <c r="G835" i="8"/>
  <c r="F835" i="8"/>
  <c r="E835" i="8"/>
  <c r="D835" i="8"/>
  <c r="J834" i="8"/>
  <c r="I834" i="8"/>
  <c r="H834" i="8"/>
  <c r="G834" i="8"/>
  <c r="F834" i="8"/>
  <c r="E834" i="8"/>
  <c r="D834" i="8"/>
  <c r="J833" i="8"/>
  <c r="I833" i="8"/>
  <c r="H833" i="8"/>
  <c r="G833" i="8"/>
  <c r="F833" i="8"/>
  <c r="E833" i="8"/>
  <c r="D833" i="8"/>
  <c r="J828" i="8"/>
  <c r="I828" i="8"/>
  <c r="H828" i="8"/>
  <c r="G828" i="8"/>
  <c r="F828" i="8"/>
  <c r="E828" i="8"/>
  <c r="D828" i="8"/>
  <c r="J827" i="8"/>
  <c r="I827" i="8"/>
  <c r="H827" i="8"/>
  <c r="G827" i="8"/>
  <c r="F827" i="8"/>
  <c r="E827" i="8"/>
  <c r="D827" i="8"/>
  <c r="J826" i="8"/>
  <c r="I826" i="8"/>
  <c r="H826" i="8"/>
  <c r="G826" i="8"/>
  <c r="F826" i="8"/>
  <c r="E826" i="8"/>
  <c r="D826" i="8"/>
  <c r="J825" i="8"/>
  <c r="I825" i="8"/>
  <c r="H825" i="8"/>
  <c r="G825" i="8"/>
  <c r="F825" i="8"/>
  <c r="E825" i="8"/>
  <c r="D825" i="8"/>
  <c r="J824" i="8"/>
  <c r="I824" i="8"/>
  <c r="H824" i="8"/>
  <c r="G824" i="8"/>
  <c r="F824" i="8"/>
  <c r="E824" i="8"/>
  <c r="D824" i="8"/>
  <c r="J823" i="8"/>
  <c r="I823" i="8"/>
  <c r="H823" i="8"/>
  <c r="G823" i="8"/>
  <c r="F823" i="8"/>
  <c r="E823" i="8"/>
  <c r="D823" i="8"/>
  <c r="J822" i="8"/>
  <c r="I822" i="8"/>
  <c r="H822" i="8"/>
  <c r="M822" i="8" s="1"/>
  <c r="G822" i="8"/>
  <c r="F822" i="8"/>
  <c r="E822" i="8"/>
  <c r="D822" i="8"/>
  <c r="J821" i="8"/>
  <c r="I821" i="8"/>
  <c r="H821" i="8"/>
  <c r="G821" i="8"/>
  <c r="F821" i="8"/>
  <c r="E821" i="8"/>
  <c r="D821" i="8"/>
  <c r="J816" i="8"/>
  <c r="I816" i="8"/>
  <c r="H816" i="8"/>
  <c r="G816" i="8"/>
  <c r="F816" i="8"/>
  <c r="E816" i="8"/>
  <c r="D816" i="8"/>
  <c r="J815" i="8"/>
  <c r="I815" i="8"/>
  <c r="H815" i="8"/>
  <c r="G815" i="8"/>
  <c r="F815" i="8"/>
  <c r="E815" i="8"/>
  <c r="D815" i="8"/>
  <c r="J814" i="8"/>
  <c r="I814" i="8"/>
  <c r="H814" i="8"/>
  <c r="G814" i="8"/>
  <c r="F814" i="8"/>
  <c r="E814" i="8"/>
  <c r="D814" i="8"/>
  <c r="J813" i="8"/>
  <c r="I813" i="8"/>
  <c r="H813" i="8"/>
  <c r="G813" i="8"/>
  <c r="F813" i="8"/>
  <c r="E813" i="8"/>
  <c r="D813" i="8"/>
  <c r="J812" i="8"/>
  <c r="I812" i="8"/>
  <c r="H812" i="8"/>
  <c r="G812" i="8"/>
  <c r="G817" i="8" s="1"/>
  <c r="F812" i="8"/>
  <c r="E812" i="8"/>
  <c r="D812" i="8"/>
  <c r="J811" i="8"/>
  <c r="I811" i="8"/>
  <c r="H811" i="8"/>
  <c r="G811" i="8"/>
  <c r="F811" i="8"/>
  <c r="E811" i="8"/>
  <c r="D811" i="8"/>
  <c r="J810" i="8"/>
  <c r="I810" i="8"/>
  <c r="H810" i="8"/>
  <c r="G810" i="8"/>
  <c r="F810" i="8"/>
  <c r="E810" i="8"/>
  <c r="D810" i="8"/>
  <c r="J809" i="8"/>
  <c r="I809" i="8"/>
  <c r="H809" i="8"/>
  <c r="G809" i="8"/>
  <c r="F809" i="8"/>
  <c r="E809" i="8"/>
  <c r="D809" i="8"/>
  <c r="J804" i="8"/>
  <c r="I804" i="8"/>
  <c r="H804" i="8"/>
  <c r="G804" i="8"/>
  <c r="F804" i="8"/>
  <c r="E804" i="8"/>
  <c r="D804" i="8"/>
  <c r="J803" i="8"/>
  <c r="I803" i="8"/>
  <c r="H803" i="8"/>
  <c r="G803" i="8"/>
  <c r="F803" i="8"/>
  <c r="E803" i="8"/>
  <c r="D803" i="8"/>
  <c r="J802" i="8"/>
  <c r="I802" i="8"/>
  <c r="H802" i="8"/>
  <c r="G802" i="8"/>
  <c r="F802" i="8"/>
  <c r="E802" i="8"/>
  <c r="D802" i="8"/>
  <c r="J801" i="8"/>
  <c r="I801" i="8"/>
  <c r="H801" i="8"/>
  <c r="G801" i="8"/>
  <c r="F801" i="8"/>
  <c r="E801" i="8"/>
  <c r="D801" i="8"/>
  <c r="J800" i="8"/>
  <c r="I800" i="8"/>
  <c r="H800" i="8"/>
  <c r="G800" i="8"/>
  <c r="F800" i="8"/>
  <c r="E800" i="8"/>
  <c r="D800" i="8"/>
  <c r="J799" i="8"/>
  <c r="I799" i="8"/>
  <c r="H799" i="8"/>
  <c r="G799" i="8"/>
  <c r="F799" i="8"/>
  <c r="E799" i="8"/>
  <c r="D799" i="8"/>
  <c r="J798" i="8"/>
  <c r="I798" i="8"/>
  <c r="H798" i="8"/>
  <c r="G798" i="8"/>
  <c r="F798" i="8"/>
  <c r="E798" i="8"/>
  <c r="D798" i="8"/>
  <c r="J797" i="8"/>
  <c r="I797" i="8"/>
  <c r="H797" i="8"/>
  <c r="G797" i="8"/>
  <c r="F797" i="8"/>
  <c r="E797" i="8"/>
  <c r="D797" i="8"/>
  <c r="J792" i="8"/>
  <c r="I792" i="8"/>
  <c r="H792" i="8"/>
  <c r="G792" i="8"/>
  <c r="F792" i="8"/>
  <c r="E792" i="8"/>
  <c r="D792" i="8"/>
  <c r="J791" i="8"/>
  <c r="I791" i="8"/>
  <c r="H791" i="8"/>
  <c r="G791" i="8"/>
  <c r="F791" i="8"/>
  <c r="E791" i="8"/>
  <c r="D791" i="8"/>
  <c r="J790" i="8"/>
  <c r="I790" i="8"/>
  <c r="H790" i="8"/>
  <c r="G790" i="8"/>
  <c r="F790" i="8"/>
  <c r="E790" i="8"/>
  <c r="D790" i="8"/>
  <c r="J789" i="8"/>
  <c r="I789" i="8"/>
  <c r="H789" i="8"/>
  <c r="G789" i="8"/>
  <c r="F789" i="8"/>
  <c r="E789" i="8"/>
  <c r="D789" i="8"/>
  <c r="J788" i="8"/>
  <c r="I788" i="8"/>
  <c r="H788" i="8"/>
  <c r="G788" i="8"/>
  <c r="F788" i="8"/>
  <c r="E788" i="8"/>
  <c r="D788" i="8"/>
  <c r="J787" i="8"/>
  <c r="I787" i="8"/>
  <c r="H787" i="8"/>
  <c r="G787" i="8"/>
  <c r="F787" i="8"/>
  <c r="E787" i="8"/>
  <c r="D787" i="8"/>
  <c r="J786" i="8"/>
  <c r="I786" i="8"/>
  <c r="H786" i="8"/>
  <c r="G786" i="8"/>
  <c r="F786" i="8"/>
  <c r="E786" i="8"/>
  <c r="D786" i="8"/>
  <c r="J785" i="8"/>
  <c r="I785" i="8"/>
  <c r="H785" i="8"/>
  <c r="G785" i="8"/>
  <c r="F785" i="8"/>
  <c r="E785" i="8"/>
  <c r="D785" i="8"/>
  <c r="J780" i="8"/>
  <c r="I780" i="8"/>
  <c r="H780" i="8"/>
  <c r="G780" i="8"/>
  <c r="F780" i="8"/>
  <c r="E780" i="8"/>
  <c r="D780" i="8"/>
  <c r="J779" i="8"/>
  <c r="I779" i="8"/>
  <c r="H779" i="8"/>
  <c r="G779" i="8"/>
  <c r="F779" i="8"/>
  <c r="E779" i="8"/>
  <c r="D779" i="8"/>
  <c r="J778" i="8"/>
  <c r="I778" i="8"/>
  <c r="H778" i="8"/>
  <c r="G778" i="8"/>
  <c r="F778" i="8"/>
  <c r="E778" i="8"/>
  <c r="D778" i="8"/>
  <c r="J777" i="8"/>
  <c r="I777" i="8"/>
  <c r="H777" i="8"/>
  <c r="G777" i="8"/>
  <c r="F777" i="8"/>
  <c r="E777" i="8"/>
  <c r="D777" i="8"/>
  <c r="J776" i="8"/>
  <c r="I776" i="8"/>
  <c r="H776" i="8"/>
  <c r="G776" i="8"/>
  <c r="F776" i="8"/>
  <c r="E776" i="8"/>
  <c r="D776" i="8"/>
  <c r="J775" i="8"/>
  <c r="I775" i="8"/>
  <c r="H775" i="8"/>
  <c r="G775" i="8"/>
  <c r="F775" i="8"/>
  <c r="E775" i="8"/>
  <c r="D775" i="8"/>
  <c r="J774" i="8"/>
  <c r="I774" i="8"/>
  <c r="H774" i="8"/>
  <c r="G774" i="8"/>
  <c r="F774" i="8"/>
  <c r="E774" i="8"/>
  <c r="D774" i="8"/>
  <c r="J773" i="8"/>
  <c r="I773" i="8"/>
  <c r="H773" i="8"/>
  <c r="G773" i="8"/>
  <c r="F773" i="8"/>
  <c r="E773" i="8"/>
  <c r="D773" i="8"/>
  <c r="J768" i="8"/>
  <c r="I768" i="8"/>
  <c r="H768" i="8"/>
  <c r="G768" i="8"/>
  <c r="F768" i="8"/>
  <c r="E768" i="8"/>
  <c r="D768" i="8"/>
  <c r="J767" i="8"/>
  <c r="I767" i="8"/>
  <c r="H767" i="8"/>
  <c r="G767" i="8"/>
  <c r="F767" i="8"/>
  <c r="E767" i="8"/>
  <c r="D767" i="8"/>
  <c r="J766" i="8"/>
  <c r="I766" i="8"/>
  <c r="H766" i="8"/>
  <c r="G766" i="8"/>
  <c r="F766" i="8"/>
  <c r="E766" i="8"/>
  <c r="D766" i="8"/>
  <c r="J765" i="8"/>
  <c r="I765" i="8"/>
  <c r="H765" i="8"/>
  <c r="G765" i="8"/>
  <c r="F765" i="8"/>
  <c r="E765" i="8"/>
  <c r="D765" i="8"/>
  <c r="J764" i="8"/>
  <c r="I764" i="8"/>
  <c r="I769" i="8" s="1"/>
  <c r="H764" i="8"/>
  <c r="G764" i="8"/>
  <c r="F764" i="8"/>
  <c r="E764" i="8"/>
  <c r="D764" i="8"/>
  <c r="J763" i="8"/>
  <c r="I763" i="8"/>
  <c r="H763" i="8"/>
  <c r="G763" i="8"/>
  <c r="F763" i="8"/>
  <c r="E763" i="8"/>
  <c r="D763" i="8"/>
  <c r="J762" i="8"/>
  <c r="I762" i="8"/>
  <c r="H762" i="8"/>
  <c r="G762" i="8"/>
  <c r="F762" i="8"/>
  <c r="E762" i="8"/>
  <c r="D762" i="8"/>
  <c r="J761" i="8"/>
  <c r="I761" i="8"/>
  <c r="H761" i="8"/>
  <c r="G761" i="8"/>
  <c r="F761" i="8"/>
  <c r="E761" i="8"/>
  <c r="D761" i="8"/>
  <c r="J756" i="8"/>
  <c r="I756" i="8"/>
  <c r="H756" i="8"/>
  <c r="G756" i="8"/>
  <c r="F756" i="8"/>
  <c r="E756" i="8"/>
  <c r="D756" i="8"/>
  <c r="J755" i="8"/>
  <c r="I755" i="8"/>
  <c r="H755" i="8"/>
  <c r="G755" i="8"/>
  <c r="F755" i="8"/>
  <c r="E755" i="8"/>
  <c r="D755" i="8"/>
  <c r="J754" i="8"/>
  <c r="I754" i="8"/>
  <c r="H754" i="8"/>
  <c r="G754" i="8"/>
  <c r="F754" i="8"/>
  <c r="E754" i="8"/>
  <c r="D754" i="8"/>
  <c r="J753" i="8"/>
  <c r="I753" i="8"/>
  <c r="H753" i="8"/>
  <c r="G753" i="8"/>
  <c r="F753" i="8"/>
  <c r="E753" i="8"/>
  <c r="D753" i="8"/>
  <c r="J752" i="8"/>
  <c r="I752" i="8"/>
  <c r="H752" i="8"/>
  <c r="G752" i="8"/>
  <c r="F752" i="8"/>
  <c r="E752" i="8"/>
  <c r="D752" i="8"/>
  <c r="J751" i="8"/>
  <c r="I751" i="8"/>
  <c r="H751" i="8"/>
  <c r="G751" i="8"/>
  <c r="F751" i="8"/>
  <c r="E751" i="8"/>
  <c r="D751" i="8"/>
  <c r="J750" i="8"/>
  <c r="I750" i="8"/>
  <c r="H750" i="8"/>
  <c r="G750" i="8"/>
  <c r="F750" i="8"/>
  <c r="E750" i="8"/>
  <c r="D750" i="8"/>
  <c r="J749" i="8"/>
  <c r="I749" i="8"/>
  <c r="H749" i="8"/>
  <c r="G749" i="8"/>
  <c r="F749" i="8"/>
  <c r="E749" i="8"/>
  <c r="D749" i="8"/>
  <c r="J744" i="8"/>
  <c r="I744" i="8"/>
  <c r="H744" i="8"/>
  <c r="G744" i="8"/>
  <c r="F744" i="8"/>
  <c r="E744" i="8"/>
  <c r="D744" i="8"/>
  <c r="J743" i="8"/>
  <c r="I743" i="8"/>
  <c r="H743" i="8"/>
  <c r="G743" i="8"/>
  <c r="F743" i="8"/>
  <c r="E743" i="8"/>
  <c r="D743" i="8"/>
  <c r="J742" i="8"/>
  <c r="I742" i="8"/>
  <c r="H742" i="8"/>
  <c r="G742" i="8"/>
  <c r="F742" i="8"/>
  <c r="E742" i="8"/>
  <c r="D742" i="8"/>
  <c r="J741" i="8"/>
  <c r="I741" i="8"/>
  <c r="H741" i="8"/>
  <c r="G741" i="8"/>
  <c r="F741" i="8"/>
  <c r="E741" i="8"/>
  <c r="D741" i="8"/>
  <c r="J740" i="8"/>
  <c r="I740" i="8"/>
  <c r="I745" i="8" s="1"/>
  <c r="H740" i="8"/>
  <c r="G740" i="8"/>
  <c r="F740" i="8"/>
  <c r="E740" i="8"/>
  <c r="D740" i="8"/>
  <c r="J739" i="8"/>
  <c r="I739" i="8"/>
  <c r="H739" i="8"/>
  <c r="G739" i="8"/>
  <c r="F739" i="8"/>
  <c r="E739" i="8"/>
  <c r="D739" i="8"/>
  <c r="J738" i="8"/>
  <c r="I738" i="8"/>
  <c r="H738" i="8"/>
  <c r="G738" i="8"/>
  <c r="F738" i="8"/>
  <c r="E738" i="8"/>
  <c r="D738" i="8"/>
  <c r="J737" i="8"/>
  <c r="I737" i="8"/>
  <c r="H737" i="8"/>
  <c r="G737" i="8"/>
  <c r="F737" i="8"/>
  <c r="E737" i="8"/>
  <c r="D737" i="8"/>
  <c r="J732" i="8"/>
  <c r="I732" i="8"/>
  <c r="H732" i="8"/>
  <c r="G732" i="8"/>
  <c r="F732" i="8"/>
  <c r="E732" i="8"/>
  <c r="D732" i="8"/>
  <c r="J731" i="8"/>
  <c r="I731" i="8"/>
  <c r="H731" i="8"/>
  <c r="G731" i="8"/>
  <c r="F731" i="8"/>
  <c r="E731" i="8"/>
  <c r="D731" i="8"/>
  <c r="J730" i="8"/>
  <c r="I730" i="8"/>
  <c r="H730" i="8"/>
  <c r="G730" i="8"/>
  <c r="F730" i="8"/>
  <c r="E730" i="8"/>
  <c r="D730" i="8"/>
  <c r="J729" i="8"/>
  <c r="I729" i="8"/>
  <c r="H729" i="8"/>
  <c r="G729" i="8"/>
  <c r="F729" i="8"/>
  <c r="E729" i="8"/>
  <c r="D729" i="8"/>
  <c r="J728" i="8"/>
  <c r="I728" i="8"/>
  <c r="H728" i="8"/>
  <c r="G728" i="8"/>
  <c r="F728" i="8"/>
  <c r="E728" i="8"/>
  <c r="D728" i="8"/>
  <c r="J727" i="8"/>
  <c r="I727" i="8"/>
  <c r="H727" i="8"/>
  <c r="G727" i="8"/>
  <c r="F727" i="8"/>
  <c r="E727" i="8"/>
  <c r="D727" i="8"/>
  <c r="J726" i="8"/>
  <c r="I726" i="8"/>
  <c r="H726" i="8"/>
  <c r="M726" i="8" s="1"/>
  <c r="G726" i="8"/>
  <c r="F726" i="8"/>
  <c r="E726" i="8"/>
  <c r="D726" i="8"/>
  <c r="J725" i="8"/>
  <c r="I725" i="8"/>
  <c r="H725" i="8"/>
  <c r="G725" i="8"/>
  <c r="F725" i="8"/>
  <c r="E725" i="8"/>
  <c r="D725" i="8"/>
  <c r="J720" i="8"/>
  <c r="I720" i="8"/>
  <c r="H720" i="8"/>
  <c r="G720" i="8"/>
  <c r="F720" i="8"/>
  <c r="E720" i="8"/>
  <c r="D720" i="8"/>
  <c r="J719" i="8"/>
  <c r="I719" i="8"/>
  <c r="H719" i="8"/>
  <c r="G719" i="8"/>
  <c r="F719" i="8"/>
  <c r="E719" i="8"/>
  <c r="D719" i="8"/>
  <c r="J718" i="8"/>
  <c r="I718" i="8"/>
  <c r="H718" i="8"/>
  <c r="G718" i="8"/>
  <c r="F718" i="8"/>
  <c r="E718" i="8"/>
  <c r="D718" i="8"/>
  <c r="J717" i="8"/>
  <c r="I717" i="8"/>
  <c r="H717" i="8"/>
  <c r="G717" i="8"/>
  <c r="F717" i="8"/>
  <c r="E717" i="8"/>
  <c r="D717" i="8"/>
  <c r="J716" i="8"/>
  <c r="I716" i="8"/>
  <c r="H716" i="8"/>
  <c r="G716" i="8"/>
  <c r="G721" i="8" s="1"/>
  <c r="F716" i="8"/>
  <c r="E716" i="8"/>
  <c r="D716" i="8"/>
  <c r="J715" i="8"/>
  <c r="I715" i="8"/>
  <c r="H715" i="8"/>
  <c r="G715" i="8"/>
  <c r="F715" i="8"/>
  <c r="E715" i="8"/>
  <c r="D715" i="8"/>
  <c r="J714" i="8"/>
  <c r="I714" i="8"/>
  <c r="H714" i="8"/>
  <c r="G714" i="8"/>
  <c r="F714" i="8"/>
  <c r="E714" i="8"/>
  <c r="D714" i="8"/>
  <c r="J713" i="8"/>
  <c r="I713" i="8"/>
  <c r="H713" i="8"/>
  <c r="G713" i="8"/>
  <c r="F713" i="8"/>
  <c r="E713" i="8"/>
  <c r="D713" i="8"/>
  <c r="J708" i="8"/>
  <c r="I708" i="8"/>
  <c r="H708" i="8"/>
  <c r="G708" i="8"/>
  <c r="F708" i="8"/>
  <c r="E708" i="8"/>
  <c r="D708" i="8"/>
  <c r="J707" i="8"/>
  <c r="I707" i="8"/>
  <c r="H707" i="8"/>
  <c r="G707" i="8"/>
  <c r="F707" i="8"/>
  <c r="E707" i="8"/>
  <c r="D707" i="8"/>
  <c r="J706" i="8"/>
  <c r="I706" i="8"/>
  <c r="H706" i="8"/>
  <c r="G706" i="8"/>
  <c r="F706" i="8"/>
  <c r="E706" i="8"/>
  <c r="D706" i="8"/>
  <c r="J705" i="8"/>
  <c r="I705" i="8"/>
  <c r="H705" i="8"/>
  <c r="G705" i="8"/>
  <c r="F705" i="8"/>
  <c r="E705" i="8"/>
  <c r="D705" i="8"/>
  <c r="J704" i="8"/>
  <c r="I704" i="8"/>
  <c r="H704" i="8"/>
  <c r="G704" i="8"/>
  <c r="F704" i="8"/>
  <c r="E704" i="8"/>
  <c r="D704" i="8"/>
  <c r="J703" i="8"/>
  <c r="I703" i="8"/>
  <c r="H703" i="8"/>
  <c r="G703" i="8"/>
  <c r="F703" i="8"/>
  <c r="E703" i="8"/>
  <c r="D703" i="8"/>
  <c r="J702" i="8"/>
  <c r="I702" i="8"/>
  <c r="H702" i="8"/>
  <c r="G702" i="8"/>
  <c r="F702" i="8"/>
  <c r="E702" i="8"/>
  <c r="D702" i="8"/>
  <c r="J701" i="8"/>
  <c r="I701" i="8"/>
  <c r="H701" i="8"/>
  <c r="G701" i="8"/>
  <c r="F701" i="8"/>
  <c r="E701" i="8"/>
  <c r="D701" i="8"/>
  <c r="J696" i="8"/>
  <c r="I696" i="8"/>
  <c r="H696" i="8"/>
  <c r="G696" i="8"/>
  <c r="F696" i="8"/>
  <c r="E696" i="8"/>
  <c r="D696" i="8"/>
  <c r="J695" i="8"/>
  <c r="I695" i="8"/>
  <c r="H695" i="8"/>
  <c r="G695" i="8"/>
  <c r="F695" i="8"/>
  <c r="E695" i="8"/>
  <c r="D695" i="8"/>
  <c r="J694" i="8"/>
  <c r="I694" i="8"/>
  <c r="H694" i="8"/>
  <c r="G694" i="8"/>
  <c r="F694" i="8"/>
  <c r="E694" i="8"/>
  <c r="D694" i="8"/>
  <c r="J693" i="8"/>
  <c r="I693" i="8"/>
  <c r="H693" i="8"/>
  <c r="G693" i="8"/>
  <c r="F693" i="8"/>
  <c r="E693" i="8"/>
  <c r="D693" i="8"/>
  <c r="J692" i="8"/>
  <c r="I692" i="8"/>
  <c r="H692" i="8"/>
  <c r="G692" i="8"/>
  <c r="F692" i="8"/>
  <c r="E692" i="8"/>
  <c r="D692" i="8"/>
  <c r="J691" i="8"/>
  <c r="I691" i="8"/>
  <c r="H691" i="8"/>
  <c r="G691" i="8"/>
  <c r="F691" i="8"/>
  <c r="E691" i="8"/>
  <c r="D691" i="8"/>
  <c r="J690" i="8"/>
  <c r="I690" i="8"/>
  <c r="N690" i="8" s="1"/>
  <c r="H690" i="8"/>
  <c r="G690" i="8"/>
  <c r="F690" i="8"/>
  <c r="E690" i="8"/>
  <c r="D690" i="8"/>
  <c r="J689" i="8"/>
  <c r="I689" i="8"/>
  <c r="H689" i="8"/>
  <c r="G689" i="8"/>
  <c r="F689" i="8"/>
  <c r="E689" i="8"/>
  <c r="D689" i="8"/>
  <c r="J684" i="8"/>
  <c r="I684" i="8"/>
  <c r="H684" i="8"/>
  <c r="G684" i="8"/>
  <c r="F684" i="8"/>
  <c r="E684" i="8"/>
  <c r="D684" i="8"/>
  <c r="J683" i="8"/>
  <c r="I683" i="8"/>
  <c r="H683" i="8"/>
  <c r="G683" i="8"/>
  <c r="F683" i="8"/>
  <c r="E683" i="8"/>
  <c r="D683" i="8"/>
  <c r="J682" i="8"/>
  <c r="I682" i="8"/>
  <c r="H682" i="8"/>
  <c r="G682" i="8"/>
  <c r="F682" i="8"/>
  <c r="E682" i="8"/>
  <c r="D682" i="8"/>
  <c r="J681" i="8"/>
  <c r="I681" i="8"/>
  <c r="H681" i="8"/>
  <c r="M678" i="8" s="1"/>
  <c r="G681" i="8"/>
  <c r="F681" i="8"/>
  <c r="E681" i="8"/>
  <c r="D681" i="8"/>
  <c r="J680" i="8"/>
  <c r="I680" i="8"/>
  <c r="H680" i="8"/>
  <c r="G680" i="8"/>
  <c r="F680" i="8"/>
  <c r="E680" i="8"/>
  <c r="D680" i="8"/>
  <c r="J679" i="8"/>
  <c r="I679" i="8"/>
  <c r="H679" i="8"/>
  <c r="G679" i="8"/>
  <c r="F679" i="8"/>
  <c r="E679" i="8"/>
  <c r="D679" i="8"/>
  <c r="J678" i="8"/>
  <c r="I678" i="8"/>
  <c r="H678" i="8"/>
  <c r="G678" i="8"/>
  <c r="F678" i="8"/>
  <c r="E678" i="8"/>
  <c r="D678" i="8"/>
  <c r="J677" i="8"/>
  <c r="I677" i="8"/>
  <c r="H677" i="8"/>
  <c r="G677" i="8"/>
  <c r="F677" i="8"/>
  <c r="E677" i="8"/>
  <c r="D677" i="8"/>
  <c r="J672" i="8"/>
  <c r="I672" i="8"/>
  <c r="H672" i="8"/>
  <c r="G672" i="8"/>
  <c r="F672" i="8"/>
  <c r="E672" i="8"/>
  <c r="D672" i="8"/>
  <c r="J671" i="8"/>
  <c r="I671" i="8"/>
  <c r="H671" i="8"/>
  <c r="G671" i="8"/>
  <c r="F671" i="8"/>
  <c r="E671" i="8"/>
  <c r="D671" i="8"/>
  <c r="J670" i="8"/>
  <c r="I670" i="8"/>
  <c r="H670" i="8"/>
  <c r="G670" i="8"/>
  <c r="F670" i="8"/>
  <c r="E670" i="8"/>
  <c r="D670" i="8"/>
  <c r="J669" i="8"/>
  <c r="I669" i="8"/>
  <c r="H669" i="8"/>
  <c r="G669" i="8"/>
  <c r="F669" i="8"/>
  <c r="E669" i="8"/>
  <c r="D669" i="8"/>
  <c r="J668" i="8"/>
  <c r="I668" i="8"/>
  <c r="H668" i="8"/>
  <c r="G668" i="8"/>
  <c r="F668" i="8"/>
  <c r="E668" i="8"/>
  <c r="D668" i="8"/>
  <c r="J667" i="8"/>
  <c r="I667" i="8"/>
  <c r="H667" i="8"/>
  <c r="G667" i="8"/>
  <c r="F667" i="8"/>
  <c r="E667" i="8"/>
  <c r="D667" i="8"/>
  <c r="N666" i="8"/>
  <c r="J666" i="8"/>
  <c r="I666" i="8"/>
  <c r="H666" i="8"/>
  <c r="G666" i="8"/>
  <c r="L666" i="8" s="1"/>
  <c r="F666" i="8"/>
  <c r="E666" i="8"/>
  <c r="D666" i="8"/>
  <c r="J665" i="8"/>
  <c r="I665" i="8"/>
  <c r="H665" i="8"/>
  <c r="G665" i="8"/>
  <c r="F665" i="8"/>
  <c r="E665" i="8"/>
  <c r="D665" i="8"/>
  <c r="J660" i="8"/>
  <c r="I660" i="8"/>
  <c r="H660" i="8"/>
  <c r="G660" i="8"/>
  <c r="F660" i="8"/>
  <c r="E660" i="8"/>
  <c r="D660" i="8"/>
  <c r="J659" i="8"/>
  <c r="I659" i="8"/>
  <c r="H659" i="8"/>
  <c r="G659" i="8"/>
  <c r="F659" i="8"/>
  <c r="E659" i="8"/>
  <c r="D659" i="8"/>
  <c r="J658" i="8"/>
  <c r="I658" i="8"/>
  <c r="H658" i="8"/>
  <c r="G658" i="8"/>
  <c r="F658" i="8"/>
  <c r="E658" i="8"/>
  <c r="D658" i="8"/>
  <c r="J657" i="8"/>
  <c r="I657" i="8"/>
  <c r="H657" i="8"/>
  <c r="G657" i="8"/>
  <c r="F657" i="8"/>
  <c r="E657" i="8"/>
  <c r="D657" i="8"/>
  <c r="J656" i="8"/>
  <c r="I656" i="8"/>
  <c r="H656" i="8"/>
  <c r="G656" i="8"/>
  <c r="F656" i="8"/>
  <c r="E656" i="8"/>
  <c r="D656" i="8"/>
  <c r="J655" i="8"/>
  <c r="I655" i="8"/>
  <c r="H655" i="8"/>
  <c r="G655" i="8"/>
  <c r="F655" i="8"/>
  <c r="E655" i="8"/>
  <c r="D655" i="8"/>
  <c r="J654" i="8"/>
  <c r="I654" i="8"/>
  <c r="H654" i="8"/>
  <c r="G654" i="8"/>
  <c r="F654" i="8"/>
  <c r="E654" i="8"/>
  <c r="D654" i="8"/>
  <c r="J653" i="8"/>
  <c r="I653" i="8"/>
  <c r="H653" i="8"/>
  <c r="G653" i="8"/>
  <c r="F653" i="8"/>
  <c r="E653" i="8"/>
  <c r="D653" i="8"/>
  <c r="J648" i="8"/>
  <c r="I648" i="8"/>
  <c r="H648" i="8"/>
  <c r="G648" i="8"/>
  <c r="F648" i="8"/>
  <c r="E648" i="8"/>
  <c r="D648" i="8"/>
  <c r="J647" i="8"/>
  <c r="I647" i="8"/>
  <c r="H647" i="8"/>
  <c r="G647" i="8"/>
  <c r="F647" i="8"/>
  <c r="E647" i="8"/>
  <c r="D647" i="8"/>
  <c r="J646" i="8"/>
  <c r="I646" i="8"/>
  <c r="H646" i="8"/>
  <c r="G646" i="8"/>
  <c r="F646" i="8"/>
  <c r="E646" i="8"/>
  <c r="D646" i="8"/>
  <c r="J645" i="8"/>
  <c r="I645" i="8"/>
  <c r="H645" i="8"/>
  <c r="G645" i="8"/>
  <c r="F645" i="8"/>
  <c r="E645" i="8"/>
  <c r="D645" i="8"/>
  <c r="J644" i="8"/>
  <c r="I644" i="8"/>
  <c r="H644" i="8"/>
  <c r="G644" i="8"/>
  <c r="F644" i="8"/>
  <c r="E644" i="8"/>
  <c r="D644" i="8"/>
  <c r="J643" i="8"/>
  <c r="I643" i="8"/>
  <c r="H643" i="8"/>
  <c r="G643" i="8"/>
  <c r="F643" i="8"/>
  <c r="E643" i="8"/>
  <c r="D643" i="8"/>
  <c r="J642" i="8"/>
  <c r="I642" i="8"/>
  <c r="H642" i="8"/>
  <c r="G642" i="8"/>
  <c r="F642" i="8"/>
  <c r="E642" i="8"/>
  <c r="D642" i="8"/>
  <c r="J641" i="8"/>
  <c r="I641" i="8"/>
  <c r="H641" i="8"/>
  <c r="G641" i="8"/>
  <c r="F641" i="8"/>
  <c r="E641" i="8"/>
  <c r="D641" i="8"/>
  <c r="J636" i="8"/>
  <c r="I636" i="8"/>
  <c r="H636" i="8"/>
  <c r="G636" i="8"/>
  <c r="F636" i="8"/>
  <c r="E636" i="8"/>
  <c r="D636" i="8"/>
  <c r="J635" i="8"/>
  <c r="I635" i="8"/>
  <c r="H635" i="8"/>
  <c r="G635" i="8"/>
  <c r="F635" i="8"/>
  <c r="E635" i="8"/>
  <c r="D635" i="8"/>
  <c r="J634" i="8"/>
  <c r="I634" i="8"/>
  <c r="H634" i="8"/>
  <c r="G634" i="8"/>
  <c r="F634" i="8"/>
  <c r="E634" i="8"/>
  <c r="D634" i="8"/>
  <c r="J633" i="8"/>
  <c r="I633" i="8"/>
  <c r="H633" i="8"/>
  <c r="G633" i="8"/>
  <c r="F633" i="8"/>
  <c r="E633" i="8"/>
  <c r="D633" i="8"/>
  <c r="J632" i="8"/>
  <c r="I632" i="8"/>
  <c r="H632" i="8"/>
  <c r="G632" i="8"/>
  <c r="F632" i="8"/>
  <c r="E632" i="8"/>
  <c r="D632" i="8"/>
  <c r="J631" i="8"/>
  <c r="I631" i="8"/>
  <c r="I637" i="8" s="1"/>
  <c r="H631" i="8"/>
  <c r="G631" i="8"/>
  <c r="F631" i="8"/>
  <c r="E631" i="8"/>
  <c r="D631" i="8"/>
  <c r="J630" i="8"/>
  <c r="I630" i="8"/>
  <c r="H630" i="8"/>
  <c r="M630" i="8" s="1"/>
  <c r="G630" i="8"/>
  <c r="F630" i="8"/>
  <c r="E630" i="8"/>
  <c r="D630" i="8"/>
  <c r="J629" i="8"/>
  <c r="I629" i="8"/>
  <c r="H629" i="8"/>
  <c r="G629" i="8"/>
  <c r="F629" i="8"/>
  <c r="E629" i="8"/>
  <c r="D629" i="8"/>
  <c r="J624" i="8"/>
  <c r="I624" i="8"/>
  <c r="H624" i="8"/>
  <c r="G624" i="8"/>
  <c r="F624" i="8"/>
  <c r="E624" i="8"/>
  <c r="D624" i="8"/>
  <c r="J623" i="8"/>
  <c r="I623" i="8"/>
  <c r="H623" i="8"/>
  <c r="G623" i="8"/>
  <c r="F623" i="8"/>
  <c r="E623" i="8"/>
  <c r="D623" i="8"/>
  <c r="J622" i="8"/>
  <c r="I622" i="8"/>
  <c r="N618" i="8" s="1"/>
  <c r="H622" i="8"/>
  <c r="G622" i="8"/>
  <c r="F622" i="8"/>
  <c r="E622" i="8"/>
  <c r="D622" i="8"/>
  <c r="J621" i="8"/>
  <c r="I621" i="8"/>
  <c r="H621" i="8"/>
  <c r="G621" i="8"/>
  <c r="F621" i="8"/>
  <c r="E621" i="8"/>
  <c r="D621" i="8"/>
  <c r="J620" i="8"/>
  <c r="I620" i="8"/>
  <c r="H620" i="8"/>
  <c r="G620" i="8"/>
  <c r="F620" i="8"/>
  <c r="E620" i="8"/>
  <c r="D620" i="8"/>
  <c r="J619" i="8"/>
  <c r="I619" i="8"/>
  <c r="H619" i="8"/>
  <c r="G619" i="8"/>
  <c r="F619" i="8"/>
  <c r="E619" i="8"/>
  <c r="D619" i="8"/>
  <c r="M618" i="8"/>
  <c r="J618" i="8"/>
  <c r="I618" i="8"/>
  <c r="H618" i="8"/>
  <c r="G618" i="8"/>
  <c r="L618" i="8" s="1"/>
  <c r="O618" i="8" s="1"/>
  <c r="F618" i="8"/>
  <c r="E618" i="8"/>
  <c r="D618" i="8"/>
  <c r="J617" i="8"/>
  <c r="I617" i="8"/>
  <c r="H617" i="8"/>
  <c r="G617" i="8"/>
  <c r="F617" i="8"/>
  <c r="E617" i="8"/>
  <c r="D617" i="8"/>
  <c r="J612" i="8"/>
  <c r="I612" i="8"/>
  <c r="H612" i="8"/>
  <c r="G612" i="8"/>
  <c r="F612" i="8"/>
  <c r="E612" i="8"/>
  <c r="D612" i="8"/>
  <c r="J611" i="8"/>
  <c r="I611" i="8"/>
  <c r="H611" i="8"/>
  <c r="G611" i="8"/>
  <c r="F611" i="8"/>
  <c r="E611" i="8"/>
  <c r="D611" i="8"/>
  <c r="J610" i="8"/>
  <c r="I610" i="8"/>
  <c r="H610" i="8"/>
  <c r="G610" i="8"/>
  <c r="F610" i="8"/>
  <c r="E610" i="8"/>
  <c r="D610" i="8"/>
  <c r="J609" i="8"/>
  <c r="I609" i="8"/>
  <c r="H609" i="8"/>
  <c r="G609" i="8"/>
  <c r="F609" i="8"/>
  <c r="E609" i="8"/>
  <c r="D609" i="8"/>
  <c r="J608" i="8"/>
  <c r="I608" i="8"/>
  <c r="H608" i="8"/>
  <c r="G608" i="8"/>
  <c r="F608" i="8"/>
  <c r="E608" i="8"/>
  <c r="D608" i="8"/>
  <c r="J607" i="8"/>
  <c r="I607" i="8"/>
  <c r="H607" i="8"/>
  <c r="G607" i="8"/>
  <c r="F607" i="8"/>
  <c r="E607" i="8"/>
  <c r="D607" i="8"/>
  <c r="J606" i="8"/>
  <c r="I606" i="8"/>
  <c r="H606" i="8"/>
  <c r="G606" i="8"/>
  <c r="F606" i="8"/>
  <c r="E606" i="8"/>
  <c r="D606" i="8"/>
  <c r="J605" i="8"/>
  <c r="I605" i="8"/>
  <c r="H605" i="8"/>
  <c r="G605" i="8"/>
  <c r="F605" i="8"/>
  <c r="E605" i="8"/>
  <c r="D605" i="8"/>
  <c r="J600" i="8"/>
  <c r="I600" i="8"/>
  <c r="H600" i="8"/>
  <c r="G600" i="8"/>
  <c r="F600" i="8"/>
  <c r="E600" i="8"/>
  <c r="D600" i="8"/>
  <c r="J599" i="8"/>
  <c r="I599" i="8"/>
  <c r="H599" i="8"/>
  <c r="G599" i="8"/>
  <c r="F599" i="8"/>
  <c r="E599" i="8"/>
  <c r="D599" i="8"/>
  <c r="J598" i="8"/>
  <c r="I598" i="8"/>
  <c r="H598" i="8"/>
  <c r="G598" i="8"/>
  <c r="F598" i="8"/>
  <c r="E598" i="8"/>
  <c r="D598" i="8"/>
  <c r="J597" i="8"/>
  <c r="I597" i="8"/>
  <c r="H597" i="8"/>
  <c r="G597" i="8"/>
  <c r="F597" i="8"/>
  <c r="E597" i="8"/>
  <c r="D597" i="8"/>
  <c r="J596" i="8"/>
  <c r="I596" i="8"/>
  <c r="I601" i="8" s="1"/>
  <c r="H596" i="8"/>
  <c r="G596" i="8"/>
  <c r="F596" i="8"/>
  <c r="E596" i="8"/>
  <c r="D596" i="8"/>
  <c r="J595" i="8"/>
  <c r="I595" i="8"/>
  <c r="H595" i="8"/>
  <c r="H601" i="8" s="1"/>
  <c r="G595" i="8"/>
  <c r="F595" i="8"/>
  <c r="E595" i="8"/>
  <c r="D595" i="8"/>
  <c r="J594" i="8"/>
  <c r="I594" i="8"/>
  <c r="H594" i="8"/>
  <c r="G594" i="8"/>
  <c r="G601" i="8" s="1"/>
  <c r="J601" i="8" s="1"/>
  <c r="F594" i="8"/>
  <c r="E594" i="8"/>
  <c r="D594" i="8"/>
  <c r="J593" i="8"/>
  <c r="I593" i="8"/>
  <c r="H593" i="8"/>
  <c r="G593" i="8"/>
  <c r="F593" i="8"/>
  <c r="E593" i="8"/>
  <c r="D593" i="8"/>
  <c r="J588" i="8"/>
  <c r="I588" i="8"/>
  <c r="H588" i="8"/>
  <c r="G588" i="8"/>
  <c r="F588" i="8"/>
  <c r="E588" i="8"/>
  <c r="D588" i="8"/>
  <c r="J587" i="8"/>
  <c r="I587" i="8"/>
  <c r="H587" i="8"/>
  <c r="G587" i="8"/>
  <c r="F587" i="8"/>
  <c r="E587" i="8"/>
  <c r="D587" i="8"/>
  <c r="J586" i="8"/>
  <c r="I586" i="8"/>
  <c r="H586" i="8"/>
  <c r="G586" i="8"/>
  <c r="F586" i="8"/>
  <c r="E586" i="8"/>
  <c r="D586" i="8"/>
  <c r="J585" i="8"/>
  <c r="I585" i="8"/>
  <c r="H585" i="8"/>
  <c r="G585" i="8"/>
  <c r="F585" i="8"/>
  <c r="E585" i="8"/>
  <c r="D585" i="8"/>
  <c r="J584" i="8"/>
  <c r="I584" i="8"/>
  <c r="I589" i="8" s="1"/>
  <c r="H584" i="8"/>
  <c r="G584" i="8"/>
  <c r="F584" i="8"/>
  <c r="E584" i="8"/>
  <c r="D584" i="8"/>
  <c r="J583" i="8"/>
  <c r="I583" i="8"/>
  <c r="H583" i="8"/>
  <c r="G583" i="8"/>
  <c r="F583" i="8"/>
  <c r="E583" i="8"/>
  <c r="D583" i="8"/>
  <c r="J582" i="8"/>
  <c r="I582" i="8"/>
  <c r="H582" i="8"/>
  <c r="G582" i="8"/>
  <c r="G589" i="8" s="1"/>
  <c r="F582" i="8"/>
  <c r="E582" i="8"/>
  <c r="D582" i="8"/>
  <c r="J581" i="8"/>
  <c r="I581" i="8"/>
  <c r="H581" i="8"/>
  <c r="G581" i="8"/>
  <c r="F581" i="8"/>
  <c r="E581" i="8"/>
  <c r="D581" i="8"/>
  <c r="J576" i="8"/>
  <c r="I576" i="8"/>
  <c r="H576" i="8"/>
  <c r="G576" i="8"/>
  <c r="F576" i="8"/>
  <c r="E576" i="8"/>
  <c r="D576" i="8"/>
  <c r="J575" i="8"/>
  <c r="I575" i="8"/>
  <c r="H575" i="8"/>
  <c r="G575" i="8"/>
  <c r="F575" i="8"/>
  <c r="E575" i="8"/>
  <c r="D575" i="8"/>
  <c r="J574" i="8"/>
  <c r="I574" i="8"/>
  <c r="H574" i="8"/>
  <c r="G574" i="8"/>
  <c r="F574" i="8"/>
  <c r="E574" i="8"/>
  <c r="D574" i="8"/>
  <c r="J573" i="8"/>
  <c r="I573" i="8"/>
  <c r="H573" i="8"/>
  <c r="G573" i="8"/>
  <c r="F573" i="8"/>
  <c r="E573" i="8"/>
  <c r="D573" i="8"/>
  <c r="J572" i="8"/>
  <c r="I572" i="8"/>
  <c r="H572" i="8"/>
  <c r="G572" i="8"/>
  <c r="F572" i="8"/>
  <c r="E572" i="8"/>
  <c r="D572" i="8"/>
  <c r="J571" i="8"/>
  <c r="I571" i="8"/>
  <c r="H571" i="8"/>
  <c r="G571" i="8"/>
  <c r="F571" i="8"/>
  <c r="E571" i="8"/>
  <c r="D571" i="8"/>
  <c r="J570" i="8"/>
  <c r="I570" i="8"/>
  <c r="H570" i="8"/>
  <c r="G570" i="8"/>
  <c r="F570" i="8"/>
  <c r="E570" i="8"/>
  <c r="D570" i="8"/>
  <c r="J569" i="8"/>
  <c r="I569" i="8"/>
  <c r="H569" i="8"/>
  <c r="G569" i="8"/>
  <c r="F569" i="8"/>
  <c r="E569" i="8"/>
  <c r="D569" i="8"/>
  <c r="J564" i="8"/>
  <c r="I564" i="8"/>
  <c r="H564" i="8"/>
  <c r="G564" i="8"/>
  <c r="F564" i="8"/>
  <c r="E564" i="8"/>
  <c r="D564" i="8"/>
  <c r="J563" i="8"/>
  <c r="I563" i="8"/>
  <c r="H563" i="8"/>
  <c r="G563" i="8"/>
  <c r="F563" i="8"/>
  <c r="E563" i="8"/>
  <c r="D563" i="8"/>
  <c r="J562" i="8"/>
  <c r="I562" i="8"/>
  <c r="H562" i="8"/>
  <c r="G562" i="8"/>
  <c r="F562" i="8"/>
  <c r="E562" i="8"/>
  <c r="D562" i="8"/>
  <c r="J561" i="8"/>
  <c r="I561" i="8"/>
  <c r="H561" i="8"/>
  <c r="G561" i="8"/>
  <c r="F561" i="8"/>
  <c r="E561" i="8"/>
  <c r="D561" i="8"/>
  <c r="J560" i="8"/>
  <c r="I560" i="8"/>
  <c r="H560" i="8"/>
  <c r="G560" i="8"/>
  <c r="F560" i="8"/>
  <c r="E560" i="8"/>
  <c r="D560" i="8"/>
  <c r="J559" i="8"/>
  <c r="I559" i="8"/>
  <c r="H559" i="8"/>
  <c r="G559" i="8"/>
  <c r="F559" i="8"/>
  <c r="E559" i="8"/>
  <c r="D559" i="8"/>
  <c r="J558" i="8"/>
  <c r="I558" i="8"/>
  <c r="N558" i="8" s="1"/>
  <c r="H558" i="8"/>
  <c r="G558" i="8"/>
  <c r="F558" i="8"/>
  <c r="E558" i="8"/>
  <c r="D558" i="8"/>
  <c r="J557" i="8"/>
  <c r="I557" i="8"/>
  <c r="H557" i="8"/>
  <c r="G557" i="8"/>
  <c r="F557" i="8"/>
  <c r="E557" i="8"/>
  <c r="D557" i="8"/>
  <c r="J552" i="8"/>
  <c r="I552" i="8"/>
  <c r="H552" i="8"/>
  <c r="G552" i="8"/>
  <c r="F552" i="8"/>
  <c r="E552" i="8"/>
  <c r="D552" i="8"/>
  <c r="J551" i="8"/>
  <c r="I551" i="8"/>
  <c r="H551" i="8"/>
  <c r="G551" i="8"/>
  <c r="F551" i="8"/>
  <c r="E551" i="8"/>
  <c r="D551" i="8"/>
  <c r="J550" i="8"/>
  <c r="I550" i="8"/>
  <c r="H550" i="8"/>
  <c r="G550" i="8"/>
  <c r="F550" i="8"/>
  <c r="E550" i="8"/>
  <c r="D550" i="8"/>
  <c r="J549" i="8"/>
  <c r="I549" i="8"/>
  <c r="H549" i="8"/>
  <c r="H553" i="8" s="1"/>
  <c r="G549" i="8"/>
  <c r="F549" i="8"/>
  <c r="E549" i="8"/>
  <c r="D549" i="8"/>
  <c r="J548" i="8"/>
  <c r="I548" i="8"/>
  <c r="H548" i="8"/>
  <c r="G548" i="8"/>
  <c r="F548" i="8"/>
  <c r="E548" i="8"/>
  <c r="D548" i="8"/>
  <c r="J547" i="8"/>
  <c r="I547" i="8"/>
  <c r="H547" i="8"/>
  <c r="G547" i="8"/>
  <c r="F547" i="8"/>
  <c r="E547" i="8"/>
  <c r="D547" i="8"/>
  <c r="J546" i="8"/>
  <c r="I546" i="8"/>
  <c r="N546" i="8" s="1"/>
  <c r="H546" i="8"/>
  <c r="G546" i="8"/>
  <c r="F546" i="8"/>
  <c r="E546" i="8"/>
  <c r="D546" i="8"/>
  <c r="J545" i="8"/>
  <c r="I545" i="8"/>
  <c r="H545" i="8"/>
  <c r="G545" i="8"/>
  <c r="F545" i="8"/>
  <c r="E545" i="8"/>
  <c r="D545" i="8"/>
  <c r="J540" i="8"/>
  <c r="I540" i="8"/>
  <c r="H540" i="8"/>
  <c r="G540" i="8"/>
  <c r="F540" i="8"/>
  <c r="E540" i="8"/>
  <c r="D540" i="8"/>
  <c r="J539" i="8"/>
  <c r="I539" i="8"/>
  <c r="H539" i="8"/>
  <c r="G539" i="8"/>
  <c r="F539" i="8"/>
  <c r="E539" i="8"/>
  <c r="D539" i="8"/>
  <c r="J538" i="8"/>
  <c r="I538" i="8"/>
  <c r="H538" i="8"/>
  <c r="G538" i="8"/>
  <c r="F538" i="8"/>
  <c r="E538" i="8"/>
  <c r="D538" i="8"/>
  <c r="J537" i="8"/>
  <c r="I537" i="8"/>
  <c r="H537" i="8"/>
  <c r="G537" i="8"/>
  <c r="F537" i="8"/>
  <c r="E537" i="8"/>
  <c r="D537" i="8"/>
  <c r="J536" i="8"/>
  <c r="I536" i="8"/>
  <c r="H536" i="8"/>
  <c r="G536" i="8"/>
  <c r="F536" i="8"/>
  <c r="E536" i="8"/>
  <c r="D536" i="8"/>
  <c r="J535" i="8"/>
  <c r="I535" i="8"/>
  <c r="H535" i="8"/>
  <c r="G535" i="8"/>
  <c r="F535" i="8"/>
  <c r="E535" i="8"/>
  <c r="D535" i="8"/>
  <c r="J534" i="8"/>
  <c r="I534" i="8"/>
  <c r="H534" i="8"/>
  <c r="G534" i="8"/>
  <c r="F534" i="8"/>
  <c r="E534" i="8"/>
  <c r="D534" i="8"/>
  <c r="J533" i="8"/>
  <c r="I533" i="8"/>
  <c r="H533" i="8"/>
  <c r="G533" i="8"/>
  <c r="F533" i="8"/>
  <c r="E533" i="8"/>
  <c r="D533" i="8"/>
  <c r="J528" i="8"/>
  <c r="I528" i="8"/>
  <c r="H528" i="8"/>
  <c r="G528" i="8"/>
  <c r="F528" i="8"/>
  <c r="E528" i="8"/>
  <c r="D528" i="8"/>
  <c r="J527" i="8"/>
  <c r="I527" i="8"/>
  <c r="H527" i="8"/>
  <c r="G527" i="8"/>
  <c r="F527" i="8"/>
  <c r="E527" i="8"/>
  <c r="D527" i="8"/>
  <c r="J526" i="8"/>
  <c r="I526" i="8"/>
  <c r="H526" i="8"/>
  <c r="G526" i="8"/>
  <c r="F526" i="8"/>
  <c r="E526" i="8"/>
  <c r="D526" i="8"/>
  <c r="J525" i="8"/>
  <c r="I525" i="8"/>
  <c r="H525" i="8"/>
  <c r="G525" i="8"/>
  <c r="F525" i="8"/>
  <c r="E525" i="8"/>
  <c r="D525" i="8"/>
  <c r="J524" i="8"/>
  <c r="I524" i="8"/>
  <c r="H524" i="8"/>
  <c r="G524" i="8"/>
  <c r="F524" i="8"/>
  <c r="E524" i="8"/>
  <c r="D524" i="8"/>
  <c r="J523" i="8"/>
  <c r="I523" i="8"/>
  <c r="H523" i="8"/>
  <c r="G523" i="8"/>
  <c r="F523" i="8"/>
  <c r="E523" i="8"/>
  <c r="D523" i="8"/>
  <c r="J522" i="8"/>
  <c r="I522" i="8"/>
  <c r="N522" i="8" s="1"/>
  <c r="H522" i="8"/>
  <c r="G522" i="8"/>
  <c r="F522" i="8"/>
  <c r="E522" i="8"/>
  <c r="D522" i="8"/>
  <c r="J521" i="8"/>
  <c r="I521" i="8"/>
  <c r="H521" i="8"/>
  <c r="G521" i="8"/>
  <c r="F521" i="8"/>
  <c r="E521" i="8"/>
  <c r="D521" i="8"/>
  <c r="J516" i="8"/>
  <c r="I516" i="8"/>
  <c r="H516" i="8"/>
  <c r="G516" i="8"/>
  <c r="F516" i="8"/>
  <c r="E516" i="8"/>
  <c r="D516" i="8"/>
  <c r="J515" i="8"/>
  <c r="I515" i="8"/>
  <c r="H515" i="8"/>
  <c r="G515" i="8"/>
  <c r="F515" i="8"/>
  <c r="E515" i="8"/>
  <c r="D515" i="8"/>
  <c r="J514" i="8"/>
  <c r="I514" i="8"/>
  <c r="H514" i="8"/>
  <c r="G514" i="8"/>
  <c r="F514" i="8"/>
  <c r="E514" i="8"/>
  <c r="D514" i="8"/>
  <c r="J513" i="8"/>
  <c r="I513" i="8"/>
  <c r="H513" i="8"/>
  <c r="G513" i="8"/>
  <c r="F513" i="8"/>
  <c r="E513" i="8"/>
  <c r="D513" i="8"/>
  <c r="J512" i="8"/>
  <c r="I512" i="8"/>
  <c r="H512" i="8"/>
  <c r="G512" i="8"/>
  <c r="G517" i="8" s="1"/>
  <c r="F512" i="8"/>
  <c r="E512" i="8"/>
  <c r="D512" i="8"/>
  <c r="J511" i="8"/>
  <c r="I511" i="8"/>
  <c r="H511" i="8"/>
  <c r="G511" i="8"/>
  <c r="F511" i="8"/>
  <c r="E511" i="8"/>
  <c r="D511" i="8"/>
  <c r="J510" i="8"/>
  <c r="I510" i="8"/>
  <c r="N510" i="8" s="1"/>
  <c r="H510" i="8"/>
  <c r="G510" i="8"/>
  <c r="F510" i="8"/>
  <c r="E510" i="8"/>
  <c r="D510" i="8"/>
  <c r="J509" i="8"/>
  <c r="I509" i="8"/>
  <c r="H509" i="8"/>
  <c r="G509" i="8"/>
  <c r="F509" i="8"/>
  <c r="E509" i="8"/>
  <c r="D509" i="8"/>
  <c r="J504" i="8"/>
  <c r="I504" i="8"/>
  <c r="H504" i="8"/>
  <c r="G504" i="8"/>
  <c r="F504" i="8"/>
  <c r="E504" i="8"/>
  <c r="D504" i="8"/>
  <c r="J503" i="8"/>
  <c r="I503" i="8"/>
  <c r="H503" i="8"/>
  <c r="G503" i="8"/>
  <c r="F503" i="8"/>
  <c r="E503" i="8"/>
  <c r="D503" i="8"/>
  <c r="J502" i="8"/>
  <c r="I502" i="8"/>
  <c r="H502" i="8"/>
  <c r="G502" i="8"/>
  <c r="F502" i="8"/>
  <c r="E502" i="8"/>
  <c r="D502" i="8"/>
  <c r="J501" i="8"/>
  <c r="I501" i="8"/>
  <c r="H501" i="8"/>
  <c r="G501" i="8"/>
  <c r="F501" i="8"/>
  <c r="E501" i="8"/>
  <c r="D501" i="8"/>
  <c r="J500" i="8"/>
  <c r="I500" i="8"/>
  <c r="H500" i="8"/>
  <c r="G500" i="8"/>
  <c r="G505" i="8" s="1"/>
  <c r="F500" i="8"/>
  <c r="E500" i="8"/>
  <c r="D500" i="8"/>
  <c r="J499" i="8"/>
  <c r="I499" i="8"/>
  <c r="H499" i="8"/>
  <c r="G499" i="8"/>
  <c r="F499" i="8"/>
  <c r="E499" i="8"/>
  <c r="D499" i="8"/>
  <c r="J498" i="8"/>
  <c r="I498" i="8"/>
  <c r="H498" i="8"/>
  <c r="G498" i="8"/>
  <c r="F498" i="8"/>
  <c r="E498" i="8"/>
  <c r="D498" i="8"/>
  <c r="J497" i="8"/>
  <c r="I497" i="8"/>
  <c r="H497" i="8"/>
  <c r="G497" i="8"/>
  <c r="F497" i="8"/>
  <c r="E497" i="8"/>
  <c r="D497" i="8"/>
  <c r="J492" i="8"/>
  <c r="I492" i="8"/>
  <c r="H492" i="8"/>
  <c r="G492" i="8"/>
  <c r="F492" i="8"/>
  <c r="E492" i="8"/>
  <c r="D492" i="8"/>
  <c r="J491" i="8"/>
  <c r="I491" i="8"/>
  <c r="H491" i="8"/>
  <c r="G491" i="8"/>
  <c r="F491" i="8"/>
  <c r="E491" i="8"/>
  <c r="D491" i="8"/>
  <c r="J490" i="8"/>
  <c r="I490" i="8"/>
  <c r="H490" i="8"/>
  <c r="G490" i="8"/>
  <c r="F490" i="8"/>
  <c r="E490" i="8"/>
  <c r="D490" i="8"/>
  <c r="J489" i="8"/>
  <c r="I489" i="8"/>
  <c r="H489" i="8"/>
  <c r="G489" i="8"/>
  <c r="F489" i="8"/>
  <c r="E489" i="8"/>
  <c r="D489" i="8"/>
  <c r="J488" i="8"/>
  <c r="I488" i="8"/>
  <c r="H488" i="8"/>
  <c r="G488" i="8"/>
  <c r="F488" i="8"/>
  <c r="E488" i="8"/>
  <c r="D488" i="8"/>
  <c r="J487" i="8"/>
  <c r="I487" i="8"/>
  <c r="H487" i="8"/>
  <c r="G487" i="8"/>
  <c r="F487" i="8"/>
  <c r="E487" i="8"/>
  <c r="D487" i="8"/>
  <c r="J486" i="8"/>
  <c r="I486" i="8"/>
  <c r="N486" i="8" s="1"/>
  <c r="H486" i="8"/>
  <c r="G486" i="8"/>
  <c r="F486" i="8"/>
  <c r="E486" i="8"/>
  <c r="D486" i="8"/>
  <c r="J485" i="8"/>
  <c r="I485" i="8"/>
  <c r="H485" i="8"/>
  <c r="G485" i="8"/>
  <c r="F485" i="8"/>
  <c r="E485" i="8"/>
  <c r="D485" i="8"/>
  <c r="J480" i="8"/>
  <c r="I480" i="8"/>
  <c r="H480" i="8"/>
  <c r="G480" i="8"/>
  <c r="F480" i="8"/>
  <c r="E480" i="8"/>
  <c r="D480" i="8"/>
  <c r="J479" i="8"/>
  <c r="I479" i="8"/>
  <c r="H479" i="8"/>
  <c r="G479" i="8"/>
  <c r="F479" i="8"/>
  <c r="E479" i="8"/>
  <c r="D479" i="8"/>
  <c r="J478" i="8"/>
  <c r="I478" i="8"/>
  <c r="H478" i="8"/>
  <c r="G478" i="8"/>
  <c r="F478" i="8"/>
  <c r="E478" i="8"/>
  <c r="D478" i="8"/>
  <c r="J477" i="8"/>
  <c r="I477" i="8"/>
  <c r="H477" i="8"/>
  <c r="G477" i="8"/>
  <c r="F477" i="8"/>
  <c r="E477" i="8"/>
  <c r="D477" i="8"/>
  <c r="J476" i="8"/>
  <c r="I476" i="8"/>
  <c r="H476" i="8"/>
  <c r="G476" i="8"/>
  <c r="F476" i="8"/>
  <c r="E476" i="8"/>
  <c r="D476" i="8"/>
  <c r="J475" i="8"/>
  <c r="I475" i="8"/>
  <c r="H475" i="8"/>
  <c r="G475" i="8"/>
  <c r="F475" i="8"/>
  <c r="E475" i="8"/>
  <c r="D475" i="8"/>
  <c r="J474" i="8"/>
  <c r="I474" i="8"/>
  <c r="H474" i="8"/>
  <c r="G474" i="8"/>
  <c r="F474" i="8"/>
  <c r="E474" i="8"/>
  <c r="D474" i="8"/>
  <c r="J473" i="8"/>
  <c r="I473" i="8"/>
  <c r="H473" i="8"/>
  <c r="G473" i="8"/>
  <c r="F473" i="8"/>
  <c r="E473" i="8"/>
  <c r="D473" i="8"/>
  <c r="J468" i="8"/>
  <c r="I468" i="8"/>
  <c r="H468" i="8"/>
  <c r="G468" i="8"/>
  <c r="F468" i="8"/>
  <c r="E468" i="8"/>
  <c r="D468" i="8"/>
  <c r="J467" i="8"/>
  <c r="I467" i="8"/>
  <c r="H467" i="8"/>
  <c r="G467" i="8"/>
  <c r="F467" i="8"/>
  <c r="E467" i="8"/>
  <c r="D467" i="8"/>
  <c r="J466" i="8"/>
  <c r="I466" i="8"/>
  <c r="H466" i="8"/>
  <c r="G466" i="8"/>
  <c r="F466" i="8"/>
  <c r="E466" i="8"/>
  <c r="D466" i="8"/>
  <c r="J465" i="8"/>
  <c r="I465" i="8"/>
  <c r="H465" i="8"/>
  <c r="M462" i="8" s="1"/>
  <c r="G465" i="8"/>
  <c r="F465" i="8"/>
  <c r="E465" i="8"/>
  <c r="D465" i="8"/>
  <c r="J464" i="8"/>
  <c r="I464" i="8"/>
  <c r="H464" i="8"/>
  <c r="G464" i="8"/>
  <c r="F464" i="8"/>
  <c r="E464" i="8"/>
  <c r="D464" i="8"/>
  <c r="J463" i="8"/>
  <c r="I463" i="8"/>
  <c r="H463" i="8"/>
  <c r="G463" i="8"/>
  <c r="F463" i="8"/>
  <c r="E463" i="8"/>
  <c r="D463" i="8"/>
  <c r="J462" i="8"/>
  <c r="I462" i="8"/>
  <c r="H462" i="8"/>
  <c r="G462" i="8"/>
  <c r="F462" i="8"/>
  <c r="E462" i="8"/>
  <c r="D462" i="8"/>
  <c r="J461" i="8"/>
  <c r="I461" i="8"/>
  <c r="H461" i="8"/>
  <c r="G461" i="8"/>
  <c r="F461" i="8"/>
  <c r="E461" i="8"/>
  <c r="D461" i="8"/>
  <c r="J456" i="8"/>
  <c r="I456" i="8"/>
  <c r="H456" i="8"/>
  <c r="G456" i="8"/>
  <c r="F456" i="8"/>
  <c r="E456" i="8"/>
  <c r="D456" i="8"/>
  <c r="J455" i="8"/>
  <c r="I455" i="8"/>
  <c r="H455" i="8"/>
  <c r="G455" i="8"/>
  <c r="F455" i="8"/>
  <c r="E455" i="8"/>
  <c r="D455" i="8"/>
  <c r="J454" i="8"/>
  <c r="I454" i="8"/>
  <c r="H454" i="8"/>
  <c r="G454" i="8"/>
  <c r="F454" i="8"/>
  <c r="E454" i="8"/>
  <c r="D454" i="8"/>
  <c r="J453" i="8"/>
  <c r="I453" i="8"/>
  <c r="H453" i="8"/>
  <c r="G453" i="8"/>
  <c r="F453" i="8"/>
  <c r="E453" i="8"/>
  <c r="D453" i="8"/>
  <c r="J452" i="8"/>
  <c r="I452" i="8"/>
  <c r="H452" i="8"/>
  <c r="G452" i="8"/>
  <c r="F452" i="8"/>
  <c r="E452" i="8"/>
  <c r="D452" i="8"/>
  <c r="J451" i="8"/>
  <c r="I451" i="8"/>
  <c r="H451" i="8"/>
  <c r="G451" i="8"/>
  <c r="F451" i="8"/>
  <c r="E451" i="8"/>
  <c r="D451" i="8"/>
  <c r="J450" i="8"/>
  <c r="I450" i="8"/>
  <c r="H450" i="8"/>
  <c r="G450" i="8"/>
  <c r="F450" i="8"/>
  <c r="E450" i="8"/>
  <c r="D450" i="8"/>
  <c r="J449" i="8"/>
  <c r="I449" i="8"/>
  <c r="H449" i="8"/>
  <c r="G449" i="8"/>
  <c r="F449" i="8"/>
  <c r="E449" i="8"/>
  <c r="D449" i="8"/>
  <c r="J444" i="8"/>
  <c r="I444" i="8"/>
  <c r="H444" i="8"/>
  <c r="G444" i="8"/>
  <c r="F444" i="8"/>
  <c r="E444" i="8"/>
  <c r="D444" i="8"/>
  <c r="J443" i="8"/>
  <c r="I443" i="8"/>
  <c r="H443" i="8"/>
  <c r="G443" i="8"/>
  <c r="F443" i="8"/>
  <c r="E443" i="8"/>
  <c r="D443" i="8"/>
  <c r="J442" i="8"/>
  <c r="I442" i="8"/>
  <c r="H442" i="8"/>
  <c r="G442" i="8"/>
  <c r="F442" i="8"/>
  <c r="E442" i="8"/>
  <c r="D442" i="8"/>
  <c r="J441" i="8"/>
  <c r="I441" i="8"/>
  <c r="H441" i="8"/>
  <c r="G441" i="8"/>
  <c r="F441" i="8"/>
  <c r="E441" i="8"/>
  <c r="D441" i="8"/>
  <c r="J440" i="8"/>
  <c r="I440" i="8"/>
  <c r="H440" i="8"/>
  <c r="H445" i="8" s="1"/>
  <c r="G440" i="8"/>
  <c r="F440" i="8"/>
  <c r="E440" i="8"/>
  <c r="D440" i="8"/>
  <c r="J439" i="8"/>
  <c r="I439" i="8"/>
  <c r="H439" i="8"/>
  <c r="G439" i="8"/>
  <c r="F439" i="8"/>
  <c r="E439" i="8"/>
  <c r="D439" i="8"/>
  <c r="J438" i="8"/>
  <c r="I438" i="8"/>
  <c r="H438" i="8"/>
  <c r="G438" i="8"/>
  <c r="F438" i="8"/>
  <c r="E438" i="8"/>
  <c r="D438" i="8"/>
  <c r="J437" i="8"/>
  <c r="I437" i="8"/>
  <c r="H437" i="8"/>
  <c r="G437" i="8"/>
  <c r="F437" i="8"/>
  <c r="E437" i="8"/>
  <c r="D437" i="8"/>
  <c r="J432" i="8"/>
  <c r="I432" i="8"/>
  <c r="H432" i="8"/>
  <c r="G432" i="8"/>
  <c r="F432" i="8"/>
  <c r="E432" i="8"/>
  <c r="D432" i="8"/>
  <c r="J431" i="8"/>
  <c r="I431" i="8"/>
  <c r="H431" i="8"/>
  <c r="G431" i="8"/>
  <c r="F431" i="8"/>
  <c r="E431" i="8"/>
  <c r="D431" i="8"/>
  <c r="J430" i="8"/>
  <c r="I430" i="8"/>
  <c r="H430" i="8"/>
  <c r="G430" i="8"/>
  <c r="F430" i="8"/>
  <c r="E430" i="8"/>
  <c r="D430" i="8"/>
  <c r="J429" i="8"/>
  <c r="I429" i="8"/>
  <c r="H429" i="8"/>
  <c r="G429" i="8"/>
  <c r="F429" i="8"/>
  <c r="E429" i="8"/>
  <c r="D429" i="8"/>
  <c r="J428" i="8"/>
  <c r="I428" i="8"/>
  <c r="H428" i="8"/>
  <c r="G428" i="8"/>
  <c r="F428" i="8"/>
  <c r="E428" i="8"/>
  <c r="D428" i="8"/>
  <c r="J427" i="8"/>
  <c r="I427" i="8"/>
  <c r="H427" i="8"/>
  <c r="G427" i="8"/>
  <c r="F427" i="8"/>
  <c r="E427" i="8"/>
  <c r="D427" i="8"/>
  <c r="J426" i="8"/>
  <c r="I426" i="8"/>
  <c r="H426" i="8"/>
  <c r="G426" i="8"/>
  <c r="F426" i="8"/>
  <c r="E426" i="8"/>
  <c r="D426" i="8"/>
  <c r="J425" i="8"/>
  <c r="I425" i="8"/>
  <c r="H425" i="8"/>
  <c r="G425" i="8"/>
  <c r="F425" i="8"/>
  <c r="E425" i="8"/>
  <c r="D425" i="8"/>
  <c r="J420" i="8"/>
  <c r="I420" i="8"/>
  <c r="H420" i="8"/>
  <c r="G420" i="8"/>
  <c r="F420" i="8"/>
  <c r="E420" i="8"/>
  <c r="D420" i="8"/>
  <c r="J419" i="8"/>
  <c r="I419" i="8"/>
  <c r="H419" i="8"/>
  <c r="G419" i="8"/>
  <c r="F419" i="8"/>
  <c r="E419" i="8"/>
  <c r="D419" i="8"/>
  <c r="J418" i="8"/>
  <c r="I418" i="8"/>
  <c r="H418" i="8"/>
  <c r="G418" i="8"/>
  <c r="F418" i="8"/>
  <c r="E418" i="8"/>
  <c r="D418" i="8"/>
  <c r="J417" i="8"/>
  <c r="I417" i="8"/>
  <c r="H417" i="8"/>
  <c r="G417" i="8"/>
  <c r="F417" i="8"/>
  <c r="E417" i="8"/>
  <c r="D417" i="8"/>
  <c r="J416" i="8"/>
  <c r="I416" i="8"/>
  <c r="H416" i="8"/>
  <c r="G416" i="8"/>
  <c r="F416" i="8"/>
  <c r="E416" i="8"/>
  <c r="D416" i="8"/>
  <c r="J415" i="8"/>
  <c r="I415" i="8"/>
  <c r="H415" i="8"/>
  <c r="G415" i="8"/>
  <c r="F415" i="8"/>
  <c r="E415" i="8"/>
  <c r="D415" i="8"/>
  <c r="M414" i="8"/>
  <c r="J414" i="8"/>
  <c r="I414" i="8"/>
  <c r="H414" i="8"/>
  <c r="G414" i="8"/>
  <c r="L414" i="8" s="1"/>
  <c r="F414" i="8"/>
  <c r="E414" i="8"/>
  <c r="D414" i="8"/>
  <c r="J413" i="8"/>
  <c r="I413" i="8"/>
  <c r="H413" i="8"/>
  <c r="G413" i="8"/>
  <c r="F413" i="8"/>
  <c r="E413" i="8"/>
  <c r="D413" i="8"/>
  <c r="J408" i="8"/>
  <c r="I408" i="8"/>
  <c r="H408" i="8"/>
  <c r="G408" i="8"/>
  <c r="F408" i="8"/>
  <c r="E408" i="8"/>
  <c r="D408" i="8"/>
  <c r="J407" i="8"/>
  <c r="I407" i="8"/>
  <c r="H407" i="8"/>
  <c r="G407" i="8"/>
  <c r="F407" i="8"/>
  <c r="E407" i="8"/>
  <c r="D407" i="8"/>
  <c r="J406" i="8"/>
  <c r="I406" i="8"/>
  <c r="H406" i="8"/>
  <c r="G406" i="8"/>
  <c r="F406" i="8"/>
  <c r="E406" i="8"/>
  <c r="D406" i="8"/>
  <c r="J405" i="8"/>
  <c r="I405" i="8"/>
  <c r="H405" i="8"/>
  <c r="G405" i="8"/>
  <c r="F405" i="8"/>
  <c r="E405" i="8"/>
  <c r="D405" i="8"/>
  <c r="J404" i="8"/>
  <c r="I404" i="8"/>
  <c r="H404" i="8"/>
  <c r="G404" i="8"/>
  <c r="F404" i="8"/>
  <c r="E404" i="8"/>
  <c r="D404" i="8"/>
  <c r="J403" i="8"/>
  <c r="I403" i="8"/>
  <c r="H403" i="8"/>
  <c r="G403" i="8"/>
  <c r="F403" i="8"/>
  <c r="E403" i="8"/>
  <c r="D403" i="8"/>
  <c r="J402" i="8"/>
  <c r="I402" i="8"/>
  <c r="H402" i="8"/>
  <c r="G402" i="8"/>
  <c r="L402" i="8" s="1"/>
  <c r="F402" i="8"/>
  <c r="E402" i="8"/>
  <c r="D402" i="8"/>
  <c r="J401" i="8"/>
  <c r="I401" i="8"/>
  <c r="H401" i="8"/>
  <c r="G401" i="8"/>
  <c r="F401" i="8"/>
  <c r="E401" i="8"/>
  <c r="D401" i="8"/>
  <c r="J396" i="8"/>
  <c r="I396" i="8"/>
  <c r="H396" i="8"/>
  <c r="G396" i="8"/>
  <c r="F396" i="8"/>
  <c r="E396" i="8"/>
  <c r="D396" i="8"/>
  <c r="J395" i="8"/>
  <c r="I395" i="8"/>
  <c r="H395" i="8"/>
  <c r="G395" i="8"/>
  <c r="F395" i="8"/>
  <c r="E395" i="8"/>
  <c r="D395" i="8"/>
  <c r="J394" i="8"/>
  <c r="I394" i="8"/>
  <c r="H394" i="8"/>
  <c r="G394" i="8"/>
  <c r="F394" i="8"/>
  <c r="E394" i="8"/>
  <c r="D394" i="8"/>
  <c r="J393" i="8"/>
  <c r="I393" i="8"/>
  <c r="H393" i="8"/>
  <c r="G393" i="8"/>
  <c r="F393" i="8"/>
  <c r="E393" i="8"/>
  <c r="D393" i="8"/>
  <c r="J392" i="8"/>
  <c r="I392" i="8"/>
  <c r="H392" i="8"/>
  <c r="G392" i="8"/>
  <c r="F392" i="8"/>
  <c r="E392" i="8"/>
  <c r="D392" i="8"/>
  <c r="J391" i="8"/>
  <c r="I391" i="8"/>
  <c r="H391" i="8"/>
  <c r="G391" i="8"/>
  <c r="F391" i="8"/>
  <c r="E391" i="8"/>
  <c r="D391" i="8"/>
  <c r="J390" i="8"/>
  <c r="I390" i="8"/>
  <c r="H390" i="8"/>
  <c r="G390" i="8"/>
  <c r="F390" i="8"/>
  <c r="E390" i="8"/>
  <c r="D390" i="8"/>
  <c r="J389" i="8"/>
  <c r="I389" i="8"/>
  <c r="H389" i="8"/>
  <c r="G389" i="8"/>
  <c r="F389" i="8"/>
  <c r="E389" i="8"/>
  <c r="D389" i="8"/>
  <c r="J384" i="8"/>
  <c r="I384" i="8"/>
  <c r="H384" i="8"/>
  <c r="G384" i="8"/>
  <c r="F384" i="8"/>
  <c r="E384" i="8"/>
  <c r="D384" i="8"/>
  <c r="J383" i="8"/>
  <c r="I383" i="8"/>
  <c r="H383" i="8"/>
  <c r="G383" i="8"/>
  <c r="F383" i="8"/>
  <c r="E383" i="8"/>
  <c r="D383" i="8"/>
  <c r="J382" i="8"/>
  <c r="I382" i="8"/>
  <c r="H382" i="8"/>
  <c r="G382" i="8"/>
  <c r="F382" i="8"/>
  <c r="E382" i="8"/>
  <c r="D382" i="8"/>
  <c r="J381" i="8"/>
  <c r="I381" i="8"/>
  <c r="H381" i="8"/>
  <c r="G381" i="8"/>
  <c r="F381" i="8"/>
  <c r="E381" i="8"/>
  <c r="D381" i="8"/>
  <c r="J380" i="8"/>
  <c r="I380" i="8"/>
  <c r="H380" i="8"/>
  <c r="G380" i="8"/>
  <c r="F380" i="8"/>
  <c r="E380" i="8"/>
  <c r="D380" i="8"/>
  <c r="J379" i="8"/>
  <c r="I379" i="8"/>
  <c r="H379" i="8"/>
  <c r="G379" i="8"/>
  <c r="F379" i="8"/>
  <c r="E379" i="8"/>
  <c r="D379" i="8"/>
  <c r="J378" i="8"/>
  <c r="I378" i="8"/>
  <c r="N378" i="8" s="1"/>
  <c r="H378" i="8"/>
  <c r="G378" i="8"/>
  <c r="F378" i="8"/>
  <c r="E378" i="8"/>
  <c r="D378" i="8"/>
  <c r="J377" i="8"/>
  <c r="I377" i="8"/>
  <c r="H377" i="8"/>
  <c r="G377" i="8"/>
  <c r="F377" i="8"/>
  <c r="E377" i="8"/>
  <c r="D377" i="8"/>
  <c r="J372" i="8"/>
  <c r="I372" i="8"/>
  <c r="H372" i="8"/>
  <c r="G372" i="8"/>
  <c r="F372" i="8"/>
  <c r="E372" i="8"/>
  <c r="D372" i="8"/>
  <c r="J371" i="8"/>
  <c r="I371" i="8"/>
  <c r="H371" i="8"/>
  <c r="G371" i="8"/>
  <c r="F371" i="8"/>
  <c r="E371" i="8"/>
  <c r="D371" i="8"/>
  <c r="J370" i="8"/>
  <c r="I370" i="8"/>
  <c r="H370" i="8"/>
  <c r="G370" i="8"/>
  <c r="F370" i="8"/>
  <c r="E370" i="8"/>
  <c r="D370" i="8"/>
  <c r="J369" i="8"/>
  <c r="I369" i="8"/>
  <c r="H369" i="8"/>
  <c r="G369" i="8"/>
  <c r="F369" i="8"/>
  <c r="E369" i="8"/>
  <c r="D369" i="8"/>
  <c r="J368" i="8"/>
  <c r="I368" i="8"/>
  <c r="H368" i="8"/>
  <c r="G368" i="8"/>
  <c r="F368" i="8"/>
  <c r="E368" i="8"/>
  <c r="D368" i="8"/>
  <c r="J367" i="8"/>
  <c r="I367" i="8"/>
  <c r="H367" i="8"/>
  <c r="G367" i="8"/>
  <c r="F367" i="8"/>
  <c r="E367" i="8"/>
  <c r="D367" i="8"/>
  <c r="J366" i="8"/>
  <c r="I366" i="8"/>
  <c r="H366" i="8"/>
  <c r="G366" i="8"/>
  <c r="F366" i="8"/>
  <c r="E366" i="8"/>
  <c r="D366" i="8"/>
  <c r="J365" i="8"/>
  <c r="I365" i="8"/>
  <c r="H365" i="8"/>
  <c r="G365" i="8"/>
  <c r="F365" i="8"/>
  <c r="E365" i="8"/>
  <c r="D365" i="8"/>
  <c r="J360" i="8"/>
  <c r="I360" i="8"/>
  <c r="H360" i="8"/>
  <c r="G360" i="8"/>
  <c r="F360" i="8"/>
  <c r="E360" i="8"/>
  <c r="D360" i="8"/>
  <c r="J359" i="8"/>
  <c r="I359" i="8"/>
  <c r="H359" i="8"/>
  <c r="G359" i="8"/>
  <c r="F359" i="8"/>
  <c r="E359" i="8"/>
  <c r="D359" i="8"/>
  <c r="J358" i="8"/>
  <c r="I358" i="8"/>
  <c r="N354" i="8" s="1"/>
  <c r="H358" i="8"/>
  <c r="G358" i="8"/>
  <c r="F358" i="8"/>
  <c r="E358" i="8"/>
  <c r="D358" i="8"/>
  <c r="J357" i="8"/>
  <c r="I357" i="8"/>
  <c r="H357" i="8"/>
  <c r="G357" i="8"/>
  <c r="F357" i="8"/>
  <c r="E357" i="8"/>
  <c r="D357" i="8"/>
  <c r="J356" i="8"/>
  <c r="I356" i="8"/>
  <c r="H356" i="8"/>
  <c r="G356" i="8"/>
  <c r="G361" i="8" s="1"/>
  <c r="F356" i="8"/>
  <c r="E356" i="8"/>
  <c r="D356" i="8"/>
  <c r="J355" i="8"/>
  <c r="I355" i="8"/>
  <c r="H355" i="8"/>
  <c r="G355" i="8"/>
  <c r="F355" i="8"/>
  <c r="E355" i="8"/>
  <c r="D355" i="8"/>
  <c r="J354" i="8"/>
  <c r="I354" i="8"/>
  <c r="H354" i="8"/>
  <c r="G354" i="8"/>
  <c r="F354" i="8"/>
  <c r="E354" i="8"/>
  <c r="D354" i="8"/>
  <c r="J353" i="8"/>
  <c r="I353" i="8"/>
  <c r="H353" i="8"/>
  <c r="G353" i="8"/>
  <c r="F353" i="8"/>
  <c r="E353" i="8"/>
  <c r="D353" i="8"/>
  <c r="J348" i="8"/>
  <c r="I348" i="8"/>
  <c r="H348" i="8"/>
  <c r="G348" i="8"/>
  <c r="F348" i="8"/>
  <c r="E348" i="8"/>
  <c r="D348" i="8"/>
  <c r="J347" i="8"/>
  <c r="I347" i="8"/>
  <c r="H347" i="8"/>
  <c r="G347" i="8"/>
  <c r="F347" i="8"/>
  <c r="E347" i="8"/>
  <c r="D347" i="8"/>
  <c r="J346" i="8"/>
  <c r="I346" i="8"/>
  <c r="H346" i="8"/>
  <c r="G346" i="8"/>
  <c r="F346" i="8"/>
  <c r="E346" i="8"/>
  <c r="D346" i="8"/>
  <c r="J345" i="8"/>
  <c r="I345" i="8"/>
  <c r="H345" i="8"/>
  <c r="G345" i="8"/>
  <c r="F345" i="8"/>
  <c r="E345" i="8"/>
  <c r="D345" i="8"/>
  <c r="J344" i="8"/>
  <c r="I344" i="8"/>
  <c r="H344" i="8"/>
  <c r="G344" i="8"/>
  <c r="F344" i="8"/>
  <c r="E344" i="8"/>
  <c r="D344" i="8"/>
  <c r="J343" i="8"/>
  <c r="I343" i="8"/>
  <c r="H343" i="8"/>
  <c r="G343" i="8"/>
  <c r="F343" i="8"/>
  <c r="E343" i="8"/>
  <c r="D343" i="8"/>
  <c r="J342" i="8"/>
  <c r="I342" i="8"/>
  <c r="H342" i="8"/>
  <c r="G342" i="8"/>
  <c r="G349" i="8" s="1"/>
  <c r="F342" i="8"/>
  <c r="E342" i="8"/>
  <c r="D342" i="8"/>
  <c r="J341" i="8"/>
  <c r="I341" i="8"/>
  <c r="H341" i="8"/>
  <c r="G341" i="8"/>
  <c r="F341" i="8"/>
  <c r="E341" i="8"/>
  <c r="D341" i="8"/>
  <c r="J336" i="8"/>
  <c r="I336" i="8"/>
  <c r="H336" i="8"/>
  <c r="G336" i="8"/>
  <c r="F336" i="8"/>
  <c r="E336" i="8"/>
  <c r="D336" i="8"/>
  <c r="J335" i="8"/>
  <c r="I335" i="8"/>
  <c r="H335" i="8"/>
  <c r="G335" i="8"/>
  <c r="F335" i="8"/>
  <c r="E335" i="8"/>
  <c r="D335" i="8"/>
  <c r="J334" i="8"/>
  <c r="I334" i="8"/>
  <c r="H334" i="8"/>
  <c r="G334" i="8"/>
  <c r="F334" i="8"/>
  <c r="E334" i="8"/>
  <c r="D334" i="8"/>
  <c r="J333" i="8"/>
  <c r="I333" i="8"/>
  <c r="H333" i="8"/>
  <c r="G333" i="8"/>
  <c r="F333" i="8"/>
  <c r="E333" i="8"/>
  <c r="D333" i="8"/>
  <c r="J332" i="8"/>
  <c r="I332" i="8"/>
  <c r="I337" i="8" s="1"/>
  <c r="H332" i="8"/>
  <c r="G332" i="8"/>
  <c r="F332" i="8"/>
  <c r="E332" i="8"/>
  <c r="D332" i="8"/>
  <c r="J331" i="8"/>
  <c r="I331" i="8"/>
  <c r="H331" i="8"/>
  <c r="G331" i="8"/>
  <c r="F331" i="8"/>
  <c r="E331" i="8"/>
  <c r="D331" i="8"/>
  <c r="J330" i="8"/>
  <c r="I330" i="8"/>
  <c r="H330" i="8"/>
  <c r="G330" i="8"/>
  <c r="F330" i="8"/>
  <c r="E330" i="8"/>
  <c r="D330" i="8"/>
  <c r="J329" i="8"/>
  <c r="I329" i="8"/>
  <c r="H329" i="8"/>
  <c r="G329" i="8"/>
  <c r="F329" i="8"/>
  <c r="E329" i="8"/>
  <c r="D329" i="8"/>
  <c r="J324" i="8"/>
  <c r="I324" i="8"/>
  <c r="H324" i="8"/>
  <c r="G324" i="8"/>
  <c r="F324" i="8"/>
  <c r="E324" i="8"/>
  <c r="D324" i="8"/>
  <c r="J323" i="8"/>
  <c r="I323" i="8"/>
  <c r="H323" i="8"/>
  <c r="G323" i="8"/>
  <c r="F323" i="8"/>
  <c r="E323" i="8"/>
  <c r="D323" i="8"/>
  <c r="J322" i="8"/>
  <c r="I322" i="8"/>
  <c r="H322" i="8"/>
  <c r="G322" i="8"/>
  <c r="F322" i="8"/>
  <c r="E322" i="8"/>
  <c r="D322" i="8"/>
  <c r="J321" i="8"/>
  <c r="I321" i="8"/>
  <c r="H321" i="8"/>
  <c r="G321" i="8"/>
  <c r="F321" i="8"/>
  <c r="E321" i="8"/>
  <c r="D321" i="8"/>
  <c r="J320" i="8"/>
  <c r="I320" i="8"/>
  <c r="H320" i="8"/>
  <c r="G320" i="8"/>
  <c r="F320" i="8"/>
  <c r="E320" i="8"/>
  <c r="D320" i="8"/>
  <c r="J319" i="8"/>
  <c r="I319" i="8"/>
  <c r="H319" i="8"/>
  <c r="G319" i="8"/>
  <c r="F319" i="8"/>
  <c r="E319" i="8"/>
  <c r="D319" i="8"/>
  <c r="J318" i="8"/>
  <c r="I318" i="8"/>
  <c r="H318" i="8"/>
  <c r="G318" i="8"/>
  <c r="F318" i="8"/>
  <c r="E318" i="8"/>
  <c r="D318" i="8"/>
  <c r="J317" i="8"/>
  <c r="I317" i="8"/>
  <c r="H317" i="8"/>
  <c r="G317" i="8"/>
  <c r="F317" i="8"/>
  <c r="E317" i="8"/>
  <c r="D317" i="8"/>
  <c r="J312" i="8"/>
  <c r="I312" i="8"/>
  <c r="H312" i="8"/>
  <c r="G312" i="8"/>
  <c r="F312" i="8"/>
  <c r="E312" i="8"/>
  <c r="D312" i="8"/>
  <c r="J311" i="8"/>
  <c r="I311" i="8"/>
  <c r="H311" i="8"/>
  <c r="G311" i="8"/>
  <c r="F311" i="8"/>
  <c r="E311" i="8"/>
  <c r="D311" i="8"/>
  <c r="J310" i="8"/>
  <c r="I310" i="8"/>
  <c r="H310" i="8"/>
  <c r="G310" i="8"/>
  <c r="F310" i="8"/>
  <c r="E310" i="8"/>
  <c r="D310" i="8"/>
  <c r="J309" i="8"/>
  <c r="I309" i="8"/>
  <c r="H309" i="8"/>
  <c r="G309" i="8"/>
  <c r="F309" i="8"/>
  <c r="E309" i="8"/>
  <c r="D309" i="8"/>
  <c r="J308" i="8"/>
  <c r="I308" i="8"/>
  <c r="H308" i="8"/>
  <c r="G308" i="8"/>
  <c r="F308" i="8"/>
  <c r="E308" i="8"/>
  <c r="D308" i="8"/>
  <c r="J307" i="8"/>
  <c r="I307" i="8"/>
  <c r="H307" i="8"/>
  <c r="G307" i="8"/>
  <c r="F307" i="8"/>
  <c r="E307" i="8"/>
  <c r="D307" i="8"/>
  <c r="J306" i="8"/>
  <c r="I306" i="8"/>
  <c r="N306" i="8" s="1"/>
  <c r="H306" i="8"/>
  <c r="M306" i="8" s="1"/>
  <c r="G306" i="8"/>
  <c r="F306" i="8"/>
  <c r="E306" i="8"/>
  <c r="D306" i="8"/>
  <c r="J305" i="8"/>
  <c r="I305" i="8"/>
  <c r="H305" i="8"/>
  <c r="G305" i="8"/>
  <c r="F305" i="8"/>
  <c r="E305" i="8"/>
  <c r="D305" i="8"/>
  <c r="J300" i="8"/>
  <c r="I300" i="8"/>
  <c r="H300" i="8"/>
  <c r="G300" i="8"/>
  <c r="F300" i="8"/>
  <c r="E300" i="8"/>
  <c r="D300" i="8"/>
  <c r="J299" i="8"/>
  <c r="I299" i="8"/>
  <c r="H299" i="8"/>
  <c r="G299" i="8"/>
  <c r="F299" i="8"/>
  <c r="E299" i="8"/>
  <c r="D299" i="8"/>
  <c r="J298" i="8"/>
  <c r="I298" i="8"/>
  <c r="H298" i="8"/>
  <c r="G298" i="8"/>
  <c r="F298" i="8"/>
  <c r="E298" i="8"/>
  <c r="D298" i="8"/>
  <c r="J297" i="8"/>
  <c r="I297" i="8"/>
  <c r="H297" i="8"/>
  <c r="G297" i="8"/>
  <c r="F297" i="8"/>
  <c r="E297" i="8"/>
  <c r="D297" i="8"/>
  <c r="J296" i="8"/>
  <c r="I296" i="8"/>
  <c r="H296" i="8"/>
  <c r="G296" i="8"/>
  <c r="F296" i="8"/>
  <c r="E296" i="8"/>
  <c r="D296" i="8"/>
  <c r="J295" i="8"/>
  <c r="I295" i="8"/>
  <c r="H295" i="8"/>
  <c r="G295" i="8"/>
  <c r="F295" i="8"/>
  <c r="E295" i="8"/>
  <c r="D295" i="8"/>
  <c r="J294" i="8"/>
  <c r="I294" i="8"/>
  <c r="H294" i="8"/>
  <c r="M294" i="8" s="1"/>
  <c r="G294" i="8"/>
  <c r="F294" i="8"/>
  <c r="E294" i="8"/>
  <c r="D294" i="8"/>
  <c r="J293" i="8"/>
  <c r="I293" i="8"/>
  <c r="H293" i="8"/>
  <c r="G293" i="8"/>
  <c r="F293" i="8"/>
  <c r="E293" i="8"/>
  <c r="D293" i="8"/>
  <c r="J288" i="8"/>
  <c r="I288" i="8"/>
  <c r="H288" i="8"/>
  <c r="G288" i="8"/>
  <c r="F288" i="8"/>
  <c r="E288" i="8"/>
  <c r="D288" i="8"/>
  <c r="J287" i="8"/>
  <c r="I287" i="8"/>
  <c r="H287" i="8"/>
  <c r="G287" i="8"/>
  <c r="F287" i="8"/>
  <c r="E287" i="8"/>
  <c r="D287" i="8"/>
  <c r="J286" i="8"/>
  <c r="I286" i="8"/>
  <c r="H286" i="8"/>
  <c r="G286" i="8"/>
  <c r="F286" i="8"/>
  <c r="E286" i="8"/>
  <c r="D286" i="8"/>
  <c r="J285" i="8"/>
  <c r="I285" i="8"/>
  <c r="H285" i="8"/>
  <c r="G285" i="8"/>
  <c r="F285" i="8"/>
  <c r="E285" i="8"/>
  <c r="D285" i="8"/>
  <c r="J284" i="8"/>
  <c r="I284" i="8"/>
  <c r="H284" i="8"/>
  <c r="G284" i="8"/>
  <c r="F284" i="8"/>
  <c r="E284" i="8"/>
  <c r="D284" i="8"/>
  <c r="J283" i="8"/>
  <c r="I283" i="8"/>
  <c r="H283" i="8"/>
  <c r="G283" i="8"/>
  <c r="F283" i="8"/>
  <c r="E283" i="8"/>
  <c r="D283" i="8"/>
  <c r="J282" i="8"/>
  <c r="I282" i="8"/>
  <c r="H282" i="8"/>
  <c r="H289" i="8" s="1"/>
  <c r="G282" i="8"/>
  <c r="F282" i="8"/>
  <c r="E282" i="8"/>
  <c r="D282" i="8"/>
  <c r="J281" i="8"/>
  <c r="I281" i="8"/>
  <c r="H281" i="8"/>
  <c r="G281" i="8"/>
  <c r="F281" i="8"/>
  <c r="E281" i="8"/>
  <c r="D281" i="8"/>
  <c r="J276" i="8"/>
  <c r="I276" i="8"/>
  <c r="H276" i="8"/>
  <c r="G276" i="8"/>
  <c r="F276" i="8"/>
  <c r="E276" i="8"/>
  <c r="D276" i="8"/>
  <c r="J275" i="8"/>
  <c r="I275" i="8"/>
  <c r="H275" i="8"/>
  <c r="G275" i="8"/>
  <c r="F275" i="8"/>
  <c r="E275" i="8"/>
  <c r="D275" i="8"/>
  <c r="J274" i="8"/>
  <c r="I274" i="8"/>
  <c r="H274" i="8"/>
  <c r="G274" i="8"/>
  <c r="F274" i="8"/>
  <c r="E274" i="8"/>
  <c r="D274" i="8"/>
  <c r="J273" i="8"/>
  <c r="I273" i="8"/>
  <c r="H273" i="8"/>
  <c r="G273" i="8"/>
  <c r="F273" i="8"/>
  <c r="E273" i="8"/>
  <c r="D273" i="8"/>
  <c r="J272" i="8"/>
  <c r="I272" i="8"/>
  <c r="H272" i="8"/>
  <c r="G272" i="8"/>
  <c r="F272" i="8"/>
  <c r="E272" i="8"/>
  <c r="D272" i="8"/>
  <c r="J271" i="8"/>
  <c r="I271" i="8"/>
  <c r="H271" i="8"/>
  <c r="G271" i="8"/>
  <c r="F271" i="8"/>
  <c r="E271" i="8"/>
  <c r="D271" i="8"/>
  <c r="J270" i="8"/>
  <c r="I270" i="8"/>
  <c r="H270" i="8"/>
  <c r="G270" i="8"/>
  <c r="F270" i="8"/>
  <c r="E270" i="8"/>
  <c r="D270" i="8"/>
  <c r="J269" i="8"/>
  <c r="I269" i="8"/>
  <c r="H269" i="8"/>
  <c r="G269" i="8"/>
  <c r="F269" i="8"/>
  <c r="E269" i="8"/>
  <c r="D269" i="8"/>
  <c r="J264" i="8"/>
  <c r="I264" i="8"/>
  <c r="H264" i="8"/>
  <c r="G264" i="8"/>
  <c r="F264" i="8"/>
  <c r="E264" i="8"/>
  <c r="D264" i="8"/>
  <c r="J263" i="8"/>
  <c r="I263" i="8"/>
  <c r="H263" i="8"/>
  <c r="G263" i="8"/>
  <c r="F263" i="8"/>
  <c r="E263" i="8"/>
  <c r="D263" i="8"/>
  <c r="J262" i="8"/>
  <c r="I262" i="8"/>
  <c r="H262" i="8"/>
  <c r="G262" i="8"/>
  <c r="F262" i="8"/>
  <c r="E262" i="8"/>
  <c r="D262" i="8"/>
  <c r="J261" i="8"/>
  <c r="I261" i="8"/>
  <c r="H261" i="8"/>
  <c r="G261" i="8"/>
  <c r="F261" i="8"/>
  <c r="E261" i="8"/>
  <c r="D261" i="8"/>
  <c r="J260" i="8"/>
  <c r="I260" i="8"/>
  <c r="H260" i="8"/>
  <c r="G260" i="8"/>
  <c r="F260" i="8"/>
  <c r="E260" i="8"/>
  <c r="D260" i="8"/>
  <c r="J259" i="8"/>
  <c r="I259" i="8"/>
  <c r="H259" i="8"/>
  <c r="G259" i="8"/>
  <c r="F259" i="8"/>
  <c r="E259" i="8"/>
  <c r="D259" i="8"/>
  <c r="J258" i="8"/>
  <c r="I258" i="8"/>
  <c r="H258" i="8"/>
  <c r="M258" i="8" s="1"/>
  <c r="G258" i="8"/>
  <c r="F258" i="8"/>
  <c r="E258" i="8"/>
  <c r="D258" i="8"/>
  <c r="J257" i="8"/>
  <c r="I257" i="8"/>
  <c r="H257" i="8"/>
  <c r="G257" i="8"/>
  <c r="F257" i="8"/>
  <c r="E257" i="8"/>
  <c r="D257" i="8"/>
  <c r="J252" i="8"/>
  <c r="I252" i="8"/>
  <c r="H252" i="8"/>
  <c r="G252" i="8"/>
  <c r="F252" i="8"/>
  <c r="E252" i="8"/>
  <c r="D252" i="8"/>
  <c r="J251" i="8"/>
  <c r="I251" i="8"/>
  <c r="H251" i="8"/>
  <c r="G251" i="8"/>
  <c r="F251" i="8"/>
  <c r="E251" i="8"/>
  <c r="D251" i="8"/>
  <c r="J250" i="8"/>
  <c r="I250" i="8"/>
  <c r="H250" i="8"/>
  <c r="G250" i="8"/>
  <c r="F250" i="8"/>
  <c r="E250" i="8"/>
  <c r="D250" i="8"/>
  <c r="J249" i="8"/>
  <c r="I249" i="8"/>
  <c r="H249" i="8"/>
  <c r="G249" i="8"/>
  <c r="F249" i="8"/>
  <c r="E249" i="8"/>
  <c r="D249" i="8"/>
  <c r="J248" i="8"/>
  <c r="I248" i="8"/>
  <c r="H248" i="8"/>
  <c r="G248" i="8"/>
  <c r="F248" i="8"/>
  <c r="E248" i="8"/>
  <c r="D248" i="8"/>
  <c r="J247" i="8"/>
  <c r="I247" i="8"/>
  <c r="H247" i="8"/>
  <c r="G247" i="8"/>
  <c r="F247" i="8"/>
  <c r="E247" i="8"/>
  <c r="D247" i="8"/>
  <c r="J246" i="8"/>
  <c r="I246" i="8"/>
  <c r="H246" i="8"/>
  <c r="M246" i="8" s="1"/>
  <c r="G246" i="8"/>
  <c r="F246" i="8"/>
  <c r="E246" i="8"/>
  <c r="D246" i="8"/>
  <c r="J245" i="8"/>
  <c r="I245" i="8"/>
  <c r="H245" i="8"/>
  <c r="G245" i="8"/>
  <c r="F245" i="8"/>
  <c r="E245" i="8"/>
  <c r="D245" i="8"/>
  <c r="J240" i="8"/>
  <c r="I240" i="8"/>
  <c r="H240" i="8"/>
  <c r="G240" i="8"/>
  <c r="F240" i="8"/>
  <c r="E240" i="8"/>
  <c r="D240" i="8"/>
  <c r="J239" i="8"/>
  <c r="I239" i="8"/>
  <c r="H239" i="8"/>
  <c r="G239" i="8"/>
  <c r="F239" i="8"/>
  <c r="E239" i="8"/>
  <c r="D239" i="8"/>
  <c r="J238" i="8"/>
  <c r="I238" i="8"/>
  <c r="H238" i="8"/>
  <c r="G238" i="8"/>
  <c r="F238" i="8"/>
  <c r="E238" i="8"/>
  <c r="D238" i="8"/>
  <c r="J237" i="8"/>
  <c r="I237" i="8"/>
  <c r="H237" i="8"/>
  <c r="G237" i="8"/>
  <c r="F237" i="8"/>
  <c r="E237" i="8"/>
  <c r="D237" i="8"/>
  <c r="J236" i="8"/>
  <c r="I236" i="8"/>
  <c r="H236" i="8"/>
  <c r="G236" i="8"/>
  <c r="F236" i="8"/>
  <c r="E236" i="8"/>
  <c r="D236" i="8"/>
  <c r="J235" i="8"/>
  <c r="I235" i="8"/>
  <c r="H235" i="8"/>
  <c r="G235" i="8"/>
  <c r="F235" i="8"/>
  <c r="E235" i="8"/>
  <c r="D235" i="8"/>
  <c r="J234" i="8"/>
  <c r="I234" i="8"/>
  <c r="H234" i="8"/>
  <c r="G234" i="8"/>
  <c r="F234" i="8"/>
  <c r="E234" i="8"/>
  <c r="D234" i="8"/>
  <c r="J233" i="8"/>
  <c r="I233" i="8"/>
  <c r="H233" i="8"/>
  <c r="G233" i="8"/>
  <c r="F233" i="8"/>
  <c r="E233" i="8"/>
  <c r="D233" i="8"/>
  <c r="J228" i="8"/>
  <c r="I228" i="8"/>
  <c r="H228" i="8"/>
  <c r="G228" i="8"/>
  <c r="F228" i="8"/>
  <c r="E228" i="8"/>
  <c r="D228" i="8"/>
  <c r="J227" i="8"/>
  <c r="I227" i="8"/>
  <c r="H227" i="8"/>
  <c r="G227" i="8"/>
  <c r="F227" i="8"/>
  <c r="E227" i="8"/>
  <c r="D227" i="8"/>
  <c r="J226" i="8"/>
  <c r="I226" i="8"/>
  <c r="H226" i="8"/>
  <c r="G226" i="8"/>
  <c r="F226" i="8"/>
  <c r="E226" i="8"/>
  <c r="D226" i="8"/>
  <c r="J225" i="8"/>
  <c r="I225" i="8"/>
  <c r="H225" i="8"/>
  <c r="G225" i="8"/>
  <c r="F225" i="8"/>
  <c r="E225" i="8"/>
  <c r="D225" i="8"/>
  <c r="J224" i="8"/>
  <c r="I224" i="8"/>
  <c r="H224" i="8"/>
  <c r="G224" i="8"/>
  <c r="F224" i="8"/>
  <c r="E224" i="8"/>
  <c r="D224" i="8"/>
  <c r="J220" i="8"/>
  <c r="I220" i="8"/>
  <c r="H220" i="8"/>
  <c r="G220" i="8"/>
  <c r="F220" i="8"/>
  <c r="E220" i="8"/>
  <c r="D220" i="8"/>
  <c r="J219" i="8"/>
  <c r="I219" i="8"/>
  <c r="H219" i="8"/>
  <c r="H229" i="8" s="1"/>
  <c r="G219" i="8"/>
  <c r="F219" i="8"/>
  <c r="E219" i="8"/>
  <c r="D219" i="8"/>
  <c r="J218" i="8"/>
  <c r="I218" i="8"/>
  <c r="H218" i="8"/>
  <c r="G218" i="8"/>
  <c r="F218" i="8"/>
  <c r="E218" i="8"/>
  <c r="D218" i="8"/>
  <c r="J213" i="8"/>
  <c r="I213" i="8"/>
  <c r="H213" i="8"/>
  <c r="G213" i="8"/>
  <c r="F213" i="8"/>
  <c r="E213" i="8"/>
  <c r="D213" i="8"/>
  <c r="J212" i="8"/>
  <c r="I212" i="8"/>
  <c r="H212" i="8"/>
  <c r="G212" i="8"/>
  <c r="F212" i="8"/>
  <c r="E212" i="8"/>
  <c r="D212" i="8"/>
  <c r="J211" i="8"/>
  <c r="I211" i="8"/>
  <c r="H211" i="8"/>
  <c r="G211" i="8"/>
  <c r="F211" i="8"/>
  <c r="E211" i="8"/>
  <c r="D211" i="8"/>
  <c r="J210" i="8"/>
  <c r="I210" i="8"/>
  <c r="H210" i="8"/>
  <c r="G210" i="8"/>
  <c r="F210" i="8"/>
  <c r="E210" i="8"/>
  <c r="D210" i="8"/>
  <c r="J209" i="8"/>
  <c r="I209" i="8"/>
  <c r="H209" i="8"/>
  <c r="G209" i="8"/>
  <c r="F209" i="8"/>
  <c r="E209" i="8"/>
  <c r="D209" i="8"/>
  <c r="J208" i="8"/>
  <c r="I208" i="8"/>
  <c r="H208" i="8"/>
  <c r="G208" i="8"/>
  <c r="F208" i="8"/>
  <c r="E208" i="8"/>
  <c r="D208" i="8"/>
  <c r="J207" i="8"/>
  <c r="I207" i="8"/>
  <c r="H207" i="8"/>
  <c r="G207" i="8"/>
  <c r="F207" i="8"/>
  <c r="E207" i="8"/>
  <c r="D207" i="8"/>
  <c r="J206" i="8"/>
  <c r="I206" i="8"/>
  <c r="H206" i="8"/>
  <c r="G206" i="8"/>
  <c r="F206" i="8"/>
  <c r="E206" i="8"/>
  <c r="D206" i="8"/>
  <c r="J205" i="8"/>
  <c r="I205" i="8"/>
  <c r="H205" i="8"/>
  <c r="G205" i="8"/>
  <c r="F205" i="8"/>
  <c r="E205" i="8"/>
  <c r="D205" i="8"/>
  <c r="J204" i="8"/>
  <c r="I204" i="8"/>
  <c r="H204" i="8"/>
  <c r="G204" i="8"/>
  <c r="F204" i="8"/>
  <c r="E204" i="8"/>
  <c r="D204" i="8"/>
  <c r="J203" i="8"/>
  <c r="I203" i="8"/>
  <c r="H203" i="8"/>
  <c r="G203" i="8"/>
  <c r="F203" i="8"/>
  <c r="E203" i="8"/>
  <c r="D203" i="8"/>
  <c r="J198" i="8"/>
  <c r="I198" i="8"/>
  <c r="H198" i="8"/>
  <c r="G198" i="8"/>
  <c r="F198" i="8"/>
  <c r="E198" i="8"/>
  <c r="D198" i="8"/>
  <c r="J197" i="8"/>
  <c r="I197" i="8"/>
  <c r="H197" i="8"/>
  <c r="G197" i="8"/>
  <c r="F197" i="8"/>
  <c r="E197" i="8"/>
  <c r="D197" i="8"/>
  <c r="J196" i="8"/>
  <c r="I196" i="8"/>
  <c r="H196" i="8"/>
  <c r="G196" i="8"/>
  <c r="F196" i="8"/>
  <c r="E196" i="8"/>
  <c r="D196" i="8"/>
  <c r="I195" i="8"/>
  <c r="H195" i="8"/>
  <c r="G195" i="8"/>
  <c r="F195" i="8"/>
  <c r="E195" i="8"/>
  <c r="D195" i="8"/>
  <c r="J194" i="8"/>
  <c r="I194" i="8"/>
  <c r="H194" i="8"/>
  <c r="G194" i="8"/>
  <c r="F194" i="8"/>
  <c r="E194" i="8"/>
  <c r="D194" i="8"/>
  <c r="J193" i="8"/>
  <c r="I193" i="8"/>
  <c r="H193" i="8"/>
  <c r="G193" i="8"/>
  <c r="F193" i="8"/>
  <c r="E193" i="8"/>
  <c r="D193" i="8"/>
  <c r="J192" i="8"/>
  <c r="I192" i="8"/>
  <c r="H192" i="8"/>
  <c r="G192" i="8"/>
  <c r="F192" i="8"/>
  <c r="E192" i="8"/>
  <c r="D192" i="8"/>
  <c r="J191" i="8"/>
  <c r="I191" i="8"/>
  <c r="H191" i="8"/>
  <c r="G191" i="8"/>
  <c r="F191" i="8"/>
  <c r="E191" i="8"/>
  <c r="D191" i="8"/>
  <c r="J186" i="8"/>
  <c r="I186" i="8"/>
  <c r="H186" i="8"/>
  <c r="G186" i="8"/>
  <c r="F186" i="8"/>
  <c r="E186" i="8"/>
  <c r="D186" i="8"/>
  <c r="J185" i="8"/>
  <c r="I185" i="8"/>
  <c r="H185" i="8"/>
  <c r="G185" i="8"/>
  <c r="F185" i="8"/>
  <c r="E185" i="8"/>
  <c r="D185" i="8"/>
  <c r="J184" i="8"/>
  <c r="I184" i="8"/>
  <c r="H184" i="8"/>
  <c r="G184" i="8"/>
  <c r="F184" i="8"/>
  <c r="E184" i="8"/>
  <c r="D184" i="8"/>
  <c r="I183" i="8"/>
  <c r="H183" i="8"/>
  <c r="G183" i="8"/>
  <c r="F183" i="8"/>
  <c r="E183" i="8"/>
  <c r="D183" i="8"/>
  <c r="J182" i="8"/>
  <c r="I182" i="8"/>
  <c r="H182" i="8"/>
  <c r="G182" i="8"/>
  <c r="F182" i="8"/>
  <c r="E182" i="8"/>
  <c r="D182" i="8"/>
  <c r="J181" i="8"/>
  <c r="I181" i="8"/>
  <c r="H181" i="8"/>
  <c r="G181" i="8"/>
  <c r="F181" i="8"/>
  <c r="E181" i="8"/>
  <c r="D181" i="8"/>
  <c r="J180" i="8"/>
  <c r="I180" i="8"/>
  <c r="H180" i="8"/>
  <c r="G180" i="8"/>
  <c r="F180" i="8"/>
  <c r="E180" i="8"/>
  <c r="D180" i="8"/>
  <c r="J179" i="8"/>
  <c r="I179" i="8"/>
  <c r="H179" i="8"/>
  <c r="G179" i="8"/>
  <c r="F179" i="8"/>
  <c r="E179" i="8"/>
  <c r="D179" i="8"/>
  <c r="J174" i="8"/>
  <c r="I174" i="8"/>
  <c r="H174" i="8"/>
  <c r="G174" i="8"/>
  <c r="F174" i="8"/>
  <c r="E174" i="8"/>
  <c r="D174" i="8"/>
  <c r="J173" i="8"/>
  <c r="I173" i="8"/>
  <c r="H173" i="8"/>
  <c r="G173" i="8"/>
  <c r="F173" i="8"/>
  <c r="E173" i="8"/>
  <c r="D173" i="8"/>
  <c r="J172" i="8"/>
  <c r="I172" i="8"/>
  <c r="H172" i="8"/>
  <c r="G172" i="8"/>
  <c r="F172" i="8"/>
  <c r="E172" i="8"/>
  <c r="D172" i="8"/>
  <c r="J171" i="8"/>
  <c r="I171" i="8"/>
  <c r="H171" i="8"/>
  <c r="G171" i="8"/>
  <c r="F171" i="8"/>
  <c r="E171" i="8"/>
  <c r="D171" i="8"/>
  <c r="I170" i="8"/>
  <c r="H170" i="8"/>
  <c r="G170" i="8"/>
  <c r="F170" i="8"/>
  <c r="E170" i="8"/>
  <c r="D170" i="8"/>
  <c r="J169" i="8"/>
  <c r="I169" i="8"/>
  <c r="H169" i="8"/>
  <c r="G169" i="8"/>
  <c r="F169" i="8"/>
  <c r="E169" i="8"/>
  <c r="D169" i="8"/>
  <c r="J168" i="8"/>
  <c r="I168" i="8"/>
  <c r="H168" i="8"/>
  <c r="G168" i="8"/>
  <c r="F168" i="8"/>
  <c r="E168" i="8"/>
  <c r="D168" i="8"/>
  <c r="M167" i="8"/>
  <c r="J167" i="8"/>
  <c r="I167" i="8"/>
  <c r="H167" i="8"/>
  <c r="G167" i="8"/>
  <c r="L167" i="8" s="1"/>
  <c r="F167" i="8"/>
  <c r="E167" i="8"/>
  <c r="D167" i="8"/>
  <c r="J166" i="8"/>
  <c r="I166" i="8"/>
  <c r="H166" i="8"/>
  <c r="G166" i="8"/>
  <c r="F166" i="8"/>
  <c r="E166" i="8"/>
  <c r="D166" i="8"/>
  <c r="J161" i="8"/>
  <c r="I161" i="8"/>
  <c r="H161" i="8"/>
  <c r="G161" i="8"/>
  <c r="F161" i="8"/>
  <c r="E161" i="8"/>
  <c r="D161" i="8"/>
  <c r="J160" i="8"/>
  <c r="I160" i="8"/>
  <c r="H160" i="8"/>
  <c r="G160" i="8"/>
  <c r="F160" i="8"/>
  <c r="E160" i="8"/>
  <c r="D160" i="8"/>
  <c r="J159" i="8"/>
  <c r="I159" i="8"/>
  <c r="H159" i="8"/>
  <c r="G159" i="8"/>
  <c r="F159" i="8"/>
  <c r="E159" i="8"/>
  <c r="D159" i="8"/>
  <c r="J158" i="8"/>
  <c r="I158" i="8"/>
  <c r="H158" i="8"/>
  <c r="G158" i="8"/>
  <c r="F158" i="8"/>
  <c r="E158" i="8"/>
  <c r="D158" i="8"/>
  <c r="J157" i="8"/>
  <c r="I157" i="8"/>
  <c r="H157" i="8"/>
  <c r="G157" i="8"/>
  <c r="F157" i="8"/>
  <c r="E157" i="8"/>
  <c r="D157" i="8"/>
  <c r="I156" i="8"/>
  <c r="H156" i="8"/>
  <c r="G156" i="8"/>
  <c r="F156" i="8"/>
  <c r="E156" i="8"/>
  <c r="D156" i="8"/>
  <c r="J155" i="8"/>
  <c r="I155" i="8"/>
  <c r="H155" i="8"/>
  <c r="G155" i="8"/>
  <c r="F155" i="8"/>
  <c r="E155" i="8"/>
  <c r="D155" i="8"/>
  <c r="J154" i="8"/>
  <c r="I154" i="8"/>
  <c r="H154" i="8"/>
  <c r="G154" i="8"/>
  <c r="F154" i="8"/>
  <c r="E154" i="8"/>
  <c r="D154" i="8"/>
  <c r="J153" i="8"/>
  <c r="I153" i="8"/>
  <c r="H153" i="8"/>
  <c r="G153" i="8"/>
  <c r="F153" i="8"/>
  <c r="E153" i="8"/>
  <c r="D153" i="8"/>
  <c r="J148" i="8"/>
  <c r="I148" i="8"/>
  <c r="H148" i="8"/>
  <c r="G148" i="8"/>
  <c r="F148" i="8"/>
  <c r="E148" i="8"/>
  <c r="D148" i="8"/>
  <c r="J147" i="8"/>
  <c r="I147" i="8"/>
  <c r="H147" i="8"/>
  <c r="G147" i="8"/>
  <c r="F147" i="8"/>
  <c r="E147" i="8"/>
  <c r="D147" i="8"/>
  <c r="I146" i="8"/>
  <c r="H146" i="8"/>
  <c r="G146" i="8"/>
  <c r="J145" i="8"/>
  <c r="I145" i="8"/>
  <c r="H145" i="8"/>
  <c r="G145" i="8"/>
  <c r="F145" i="8"/>
  <c r="E145" i="8"/>
  <c r="D145" i="8"/>
  <c r="J144" i="8"/>
  <c r="I144" i="8"/>
  <c r="H144" i="8"/>
  <c r="G144" i="8"/>
  <c r="F144" i="8"/>
  <c r="E144" i="8"/>
  <c r="D144" i="8"/>
  <c r="J143" i="8"/>
  <c r="I143" i="8"/>
  <c r="H143" i="8"/>
  <c r="G143" i="8"/>
  <c r="F143" i="8"/>
  <c r="E143" i="8"/>
  <c r="D143" i="8"/>
  <c r="J142" i="8"/>
  <c r="I142" i="8"/>
  <c r="H142" i="8"/>
  <c r="G142" i="8"/>
  <c r="F142" i="8"/>
  <c r="E142" i="8"/>
  <c r="D142" i="8"/>
  <c r="J141" i="8"/>
  <c r="I141" i="8"/>
  <c r="H141" i="8"/>
  <c r="G141" i="8"/>
  <c r="F141" i="8"/>
  <c r="E141" i="8"/>
  <c r="D141" i="8"/>
  <c r="J136" i="8"/>
  <c r="I136" i="8"/>
  <c r="H136" i="8"/>
  <c r="G136" i="8"/>
  <c r="F136" i="8"/>
  <c r="E136" i="8"/>
  <c r="D136" i="8"/>
  <c r="J135" i="8"/>
  <c r="I135" i="8"/>
  <c r="H135" i="8"/>
  <c r="G135" i="8"/>
  <c r="F135" i="8"/>
  <c r="E135" i="8"/>
  <c r="D135" i="8"/>
  <c r="J134" i="8"/>
  <c r="I134" i="8"/>
  <c r="H134" i="8"/>
  <c r="G134" i="8"/>
  <c r="F134" i="8"/>
  <c r="E134" i="8"/>
  <c r="D134" i="8"/>
  <c r="J133" i="8"/>
  <c r="I133" i="8"/>
  <c r="H133" i="8"/>
  <c r="G133" i="8"/>
  <c r="F133" i="8"/>
  <c r="E133" i="8"/>
  <c r="D133" i="8"/>
  <c r="J132" i="8"/>
  <c r="I132" i="8"/>
  <c r="H132" i="8"/>
  <c r="G132" i="8"/>
  <c r="F132" i="8"/>
  <c r="E132" i="8"/>
  <c r="D132" i="8"/>
  <c r="J131" i="8"/>
  <c r="I131" i="8"/>
  <c r="H131" i="8"/>
  <c r="G131" i="8"/>
  <c r="F131" i="8"/>
  <c r="E131" i="8"/>
  <c r="D131" i="8"/>
  <c r="J130" i="8"/>
  <c r="I130" i="8"/>
  <c r="H130" i="8"/>
  <c r="H137" i="8" s="1"/>
  <c r="G130" i="8"/>
  <c r="F130" i="8"/>
  <c r="E130" i="8"/>
  <c r="D130" i="8"/>
  <c r="J129" i="8"/>
  <c r="I129" i="8"/>
  <c r="H129" i="8"/>
  <c r="G129" i="8"/>
  <c r="F129" i="8"/>
  <c r="E129" i="8"/>
  <c r="D129" i="8"/>
  <c r="J127" i="8"/>
  <c r="I127" i="8"/>
  <c r="H127" i="8"/>
  <c r="G127" i="8"/>
  <c r="F127" i="8"/>
  <c r="E127" i="8"/>
  <c r="D127" i="8"/>
  <c r="J126" i="8"/>
  <c r="I126" i="8"/>
  <c r="H126" i="8"/>
  <c r="G126" i="8"/>
  <c r="F126" i="8"/>
  <c r="E126" i="8"/>
  <c r="D126" i="8"/>
  <c r="J125" i="8"/>
  <c r="I125" i="8"/>
  <c r="H125" i="8"/>
  <c r="G125" i="8"/>
  <c r="F125" i="8"/>
  <c r="E125" i="8"/>
  <c r="D125" i="8"/>
  <c r="I124" i="8"/>
  <c r="H124" i="8"/>
  <c r="G124" i="8"/>
  <c r="F124" i="8"/>
  <c r="E124" i="8"/>
  <c r="D124" i="8"/>
  <c r="J123" i="8"/>
  <c r="I123" i="8"/>
  <c r="H123" i="8"/>
  <c r="G123" i="8"/>
  <c r="F123" i="8"/>
  <c r="E123" i="8"/>
  <c r="D123" i="8"/>
  <c r="J122" i="8"/>
  <c r="I122" i="8"/>
  <c r="H122" i="8"/>
  <c r="G122" i="8"/>
  <c r="F122" i="8"/>
  <c r="E122" i="8"/>
  <c r="D122" i="8"/>
  <c r="J121" i="8"/>
  <c r="I121" i="8"/>
  <c r="H121" i="8"/>
  <c r="G121" i="8"/>
  <c r="L121" i="8" s="1"/>
  <c r="F121" i="8"/>
  <c r="E121" i="8"/>
  <c r="D121" i="8"/>
  <c r="J120" i="8"/>
  <c r="I120" i="8"/>
  <c r="H120" i="8"/>
  <c r="G120" i="8"/>
  <c r="F120" i="8"/>
  <c r="E120" i="8"/>
  <c r="D120" i="8"/>
  <c r="J115" i="8"/>
  <c r="I115" i="8"/>
  <c r="H115" i="8"/>
  <c r="G115" i="8"/>
  <c r="F115" i="8"/>
  <c r="E115" i="8"/>
  <c r="D115" i="8"/>
  <c r="J114" i="8"/>
  <c r="I114" i="8"/>
  <c r="H114" i="8"/>
  <c r="G114" i="8"/>
  <c r="F114" i="8"/>
  <c r="E114" i="8"/>
  <c r="D114" i="8"/>
  <c r="I113" i="8"/>
  <c r="H113" i="8"/>
  <c r="G113" i="8"/>
  <c r="F113" i="8"/>
  <c r="E113" i="8"/>
  <c r="D113" i="8"/>
  <c r="J112" i="8"/>
  <c r="I112" i="8"/>
  <c r="H112" i="8"/>
  <c r="G112" i="8"/>
  <c r="F112" i="8"/>
  <c r="E112" i="8"/>
  <c r="D112" i="8"/>
  <c r="J111" i="8"/>
  <c r="I111" i="8"/>
  <c r="H111" i="8"/>
  <c r="G111" i="8"/>
  <c r="F111" i="8"/>
  <c r="E111" i="8"/>
  <c r="D111" i="8"/>
  <c r="J110" i="8"/>
  <c r="I110" i="8"/>
  <c r="H110" i="8"/>
  <c r="G110" i="8"/>
  <c r="F110" i="8"/>
  <c r="E110" i="8"/>
  <c r="D110" i="8"/>
  <c r="N109" i="8"/>
  <c r="J109" i="8"/>
  <c r="I109" i="8"/>
  <c r="H109" i="8"/>
  <c r="G109" i="8"/>
  <c r="L109" i="8" s="1"/>
  <c r="F109" i="8"/>
  <c r="E109" i="8"/>
  <c r="D109" i="8"/>
  <c r="J108" i="8"/>
  <c r="I108" i="8"/>
  <c r="H108" i="8"/>
  <c r="G108" i="8"/>
  <c r="F108" i="8"/>
  <c r="E108" i="8"/>
  <c r="D108" i="8"/>
  <c r="J103" i="8"/>
  <c r="I103" i="8"/>
  <c r="H103" i="8"/>
  <c r="G103" i="8"/>
  <c r="F103" i="8"/>
  <c r="E103" i="8"/>
  <c r="D103" i="8"/>
  <c r="J102" i="8"/>
  <c r="I102" i="8"/>
  <c r="H102" i="8"/>
  <c r="G102" i="8"/>
  <c r="F102" i="8"/>
  <c r="E102" i="8"/>
  <c r="D102" i="8"/>
  <c r="I101" i="8"/>
  <c r="H101" i="8"/>
  <c r="G101" i="8"/>
  <c r="F101" i="8"/>
  <c r="E101" i="8"/>
  <c r="D101" i="8"/>
  <c r="J100" i="8"/>
  <c r="I100" i="8"/>
  <c r="H100" i="8"/>
  <c r="G100" i="8"/>
  <c r="F100" i="8"/>
  <c r="E100" i="8"/>
  <c r="D100" i="8"/>
  <c r="J99" i="8"/>
  <c r="I99" i="8"/>
  <c r="H99" i="8"/>
  <c r="H104" i="8" s="1"/>
  <c r="G99" i="8"/>
  <c r="F99" i="8"/>
  <c r="E99" i="8"/>
  <c r="D99" i="8"/>
  <c r="J98" i="8"/>
  <c r="I98" i="8"/>
  <c r="H98" i="8"/>
  <c r="G98" i="8"/>
  <c r="F98" i="8"/>
  <c r="E98" i="8"/>
  <c r="D98" i="8"/>
  <c r="J97" i="8"/>
  <c r="I97" i="8"/>
  <c r="H97" i="8"/>
  <c r="G97" i="8"/>
  <c r="F97" i="8"/>
  <c r="E97" i="8"/>
  <c r="D97" i="8"/>
  <c r="J96" i="8"/>
  <c r="I96" i="8"/>
  <c r="H96" i="8"/>
  <c r="G96" i="8"/>
  <c r="F96" i="8"/>
  <c r="E96" i="8"/>
  <c r="D96" i="8"/>
  <c r="J91" i="8"/>
  <c r="I91" i="8"/>
  <c r="H91" i="8"/>
  <c r="G91" i="8"/>
  <c r="F91" i="8"/>
  <c r="E91" i="8"/>
  <c r="D91" i="8"/>
  <c r="J90" i="8"/>
  <c r="I90" i="8"/>
  <c r="H90" i="8"/>
  <c r="G90" i="8"/>
  <c r="F90" i="8"/>
  <c r="E90" i="8"/>
  <c r="D90" i="8"/>
  <c r="J89" i="8"/>
  <c r="I89" i="8"/>
  <c r="H89" i="8"/>
  <c r="G89" i="8"/>
  <c r="F89" i="8"/>
  <c r="E89" i="8"/>
  <c r="D89" i="8"/>
  <c r="J88" i="8"/>
  <c r="I88" i="8"/>
  <c r="H88" i="8"/>
  <c r="G88" i="8"/>
  <c r="F88" i="8"/>
  <c r="E88" i="8"/>
  <c r="D88" i="8"/>
  <c r="J87" i="8"/>
  <c r="I87" i="8"/>
  <c r="H87" i="8"/>
  <c r="G87" i="8"/>
  <c r="F87" i="8"/>
  <c r="E87" i="8"/>
  <c r="D87" i="8"/>
  <c r="J86" i="8"/>
  <c r="I86" i="8"/>
  <c r="H86" i="8"/>
  <c r="G86" i="8"/>
  <c r="F86" i="8"/>
  <c r="E86" i="8"/>
  <c r="D86" i="8"/>
  <c r="J85" i="8"/>
  <c r="I85" i="8"/>
  <c r="H85" i="8"/>
  <c r="G85" i="8"/>
  <c r="F85" i="8"/>
  <c r="E85" i="8"/>
  <c r="D85" i="8"/>
  <c r="J84" i="8"/>
  <c r="I84" i="8"/>
  <c r="H84" i="8"/>
  <c r="G84" i="8"/>
  <c r="F84" i="8"/>
  <c r="E84" i="8"/>
  <c r="D84" i="8"/>
  <c r="J79" i="8"/>
  <c r="I79" i="8"/>
  <c r="H79" i="8"/>
  <c r="G79" i="8"/>
  <c r="F79" i="8"/>
  <c r="E79" i="8"/>
  <c r="D79" i="8"/>
  <c r="J78" i="8"/>
  <c r="I78" i="8"/>
  <c r="H78" i="8"/>
  <c r="G78" i="8"/>
  <c r="F78" i="8"/>
  <c r="E78" i="8"/>
  <c r="D78" i="8"/>
  <c r="J77" i="8"/>
  <c r="I77" i="8"/>
  <c r="H77" i="8"/>
  <c r="G77" i="8"/>
  <c r="F77" i="8"/>
  <c r="E77" i="8"/>
  <c r="D77" i="8"/>
  <c r="J76" i="8"/>
  <c r="I76" i="8"/>
  <c r="H76" i="8"/>
  <c r="G76" i="8"/>
  <c r="F76" i="8"/>
  <c r="E76" i="8"/>
  <c r="D76" i="8"/>
  <c r="J75" i="8"/>
  <c r="I75" i="8"/>
  <c r="H75" i="8"/>
  <c r="G75" i="8"/>
  <c r="F75" i="8"/>
  <c r="E75" i="8"/>
  <c r="D75" i="8"/>
  <c r="I74" i="8"/>
  <c r="H74" i="8"/>
  <c r="G74" i="8"/>
  <c r="F74" i="8"/>
  <c r="E74" i="8"/>
  <c r="D74" i="8"/>
  <c r="J73" i="8"/>
  <c r="I73" i="8"/>
  <c r="H73" i="8"/>
  <c r="G73" i="8"/>
  <c r="F73" i="8"/>
  <c r="E73" i="8"/>
  <c r="D73" i="8"/>
  <c r="J72" i="8"/>
  <c r="I72" i="8"/>
  <c r="H72" i="8"/>
  <c r="G72" i="8"/>
  <c r="F72" i="8"/>
  <c r="E72" i="8"/>
  <c r="D72" i="8"/>
  <c r="J67" i="8"/>
  <c r="I67" i="8"/>
  <c r="H67" i="8"/>
  <c r="G67" i="8"/>
  <c r="F67" i="8"/>
  <c r="E67" i="8"/>
  <c r="D67" i="8"/>
  <c r="J66" i="8"/>
  <c r="I66" i="8"/>
  <c r="H66" i="8"/>
  <c r="G66" i="8"/>
  <c r="F66" i="8"/>
  <c r="E66" i="8"/>
  <c r="D66" i="8"/>
  <c r="J65" i="8"/>
  <c r="I65" i="8"/>
  <c r="H65" i="8"/>
  <c r="G65" i="8"/>
  <c r="F65" i="8"/>
  <c r="E65" i="8"/>
  <c r="D65" i="8"/>
  <c r="J64" i="8"/>
  <c r="I64" i="8"/>
  <c r="H64" i="8"/>
  <c r="G64" i="8"/>
  <c r="F64" i="8"/>
  <c r="E64" i="8"/>
  <c r="D64" i="8"/>
  <c r="J63" i="8"/>
  <c r="I63" i="8"/>
  <c r="H63" i="8"/>
  <c r="G63" i="8"/>
  <c r="G68" i="8" s="1"/>
  <c r="F63" i="8"/>
  <c r="E63" i="8"/>
  <c r="D63" i="8"/>
  <c r="J62" i="8"/>
  <c r="I62" i="8"/>
  <c r="H62" i="8"/>
  <c r="G62" i="8"/>
  <c r="F62" i="8"/>
  <c r="E62" i="8"/>
  <c r="D62" i="8"/>
  <c r="J61" i="8"/>
  <c r="I61" i="8"/>
  <c r="I68" i="8" s="1"/>
  <c r="U10" i="6" s="1"/>
  <c r="H61" i="8"/>
  <c r="G61" i="8"/>
  <c r="F61" i="8"/>
  <c r="E61" i="8"/>
  <c r="D61" i="8"/>
  <c r="J60" i="8"/>
  <c r="I60" i="8"/>
  <c r="H60" i="8"/>
  <c r="G60" i="8"/>
  <c r="F60" i="8"/>
  <c r="E60" i="8"/>
  <c r="D60" i="8"/>
  <c r="J55" i="8"/>
  <c r="I55" i="8"/>
  <c r="H55" i="8"/>
  <c r="G55" i="8"/>
  <c r="F55" i="8"/>
  <c r="E55" i="8"/>
  <c r="D55" i="8"/>
  <c r="J54" i="8"/>
  <c r="I54" i="8"/>
  <c r="H54" i="8"/>
  <c r="G54" i="8"/>
  <c r="F54" i="8"/>
  <c r="E54" i="8"/>
  <c r="D54" i="8"/>
  <c r="J53" i="8"/>
  <c r="I53" i="8"/>
  <c r="H53" i="8"/>
  <c r="G53" i="8"/>
  <c r="F53" i="8"/>
  <c r="E53" i="8"/>
  <c r="D53" i="8"/>
  <c r="J52" i="8"/>
  <c r="I52" i="8"/>
  <c r="H52" i="8"/>
  <c r="G52" i="8"/>
  <c r="F52" i="8"/>
  <c r="E52" i="8"/>
  <c r="D52" i="8"/>
  <c r="I51" i="8"/>
  <c r="H51" i="8"/>
  <c r="G51" i="8"/>
  <c r="F51" i="8"/>
  <c r="E51" i="8"/>
  <c r="D51" i="8"/>
  <c r="J50" i="8"/>
  <c r="I50" i="8"/>
  <c r="H50" i="8"/>
  <c r="G50" i="8"/>
  <c r="F50" i="8"/>
  <c r="E50" i="8"/>
  <c r="D50" i="8"/>
  <c r="J49" i="8"/>
  <c r="I49" i="8"/>
  <c r="H49" i="8"/>
  <c r="G49" i="8"/>
  <c r="F49" i="8"/>
  <c r="E49" i="8"/>
  <c r="D49" i="8"/>
  <c r="J48" i="8"/>
  <c r="I48" i="8"/>
  <c r="H48" i="8"/>
  <c r="G48" i="8"/>
  <c r="F48" i="8"/>
  <c r="E48" i="8"/>
  <c r="D48" i="8"/>
  <c r="J43" i="8"/>
  <c r="I43" i="8"/>
  <c r="H43" i="8"/>
  <c r="G43" i="8"/>
  <c r="F43" i="8"/>
  <c r="E43" i="8"/>
  <c r="D43" i="8"/>
  <c r="J42" i="8"/>
  <c r="I42" i="8"/>
  <c r="H42" i="8"/>
  <c r="G42" i="8"/>
  <c r="F42" i="8"/>
  <c r="E42" i="8"/>
  <c r="D42" i="8"/>
  <c r="J41" i="8"/>
  <c r="I41" i="8"/>
  <c r="H41" i="8"/>
  <c r="G41" i="8"/>
  <c r="F41" i="8"/>
  <c r="E41" i="8"/>
  <c r="D41" i="8"/>
  <c r="J40" i="8"/>
  <c r="I40" i="8"/>
  <c r="H40" i="8"/>
  <c r="H44" i="8" s="1"/>
  <c r="T8" i="6" s="1"/>
  <c r="G40" i="8"/>
  <c r="F40" i="8"/>
  <c r="E40" i="8"/>
  <c r="D40" i="8"/>
  <c r="J39" i="8"/>
  <c r="I39" i="8"/>
  <c r="H39" i="8"/>
  <c r="G39" i="8"/>
  <c r="G44" i="8" s="1"/>
  <c r="F39" i="8"/>
  <c r="E39" i="8"/>
  <c r="D39" i="8"/>
  <c r="J38" i="8"/>
  <c r="I38" i="8"/>
  <c r="H38" i="8"/>
  <c r="G38" i="8"/>
  <c r="F38" i="8"/>
  <c r="E38" i="8"/>
  <c r="D38" i="8"/>
  <c r="J33" i="8"/>
  <c r="I33" i="8"/>
  <c r="H33" i="8"/>
  <c r="G33" i="8"/>
  <c r="F33" i="8"/>
  <c r="E33" i="8"/>
  <c r="D33" i="8"/>
  <c r="J32" i="8"/>
  <c r="I32" i="8"/>
  <c r="H32" i="8"/>
  <c r="G32" i="8"/>
  <c r="F32" i="8"/>
  <c r="E32" i="8"/>
  <c r="D32" i="8"/>
  <c r="I31" i="8"/>
  <c r="H31" i="8"/>
  <c r="G31" i="8"/>
  <c r="F31" i="8"/>
  <c r="E31" i="8"/>
  <c r="D31" i="8"/>
  <c r="J30" i="8"/>
  <c r="I30" i="8"/>
  <c r="H30" i="8"/>
  <c r="G30" i="8"/>
  <c r="F30" i="8"/>
  <c r="E30" i="8"/>
  <c r="D30" i="8"/>
  <c r="J29" i="8"/>
  <c r="I29" i="8"/>
  <c r="H29" i="8"/>
  <c r="H34" i="8" s="1"/>
  <c r="G29" i="8"/>
  <c r="F29" i="8"/>
  <c r="E29" i="8"/>
  <c r="D29" i="8"/>
  <c r="A29" i="8"/>
  <c r="A39" i="8" s="1"/>
  <c r="A49" i="8" s="1"/>
  <c r="J28" i="8"/>
  <c r="I28" i="8"/>
  <c r="H28" i="8"/>
  <c r="G28" i="8"/>
  <c r="F28" i="8"/>
  <c r="E28" i="8"/>
  <c r="D28" i="8"/>
  <c r="J23" i="8"/>
  <c r="I23" i="8"/>
  <c r="H23" i="8"/>
  <c r="G23" i="8"/>
  <c r="G24" i="8" s="1"/>
  <c r="F23" i="8"/>
  <c r="E23" i="8"/>
  <c r="D23" i="8"/>
  <c r="J22" i="8"/>
  <c r="I22" i="8"/>
  <c r="H22" i="8"/>
  <c r="G22" i="8"/>
  <c r="F22" i="8"/>
  <c r="E22" i="8"/>
  <c r="D22" i="8"/>
  <c r="J21" i="8"/>
  <c r="I21" i="8"/>
  <c r="H21" i="8"/>
  <c r="G21" i="8"/>
  <c r="F21" i="8"/>
  <c r="E21" i="8"/>
  <c r="D21" i="8"/>
  <c r="J20" i="8"/>
  <c r="I20" i="8"/>
  <c r="H20" i="8"/>
  <c r="H24" i="8" s="1"/>
  <c r="T6" i="6" s="1"/>
  <c r="X6" i="6" s="1"/>
  <c r="G20" i="8"/>
  <c r="F20" i="8"/>
  <c r="E20" i="8"/>
  <c r="D20" i="8"/>
  <c r="A20" i="8"/>
  <c r="J19" i="8"/>
  <c r="I19" i="8"/>
  <c r="H19" i="8"/>
  <c r="G19" i="8"/>
  <c r="F19" i="8"/>
  <c r="E19" i="8"/>
  <c r="D19" i="8"/>
  <c r="J16" i="8"/>
  <c r="I16" i="8"/>
  <c r="H16" i="8"/>
  <c r="G16" i="8"/>
  <c r="F16" i="8"/>
  <c r="E16" i="8"/>
  <c r="D16" i="8"/>
  <c r="J15" i="8"/>
  <c r="I15" i="8"/>
  <c r="H15" i="8"/>
  <c r="G15" i="8"/>
  <c r="F15" i="8"/>
  <c r="E15" i="8"/>
  <c r="D15" i="8"/>
  <c r="J14" i="8"/>
  <c r="J17" i="8" s="1"/>
  <c r="I14" i="8"/>
  <c r="H14" i="8"/>
  <c r="G14" i="8"/>
  <c r="F14" i="8"/>
  <c r="E14" i="8"/>
  <c r="D14" i="8"/>
  <c r="J13" i="8"/>
  <c r="I13" i="8"/>
  <c r="H13" i="8"/>
  <c r="G13" i="8"/>
  <c r="F13" i="8"/>
  <c r="E13" i="8"/>
  <c r="D13" i="8"/>
  <c r="J10" i="8"/>
  <c r="I10" i="8"/>
  <c r="H10" i="8"/>
  <c r="G10" i="8"/>
  <c r="F10" i="8"/>
  <c r="E10" i="8"/>
  <c r="D10" i="8"/>
  <c r="J9" i="8"/>
  <c r="I9" i="8"/>
  <c r="H9" i="8"/>
  <c r="G9" i="8"/>
  <c r="F9" i="8"/>
  <c r="E9" i="8"/>
  <c r="D9" i="8"/>
  <c r="J8" i="8"/>
  <c r="I8" i="8"/>
  <c r="H8" i="8"/>
  <c r="G8" i="8"/>
  <c r="F8" i="8"/>
  <c r="E8" i="8"/>
  <c r="D8" i="8"/>
  <c r="J5" i="8"/>
  <c r="I5" i="8"/>
  <c r="H5" i="8"/>
  <c r="G5" i="8"/>
  <c r="F5" i="8"/>
  <c r="E5" i="8"/>
  <c r="D5" i="8"/>
  <c r="J4" i="8"/>
  <c r="I4" i="8"/>
  <c r="H4" i="8"/>
  <c r="G4" i="8"/>
  <c r="F4" i="8"/>
  <c r="E4" i="8"/>
  <c r="D4" i="8"/>
  <c r="I3" i="8"/>
  <c r="H3" i="8"/>
  <c r="G3" i="8"/>
  <c r="F3" i="8"/>
  <c r="E3" i="8"/>
  <c r="D3" i="8"/>
  <c r="J2" i="8"/>
  <c r="I2" i="8"/>
  <c r="H2" i="8"/>
  <c r="G2" i="8"/>
  <c r="F2" i="8"/>
  <c r="E2" i="8"/>
  <c r="D2" i="8"/>
  <c r="J1" i="8"/>
  <c r="I1" i="8"/>
  <c r="H1" i="8"/>
  <c r="G1" i="8"/>
  <c r="F1" i="8"/>
  <c r="E1" i="8"/>
  <c r="D1" i="8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L21" i="7"/>
  <c r="K21" i="7"/>
  <c r="J21" i="7"/>
  <c r="I21" i="7"/>
  <c r="I20" i="7"/>
  <c r="I19" i="7"/>
  <c r="N18" i="7"/>
  <c r="L18" i="7"/>
  <c r="K18" i="7"/>
  <c r="J18" i="7"/>
  <c r="I18" i="7"/>
  <c r="I17" i="7"/>
  <c r="I16" i="7"/>
  <c r="L15" i="7"/>
  <c r="K15" i="7"/>
  <c r="N15" i="7" s="1"/>
  <c r="J15" i="7"/>
  <c r="I15" i="7"/>
  <c r="I14" i="7"/>
  <c r="I13" i="7"/>
  <c r="I12" i="7"/>
  <c r="I11" i="7"/>
  <c r="I10" i="7"/>
  <c r="I9" i="7"/>
  <c r="I8" i="7"/>
  <c r="I7" i="7"/>
  <c r="I6" i="7"/>
  <c r="I5" i="7"/>
  <c r="I4" i="7"/>
  <c r="L3" i="7"/>
  <c r="O21" i="7" s="1"/>
  <c r="K3" i="7"/>
  <c r="N21" i="7" s="1"/>
  <c r="J3" i="7"/>
  <c r="M15" i="7" s="1"/>
  <c r="B3" i="7"/>
  <c r="A3" i="7"/>
  <c r="B2" i="7"/>
  <c r="A2" i="7"/>
  <c r="AB111" i="6"/>
  <c r="O111" i="6"/>
  <c r="AB110" i="6"/>
  <c r="O110" i="6"/>
  <c r="AB109" i="6"/>
  <c r="O109" i="6"/>
  <c r="AB108" i="6"/>
  <c r="O108" i="6"/>
  <c r="AB107" i="6"/>
  <c r="O107" i="6"/>
  <c r="AB106" i="6"/>
  <c r="O106" i="6"/>
  <c r="AB105" i="6"/>
  <c r="O105" i="6"/>
  <c r="AB104" i="6"/>
  <c r="O104" i="6"/>
  <c r="AB103" i="6"/>
  <c r="O103" i="6"/>
  <c r="AB102" i="6"/>
  <c r="O102" i="6"/>
  <c r="AB101" i="6"/>
  <c r="O101" i="6"/>
  <c r="AB100" i="6"/>
  <c r="O100" i="6"/>
  <c r="AB99" i="6"/>
  <c r="O99" i="6"/>
  <c r="AB98" i="6"/>
  <c r="O98" i="6"/>
  <c r="AB97" i="6"/>
  <c r="O97" i="6"/>
  <c r="AB96" i="6"/>
  <c r="O96" i="6"/>
  <c r="AB95" i="6"/>
  <c r="O95" i="6"/>
  <c r="AB94" i="6"/>
  <c r="O94" i="6"/>
  <c r="AB93" i="6"/>
  <c r="O93" i="6"/>
  <c r="AB92" i="6"/>
  <c r="O92" i="6"/>
  <c r="AB91" i="6"/>
  <c r="O91" i="6"/>
  <c r="AB90" i="6"/>
  <c r="O90" i="6"/>
  <c r="AB89" i="6"/>
  <c r="O89" i="6"/>
  <c r="AB88" i="6"/>
  <c r="O88" i="6"/>
  <c r="AB87" i="6"/>
  <c r="O87" i="6"/>
  <c r="AB86" i="6"/>
  <c r="O86" i="6"/>
  <c r="AB85" i="6"/>
  <c r="O85" i="6"/>
  <c r="AB84" i="6"/>
  <c r="O84" i="6"/>
  <c r="AB83" i="6"/>
  <c r="O83" i="6"/>
  <c r="AB82" i="6"/>
  <c r="O82" i="6"/>
  <c r="AB81" i="6"/>
  <c r="O81" i="6"/>
  <c r="AB80" i="6"/>
  <c r="O80" i="6"/>
  <c r="AB79" i="6"/>
  <c r="O79" i="6"/>
  <c r="AB78" i="6"/>
  <c r="O78" i="6"/>
  <c r="AB77" i="6"/>
  <c r="O77" i="6"/>
  <c r="AB76" i="6"/>
  <c r="O76" i="6"/>
  <c r="AB75" i="6"/>
  <c r="O75" i="6"/>
  <c r="AB74" i="6"/>
  <c r="O74" i="6"/>
  <c r="AB73" i="6"/>
  <c r="O73" i="6"/>
  <c r="AB72" i="6"/>
  <c r="O72" i="6"/>
  <c r="AB71" i="6"/>
  <c r="O71" i="6"/>
  <c r="AB70" i="6"/>
  <c r="O70" i="6"/>
  <c r="AB69" i="6"/>
  <c r="O69" i="6"/>
  <c r="AB68" i="6"/>
  <c r="O68" i="6"/>
  <c r="AB67" i="6"/>
  <c r="O67" i="6"/>
  <c r="AB66" i="6"/>
  <c r="O66" i="6"/>
  <c r="AB65" i="6"/>
  <c r="O65" i="6"/>
  <c r="AB64" i="6"/>
  <c r="O64" i="6"/>
  <c r="AB63" i="6"/>
  <c r="O63" i="6"/>
  <c r="AB62" i="6"/>
  <c r="O62" i="6"/>
  <c r="AB61" i="6"/>
  <c r="O61" i="6"/>
  <c r="AB60" i="6"/>
  <c r="O60" i="6"/>
  <c r="AB59" i="6"/>
  <c r="O59" i="6"/>
  <c r="AB58" i="6"/>
  <c r="O58" i="6"/>
  <c r="AB57" i="6"/>
  <c r="O57" i="6"/>
  <c r="AB56" i="6"/>
  <c r="O56" i="6"/>
  <c r="AB55" i="6"/>
  <c r="O55" i="6"/>
  <c r="AB54" i="6"/>
  <c r="O54" i="6"/>
  <c r="AB53" i="6"/>
  <c r="O53" i="6"/>
  <c r="AB52" i="6"/>
  <c r="O52" i="6"/>
  <c r="AB51" i="6"/>
  <c r="O51" i="6"/>
  <c r="AB50" i="6"/>
  <c r="O50" i="6"/>
  <c r="AB49" i="6"/>
  <c r="O49" i="6"/>
  <c r="AB48" i="6"/>
  <c r="O48" i="6"/>
  <c r="AB47" i="6"/>
  <c r="O47" i="6"/>
  <c r="AB46" i="6"/>
  <c r="O46" i="6"/>
  <c r="AB45" i="6"/>
  <c r="O45" i="6"/>
  <c r="AB44" i="6"/>
  <c r="O44" i="6"/>
  <c r="AB43" i="6"/>
  <c r="O43" i="6"/>
  <c r="AB42" i="6"/>
  <c r="O42" i="6"/>
  <c r="AB41" i="6"/>
  <c r="O41" i="6"/>
  <c r="AB40" i="6"/>
  <c r="O40" i="6"/>
  <c r="AB39" i="6"/>
  <c r="O39" i="6"/>
  <c r="AB38" i="6"/>
  <c r="O38" i="6"/>
  <c r="AB37" i="6"/>
  <c r="O37" i="6"/>
  <c r="AB36" i="6"/>
  <c r="O36" i="6"/>
  <c r="AB35" i="6"/>
  <c r="O35" i="6"/>
  <c r="AB34" i="6"/>
  <c r="O34" i="6"/>
  <c r="AB33" i="6"/>
  <c r="O33" i="6"/>
  <c r="AB32" i="6"/>
  <c r="O32" i="6"/>
  <c r="AB31" i="6"/>
  <c r="O31" i="6"/>
  <c r="AB30" i="6"/>
  <c r="O30" i="6"/>
  <c r="AB29" i="6"/>
  <c r="O29" i="6"/>
  <c r="AB28" i="6"/>
  <c r="O28" i="6"/>
  <c r="AB27" i="6"/>
  <c r="O27" i="6"/>
  <c r="AB26" i="6"/>
  <c r="O26" i="6"/>
  <c r="AB25" i="6"/>
  <c r="O25" i="6"/>
  <c r="AB24" i="6"/>
  <c r="O24" i="6"/>
  <c r="AB23" i="6"/>
  <c r="O23" i="6"/>
  <c r="AB22" i="6"/>
  <c r="O22" i="6"/>
  <c r="AB21" i="6"/>
  <c r="O21" i="6"/>
  <c r="AB20" i="6"/>
  <c r="O20" i="6"/>
  <c r="AB19" i="6"/>
  <c r="O19" i="6"/>
  <c r="AB18" i="6"/>
  <c r="O18" i="6"/>
  <c r="AB17" i="6"/>
  <c r="O17" i="6"/>
  <c r="AB16" i="6"/>
  <c r="O16" i="6"/>
  <c r="AB15" i="6"/>
  <c r="O15" i="6"/>
  <c r="AB14" i="6"/>
  <c r="O14" i="6"/>
  <c r="AB13" i="6"/>
  <c r="O13" i="6"/>
  <c r="AB12" i="6"/>
  <c r="O12" i="6"/>
  <c r="AB11" i="6"/>
  <c r="O11" i="6"/>
  <c r="AB10" i="6"/>
  <c r="O10" i="6"/>
  <c r="AB9" i="6"/>
  <c r="O9" i="6"/>
  <c r="AB8" i="6"/>
  <c r="O8" i="6"/>
  <c r="H45" i="8" s="1"/>
  <c r="AB7" i="6"/>
  <c r="T7" i="6"/>
  <c r="O7" i="6"/>
  <c r="H35" i="8" s="1"/>
  <c r="AB6" i="6"/>
  <c r="O6" i="6"/>
  <c r="AB5" i="6"/>
  <c r="V5" i="6"/>
  <c r="O5" i="6"/>
  <c r="H25" i="8" s="1"/>
  <c r="B5" i="6"/>
  <c r="A5" i="6"/>
  <c r="A5" i="7" s="1"/>
  <c r="AB4" i="6"/>
  <c r="O4" i="6"/>
  <c r="B4" i="6"/>
  <c r="B4" i="7" s="1"/>
  <c r="A4" i="6"/>
  <c r="A4" i="7" s="1"/>
  <c r="AC3" i="6"/>
  <c r="AB3" i="6"/>
  <c r="O3" i="6"/>
  <c r="C3" i="6"/>
  <c r="Z2" i="6"/>
  <c r="Y2" i="6"/>
  <c r="X2" i="6"/>
  <c r="W2" i="6"/>
  <c r="V2" i="6"/>
  <c r="U2" i="6"/>
  <c r="T2" i="6"/>
  <c r="S2" i="6"/>
  <c r="B10" i="5"/>
  <c r="B9" i="5"/>
  <c r="B8" i="5"/>
  <c r="B7" i="5"/>
  <c r="B4" i="5" s="1"/>
  <c r="B5" i="5" s="1"/>
  <c r="C12" i="4"/>
  <c r="D12" i="4" s="1"/>
  <c r="D11" i="4"/>
  <c r="C11" i="4"/>
  <c r="C10" i="4"/>
  <c r="D10" i="4" s="1"/>
  <c r="D9" i="4"/>
  <c r="C9" i="4"/>
  <c r="C8" i="4"/>
  <c r="D8" i="4" s="1"/>
  <c r="G15" i="3"/>
  <c r="B11" i="3"/>
  <c r="B10" i="3"/>
  <c r="B9" i="3"/>
  <c r="B8" i="3"/>
  <c r="B13" i="3" s="1"/>
  <c r="B4" i="3" s="1"/>
  <c r="B6" i="3" s="1"/>
  <c r="B5" i="3"/>
  <c r="D17" i="2"/>
  <c r="B17" i="2"/>
  <c r="B16" i="2"/>
  <c r="D16" i="2" s="1"/>
  <c r="D15" i="2"/>
  <c r="B15" i="2"/>
  <c r="B14" i="2"/>
  <c r="D14" i="2" s="1"/>
  <c r="D13" i="2"/>
  <c r="B13" i="2"/>
  <c r="C10" i="2"/>
  <c r="B10" i="2"/>
  <c r="B11" i="2" s="1"/>
  <c r="B8" i="2"/>
  <c r="B7" i="2"/>
  <c r="J44" i="8" l="1"/>
  <c r="V8" i="6" s="1"/>
  <c r="M642" i="8"/>
  <c r="H649" i="8"/>
  <c r="M121" i="8"/>
  <c r="N192" i="8"/>
  <c r="I199" i="8"/>
  <c r="I385" i="8"/>
  <c r="M390" i="8"/>
  <c r="H397" i="8"/>
  <c r="G625" i="8"/>
  <c r="M738" i="8"/>
  <c r="M834" i="8"/>
  <c r="M930" i="8"/>
  <c r="M1098" i="8"/>
  <c r="I56" i="8"/>
  <c r="U9" i="6" s="1"/>
  <c r="H56" i="8"/>
  <c r="T9" i="6" s="1"/>
  <c r="I92" i="8"/>
  <c r="H11" i="8"/>
  <c r="T4" i="6" s="1"/>
  <c r="X4" i="6" s="1"/>
  <c r="N738" i="8"/>
  <c r="N834" i="8"/>
  <c r="N930" i="8"/>
  <c r="H26" i="8"/>
  <c r="H36" i="8"/>
  <c r="X7" i="6" s="1"/>
  <c r="S8" i="6"/>
  <c r="N498" i="8"/>
  <c r="G6" i="8"/>
  <c r="S3" i="6" s="1"/>
  <c r="H175" i="8"/>
  <c r="N246" i="8"/>
  <c r="N294" i="8"/>
  <c r="H337" i="8"/>
  <c r="M342" i="8"/>
  <c r="L354" i="8"/>
  <c r="O354" i="8" s="1"/>
  <c r="N390" i="8"/>
  <c r="M402" i="8"/>
  <c r="H421" i="8"/>
  <c r="I433" i="8"/>
  <c r="L450" i="8"/>
  <c r="L462" i="8"/>
  <c r="H493" i="8"/>
  <c r="I553" i="8"/>
  <c r="H625" i="8"/>
  <c r="N642" i="8"/>
  <c r="M654" i="8"/>
  <c r="M666" i="8"/>
  <c r="O666" i="8" s="1"/>
  <c r="L678" i="8"/>
  <c r="G709" i="8"/>
  <c r="H709" i="8"/>
  <c r="J709" i="8" s="1"/>
  <c r="M750" i="8"/>
  <c r="M774" i="8"/>
  <c r="L786" i="8"/>
  <c r="M870" i="8"/>
  <c r="L882" i="8"/>
  <c r="M942" i="8"/>
  <c r="M966" i="8"/>
  <c r="L978" i="8"/>
  <c r="I1033" i="8"/>
  <c r="N1038" i="8"/>
  <c r="N1050" i="8"/>
  <c r="N1062" i="8"/>
  <c r="G1069" i="8"/>
  <c r="J1069" i="8" s="1"/>
  <c r="I1081" i="8"/>
  <c r="N1086" i="8"/>
  <c r="I1105" i="8"/>
  <c r="H1117" i="8"/>
  <c r="H1129" i="8"/>
  <c r="M1134" i="8"/>
  <c r="M1146" i="8"/>
  <c r="H1165" i="8"/>
  <c r="H1177" i="8"/>
  <c r="M1182" i="8"/>
  <c r="M1194" i="8"/>
  <c r="H1213" i="8"/>
  <c r="H1225" i="8"/>
  <c r="M1230" i="8"/>
  <c r="M1242" i="8"/>
  <c r="H1261" i="8"/>
  <c r="H1273" i="8"/>
  <c r="M1278" i="8"/>
  <c r="M1290" i="8"/>
  <c r="I11" i="8"/>
  <c r="U4" i="6" s="1"/>
  <c r="H17" i="8"/>
  <c r="T5" i="6" s="1"/>
  <c r="X5" i="6" s="1"/>
  <c r="I44" i="8"/>
  <c r="U8" i="6" s="1"/>
  <c r="G80" i="8"/>
  <c r="D80" i="8" s="1"/>
  <c r="G149" i="8"/>
  <c r="G265" i="8"/>
  <c r="N282" i="8"/>
  <c r="M318" i="8"/>
  <c r="H46" i="8"/>
  <c r="X8" i="6" s="1"/>
  <c r="H6" i="8"/>
  <c r="T3" i="6" s="1"/>
  <c r="X3" i="6" s="1"/>
  <c r="J11" i="8"/>
  <c r="V4" i="6" s="1"/>
  <c r="G11" i="8"/>
  <c r="S4" i="6" s="1"/>
  <c r="G17" i="8"/>
  <c r="S5" i="6" s="1"/>
  <c r="G34" i="8"/>
  <c r="G116" i="8"/>
  <c r="I137" i="8"/>
  <c r="G162" i="8"/>
  <c r="J162" i="8" s="1"/>
  <c r="M154" i="8"/>
  <c r="G175" i="8"/>
  <c r="G199" i="8"/>
  <c r="J199" i="8" s="1"/>
  <c r="L204" i="8"/>
  <c r="H253" i="8"/>
  <c r="H301" i="8"/>
  <c r="G313" i="8"/>
  <c r="I325" i="8"/>
  <c r="N330" i="8"/>
  <c r="H349" i="8"/>
  <c r="G385" i="8"/>
  <c r="G409" i="8"/>
  <c r="I421" i="8"/>
  <c r="M438" i="8"/>
  <c r="M450" i="8"/>
  <c r="H469" i="8"/>
  <c r="I481" i="8"/>
  <c r="G529" i="8"/>
  <c r="G577" i="8"/>
  <c r="G613" i="8"/>
  <c r="N654" i="8"/>
  <c r="H685" i="8"/>
  <c r="H697" i="8"/>
  <c r="I697" i="8"/>
  <c r="L714" i="8"/>
  <c r="G733" i="8"/>
  <c r="H733" i="8"/>
  <c r="N774" i="8"/>
  <c r="H781" i="8"/>
  <c r="L822" i="8"/>
  <c r="G829" i="8"/>
  <c r="N858" i="8"/>
  <c r="N870" i="8"/>
  <c r="H877" i="8"/>
  <c r="L906" i="8"/>
  <c r="L918" i="8"/>
  <c r="G925" i="8"/>
  <c r="N966" i="8"/>
  <c r="H973" i="8"/>
  <c r="L1014" i="8"/>
  <c r="G1021" i="8"/>
  <c r="H1057" i="8"/>
  <c r="I1117" i="8"/>
  <c r="N1122" i="8"/>
  <c r="N1134" i="8"/>
  <c r="I1153" i="8"/>
  <c r="I1165" i="8"/>
  <c r="N1170" i="8"/>
  <c r="N1182" i="8"/>
  <c r="I1201" i="8"/>
  <c r="I1213" i="8"/>
  <c r="N1218" i="8"/>
  <c r="N1230" i="8"/>
  <c r="I1249" i="8"/>
  <c r="I1261" i="8"/>
  <c r="N1266" i="8"/>
  <c r="N1278" i="8"/>
  <c r="I1297" i="8"/>
  <c r="M142" i="8"/>
  <c r="L180" i="8"/>
  <c r="O180" i="8" s="1"/>
  <c r="H199" i="8"/>
  <c r="M204" i="8"/>
  <c r="G241" i="8"/>
  <c r="I241" i="8"/>
  <c r="L258" i="8"/>
  <c r="L270" i="8"/>
  <c r="I289" i="8"/>
  <c r="L306" i="8"/>
  <c r="H385" i="8"/>
  <c r="G397" i="8"/>
  <c r="N426" i="8"/>
  <c r="N438" i="8"/>
  <c r="G457" i="8"/>
  <c r="M510" i="8"/>
  <c r="I541" i="8"/>
  <c r="M546" i="8"/>
  <c r="L558" i="8"/>
  <c r="G565" i="8"/>
  <c r="H565" i="8"/>
  <c r="J565" i="8" s="1"/>
  <c r="H613" i="8"/>
  <c r="I649" i="8"/>
  <c r="G661" i="8"/>
  <c r="H661" i="8"/>
  <c r="G673" i="8"/>
  <c r="I685" i="8"/>
  <c r="L738" i="8"/>
  <c r="H757" i="8"/>
  <c r="N786" i="8"/>
  <c r="G793" i="8"/>
  <c r="I793" i="8"/>
  <c r="I805" i="8"/>
  <c r="H829" i="8"/>
  <c r="L834" i="8"/>
  <c r="H853" i="8"/>
  <c r="N882" i="8"/>
  <c r="G889" i="8"/>
  <c r="I889" i="8"/>
  <c r="I901" i="8"/>
  <c r="H925" i="8"/>
  <c r="L930" i="8"/>
  <c r="O930" i="8" s="1"/>
  <c r="H949" i="8"/>
  <c r="N978" i="8"/>
  <c r="G985" i="8"/>
  <c r="I985" i="8"/>
  <c r="I997" i="8"/>
  <c r="L1026" i="8"/>
  <c r="L1038" i="8"/>
  <c r="I1045" i="8"/>
  <c r="G1057" i="8"/>
  <c r="L1062" i="8"/>
  <c r="L1074" i="8"/>
  <c r="L1086" i="8"/>
  <c r="I1093" i="8"/>
  <c r="N1098" i="8"/>
  <c r="I229" i="8"/>
  <c r="L219" i="8"/>
  <c r="N204" i="8"/>
  <c r="G214" i="8"/>
  <c r="B14" i="3"/>
  <c r="D3" i="6"/>
  <c r="E3" i="6" s="1"/>
  <c r="H3" i="6" s="1"/>
  <c r="B5" i="4"/>
  <c r="B1" i="6"/>
  <c r="B4" i="2"/>
  <c r="B5" i="2" s="1"/>
  <c r="G3" i="6" s="1"/>
  <c r="D18" i="2"/>
  <c r="B4" i="4"/>
  <c r="S6" i="6"/>
  <c r="S10" i="6"/>
  <c r="B5" i="7"/>
  <c r="B6" i="6"/>
  <c r="A6" i="6"/>
  <c r="I265" i="8"/>
  <c r="N258" i="8"/>
  <c r="I373" i="8"/>
  <c r="G14" i="3"/>
  <c r="O15" i="7"/>
  <c r="O18" i="7"/>
  <c r="A61" i="8"/>
  <c r="S7" i="6"/>
  <c r="N97" i="8"/>
  <c r="O121" i="8"/>
  <c r="L142" i="8"/>
  <c r="L154" i="8"/>
  <c r="I187" i="8"/>
  <c r="H373" i="8"/>
  <c r="M366" i="8"/>
  <c r="I457" i="8"/>
  <c r="N450" i="8"/>
  <c r="O450" i="8" s="1"/>
  <c r="I577" i="8"/>
  <c r="N570" i="8"/>
  <c r="N85" i="8"/>
  <c r="M109" i="8"/>
  <c r="O109" i="8" s="1"/>
  <c r="L234" i="8"/>
  <c r="O234" i="8" s="1"/>
  <c r="H277" i="8"/>
  <c r="M270" i="8"/>
  <c r="I409" i="8"/>
  <c r="N402" i="8"/>
  <c r="I24" i="8"/>
  <c r="U6" i="6" s="1"/>
  <c r="M97" i="8"/>
  <c r="H187" i="8"/>
  <c r="M180" i="8"/>
  <c r="L498" i="8"/>
  <c r="M798" i="8"/>
  <c r="H805" i="8"/>
  <c r="L858" i="8"/>
  <c r="M21" i="7"/>
  <c r="H68" i="8"/>
  <c r="T10" i="6" s="1"/>
  <c r="G92" i="8"/>
  <c r="L85" i="8"/>
  <c r="G104" i="8"/>
  <c r="N130" i="8"/>
  <c r="L192" i="8"/>
  <c r="O306" i="8"/>
  <c r="L318" i="8"/>
  <c r="G337" i="8"/>
  <c r="J337" i="8" s="1"/>
  <c r="L330" i="8"/>
  <c r="J385" i="8"/>
  <c r="L378" i="8"/>
  <c r="G433" i="8"/>
  <c r="L426" i="8"/>
  <c r="O426" i="8" s="1"/>
  <c r="N474" i="8"/>
  <c r="M486" i="8"/>
  <c r="L594" i="8"/>
  <c r="I613" i="8"/>
  <c r="N606" i="8"/>
  <c r="M702" i="8"/>
  <c r="M18" i="7"/>
  <c r="I34" i="8"/>
  <c r="U7" i="6" s="1"/>
  <c r="G56" i="8"/>
  <c r="I80" i="8"/>
  <c r="N142" i="8"/>
  <c r="H162" i="8"/>
  <c r="M219" i="8"/>
  <c r="N234" i="8"/>
  <c r="O258" i="8"/>
  <c r="G301" i="8"/>
  <c r="I361" i="8"/>
  <c r="M498" i="8"/>
  <c r="H481" i="8"/>
  <c r="G493" i="8"/>
  <c r="M570" i="8"/>
  <c r="N906" i="8"/>
  <c r="I913" i="8"/>
  <c r="J1009" i="8"/>
  <c r="I6" i="8"/>
  <c r="U3" i="6" s="1"/>
  <c r="I17" i="8"/>
  <c r="U5" i="6" s="1"/>
  <c r="H80" i="8"/>
  <c r="H92" i="8"/>
  <c r="I116" i="8"/>
  <c r="N121" i="8"/>
  <c r="G137" i="8"/>
  <c r="J137" i="8" s="1"/>
  <c r="L130" i="8"/>
  <c r="O130" i="8" s="1"/>
  <c r="I162" i="8"/>
  <c r="I175" i="8"/>
  <c r="H241" i="8"/>
  <c r="G253" i="8"/>
  <c r="J253" i="8" s="1"/>
  <c r="I277" i="8"/>
  <c r="G289" i="8"/>
  <c r="L282" i="8"/>
  <c r="I313" i="8"/>
  <c r="H325" i="8"/>
  <c r="N342" i="8"/>
  <c r="M354" i="8"/>
  <c r="L366" i="8"/>
  <c r="O366" i="8" s="1"/>
  <c r="O402" i="8"/>
  <c r="H433" i="8"/>
  <c r="G445" i="8"/>
  <c r="I469" i="8"/>
  <c r="G481" i="8"/>
  <c r="L474" i="8"/>
  <c r="I505" i="8"/>
  <c r="H517" i="8"/>
  <c r="J517" i="8" s="1"/>
  <c r="H637" i="8"/>
  <c r="M85" i="8"/>
  <c r="L97" i="8"/>
  <c r="O97" i="8" s="1"/>
  <c r="I104" i="8"/>
  <c r="H116" i="8"/>
  <c r="J116" i="8" s="1"/>
  <c r="M130" i="8"/>
  <c r="H149" i="8"/>
  <c r="J149" i="8" s="1"/>
  <c r="N154" i="8"/>
  <c r="N167" i="8"/>
  <c r="O167" i="8" s="1"/>
  <c r="N180" i="8"/>
  <c r="G187" i="8"/>
  <c r="M192" i="8"/>
  <c r="H214" i="8"/>
  <c r="N219" i="8"/>
  <c r="G229" i="8"/>
  <c r="J229" i="8" s="1"/>
  <c r="M234" i="8"/>
  <c r="L246" i="8"/>
  <c r="I253" i="8"/>
  <c r="H265" i="8"/>
  <c r="J265" i="8" s="1"/>
  <c r="N270" i="8"/>
  <c r="G277" i="8"/>
  <c r="J277" i="8" s="1"/>
  <c r="M282" i="8"/>
  <c r="L294" i="8"/>
  <c r="O294" i="8" s="1"/>
  <c r="I301" i="8"/>
  <c r="H313" i="8"/>
  <c r="N318" i="8"/>
  <c r="G325" i="8"/>
  <c r="J325" i="8" s="1"/>
  <c r="M330" i="8"/>
  <c r="L342" i="8"/>
  <c r="I349" i="8"/>
  <c r="J349" i="8" s="1"/>
  <c r="H361" i="8"/>
  <c r="J361" i="8" s="1"/>
  <c r="N366" i="8"/>
  <c r="G373" i="8"/>
  <c r="M378" i="8"/>
  <c r="L390" i="8"/>
  <c r="O390" i="8" s="1"/>
  <c r="I397" i="8"/>
  <c r="H409" i="8"/>
  <c r="N414" i="8"/>
  <c r="O414" i="8" s="1"/>
  <c r="G421" i="8"/>
  <c r="J421" i="8" s="1"/>
  <c r="M426" i="8"/>
  <c r="L438" i="8"/>
  <c r="I445" i="8"/>
  <c r="H457" i="8"/>
  <c r="J457" i="8" s="1"/>
  <c r="N462" i="8"/>
  <c r="O462" i="8" s="1"/>
  <c r="G469" i="8"/>
  <c r="M474" i="8"/>
  <c r="L486" i="8"/>
  <c r="O486" i="8" s="1"/>
  <c r="I493" i="8"/>
  <c r="H505" i="8"/>
  <c r="L510" i="8"/>
  <c r="O510" i="8" s="1"/>
  <c r="L522" i="8"/>
  <c r="O522" i="8" s="1"/>
  <c r="G541" i="8"/>
  <c r="L534" i="8"/>
  <c r="M558" i="8"/>
  <c r="O558" i="8" s="1"/>
  <c r="L582" i="8"/>
  <c r="M594" i="8"/>
  <c r="N630" i="8"/>
  <c r="I673" i="8"/>
  <c r="N702" i="8"/>
  <c r="N762" i="8"/>
  <c r="L810" i="8"/>
  <c r="M846" i="8"/>
  <c r="M894" i="8"/>
  <c r="H901" i="8"/>
  <c r="G961" i="8"/>
  <c r="J961" i="8" s="1"/>
  <c r="L954" i="8"/>
  <c r="N1002" i="8"/>
  <c r="I1009" i="8"/>
  <c r="I149" i="8"/>
  <c r="I214" i="8"/>
  <c r="H529" i="8"/>
  <c r="M522" i="8"/>
  <c r="I529" i="8"/>
  <c r="H541" i="8"/>
  <c r="M534" i="8"/>
  <c r="G553" i="8"/>
  <c r="L546" i="8"/>
  <c r="I565" i="8"/>
  <c r="L570" i="8"/>
  <c r="H589" i="8"/>
  <c r="J589" i="8" s="1"/>
  <c r="M582" i="8"/>
  <c r="N594" i="8"/>
  <c r="L606" i="8"/>
  <c r="O606" i="8" s="1"/>
  <c r="I625" i="8"/>
  <c r="J625" i="8" s="1"/>
  <c r="G649" i="8"/>
  <c r="J649" i="8" s="1"/>
  <c r="L642" i="8"/>
  <c r="O642" i="8" s="1"/>
  <c r="L654" i="8"/>
  <c r="O654" i="8" s="1"/>
  <c r="N678" i="8"/>
  <c r="O678" i="8" s="1"/>
  <c r="G697" i="8"/>
  <c r="L690" i="8"/>
  <c r="N714" i="8"/>
  <c r="I721" i="8"/>
  <c r="M990" i="8"/>
  <c r="H997" i="8"/>
  <c r="O1014" i="8"/>
  <c r="I517" i="8"/>
  <c r="N534" i="8"/>
  <c r="H577" i="8"/>
  <c r="N582" i="8"/>
  <c r="M606" i="8"/>
  <c r="G637" i="8"/>
  <c r="J637" i="8" s="1"/>
  <c r="L630" i="8"/>
  <c r="J661" i="8"/>
  <c r="M690" i="8"/>
  <c r="L702" i="8"/>
  <c r="J733" i="8"/>
  <c r="G769" i="8"/>
  <c r="L762" i="8"/>
  <c r="N810" i="8"/>
  <c r="I817" i="8"/>
  <c r="N954" i="8"/>
  <c r="L1002" i="8"/>
  <c r="O1074" i="8"/>
  <c r="I661" i="8"/>
  <c r="H673" i="8"/>
  <c r="G685" i="8"/>
  <c r="J685" i="8" s="1"/>
  <c r="I709" i="8"/>
  <c r="G745" i="8"/>
  <c r="L750" i="8"/>
  <c r="H769" i="8"/>
  <c r="N798" i="8"/>
  <c r="G841" i="8"/>
  <c r="L846" i="8"/>
  <c r="M858" i="8"/>
  <c r="G877" i="8"/>
  <c r="N894" i="8"/>
  <c r="G937" i="8"/>
  <c r="L942" i="8"/>
  <c r="M954" i="8"/>
  <c r="G973" i="8"/>
  <c r="N990" i="8"/>
  <c r="H1021" i="8"/>
  <c r="N726" i="8"/>
  <c r="G781" i="8"/>
  <c r="M786" i="8"/>
  <c r="H817" i="8"/>
  <c r="N822" i="8"/>
  <c r="O822" i="8" s="1"/>
  <c r="I853" i="8"/>
  <c r="L870" i="8"/>
  <c r="M882" i="8"/>
  <c r="H913" i="8"/>
  <c r="J913" i="8" s="1"/>
  <c r="N918" i="8"/>
  <c r="I949" i="8"/>
  <c r="L966" i="8"/>
  <c r="O966" i="8" s="1"/>
  <c r="M978" i="8"/>
  <c r="O978" i="8" s="1"/>
  <c r="H1009" i="8"/>
  <c r="N1014" i="8"/>
  <c r="H721" i="8"/>
  <c r="J721" i="8" s="1"/>
  <c r="M714" i="8"/>
  <c r="O714" i="8" s="1"/>
  <c r="I757" i="8"/>
  <c r="L798" i="8"/>
  <c r="M810" i="8"/>
  <c r="N846" i="8"/>
  <c r="L894" i="8"/>
  <c r="M906" i="8"/>
  <c r="O906" i="8" s="1"/>
  <c r="N942" i="8"/>
  <c r="L990" i="8"/>
  <c r="M1002" i="8"/>
  <c r="N1026" i="8"/>
  <c r="O1026" i="8" s="1"/>
  <c r="G1033" i="8"/>
  <c r="M1038" i="8"/>
  <c r="L1050" i="8"/>
  <c r="O1050" i="8" s="1"/>
  <c r="I1057" i="8"/>
  <c r="J1057" i="8" s="1"/>
  <c r="H1069" i="8"/>
  <c r="N1074" i="8"/>
  <c r="G1081" i="8"/>
  <c r="M1086" i="8"/>
  <c r="O1086" i="8" s="1"/>
  <c r="L1098" i="8"/>
  <c r="O1098" i="8" s="1"/>
  <c r="G1105" i="8"/>
  <c r="O1206" i="8"/>
  <c r="L726" i="8"/>
  <c r="I733" i="8"/>
  <c r="H745" i="8"/>
  <c r="N750" i="8"/>
  <c r="G757" i="8"/>
  <c r="M762" i="8"/>
  <c r="L774" i="8"/>
  <c r="I781" i="8"/>
  <c r="H793" i="8"/>
  <c r="J793" i="8" s="1"/>
  <c r="G805" i="8"/>
  <c r="I829" i="8"/>
  <c r="H841" i="8"/>
  <c r="G853" i="8"/>
  <c r="J853" i="8" s="1"/>
  <c r="I877" i="8"/>
  <c r="H889" i="8"/>
  <c r="G901" i="8"/>
  <c r="I925" i="8"/>
  <c r="H937" i="8"/>
  <c r="G949" i="8"/>
  <c r="J949" i="8" s="1"/>
  <c r="I973" i="8"/>
  <c r="H985" i="8"/>
  <c r="G997" i="8"/>
  <c r="I1021" i="8"/>
  <c r="J1021" i="8" s="1"/>
  <c r="H1033" i="8"/>
  <c r="G1045" i="8"/>
  <c r="I1069" i="8"/>
  <c r="H1081" i="8"/>
  <c r="G1093" i="8"/>
  <c r="J1093" i="8" s="1"/>
  <c r="I6" i="9"/>
  <c r="M1110" i="8"/>
  <c r="L1122" i="8"/>
  <c r="I1129" i="8"/>
  <c r="J1129" i="8" s="1"/>
  <c r="H1141" i="8"/>
  <c r="N1146" i="8"/>
  <c r="G1153" i="8"/>
  <c r="M1158" i="8"/>
  <c r="O1158" i="8" s="1"/>
  <c r="L1170" i="8"/>
  <c r="I1177" i="8"/>
  <c r="J1177" i="8" s="1"/>
  <c r="H1189" i="8"/>
  <c r="J1189" i="8" s="1"/>
  <c r="N1194" i="8"/>
  <c r="O1194" i="8" s="1"/>
  <c r="G1201" i="8"/>
  <c r="M1206" i="8"/>
  <c r="L1218" i="8"/>
  <c r="I1225" i="8"/>
  <c r="J1225" i="8" s="1"/>
  <c r="H1237" i="8"/>
  <c r="N1242" i="8"/>
  <c r="G1249" i="8"/>
  <c r="M1254" i="8"/>
  <c r="O1254" i="8" s="1"/>
  <c r="L1266" i="8"/>
  <c r="I1273" i="8"/>
  <c r="J1273" i="8" s="1"/>
  <c r="H1285" i="8"/>
  <c r="J1285" i="8" s="1"/>
  <c r="N1290" i="8"/>
  <c r="O1290" i="8" s="1"/>
  <c r="G1297" i="8"/>
  <c r="H1105" i="8"/>
  <c r="N1110" i="8"/>
  <c r="O1110" i="8" s="1"/>
  <c r="G1117" i="8"/>
  <c r="J1117" i="8" s="1"/>
  <c r="M1122" i="8"/>
  <c r="L1134" i="8"/>
  <c r="O1134" i="8" s="1"/>
  <c r="I1141" i="8"/>
  <c r="J1141" i="8" s="1"/>
  <c r="H1153" i="8"/>
  <c r="N1158" i="8"/>
  <c r="G1165" i="8"/>
  <c r="M1170" i="8"/>
  <c r="L1182" i="8"/>
  <c r="O1182" i="8" s="1"/>
  <c r="I1189" i="8"/>
  <c r="H1201" i="8"/>
  <c r="N1206" i="8"/>
  <c r="G1213" i="8"/>
  <c r="J1213" i="8" s="1"/>
  <c r="M1218" i="8"/>
  <c r="L1230" i="8"/>
  <c r="O1230" i="8" s="1"/>
  <c r="I1237" i="8"/>
  <c r="J1237" i="8" s="1"/>
  <c r="H1249" i="8"/>
  <c r="N1254" i="8"/>
  <c r="G1261" i="8"/>
  <c r="M1266" i="8"/>
  <c r="L1278" i="8"/>
  <c r="O1278" i="8" s="1"/>
  <c r="I1285" i="8"/>
  <c r="H1297" i="8"/>
  <c r="E3" i="10"/>
  <c r="G3" i="10" s="1"/>
  <c r="F3" i="10"/>
  <c r="O774" i="8" l="1"/>
  <c r="J1081" i="8"/>
  <c r="O798" i="8"/>
  <c r="O882" i="8"/>
  <c r="J577" i="8"/>
  <c r="O954" i="8"/>
  <c r="J241" i="8"/>
  <c r="J1261" i="8"/>
  <c r="J1165" i="8"/>
  <c r="O1146" i="8"/>
  <c r="J697" i="8"/>
  <c r="O546" i="8"/>
  <c r="J529" i="8"/>
  <c r="O534" i="8"/>
  <c r="J505" i="8"/>
  <c r="J469" i="8"/>
  <c r="O438" i="8"/>
  <c r="J409" i="8"/>
  <c r="J373" i="8"/>
  <c r="O342" i="8"/>
  <c r="J313" i="8"/>
  <c r="O246" i="8"/>
  <c r="O474" i="8"/>
  <c r="J289" i="8"/>
  <c r="J175" i="8"/>
  <c r="S11" i="6"/>
  <c r="O1062" i="8"/>
  <c r="O738" i="8"/>
  <c r="J889" i="8"/>
  <c r="J829" i="8"/>
  <c r="J817" i="8"/>
  <c r="O942" i="8"/>
  <c r="O1002" i="8"/>
  <c r="J613" i="8"/>
  <c r="O1242" i="8"/>
  <c r="J997" i="8"/>
  <c r="J805" i="8"/>
  <c r="O1038" i="8"/>
  <c r="O870" i="8"/>
  <c r="O786" i="8"/>
  <c r="J673" i="8"/>
  <c r="J1045" i="8"/>
  <c r="J985" i="8"/>
  <c r="J925" i="8"/>
  <c r="J757" i="8"/>
  <c r="O726" i="8"/>
  <c r="J1033" i="8"/>
  <c r="O990" i="8"/>
  <c r="O918" i="8"/>
  <c r="J553" i="8"/>
  <c r="J397" i="8"/>
  <c r="O270" i="8"/>
  <c r="O204" i="8"/>
  <c r="O834" i="8"/>
  <c r="J214" i="8"/>
  <c r="O219" i="8"/>
  <c r="O858" i="8"/>
  <c r="J3" i="6"/>
  <c r="D109" i="6"/>
  <c r="D105" i="6"/>
  <c r="D101" i="6"/>
  <c r="D97" i="6"/>
  <c r="D93" i="6"/>
  <c r="D89" i="6"/>
  <c r="D85" i="6"/>
  <c r="D81" i="6"/>
  <c r="D77" i="6"/>
  <c r="D73" i="6"/>
  <c r="D69" i="6"/>
  <c r="D65" i="6"/>
  <c r="D61" i="6"/>
  <c r="D57" i="6"/>
  <c r="D53" i="6"/>
  <c r="D49" i="6"/>
  <c r="D45" i="6"/>
  <c r="D41" i="6"/>
  <c r="D37" i="6"/>
  <c r="D33" i="6"/>
  <c r="D29" i="6"/>
  <c r="D25" i="6"/>
  <c r="D21" i="6"/>
  <c r="D19" i="6"/>
  <c r="D17" i="6"/>
  <c r="D107" i="6"/>
  <c r="D102" i="6"/>
  <c r="D96" i="6"/>
  <c r="D91" i="6"/>
  <c r="D86" i="6"/>
  <c r="D80" i="6"/>
  <c r="D75" i="6"/>
  <c r="D70" i="6"/>
  <c r="D64" i="6"/>
  <c r="D59" i="6"/>
  <c r="D54" i="6"/>
  <c r="D48" i="6"/>
  <c r="D43" i="6"/>
  <c r="D38" i="6"/>
  <c r="D32" i="6"/>
  <c r="D27" i="6"/>
  <c r="D22" i="6"/>
  <c r="D16" i="6"/>
  <c r="D15" i="6"/>
  <c r="D13" i="6"/>
  <c r="D11" i="6"/>
  <c r="D9" i="6"/>
  <c r="D7" i="6"/>
  <c r="D5" i="6"/>
  <c r="D111" i="6"/>
  <c r="D106" i="6"/>
  <c r="D100" i="6"/>
  <c r="D95" i="6"/>
  <c r="D90" i="6"/>
  <c r="D84" i="6"/>
  <c r="D79" i="6"/>
  <c r="D74" i="6"/>
  <c r="D68" i="6"/>
  <c r="D63" i="6"/>
  <c r="D58" i="6"/>
  <c r="D87" i="6"/>
  <c r="D83" i="6"/>
  <c r="D52" i="6"/>
  <c r="D50" i="6"/>
  <c r="D46" i="6"/>
  <c r="D39" i="6"/>
  <c r="D26" i="6"/>
  <c r="D20" i="6"/>
  <c r="D10" i="6"/>
  <c r="D8" i="6"/>
  <c r="D110" i="6"/>
  <c r="D82" i="6"/>
  <c r="D76" i="6"/>
  <c r="D42" i="6"/>
  <c r="D35" i="6"/>
  <c r="D28" i="6"/>
  <c r="D12" i="6"/>
  <c r="D103" i="6"/>
  <c r="D99" i="6"/>
  <c r="D51" i="6"/>
  <c r="D44" i="6"/>
  <c r="D40" i="6"/>
  <c r="D14" i="6"/>
  <c r="D4" i="6"/>
  <c r="D47" i="6"/>
  <c r="D71" i="6"/>
  <c r="D67" i="6"/>
  <c r="D98" i="6"/>
  <c r="D94" i="6"/>
  <c r="D92" i="6"/>
  <c r="D88" i="6"/>
  <c r="D66" i="6"/>
  <c r="D62" i="6"/>
  <c r="D60" i="6"/>
  <c r="D56" i="6"/>
  <c r="D36" i="6"/>
  <c r="D34" i="6"/>
  <c r="D30" i="6"/>
  <c r="D23" i="6"/>
  <c r="D6" i="6"/>
  <c r="D108" i="6"/>
  <c r="D104" i="6"/>
  <c r="D78" i="6"/>
  <c r="D72" i="6"/>
  <c r="D55" i="6"/>
  <c r="D31" i="6"/>
  <c r="D24" i="6"/>
  <c r="D18" i="6"/>
  <c r="H3" i="10"/>
  <c r="C4" i="10" s="1"/>
  <c r="J1249" i="8"/>
  <c r="O1218" i="8"/>
  <c r="J1153" i="8"/>
  <c r="O1122" i="8"/>
  <c r="J901" i="8"/>
  <c r="J1105" i="8"/>
  <c r="O894" i="8"/>
  <c r="J937" i="8"/>
  <c r="O846" i="8"/>
  <c r="O750" i="8"/>
  <c r="O702" i="8"/>
  <c r="O630" i="8"/>
  <c r="J541" i="8"/>
  <c r="J445" i="8"/>
  <c r="O282" i="8"/>
  <c r="E80" i="8"/>
  <c r="J80" i="8"/>
  <c r="V11" i="6" s="1"/>
  <c r="T11" i="6"/>
  <c r="J493" i="8"/>
  <c r="O594" i="8"/>
  <c r="J433" i="8"/>
  <c r="O330" i="8"/>
  <c r="J34" i="8"/>
  <c r="V7" i="6" s="1"/>
  <c r="A73" i="8"/>
  <c r="A7" i="6"/>
  <c r="A6" i="7"/>
  <c r="J68" i="8"/>
  <c r="V10" i="6" s="1"/>
  <c r="J183" i="8"/>
  <c r="J170" i="8"/>
  <c r="J124" i="8"/>
  <c r="J51" i="8"/>
  <c r="J74" i="8"/>
  <c r="J146" i="8"/>
  <c r="J113" i="8"/>
  <c r="J195" i="8"/>
  <c r="J31" i="8"/>
  <c r="J3" i="8"/>
  <c r="J6" i="8" s="1"/>
  <c r="V3" i="6" s="1"/>
  <c r="J101" i="8"/>
  <c r="J156" i="8"/>
  <c r="O810" i="8"/>
  <c r="J781" i="8"/>
  <c r="J973" i="8"/>
  <c r="J841" i="8"/>
  <c r="J745" i="8"/>
  <c r="O762" i="8"/>
  <c r="O570" i="8"/>
  <c r="O582" i="8"/>
  <c r="J187" i="8"/>
  <c r="O192" i="8"/>
  <c r="J104" i="8"/>
  <c r="O498" i="8"/>
  <c r="O154" i="8"/>
  <c r="B6" i="7"/>
  <c r="B7" i="6"/>
  <c r="I3" i="6"/>
  <c r="J56" i="8"/>
  <c r="V9" i="6" s="1"/>
  <c r="S9" i="6"/>
  <c r="J92" i="8"/>
  <c r="J1297" i="8"/>
  <c r="O1266" i="8"/>
  <c r="J1201" i="8"/>
  <c r="O1170" i="8"/>
  <c r="J877" i="8"/>
  <c r="J769" i="8"/>
  <c r="O690" i="8"/>
  <c r="J481" i="8"/>
  <c r="J301" i="8"/>
  <c r="F80" i="8"/>
  <c r="U11" i="6"/>
  <c r="O378" i="8"/>
  <c r="O318" i="8"/>
  <c r="O85" i="8"/>
  <c r="O142" i="8"/>
  <c r="J24" i="8"/>
  <c r="V6" i="6" s="1"/>
  <c r="B6" i="4"/>
  <c r="A85" i="8" l="1"/>
  <c r="M110" i="6"/>
  <c r="P110" i="6" s="1"/>
  <c r="M106" i="6"/>
  <c r="P106" i="6" s="1"/>
  <c r="M102" i="6"/>
  <c r="P102" i="6" s="1"/>
  <c r="M98" i="6"/>
  <c r="P98" i="6" s="1"/>
  <c r="M94" i="6"/>
  <c r="P94" i="6" s="1"/>
  <c r="M90" i="6"/>
  <c r="P90" i="6" s="1"/>
  <c r="M86" i="6"/>
  <c r="P86" i="6" s="1"/>
  <c r="M82" i="6"/>
  <c r="P82" i="6" s="1"/>
  <c r="M78" i="6"/>
  <c r="P78" i="6" s="1"/>
  <c r="M74" i="6"/>
  <c r="P74" i="6" s="1"/>
  <c r="M70" i="6"/>
  <c r="P70" i="6" s="1"/>
  <c r="M66" i="6"/>
  <c r="P66" i="6" s="1"/>
  <c r="M62" i="6"/>
  <c r="P62" i="6" s="1"/>
  <c r="M58" i="6"/>
  <c r="P58" i="6" s="1"/>
  <c r="M54" i="6"/>
  <c r="P54" i="6" s="1"/>
  <c r="M50" i="6"/>
  <c r="P50" i="6" s="1"/>
  <c r="M46" i="6"/>
  <c r="P46" i="6" s="1"/>
  <c r="M42" i="6"/>
  <c r="P42" i="6" s="1"/>
  <c r="M38" i="6"/>
  <c r="P38" i="6" s="1"/>
  <c r="M34" i="6"/>
  <c r="P34" i="6" s="1"/>
  <c r="M30" i="6"/>
  <c r="P30" i="6" s="1"/>
  <c r="M26" i="6"/>
  <c r="P26" i="6" s="1"/>
  <c r="M22" i="6"/>
  <c r="P22" i="6" s="1"/>
  <c r="M108" i="6"/>
  <c r="P108" i="6" s="1"/>
  <c r="M105" i="6"/>
  <c r="P105" i="6" s="1"/>
  <c r="M103" i="6"/>
  <c r="P103" i="6" s="1"/>
  <c r="M92" i="6"/>
  <c r="P92" i="6" s="1"/>
  <c r="M89" i="6"/>
  <c r="P89" i="6" s="1"/>
  <c r="M87" i="6"/>
  <c r="P87" i="6" s="1"/>
  <c r="M76" i="6"/>
  <c r="P76" i="6" s="1"/>
  <c r="M73" i="6"/>
  <c r="P73" i="6" s="1"/>
  <c r="M71" i="6"/>
  <c r="P71" i="6" s="1"/>
  <c r="M60" i="6"/>
  <c r="P60" i="6" s="1"/>
  <c r="M57" i="6"/>
  <c r="P57" i="6" s="1"/>
  <c r="M55" i="6"/>
  <c r="P55" i="6" s="1"/>
  <c r="M44" i="6"/>
  <c r="P44" i="6" s="1"/>
  <c r="M41" i="6"/>
  <c r="P41" i="6" s="1"/>
  <c r="M39" i="6"/>
  <c r="P39" i="6" s="1"/>
  <c r="M28" i="6"/>
  <c r="P28" i="6" s="1"/>
  <c r="M25" i="6"/>
  <c r="P25" i="6" s="1"/>
  <c r="M23" i="6"/>
  <c r="P23" i="6" s="1"/>
  <c r="M19" i="6"/>
  <c r="P19" i="6" s="1"/>
  <c r="M18" i="6"/>
  <c r="P18" i="6" s="1"/>
  <c r="M109" i="6"/>
  <c r="P109" i="6" s="1"/>
  <c r="M107" i="6"/>
  <c r="P107" i="6" s="1"/>
  <c r="M96" i="6"/>
  <c r="P96" i="6" s="1"/>
  <c r="M93" i="6"/>
  <c r="P93" i="6" s="1"/>
  <c r="M91" i="6"/>
  <c r="P91" i="6" s="1"/>
  <c r="M80" i="6"/>
  <c r="P80" i="6" s="1"/>
  <c r="M77" i="6"/>
  <c r="P77" i="6" s="1"/>
  <c r="M75" i="6"/>
  <c r="P75" i="6" s="1"/>
  <c r="M64" i="6"/>
  <c r="P64" i="6" s="1"/>
  <c r="M61" i="6"/>
  <c r="P61" i="6" s="1"/>
  <c r="M59" i="6"/>
  <c r="P59" i="6" s="1"/>
  <c r="M111" i="6"/>
  <c r="P111" i="6" s="1"/>
  <c r="M88" i="6"/>
  <c r="P88" i="6" s="1"/>
  <c r="M79" i="6"/>
  <c r="P79" i="6" s="1"/>
  <c r="M56" i="6"/>
  <c r="P56" i="6" s="1"/>
  <c r="M52" i="6"/>
  <c r="P52" i="6" s="1"/>
  <c r="M20" i="6"/>
  <c r="P20" i="6" s="1"/>
  <c r="M17" i="6"/>
  <c r="P17" i="6" s="1"/>
  <c r="M16" i="6"/>
  <c r="P16" i="6" s="1"/>
  <c r="M13" i="6"/>
  <c r="P13" i="6" s="1"/>
  <c r="M12" i="6"/>
  <c r="P12" i="6" s="1"/>
  <c r="M81" i="6"/>
  <c r="P81" i="6" s="1"/>
  <c r="M31" i="6"/>
  <c r="P31" i="6" s="1"/>
  <c r="M27" i="6"/>
  <c r="P27" i="6" s="1"/>
  <c r="M24" i="6"/>
  <c r="P24" i="6" s="1"/>
  <c r="M14" i="6"/>
  <c r="P14" i="6" s="1"/>
  <c r="M3" i="6"/>
  <c r="P3" i="6" s="1"/>
  <c r="Y3" i="6" s="1"/>
  <c r="M104" i="6"/>
  <c r="P104" i="6" s="1"/>
  <c r="M95" i="6"/>
  <c r="P95" i="6" s="1"/>
  <c r="M47" i="6"/>
  <c r="P47" i="6" s="1"/>
  <c r="M37" i="6"/>
  <c r="P37" i="6" s="1"/>
  <c r="M32" i="6"/>
  <c r="P32" i="6" s="1"/>
  <c r="M7" i="6"/>
  <c r="P7" i="6" s="1"/>
  <c r="I35" i="8" s="1"/>
  <c r="I36" i="8" s="1"/>
  <c r="Y7" i="6" s="1"/>
  <c r="M6" i="6"/>
  <c r="P6" i="6" s="1"/>
  <c r="Y6" i="6" s="1"/>
  <c r="M72" i="6"/>
  <c r="P72" i="6" s="1"/>
  <c r="M51" i="6"/>
  <c r="P51" i="6" s="1"/>
  <c r="M45" i="6"/>
  <c r="P45" i="6" s="1"/>
  <c r="M63" i="6"/>
  <c r="P63" i="6" s="1"/>
  <c r="M43" i="6"/>
  <c r="P43" i="6" s="1"/>
  <c r="M40" i="6"/>
  <c r="P40" i="6" s="1"/>
  <c r="M33" i="6"/>
  <c r="P33" i="6" s="1"/>
  <c r="M9" i="6"/>
  <c r="P9" i="6" s="1"/>
  <c r="M5" i="6"/>
  <c r="P5" i="6" s="1"/>
  <c r="M99" i="6"/>
  <c r="P99" i="6" s="1"/>
  <c r="M97" i="6"/>
  <c r="P97" i="6" s="1"/>
  <c r="M85" i="6"/>
  <c r="P85" i="6" s="1"/>
  <c r="M84" i="6"/>
  <c r="P84" i="6" s="1"/>
  <c r="M67" i="6"/>
  <c r="P67" i="6" s="1"/>
  <c r="M65" i="6"/>
  <c r="P65" i="6" s="1"/>
  <c r="M53" i="6"/>
  <c r="P53" i="6" s="1"/>
  <c r="M49" i="6"/>
  <c r="P49" i="6" s="1"/>
  <c r="M48" i="6"/>
  <c r="P48" i="6" s="1"/>
  <c r="M36" i="6"/>
  <c r="P36" i="6" s="1"/>
  <c r="M11" i="6"/>
  <c r="P11" i="6" s="1"/>
  <c r="M10" i="6"/>
  <c r="P10" i="6" s="1"/>
  <c r="M8" i="6"/>
  <c r="P8" i="6" s="1"/>
  <c r="I45" i="8" s="1"/>
  <c r="I46" i="8" s="1"/>
  <c r="Y8" i="6" s="1"/>
  <c r="M4" i="6"/>
  <c r="P4" i="6" s="1"/>
  <c r="Y4" i="6" s="1"/>
  <c r="M101" i="6"/>
  <c r="P101" i="6" s="1"/>
  <c r="M100" i="6"/>
  <c r="P100" i="6" s="1"/>
  <c r="M83" i="6"/>
  <c r="P83" i="6" s="1"/>
  <c r="M69" i="6"/>
  <c r="P69" i="6" s="1"/>
  <c r="M68" i="6"/>
  <c r="P68" i="6" s="1"/>
  <c r="M35" i="6"/>
  <c r="P35" i="6" s="1"/>
  <c r="M29" i="6"/>
  <c r="P29" i="6" s="1"/>
  <c r="M21" i="6"/>
  <c r="P21" i="6" s="1"/>
  <c r="M15" i="6"/>
  <c r="P15" i="6" s="1"/>
  <c r="N3" i="6"/>
  <c r="B8" i="6"/>
  <c r="B7" i="7"/>
  <c r="E4" i="10"/>
  <c r="G4" i="10" s="1"/>
  <c r="H4" i="10" s="1"/>
  <c r="C5" i="10" s="1"/>
  <c r="F4" i="10"/>
  <c r="A7" i="7"/>
  <c r="A8" i="6"/>
  <c r="F5" i="10" l="1"/>
  <c r="E5" i="10"/>
  <c r="G5" i="10" s="1"/>
  <c r="H5" i="10" s="1"/>
  <c r="C6" i="10" s="1"/>
  <c r="A97" i="8"/>
  <c r="B8" i="7"/>
  <c r="B9" i="6"/>
  <c r="W3" i="6"/>
  <c r="Z3" i="6" s="1"/>
  <c r="AA3" i="6" s="1"/>
  <c r="C4" i="6" s="1"/>
  <c r="K3" i="6"/>
  <c r="Q3" i="6"/>
  <c r="I25" i="8"/>
  <c r="I26" i="8" s="1"/>
  <c r="Y5" i="6"/>
  <c r="A8" i="7"/>
  <c r="A9" i="6"/>
  <c r="E6" i="10" l="1"/>
  <c r="G6" i="10" s="1"/>
  <c r="H6" i="10" s="1"/>
  <c r="C7" i="10" s="1"/>
  <c r="F6" i="10"/>
  <c r="B9" i="7"/>
  <c r="B10" i="6"/>
  <c r="I57" i="8"/>
  <c r="I58" i="8" s="1"/>
  <c r="Y9" i="6" s="1"/>
  <c r="AC4" i="6"/>
  <c r="G4" i="6"/>
  <c r="E4" i="6"/>
  <c r="H4" i="6" s="1"/>
  <c r="A9" i="7"/>
  <c r="A10" i="6"/>
  <c r="H57" i="8"/>
  <c r="H58" i="8" s="1"/>
  <c r="X9" i="6" s="1"/>
  <c r="H69" i="8"/>
  <c r="H70" i="8" s="1"/>
  <c r="X10" i="6" s="1"/>
  <c r="A109" i="8"/>
  <c r="F7" i="10" l="1"/>
  <c r="E7" i="10"/>
  <c r="G7" i="10" s="1"/>
  <c r="H7" i="10" s="1"/>
  <c r="C8" i="10" s="1"/>
  <c r="A10" i="7"/>
  <c r="A11" i="6"/>
  <c r="H81" i="8"/>
  <c r="H82" i="8" s="1"/>
  <c r="X11" i="6" s="1"/>
  <c r="I69" i="8"/>
  <c r="I70" i="8" s="1"/>
  <c r="Y10" i="6" s="1"/>
  <c r="J4" i="6"/>
  <c r="I4" i="6"/>
  <c r="N4" i="6" s="1"/>
  <c r="B10" i="7"/>
  <c r="B11" i="6"/>
  <c r="A121" i="8"/>
  <c r="E8" i="10" l="1"/>
  <c r="G8" i="10" s="1"/>
  <c r="H8" i="10" s="1"/>
  <c r="C9" i="10" s="1"/>
  <c r="F8" i="10"/>
  <c r="A130" i="8"/>
  <c r="K4" i="6"/>
  <c r="W4" i="6"/>
  <c r="Z4" i="6" s="1"/>
  <c r="AA4" i="6" s="1"/>
  <c r="C5" i="6" s="1"/>
  <c r="Q4" i="6"/>
  <c r="B11" i="7"/>
  <c r="B12" i="6"/>
  <c r="A11" i="7"/>
  <c r="A12" i="6"/>
  <c r="I81" i="8"/>
  <c r="I82" i="8" s="1"/>
  <c r="Y11" i="6" s="1"/>
  <c r="H93" i="8"/>
  <c r="H94" i="8" s="1"/>
  <c r="F9" i="10" l="1"/>
  <c r="E9" i="10"/>
  <c r="G9" i="10" s="1"/>
  <c r="H9" i="10" s="1"/>
  <c r="C10" i="10" s="1"/>
  <c r="A12" i="7"/>
  <c r="U12" i="6"/>
  <c r="A13" i="6"/>
  <c r="S12" i="6"/>
  <c r="V12" i="6"/>
  <c r="T12" i="6"/>
  <c r="R85" i="8"/>
  <c r="V85" i="8" s="1"/>
  <c r="Y12" i="6" s="1"/>
  <c r="I93" i="8"/>
  <c r="I94" i="8" s="1"/>
  <c r="Q85" i="8"/>
  <c r="U85" i="8" s="1"/>
  <c r="X12" i="6" s="1"/>
  <c r="A142" i="8"/>
  <c r="G5" i="6"/>
  <c r="I5" i="6" s="1"/>
  <c r="N5" i="6" s="1"/>
  <c r="AC5" i="6"/>
  <c r="E5" i="6"/>
  <c r="H5" i="6" s="1"/>
  <c r="B12" i="7"/>
  <c r="B13" i="6"/>
  <c r="E10" i="10" l="1"/>
  <c r="G10" i="10" s="1"/>
  <c r="F10" i="10"/>
  <c r="G25" i="8"/>
  <c r="G26" i="8" s="1"/>
  <c r="W5" i="6"/>
  <c r="Z5" i="6" s="1"/>
  <c r="AA5" i="6" s="1"/>
  <c r="C6" i="6" s="1"/>
  <c r="Q5" i="6"/>
  <c r="J25" i="8" s="1"/>
  <c r="J26" i="8" s="1"/>
  <c r="K5" i="6"/>
  <c r="B13" i="7"/>
  <c r="B14" i="6"/>
  <c r="A13" i="7"/>
  <c r="S13" i="6"/>
  <c r="A14" i="6"/>
  <c r="T13" i="6"/>
  <c r="V13" i="6"/>
  <c r="U13" i="6"/>
  <c r="Q97" i="8"/>
  <c r="X13" i="6" s="1"/>
  <c r="I105" i="8"/>
  <c r="I106" i="8" s="1"/>
  <c r="H105" i="8"/>
  <c r="H106" i="8" s="1"/>
  <c r="R97" i="8"/>
  <c r="Y13" i="6" s="1"/>
  <c r="J5" i="6"/>
  <c r="A154" i="8"/>
  <c r="A167" i="8" l="1"/>
  <c r="AC6" i="6"/>
  <c r="G6" i="6"/>
  <c r="E6" i="6"/>
  <c r="H6" i="6" s="1"/>
  <c r="U14" i="6"/>
  <c r="T14" i="6"/>
  <c r="A14" i="7"/>
  <c r="V14" i="6"/>
  <c r="A15" i="6"/>
  <c r="S14" i="6"/>
  <c r="Q109" i="8"/>
  <c r="X14" i="6" s="1"/>
  <c r="R121" i="8"/>
  <c r="H117" i="8"/>
  <c r="H118" i="8" s="1"/>
  <c r="I117" i="8"/>
  <c r="I118" i="8" s="1"/>
  <c r="R109" i="8"/>
  <c r="Y14" i="6" s="1"/>
  <c r="B14" i="7"/>
  <c r="B15" i="6"/>
  <c r="H10" i="10"/>
  <c r="C11" i="10" s="1"/>
  <c r="I6" i="6" l="1"/>
  <c r="N6" i="6" s="1"/>
  <c r="W6" i="6" s="1"/>
  <c r="Z6" i="6" s="1"/>
  <c r="AA6" i="6" s="1"/>
  <c r="C7" i="6" s="1"/>
  <c r="F11" i="10"/>
  <c r="E11" i="10"/>
  <c r="G11" i="10" s="1"/>
  <c r="H11" i="10" s="1"/>
  <c r="C12" i="10" s="1"/>
  <c r="B16" i="6"/>
  <c r="B15" i="7"/>
  <c r="S15" i="6"/>
  <c r="A15" i="7"/>
  <c r="U15" i="6"/>
  <c r="A16" i="6"/>
  <c r="T15" i="6"/>
  <c r="X15" i="6"/>
  <c r="V15" i="6"/>
  <c r="Y15" i="6"/>
  <c r="Q121" i="8"/>
  <c r="J6" i="6"/>
  <c r="A180" i="8"/>
  <c r="K6" i="6" l="1"/>
  <c r="Q6" i="6"/>
  <c r="E12" i="10"/>
  <c r="G12" i="10" s="1"/>
  <c r="F12" i="10"/>
  <c r="A192" i="8"/>
  <c r="G7" i="6"/>
  <c r="AC7" i="6"/>
  <c r="E7" i="6"/>
  <c r="H7" i="6" s="1"/>
  <c r="B17" i="6"/>
  <c r="B16" i="7"/>
  <c r="U16" i="6"/>
  <c r="A16" i="7"/>
  <c r="T16" i="6"/>
  <c r="S16" i="6"/>
  <c r="A17" i="6"/>
  <c r="V16" i="6"/>
  <c r="H138" i="8"/>
  <c r="H139" i="8" s="1"/>
  <c r="I138" i="8"/>
  <c r="I139" i="8" s="1"/>
  <c r="Q130" i="8"/>
  <c r="X16" i="6" s="1"/>
  <c r="R130" i="8"/>
  <c r="Y16" i="6" s="1"/>
  <c r="A204" i="8" l="1"/>
  <c r="J7" i="6"/>
  <c r="A17" i="7"/>
  <c r="S17" i="6"/>
  <c r="U17" i="6"/>
  <c r="T17" i="6"/>
  <c r="A18" i="6"/>
  <c r="V17" i="6"/>
  <c r="R142" i="8"/>
  <c r="Y17" i="6" s="1"/>
  <c r="H163" i="8"/>
  <c r="H164" i="8" s="1"/>
  <c r="Q142" i="8"/>
  <c r="X17" i="6" s="1"/>
  <c r="I150" i="8"/>
  <c r="I151" i="8" s="1"/>
  <c r="H150" i="8"/>
  <c r="H151" i="8" s="1"/>
  <c r="I7" i="6"/>
  <c r="N7" i="6" s="1"/>
  <c r="B18" i="6"/>
  <c r="B17" i="7"/>
  <c r="H12" i="10"/>
  <c r="C13" i="10" s="1"/>
  <c r="R154" i="8"/>
  <c r="F13" i="10" l="1"/>
  <c r="E13" i="10"/>
  <c r="G13" i="10" s="1"/>
  <c r="H13" i="10" s="1"/>
  <c r="C14" i="10" s="1"/>
  <c r="A219" i="8"/>
  <c r="G35" i="8"/>
  <c r="G36" i="8" s="1"/>
  <c r="W7" i="6" s="1"/>
  <c r="Q7" i="6"/>
  <c r="J35" i="8" s="1"/>
  <c r="J36" i="8" s="1"/>
  <c r="Z7" i="6" s="1"/>
  <c r="AA7" i="6" s="1"/>
  <c r="C8" i="6" s="1"/>
  <c r="K7" i="6"/>
  <c r="B19" i="6"/>
  <c r="B18" i="7"/>
  <c r="A18" i="7"/>
  <c r="Y18" i="6"/>
  <c r="U18" i="6"/>
  <c r="A19" i="6"/>
  <c r="S18" i="6"/>
  <c r="V18" i="6"/>
  <c r="T18" i="6"/>
  <c r="I163" i="8"/>
  <c r="I164" i="8" s="1"/>
  <c r="Q154" i="8"/>
  <c r="X18" i="6" s="1"/>
  <c r="E14" i="10" l="1"/>
  <c r="G14" i="10" s="1"/>
  <c r="F14" i="10"/>
  <c r="AC8" i="6"/>
  <c r="G8" i="6"/>
  <c r="E8" i="6"/>
  <c r="H8" i="6" s="1"/>
  <c r="S19" i="6"/>
  <c r="A19" i="7"/>
  <c r="A20" i="6"/>
  <c r="T19" i="6"/>
  <c r="V19" i="6"/>
  <c r="U19" i="6"/>
  <c r="I176" i="8"/>
  <c r="I177" i="8" s="1"/>
  <c r="H188" i="8"/>
  <c r="H189" i="8" s="1"/>
  <c r="R180" i="8"/>
  <c r="Q167" i="8"/>
  <c r="X19" i="6" s="1"/>
  <c r="H176" i="8"/>
  <c r="H177" i="8" s="1"/>
  <c r="R167" i="8"/>
  <c r="Y19" i="6" s="1"/>
  <c r="B20" i="6"/>
  <c r="B19" i="7"/>
  <c r="A234" i="8"/>
  <c r="I8" i="6" l="1"/>
  <c r="N8" i="6" s="1"/>
  <c r="Q8" i="6" s="1"/>
  <c r="J45" i="8" s="1"/>
  <c r="J46" i="8" s="1"/>
  <c r="Z8" i="6" s="1"/>
  <c r="AA8" i="6" s="1"/>
  <c r="C9" i="6" s="1"/>
  <c r="B21" i="6"/>
  <c r="B20" i="7"/>
  <c r="J8" i="6"/>
  <c r="A246" i="8"/>
  <c r="A20" i="7"/>
  <c r="Y20" i="6"/>
  <c r="U20" i="6"/>
  <c r="T20" i="6"/>
  <c r="V20" i="6"/>
  <c r="S20" i="6"/>
  <c r="A21" i="6"/>
  <c r="R192" i="8"/>
  <c r="I188" i="8"/>
  <c r="I189" i="8" s="1"/>
  <c r="Q180" i="8"/>
  <c r="X20" i="6" s="1"/>
  <c r="I200" i="8"/>
  <c r="I201" i="8" s="1"/>
  <c r="G45" i="8"/>
  <c r="G46" i="8" s="1"/>
  <c r="W8" i="6" s="1"/>
  <c r="K8" i="6"/>
  <c r="H14" i="10"/>
  <c r="C15" i="10" s="1"/>
  <c r="G9" i="6" l="1"/>
  <c r="AC9" i="6"/>
  <c r="E9" i="6"/>
  <c r="H9" i="6" s="1"/>
  <c r="F15" i="10"/>
  <c r="E15" i="10"/>
  <c r="G15" i="10" s="1"/>
  <c r="A21" i="7"/>
  <c r="S21" i="6"/>
  <c r="U21" i="6"/>
  <c r="A22" i="6"/>
  <c r="V21" i="6"/>
  <c r="Y21" i="6"/>
  <c r="X21" i="6"/>
  <c r="T21" i="6"/>
  <c r="H215" i="8"/>
  <c r="H216" i="8" s="1"/>
  <c r="Q192" i="8"/>
  <c r="H200" i="8"/>
  <c r="H201" i="8" s="1"/>
  <c r="Q204" i="8"/>
  <c r="I215" i="8"/>
  <c r="I216" i="8" s="1"/>
  <c r="A258" i="8"/>
  <c r="B21" i="7"/>
  <c r="B22" i="6"/>
  <c r="J9" i="6" l="1"/>
  <c r="H15" i="10"/>
  <c r="C16" i="10" s="1"/>
  <c r="B23" i="6"/>
  <c r="B22" i="7"/>
  <c r="I9" i="6"/>
  <c r="N9" i="6" s="1"/>
  <c r="A270" i="8"/>
  <c r="A22" i="7"/>
  <c r="V22" i="6"/>
  <c r="S22" i="6"/>
  <c r="X22" i="6"/>
  <c r="U22" i="6"/>
  <c r="T22" i="6"/>
  <c r="A23" i="6"/>
  <c r="R204" i="8"/>
  <c r="Y22" i="6" s="1"/>
  <c r="A23" i="7" l="1"/>
  <c r="A24" i="6"/>
  <c r="U23" i="6"/>
  <c r="S23" i="6"/>
  <c r="T23" i="6"/>
  <c r="V23" i="6"/>
  <c r="H242" i="8"/>
  <c r="H243" i="8" s="1"/>
  <c r="Q219" i="8"/>
  <c r="X23" i="6" s="1"/>
  <c r="R219" i="8"/>
  <c r="Y23" i="6" s="1"/>
  <c r="H230" i="8"/>
  <c r="H231" i="8" s="1"/>
  <c r="I230" i="8"/>
  <c r="I231" i="8" s="1"/>
  <c r="B23" i="7"/>
  <c r="B24" i="6"/>
  <c r="A282" i="8"/>
  <c r="R234" i="8"/>
  <c r="Q234" i="8"/>
  <c r="Q9" i="6"/>
  <c r="J57" i="8" s="1"/>
  <c r="J58" i="8" s="1"/>
  <c r="Z9" i="6" s="1"/>
  <c r="AA9" i="6" s="1"/>
  <c r="C10" i="6" s="1"/>
  <c r="K9" i="6"/>
  <c r="G57" i="8"/>
  <c r="G58" i="8" s="1"/>
  <c r="W9" i="6" s="1"/>
  <c r="E16" i="10"/>
  <c r="G16" i="10" s="1"/>
  <c r="H16" i="10" s="1"/>
  <c r="C17" i="10" s="1"/>
  <c r="F16" i="10"/>
  <c r="I242" i="8"/>
  <c r="I243" i="8" s="1"/>
  <c r="F17" i="10" l="1"/>
  <c r="E17" i="10"/>
  <c r="G17" i="10" s="1"/>
  <c r="H17" i="10" s="1"/>
  <c r="C18" i="10" s="1"/>
  <c r="B24" i="7"/>
  <c r="B25" i="6"/>
  <c r="AC10" i="6"/>
  <c r="G10" i="6"/>
  <c r="E10" i="6"/>
  <c r="H10" i="6" s="1"/>
  <c r="A24" i="7"/>
  <c r="X24" i="6"/>
  <c r="T24" i="6"/>
  <c r="A25" i="6"/>
  <c r="Y24" i="6"/>
  <c r="S24" i="6"/>
  <c r="V24" i="6"/>
  <c r="U24" i="6"/>
  <c r="A294" i="8"/>
  <c r="I10" i="6" l="1"/>
  <c r="N10" i="6" s="1"/>
  <c r="G69" i="8" s="1"/>
  <c r="G70" i="8" s="1"/>
  <c r="W10" i="6" s="1"/>
  <c r="E18" i="10"/>
  <c r="G18" i="10" s="1"/>
  <c r="H18" i="10" s="1"/>
  <c r="C19" i="10" s="1"/>
  <c r="F18" i="10"/>
  <c r="Q10" i="6"/>
  <c r="J69" i="8" s="1"/>
  <c r="J70" i="8" s="1"/>
  <c r="Z10" i="6" s="1"/>
  <c r="AA10" i="6" s="1"/>
  <c r="C11" i="6" s="1"/>
  <c r="A306" i="8"/>
  <c r="S25" i="6"/>
  <c r="T25" i="6"/>
  <c r="A26" i="6"/>
  <c r="U25" i="6"/>
  <c r="A25" i="7"/>
  <c r="V25" i="6"/>
  <c r="R246" i="8"/>
  <c r="Y25" i="6" s="1"/>
  <c r="H254" i="8"/>
  <c r="H255" i="8" s="1"/>
  <c r="H266" i="8"/>
  <c r="H267" i="8" s="1"/>
  <c r="I254" i="8"/>
  <c r="I255" i="8" s="1"/>
  <c r="Q246" i="8"/>
  <c r="X25" i="6" s="1"/>
  <c r="I266" i="8"/>
  <c r="I267" i="8" s="1"/>
  <c r="Q258" i="8"/>
  <c r="J10" i="6"/>
  <c r="B26" i="6"/>
  <c r="B25" i="7"/>
  <c r="K10" i="6" l="1"/>
  <c r="F19" i="10"/>
  <c r="E19" i="10"/>
  <c r="G19" i="10" s="1"/>
  <c r="H19" i="10" s="1"/>
  <c r="C20" i="10" s="1"/>
  <c r="B27" i="6"/>
  <c r="B26" i="7"/>
  <c r="AC11" i="6"/>
  <c r="E11" i="6"/>
  <c r="H11" i="6" s="1"/>
  <c r="G11" i="6"/>
  <c r="R258" i="8"/>
  <c r="A26" i="7"/>
  <c r="V26" i="6"/>
  <c r="U26" i="6"/>
  <c r="Y26" i="6"/>
  <c r="S26" i="6"/>
  <c r="X26" i="6"/>
  <c r="A27" i="6"/>
  <c r="T26" i="6"/>
  <c r="A318" i="8"/>
  <c r="I11" i="6" l="1"/>
  <c r="N11" i="6" s="1"/>
  <c r="Q11" i="6" s="1"/>
  <c r="J81" i="8" s="1"/>
  <c r="J82" i="8" s="1"/>
  <c r="Z11" i="6" s="1"/>
  <c r="AA11" i="6" s="1"/>
  <c r="C12" i="6" s="1"/>
  <c r="E20" i="10"/>
  <c r="G20" i="10" s="1"/>
  <c r="H20" i="10" s="1"/>
  <c r="C21" i="10" s="1"/>
  <c r="F20" i="10"/>
  <c r="B27" i="7"/>
  <c r="B28" i="6"/>
  <c r="J11" i="6"/>
  <c r="A330" i="8"/>
  <c r="A27" i="7"/>
  <c r="A28" i="6"/>
  <c r="U27" i="6"/>
  <c r="V27" i="6"/>
  <c r="S27" i="6"/>
  <c r="T27" i="6"/>
  <c r="I278" i="8"/>
  <c r="I279" i="8" s="1"/>
  <c r="R270" i="8"/>
  <c r="Y27" i="6" s="1"/>
  <c r="Q270" i="8"/>
  <c r="X27" i="6" s="1"/>
  <c r="H278" i="8"/>
  <c r="H279" i="8" s="1"/>
  <c r="K11" i="6" l="1"/>
  <c r="AC12" i="6"/>
  <c r="G12" i="6"/>
  <c r="E12" i="6"/>
  <c r="H12" i="6" s="1"/>
  <c r="F21" i="10"/>
  <c r="E21" i="10"/>
  <c r="G21" i="10" s="1"/>
  <c r="H21" i="10" s="1"/>
  <c r="C22" i="10" s="1"/>
  <c r="A28" i="7"/>
  <c r="T28" i="6"/>
  <c r="V28" i="6"/>
  <c r="U28" i="6"/>
  <c r="S28" i="6"/>
  <c r="A29" i="6"/>
  <c r="Q282" i="8"/>
  <c r="X28" i="6" s="1"/>
  <c r="I290" i="8"/>
  <c r="I291" i="8" s="1"/>
  <c r="R282" i="8"/>
  <c r="Y28" i="6" s="1"/>
  <c r="H290" i="8"/>
  <c r="H291" i="8" s="1"/>
  <c r="Q294" i="8"/>
  <c r="A342" i="8"/>
  <c r="B28" i="7"/>
  <c r="B29" i="6"/>
  <c r="R294" i="8"/>
  <c r="E22" i="10" l="1"/>
  <c r="G22" i="10" s="1"/>
  <c r="F22" i="10"/>
  <c r="S29" i="6"/>
  <c r="A30" i="6"/>
  <c r="X29" i="6"/>
  <c r="A29" i="7"/>
  <c r="V29" i="6"/>
  <c r="T29" i="6"/>
  <c r="Y29" i="6"/>
  <c r="U29" i="6"/>
  <c r="H302" i="8"/>
  <c r="H303" i="8" s="1"/>
  <c r="I302" i="8"/>
  <c r="I303" i="8" s="1"/>
  <c r="J12" i="6"/>
  <c r="B29" i="7"/>
  <c r="B30" i="6"/>
  <c r="I12" i="6"/>
  <c r="N12" i="6" s="1"/>
  <c r="A354" i="8"/>
  <c r="K12" i="6" l="1"/>
  <c r="Q12" i="6"/>
  <c r="J93" i="8" s="1"/>
  <c r="J94" i="8" s="1"/>
  <c r="G93" i="8"/>
  <c r="G94" i="8" s="1"/>
  <c r="P85" i="8"/>
  <c r="T85" i="8" s="1"/>
  <c r="W12" i="6" s="1"/>
  <c r="A366" i="8"/>
  <c r="B31" i="6"/>
  <c r="B30" i="7"/>
  <c r="A30" i="7"/>
  <c r="V30" i="6"/>
  <c r="T30" i="6"/>
  <c r="S30" i="6"/>
  <c r="A31" i="6"/>
  <c r="U30" i="6"/>
  <c r="H314" i="8"/>
  <c r="H315" i="8" s="1"/>
  <c r="Q306" i="8"/>
  <c r="X30" i="6" s="1"/>
  <c r="I314" i="8"/>
  <c r="I315" i="8" s="1"/>
  <c r="R318" i="8"/>
  <c r="R306" i="8"/>
  <c r="Y30" i="6" s="1"/>
  <c r="H326" i="8"/>
  <c r="H327" i="8" s="1"/>
  <c r="Q318" i="8"/>
  <c r="H22" i="10"/>
  <c r="C23" i="10" s="1"/>
  <c r="F23" i="10" l="1"/>
  <c r="E23" i="10"/>
  <c r="G23" i="10" s="1"/>
  <c r="H23" i="10" s="1"/>
  <c r="C24" i="10" s="1"/>
  <c r="A31" i="7"/>
  <c r="A32" i="6"/>
  <c r="Y31" i="6"/>
  <c r="U31" i="6"/>
  <c r="V31" i="6"/>
  <c r="T31" i="6"/>
  <c r="X31" i="6"/>
  <c r="S31" i="6"/>
  <c r="I326" i="8"/>
  <c r="I327" i="8" s="1"/>
  <c r="B31" i="7"/>
  <c r="B32" i="6"/>
  <c r="A378" i="8"/>
  <c r="E24" i="10" l="1"/>
  <c r="G24" i="10" s="1"/>
  <c r="F24" i="10"/>
  <c r="A32" i="7"/>
  <c r="T32" i="6"/>
  <c r="V32" i="6"/>
  <c r="A33" i="6"/>
  <c r="S32" i="6"/>
  <c r="U32" i="6"/>
  <c r="H338" i="8"/>
  <c r="H339" i="8" s="1"/>
  <c r="I338" i="8"/>
  <c r="I339" i="8" s="1"/>
  <c r="Q330" i="8"/>
  <c r="X32" i="6" s="1"/>
  <c r="R330" i="8"/>
  <c r="Y32" i="6" s="1"/>
  <c r="A390" i="8"/>
  <c r="B32" i="7"/>
  <c r="B33" i="6"/>
  <c r="B33" i="7" l="1"/>
  <c r="B34" i="6"/>
  <c r="S33" i="6"/>
  <c r="A33" i="7"/>
  <c r="V33" i="6"/>
  <c r="A34" i="6"/>
  <c r="U33" i="6"/>
  <c r="T33" i="6"/>
  <c r="H350" i="8"/>
  <c r="H351" i="8" s="1"/>
  <c r="R342" i="8"/>
  <c r="Y33" i="6" s="1"/>
  <c r="I350" i="8"/>
  <c r="I351" i="8" s="1"/>
  <c r="Q342" i="8"/>
  <c r="X33" i="6" s="1"/>
  <c r="R354" i="8"/>
  <c r="A402" i="8"/>
  <c r="H24" i="10"/>
  <c r="C25" i="10" s="1"/>
  <c r="A34" i="7" l="1"/>
  <c r="V34" i="6"/>
  <c r="A35" i="6"/>
  <c r="S34" i="6"/>
  <c r="T34" i="6"/>
  <c r="U34" i="6"/>
  <c r="Y34" i="6"/>
  <c r="H374" i="8"/>
  <c r="H375" i="8" s="1"/>
  <c r="Q354" i="8"/>
  <c r="X34" i="6" s="1"/>
  <c r="I374" i="8"/>
  <c r="I375" i="8" s="1"/>
  <c r="F25" i="10"/>
  <c r="E25" i="10"/>
  <c r="G25" i="10" s="1"/>
  <c r="H25" i="10" s="1"/>
  <c r="C26" i="10" s="1"/>
  <c r="R366" i="8"/>
  <c r="H362" i="8"/>
  <c r="H363" i="8" s="1"/>
  <c r="B35" i="6"/>
  <c r="B34" i="7"/>
  <c r="A414" i="8"/>
  <c r="Q366" i="8"/>
  <c r="I362" i="8"/>
  <c r="I363" i="8" s="1"/>
  <c r="E26" i="10" l="1"/>
  <c r="G26" i="10" s="1"/>
  <c r="H26" i="10" s="1"/>
  <c r="C27" i="10"/>
  <c r="F26" i="10"/>
  <c r="A35" i="7"/>
  <c r="A36" i="6"/>
  <c r="Y35" i="6"/>
  <c r="U35" i="6"/>
  <c r="T35" i="6"/>
  <c r="S35" i="6"/>
  <c r="X35" i="6"/>
  <c r="V35" i="6"/>
  <c r="B35" i="7"/>
  <c r="B36" i="6"/>
  <c r="A426" i="8"/>
  <c r="A438" i="8" l="1"/>
  <c r="F27" i="10"/>
  <c r="E27" i="10"/>
  <c r="G27" i="10" s="1"/>
  <c r="H27" i="10" s="1"/>
  <c r="C28" i="10" s="1"/>
  <c r="B36" i="7"/>
  <c r="B37" i="6"/>
  <c r="A36" i="7"/>
  <c r="T36" i="6"/>
  <c r="U36" i="6"/>
  <c r="A37" i="6"/>
  <c r="V36" i="6"/>
  <c r="S36" i="6"/>
  <c r="R378" i="8"/>
  <c r="Y36" i="6" s="1"/>
  <c r="Q378" i="8"/>
  <c r="X36" i="6" s="1"/>
  <c r="H386" i="8"/>
  <c r="H387" i="8" s="1"/>
  <c r="I386" i="8"/>
  <c r="I387" i="8" s="1"/>
  <c r="E28" i="10" l="1"/>
  <c r="G28" i="10" s="1"/>
  <c r="H28" i="10" s="1"/>
  <c r="C29" i="10" s="1"/>
  <c r="F28" i="10"/>
  <c r="Q390" i="8"/>
  <c r="B37" i="7"/>
  <c r="B38" i="6"/>
  <c r="S37" i="6"/>
  <c r="U37" i="6"/>
  <c r="X37" i="6"/>
  <c r="A38" i="6"/>
  <c r="A37" i="7"/>
  <c r="T37" i="6"/>
  <c r="V37" i="6"/>
  <c r="R390" i="8"/>
  <c r="Y37" i="6" s="1"/>
  <c r="H398" i="8"/>
  <c r="H399" i="8" s="1"/>
  <c r="I398" i="8"/>
  <c r="I399" i="8" s="1"/>
  <c r="R402" i="8"/>
  <c r="A450" i="8"/>
  <c r="F29" i="10" l="1"/>
  <c r="E29" i="10"/>
  <c r="G29" i="10" s="1"/>
  <c r="H29" i="10" s="1"/>
  <c r="C30" i="10" s="1"/>
  <c r="B39" i="6"/>
  <c r="B38" i="7"/>
  <c r="A38" i="7"/>
  <c r="V38" i="6"/>
  <c r="T38" i="6"/>
  <c r="S38" i="6"/>
  <c r="A39" i="6"/>
  <c r="U38" i="6"/>
  <c r="Y38" i="6"/>
  <c r="Q402" i="8"/>
  <c r="X38" i="6" s="1"/>
  <c r="I410" i="8"/>
  <c r="I411" i="8" s="1"/>
  <c r="A462" i="8"/>
  <c r="H410" i="8"/>
  <c r="H411" i="8" s="1"/>
  <c r="E30" i="10" l="1"/>
  <c r="G30" i="10" s="1"/>
  <c r="H30" i="10" s="1"/>
  <c r="C31" i="10" s="1"/>
  <c r="F30" i="10"/>
  <c r="A39" i="7"/>
  <c r="A40" i="6"/>
  <c r="U39" i="6"/>
  <c r="S39" i="6"/>
  <c r="V39" i="6"/>
  <c r="T39" i="6"/>
  <c r="Q414" i="8"/>
  <c r="X39" i="6" s="1"/>
  <c r="R414" i="8"/>
  <c r="Y39" i="6" s="1"/>
  <c r="I422" i="8"/>
  <c r="I423" i="8" s="1"/>
  <c r="H422" i="8"/>
  <c r="H423" i="8" s="1"/>
  <c r="B39" i="7"/>
  <c r="B40" i="6"/>
  <c r="A474" i="8"/>
  <c r="F31" i="10" l="1"/>
  <c r="E31" i="10"/>
  <c r="G31" i="10" s="1"/>
  <c r="H31" i="10" s="1"/>
  <c r="C32" i="10" s="1"/>
  <c r="A40" i="7"/>
  <c r="T40" i="6"/>
  <c r="A41" i="6"/>
  <c r="S40" i="6"/>
  <c r="V40" i="6"/>
  <c r="U40" i="6"/>
  <c r="Q426" i="8"/>
  <c r="X40" i="6" s="1"/>
  <c r="B40" i="7"/>
  <c r="B41" i="6"/>
  <c r="I446" i="8"/>
  <c r="I447" i="8" s="1"/>
  <c r="A486" i="8"/>
  <c r="R426" i="8"/>
  <c r="Y40" i="6" s="1"/>
  <c r="I434" i="8"/>
  <c r="I435" i="8" s="1"/>
  <c r="H434" i="8"/>
  <c r="H435" i="8" s="1"/>
  <c r="E32" i="10" l="1"/>
  <c r="G32" i="10" s="1"/>
  <c r="F32" i="10"/>
  <c r="A498" i="8"/>
  <c r="S41" i="6"/>
  <c r="T41" i="6"/>
  <c r="A41" i="7"/>
  <c r="V41" i="6"/>
  <c r="A42" i="6"/>
  <c r="U41" i="6"/>
  <c r="H446" i="8"/>
  <c r="H447" i="8" s="1"/>
  <c r="R438" i="8"/>
  <c r="Y41" i="6" s="1"/>
  <c r="Q438" i="8"/>
  <c r="X41" i="6" s="1"/>
  <c r="B42" i="6"/>
  <c r="B41" i="7"/>
  <c r="B43" i="6" l="1"/>
  <c r="B42" i="7"/>
  <c r="A42" i="7"/>
  <c r="V42" i="6"/>
  <c r="U42" i="6"/>
  <c r="T42" i="6"/>
  <c r="S42" i="6"/>
  <c r="A43" i="6"/>
  <c r="H458" i="8"/>
  <c r="H459" i="8" s="1"/>
  <c r="I458" i="8"/>
  <c r="I459" i="8" s="1"/>
  <c r="Q450" i="8"/>
  <c r="X42" i="6" s="1"/>
  <c r="R450" i="8"/>
  <c r="Y42" i="6" s="1"/>
  <c r="A510" i="8"/>
  <c r="H32" i="10"/>
  <c r="C33" i="10" s="1"/>
  <c r="B43" i="7" l="1"/>
  <c r="B44" i="6"/>
  <c r="A522" i="8"/>
  <c r="A43" i="7"/>
  <c r="A44" i="6"/>
  <c r="U43" i="6"/>
  <c r="V43" i="6"/>
  <c r="T43" i="6"/>
  <c r="S43" i="6"/>
  <c r="R462" i="8"/>
  <c r="Y43" i="6" s="1"/>
  <c r="Q474" i="8"/>
  <c r="Q462" i="8"/>
  <c r="X43" i="6" s="1"/>
  <c r="I470" i="8"/>
  <c r="I471" i="8" s="1"/>
  <c r="F33" i="10"/>
  <c r="E33" i="10"/>
  <c r="G33" i="10" s="1"/>
  <c r="H33" i="10" s="1"/>
  <c r="C34" i="10" s="1"/>
  <c r="H470" i="8"/>
  <c r="H471" i="8" s="1"/>
  <c r="E34" i="10" l="1"/>
  <c r="G34" i="10" s="1"/>
  <c r="H34" i="10" s="1"/>
  <c r="C35" i="10" s="1"/>
  <c r="F34" i="10"/>
  <c r="A44" i="7"/>
  <c r="X44" i="6"/>
  <c r="T44" i="6"/>
  <c r="A45" i="6"/>
  <c r="V44" i="6"/>
  <c r="U44" i="6"/>
  <c r="S44" i="6"/>
  <c r="H494" i="8"/>
  <c r="H495" i="8" s="1"/>
  <c r="R474" i="8"/>
  <c r="Y44" i="6" s="1"/>
  <c r="R486" i="8"/>
  <c r="B44" i="7"/>
  <c r="B45" i="6"/>
  <c r="A534" i="8"/>
  <c r="I482" i="8"/>
  <c r="I483" i="8" s="1"/>
  <c r="Q486" i="8"/>
  <c r="H482" i="8"/>
  <c r="H483" i="8" s="1"/>
  <c r="I494" i="8"/>
  <c r="I495" i="8" s="1"/>
  <c r="F35" i="10" l="1"/>
  <c r="E35" i="10"/>
  <c r="G35" i="10" s="1"/>
  <c r="A546" i="8"/>
  <c r="S45" i="6"/>
  <c r="A46" i="6"/>
  <c r="X45" i="6"/>
  <c r="A45" i="7"/>
  <c r="Y45" i="6"/>
  <c r="U45" i="6"/>
  <c r="T45" i="6"/>
  <c r="V45" i="6"/>
  <c r="I506" i="8"/>
  <c r="I507" i="8" s="1"/>
  <c r="B46" i="6"/>
  <c r="B45" i="7"/>
  <c r="A558" i="8" l="1"/>
  <c r="A46" i="7"/>
  <c r="V46" i="6"/>
  <c r="T46" i="6"/>
  <c r="U46" i="6"/>
  <c r="A47" i="6"/>
  <c r="S46" i="6"/>
  <c r="H506" i="8"/>
  <c r="H507" i="8" s="1"/>
  <c r="Q510" i="8"/>
  <c r="Q498" i="8"/>
  <c r="X46" i="6" s="1"/>
  <c r="R498" i="8"/>
  <c r="Y46" i="6" s="1"/>
  <c r="H518" i="8"/>
  <c r="H519" i="8" s="1"/>
  <c r="R510" i="8"/>
  <c r="I518" i="8"/>
  <c r="I519" i="8" s="1"/>
  <c r="H35" i="10"/>
  <c r="C36" i="10" s="1"/>
  <c r="B47" i="6"/>
  <c r="B46" i="7"/>
  <c r="A570" i="8" l="1"/>
  <c r="E36" i="10"/>
  <c r="G36" i="10" s="1"/>
  <c r="F36" i="10"/>
  <c r="B47" i="7"/>
  <c r="B48" i="6"/>
  <c r="A47" i="7"/>
  <c r="A48" i="6"/>
  <c r="Y47" i="6"/>
  <c r="U47" i="6"/>
  <c r="V47" i="6"/>
  <c r="T47" i="6"/>
  <c r="S47" i="6"/>
  <c r="X47" i="6"/>
  <c r="A48" i="7" l="1"/>
  <c r="T48" i="6"/>
  <c r="V48" i="6"/>
  <c r="A49" i="6"/>
  <c r="U48" i="6"/>
  <c r="S48" i="6"/>
  <c r="I530" i="8"/>
  <c r="I531" i="8" s="1"/>
  <c r="H530" i="8"/>
  <c r="H531" i="8" s="1"/>
  <c r="I542" i="8"/>
  <c r="I543" i="8" s="1"/>
  <c r="R534" i="8"/>
  <c r="Q522" i="8"/>
  <c r="X48" i="6" s="1"/>
  <c r="R522" i="8"/>
  <c r="Y48" i="6" s="1"/>
  <c r="H542" i="8"/>
  <c r="H543" i="8" s="1"/>
  <c r="A582" i="8"/>
  <c r="B48" i="7"/>
  <c r="B49" i="6"/>
  <c r="H36" i="10"/>
  <c r="C37" i="10" s="1"/>
  <c r="F37" i="10" l="1"/>
  <c r="E37" i="10"/>
  <c r="G37" i="10" s="1"/>
  <c r="B49" i="7"/>
  <c r="B50" i="6"/>
  <c r="S49" i="6"/>
  <c r="A49" i="7"/>
  <c r="V49" i="6"/>
  <c r="T49" i="6"/>
  <c r="A50" i="6"/>
  <c r="U49" i="6"/>
  <c r="Y49" i="6"/>
  <c r="Q546" i="8"/>
  <c r="I554" i="8"/>
  <c r="I555" i="8" s="1"/>
  <c r="Q534" i="8"/>
  <c r="X49" i="6" s="1"/>
  <c r="A594" i="8"/>
  <c r="B51" i="6" l="1"/>
  <c r="B50" i="7"/>
  <c r="A50" i="7"/>
  <c r="V50" i="6"/>
  <c r="A51" i="6"/>
  <c r="X50" i="6"/>
  <c r="S50" i="6"/>
  <c r="U50" i="6"/>
  <c r="T50" i="6"/>
  <c r="H554" i="8"/>
  <c r="H555" i="8" s="1"/>
  <c r="R558" i="8"/>
  <c r="Q558" i="8"/>
  <c r="I566" i="8"/>
  <c r="I567" i="8" s="1"/>
  <c r="R546" i="8"/>
  <c r="Y50" i="6" s="1"/>
  <c r="H37" i="10"/>
  <c r="C38" i="10" s="1"/>
  <c r="A606" i="8"/>
  <c r="A618" i="8" l="1"/>
  <c r="B51" i="7"/>
  <c r="B52" i="6"/>
  <c r="E38" i="10"/>
  <c r="G38" i="10" s="1"/>
  <c r="H38" i="10" s="1"/>
  <c r="C39" i="10" s="1"/>
  <c r="F38" i="10"/>
  <c r="A51" i="7"/>
  <c r="A52" i="6"/>
  <c r="Y51" i="6"/>
  <c r="U51" i="6"/>
  <c r="T51" i="6"/>
  <c r="X51" i="6"/>
  <c r="V51" i="6"/>
  <c r="S51" i="6"/>
  <c r="H566" i="8"/>
  <c r="H567" i="8" s="1"/>
  <c r="F39" i="10" l="1"/>
  <c r="E39" i="10"/>
  <c r="G39" i="10" s="1"/>
  <c r="B52" i="7"/>
  <c r="B53" i="6"/>
  <c r="A52" i="7"/>
  <c r="T52" i="6"/>
  <c r="U52" i="6"/>
  <c r="A53" i="6"/>
  <c r="V52" i="6"/>
  <c r="S52" i="6"/>
  <c r="H578" i="8"/>
  <c r="H579" i="8" s="1"/>
  <c r="R570" i="8"/>
  <c r="Y52" i="6" s="1"/>
  <c r="Q570" i="8"/>
  <c r="X52" i="6" s="1"/>
  <c r="I578" i="8"/>
  <c r="I579" i="8" s="1"/>
  <c r="H590" i="8"/>
  <c r="H591" i="8" s="1"/>
  <c r="A630" i="8"/>
  <c r="S53" i="6" l="1"/>
  <c r="U53" i="6"/>
  <c r="A53" i="7"/>
  <c r="A54" i="6"/>
  <c r="V53" i="6"/>
  <c r="T53" i="6"/>
  <c r="R582" i="8"/>
  <c r="Y53" i="6" s="1"/>
  <c r="Q582" i="8"/>
  <c r="X53" i="6" s="1"/>
  <c r="H39" i="10"/>
  <c r="C40" i="10" s="1"/>
  <c r="B53" i="7"/>
  <c r="B54" i="6"/>
  <c r="I590" i="8"/>
  <c r="I591" i="8" s="1"/>
  <c r="A642" i="8"/>
  <c r="A654" i="8" l="1"/>
  <c r="A54" i="7"/>
  <c r="V54" i="6"/>
  <c r="U54" i="6"/>
  <c r="S54" i="6"/>
  <c r="A55" i="6"/>
  <c r="T54" i="6"/>
  <c r="Q594" i="8"/>
  <c r="X54" i="6" s="1"/>
  <c r="R594" i="8"/>
  <c r="Y54" i="6" s="1"/>
  <c r="H602" i="8"/>
  <c r="H603" i="8" s="1"/>
  <c r="I602" i="8"/>
  <c r="I603" i="8" s="1"/>
  <c r="B55" i="6"/>
  <c r="B54" i="7"/>
  <c r="E40" i="10"/>
  <c r="G40" i="10" s="1"/>
  <c r="F40" i="10"/>
  <c r="H40" i="10" l="1"/>
  <c r="C41" i="10" s="1"/>
  <c r="H614" i="8"/>
  <c r="H615" i="8" s="1"/>
  <c r="A666" i="8"/>
  <c r="A55" i="7"/>
  <c r="A56" i="6"/>
  <c r="U55" i="6"/>
  <c r="S55" i="6"/>
  <c r="T55" i="6"/>
  <c r="V55" i="6"/>
  <c r="I614" i="8"/>
  <c r="I615" i="8" s="1"/>
  <c r="Q606" i="8"/>
  <c r="X55" i="6" s="1"/>
  <c r="B55" i="7"/>
  <c r="B56" i="6"/>
  <c r="R606" i="8"/>
  <c r="Y55" i="6" s="1"/>
  <c r="R618" i="8" l="1"/>
  <c r="Y56" i="6" s="1"/>
  <c r="A678" i="8"/>
  <c r="B56" i="7"/>
  <c r="B57" i="6"/>
  <c r="A56" i="7"/>
  <c r="T56" i="6"/>
  <c r="A57" i="6"/>
  <c r="S56" i="6"/>
  <c r="U56" i="6"/>
  <c r="V56" i="6"/>
  <c r="H626" i="8"/>
  <c r="H627" i="8" s="1"/>
  <c r="I626" i="8"/>
  <c r="I627" i="8" s="1"/>
  <c r="Q618" i="8"/>
  <c r="X56" i="6" s="1"/>
  <c r="F41" i="10"/>
  <c r="E41" i="10"/>
  <c r="G41" i="10" s="1"/>
  <c r="A690" i="8" l="1"/>
  <c r="S57" i="6"/>
  <c r="T57" i="6"/>
  <c r="U57" i="6"/>
  <c r="V57" i="6"/>
  <c r="A57" i="7"/>
  <c r="A58" i="6"/>
  <c r="H638" i="8"/>
  <c r="H639" i="8" s="1"/>
  <c r="Q630" i="8"/>
  <c r="X57" i="6" s="1"/>
  <c r="I638" i="8"/>
  <c r="I639" i="8" s="1"/>
  <c r="Q642" i="8"/>
  <c r="I650" i="8"/>
  <c r="I651" i="8" s="1"/>
  <c r="R630" i="8"/>
  <c r="Y57" i="6" s="1"/>
  <c r="H650" i="8"/>
  <c r="H651" i="8" s="1"/>
  <c r="B58" i="6"/>
  <c r="B57" i="7"/>
  <c r="H41" i="10"/>
  <c r="C42" i="10" s="1"/>
  <c r="E42" i="10" l="1"/>
  <c r="G42" i="10" s="1"/>
  <c r="F42" i="10"/>
  <c r="B59" i="6"/>
  <c r="B58" i="7"/>
  <c r="A58" i="7"/>
  <c r="V58" i="6"/>
  <c r="U58" i="6"/>
  <c r="S58" i="6"/>
  <c r="X58" i="6"/>
  <c r="A59" i="6"/>
  <c r="T58" i="6"/>
  <c r="I662" i="8"/>
  <c r="I663" i="8" s="1"/>
  <c r="Q654" i="8"/>
  <c r="R654" i="8"/>
  <c r="R642" i="8"/>
  <c r="Y58" i="6" s="1"/>
  <c r="A702" i="8"/>
  <c r="A714" i="8" l="1"/>
  <c r="B59" i="7"/>
  <c r="B60" i="6"/>
  <c r="A59" i="7"/>
  <c r="A60" i="6"/>
  <c r="Y59" i="6"/>
  <c r="U59" i="6"/>
  <c r="X59" i="6"/>
  <c r="S59" i="6"/>
  <c r="V59" i="6"/>
  <c r="T59" i="6"/>
  <c r="H674" i="8"/>
  <c r="H675" i="8" s="1"/>
  <c r="H662" i="8"/>
  <c r="H663" i="8" s="1"/>
  <c r="I674" i="8"/>
  <c r="I675" i="8" s="1"/>
  <c r="H42" i="10"/>
  <c r="C43" i="10" s="1"/>
  <c r="F43" i="10" l="1"/>
  <c r="E43" i="10"/>
  <c r="G43" i="10" s="1"/>
  <c r="H43" i="10" s="1"/>
  <c r="C44" i="10" s="1"/>
  <c r="B60" i="7"/>
  <c r="B61" i="6"/>
  <c r="A726" i="8"/>
  <c r="A60" i="7"/>
  <c r="T60" i="6"/>
  <c r="A61" i="6"/>
  <c r="S60" i="6"/>
  <c r="U60" i="6"/>
  <c r="V60" i="6"/>
  <c r="R678" i="8"/>
  <c r="I686" i="8"/>
  <c r="I687" i="8" s="1"/>
  <c r="Q678" i="8"/>
  <c r="Q666" i="8"/>
  <c r="X60" i="6" s="1"/>
  <c r="R666" i="8"/>
  <c r="Y60" i="6" s="1"/>
  <c r="H686" i="8"/>
  <c r="H687" i="8" s="1"/>
  <c r="E44" i="10" l="1"/>
  <c r="G44" i="10" s="1"/>
  <c r="F44" i="10"/>
  <c r="A738" i="8"/>
  <c r="B62" i="6"/>
  <c r="B61" i="7"/>
  <c r="S61" i="6"/>
  <c r="A62" i="6"/>
  <c r="X61" i="6"/>
  <c r="A61" i="7"/>
  <c r="Y61" i="6"/>
  <c r="T61" i="6"/>
  <c r="V61" i="6"/>
  <c r="U61" i="6"/>
  <c r="A62" i="7" l="1"/>
  <c r="V62" i="6"/>
  <c r="T62" i="6"/>
  <c r="U62" i="6"/>
  <c r="S62" i="6"/>
  <c r="A63" i="6"/>
  <c r="Q690" i="8"/>
  <c r="X62" i="6" s="1"/>
  <c r="H698" i="8"/>
  <c r="H699" i="8" s="1"/>
  <c r="Q702" i="8"/>
  <c r="R690" i="8"/>
  <c r="Y62" i="6" s="1"/>
  <c r="I698" i="8"/>
  <c r="I699" i="8" s="1"/>
  <c r="B63" i="6"/>
  <c r="B62" i="7"/>
  <c r="A750" i="8"/>
  <c r="H44" i="10"/>
  <c r="C45" i="10" s="1"/>
  <c r="F45" i="10" l="1"/>
  <c r="E45" i="10"/>
  <c r="G45" i="10" s="1"/>
  <c r="H45" i="10" s="1"/>
  <c r="C46" i="10" s="1"/>
  <c r="A762" i="8"/>
  <c r="B63" i="7"/>
  <c r="B64" i="6"/>
  <c r="A63" i="7"/>
  <c r="A64" i="6"/>
  <c r="U63" i="6"/>
  <c r="V63" i="6"/>
  <c r="X63" i="6"/>
  <c r="T63" i="6"/>
  <c r="S63" i="6"/>
  <c r="R702" i="8"/>
  <c r="Y63" i="6" s="1"/>
  <c r="I722" i="8"/>
  <c r="I723" i="8" s="1"/>
  <c r="I710" i="8"/>
  <c r="I711" i="8" s="1"/>
  <c r="H710" i="8"/>
  <c r="H711" i="8" s="1"/>
  <c r="E46" i="10" l="1"/>
  <c r="G46" i="10" s="1"/>
  <c r="H46" i="10" s="1"/>
  <c r="C47" i="10" s="1"/>
  <c r="F46" i="10"/>
  <c r="A64" i="7"/>
  <c r="T64" i="6"/>
  <c r="V64" i="6"/>
  <c r="S64" i="6"/>
  <c r="A65" i="6"/>
  <c r="U64" i="6"/>
  <c r="R726" i="8"/>
  <c r="Q726" i="8"/>
  <c r="I734" i="8"/>
  <c r="I735" i="8" s="1"/>
  <c r="R714" i="8"/>
  <c r="Y64" i="6" s="1"/>
  <c r="H722" i="8"/>
  <c r="H723" i="8" s="1"/>
  <c r="H734" i="8"/>
  <c r="H735" i="8" s="1"/>
  <c r="Q714" i="8"/>
  <c r="X64" i="6" s="1"/>
  <c r="A774" i="8"/>
  <c r="B64" i="7"/>
  <c r="B65" i="6"/>
  <c r="F47" i="10" l="1"/>
  <c r="E47" i="10"/>
  <c r="G47" i="10" s="1"/>
  <c r="H47" i="10" s="1"/>
  <c r="C48" i="10" s="1"/>
  <c r="S65" i="6"/>
  <c r="A65" i="7"/>
  <c r="V65" i="6"/>
  <c r="A66" i="6"/>
  <c r="X65" i="6"/>
  <c r="U65" i="6"/>
  <c r="T65" i="6"/>
  <c r="Y65" i="6"/>
  <c r="B65" i="7"/>
  <c r="B66" i="6"/>
  <c r="A786" i="8"/>
  <c r="E48" i="10" l="1"/>
  <c r="G48" i="10" s="1"/>
  <c r="F48" i="10"/>
  <c r="A66" i="7"/>
  <c r="V66" i="6"/>
  <c r="A67" i="6"/>
  <c r="S66" i="6"/>
  <c r="T66" i="6"/>
  <c r="U66" i="6"/>
  <c r="R738" i="8"/>
  <c r="Y66" i="6" s="1"/>
  <c r="I758" i="8"/>
  <c r="I759" i="8" s="1"/>
  <c r="I746" i="8"/>
  <c r="I747" i="8" s="1"/>
  <c r="H758" i="8"/>
  <c r="H759" i="8" s="1"/>
  <c r="H746" i="8"/>
  <c r="H747" i="8" s="1"/>
  <c r="R750" i="8"/>
  <c r="Q738" i="8"/>
  <c r="X66" i="6" s="1"/>
  <c r="Q750" i="8"/>
  <c r="B67" i="6"/>
  <c r="B66" i="7"/>
  <c r="A798" i="8"/>
  <c r="A810" i="8" l="1"/>
  <c r="A67" i="7"/>
  <c r="A68" i="6"/>
  <c r="Y67" i="6"/>
  <c r="U67" i="6"/>
  <c r="T67" i="6"/>
  <c r="V67" i="6"/>
  <c r="S67" i="6"/>
  <c r="X67" i="6"/>
  <c r="B67" i="7"/>
  <c r="B68" i="6"/>
  <c r="H48" i="10"/>
  <c r="C49" i="10" s="1"/>
  <c r="A68" i="7" l="1"/>
  <c r="T68" i="6"/>
  <c r="U68" i="6"/>
  <c r="V68" i="6"/>
  <c r="A69" i="6"/>
  <c r="S68" i="6"/>
  <c r="H770" i="8"/>
  <c r="H771" i="8" s="1"/>
  <c r="R762" i="8"/>
  <c r="Y68" i="6" s="1"/>
  <c r="Q762" i="8"/>
  <c r="X68" i="6" s="1"/>
  <c r="I770" i="8"/>
  <c r="I771" i="8" s="1"/>
  <c r="F49" i="10"/>
  <c r="C50" i="10"/>
  <c r="E49" i="10"/>
  <c r="G49" i="10" s="1"/>
  <c r="H49" i="10" s="1"/>
  <c r="A822" i="8"/>
  <c r="B68" i="7"/>
  <c r="B69" i="6"/>
  <c r="B69" i="7" l="1"/>
  <c r="B70" i="6"/>
  <c r="E50" i="10"/>
  <c r="G50" i="10" s="1"/>
  <c r="H50" i="10" s="1"/>
  <c r="C51" i="10" s="1"/>
  <c r="F50" i="10"/>
  <c r="A834" i="8"/>
  <c r="S69" i="6"/>
  <c r="U69" i="6"/>
  <c r="V69" i="6"/>
  <c r="T69" i="6"/>
  <c r="A69" i="7"/>
  <c r="A70" i="6"/>
  <c r="H782" i="8"/>
  <c r="H783" i="8" s="1"/>
  <c r="R774" i="8"/>
  <c r="Y69" i="6" s="1"/>
  <c r="Q774" i="8"/>
  <c r="X69" i="6" s="1"/>
  <c r="I782" i="8"/>
  <c r="I783" i="8" s="1"/>
  <c r="F51" i="10" l="1"/>
  <c r="E51" i="10"/>
  <c r="G51" i="10" s="1"/>
  <c r="H51" i="10" s="1"/>
  <c r="C52" i="10" s="1"/>
  <c r="A70" i="7"/>
  <c r="V70" i="6"/>
  <c r="A71" i="6"/>
  <c r="S70" i="6"/>
  <c r="T70" i="6"/>
  <c r="U70" i="6"/>
  <c r="I794" i="8"/>
  <c r="I795" i="8" s="1"/>
  <c r="H794" i="8"/>
  <c r="H795" i="8" s="1"/>
  <c r="H806" i="8"/>
  <c r="H807" i="8" s="1"/>
  <c r="I806" i="8"/>
  <c r="I807" i="8" s="1"/>
  <c r="R786" i="8"/>
  <c r="Y70" i="6" s="1"/>
  <c r="Q786" i="8"/>
  <c r="X70" i="6" s="1"/>
  <c r="A846" i="8"/>
  <c r="B71" i="6"/>
  <c r="B70" i="7"/>
  <c r="E52" i="10" l="1"/>
  <c r="G52" i="10" s="1"/>
  <c r="F52" i="10"/>
  <c r="B71" i="7"/>
  <c r="B72" i="6"/>
  <c r="A858" i="8"/>
  <c r="A71" i="7"/>
  <c r="A72" i="6"/>
  <c r="U71" i="6"/>
  <c r="S71" i="6"/>
  <c r="T71" i="6"/>
  <c r="V71" i="6"/>
  <c r="Q798" i="8"/>
  <c r="X71" i="6" s="1"/>
  <c r="R798" i="8"/>
  <c r="Y71" i="6" s="1"/>
  <c r="A72" i="7" l="1"/>
  <c r="T72" i="6"/>
  <c r="A73" i="6"/>
  <c r="S72" i="6"/>
  <c r="U72" i="6"/>
  <c r="V72" i="6"/>
  <c r="H818" i="8"/>
  <c r="H819" i="8" s="1"/>
  <c r="R810" i="8"/>
  <c r="Y72" i="6" s="1"/>
  <c r="Q810" i="8"/>
  <c r="X72" i="6" s="1"/>
  <c r="R822" i="8"/>
  <c r="Q822" i="8"/>
  <c r="H830" i="8"/>
  <c r="H831" i="8" s="1"/>
  <c r="I830" i="8"/>
  <c r="I831" i="8" s="1"/>
  <c r="I818" i="8"/>
  <c r="I819" i="8" s="1"/>
  <c r="A870" i="8"/>
  <c r="B72" i="7"/>
  <c r="B73" i="6"/>
  <c r="H52" i="10"/>
  <c r="C53" i="10" s="1"/>
  <c r="B74" i="6" l="1"/>
  <c r="B73" i="7"/>
  <c r="S73" i="6"/>
  <c r="Y73" i="6"/>
  <c r="T73" i="6"/>
  <c r="U73" i="6"/>
  <c r="A73" i="7"/>
  <c r="A74" i="6"/>
  <c r="X73" i="6"/>
  <c r="V73" i="6"/>
  <c r="E53" i="10"/>
  <c r="G53" i="10" s="1"/>
  <c r="F53" i="10"/>
  <c r="A882" i="8"/>
  <c r="A894" i="8" l="1"/>
  <c r="H53" i="10"/>
  <c r="C54" i="10" s="1"/>
  <c r="A74" i="7"/>
  <c r="V74" i="6"/>
  <c r="U74" i="6"/>
  <c r="T74" i="6"/>
  <c r="S74" i="6"/>
  <c r="A75" i="6"/>
  <c r="I842" i="8"/>
  <c r="I843" i="8" s="1"/>
  <c r="Q834" i="8"/>
  <c r="X74" i="6" s="1"/>
  <c r="R846" i="8"/>
  <c r="R834" i="8"/>
  <c r="Y74" i="6" s="1"/>
  <c r="H854" i="8"/>
  <c r="H855" i="8" s="1"/>
  <c r="H842" i="8"/>
  <c r="H843" i="8" s="1"/>
  <c r="Q846" i="8"/>
  <c r="I854" i="8"/>
  <c r="I855" i="8" s="1"/>
  <c r="B75" i="6"/>
  <c r="B74" i="7"/>
  <c r="A75" i="7" l="1"/>
  <c r="A76" i="6"/>
  <c r="Y75" i="6"/>
  <c r="U75" i="6"/>
  <c r="X75" i="6"/>
  <c r="S75" i="6"/>
  <c r="V75" i="6"/>
  <c r="T75" i="6"/>
  <c r="E54" i="10"/>
  <c r="G54" i="10" s="1"/>
  <c r="H54" i="10" s="1"/>
  <c r="C55" i="10" s="1"/>
  <c r="F54" i="10"/>
  <c r="B75" i="7"/>
  <c r="B76" i="6"/>
  <c r="A906" i="8"/>
  <c r="F55" i="10" l="1"/>
  <c r="E55" i="10"/>
  <c r="G55" i="10" s="1"/>
  <c r="H55" i="10" s="1"/>
  <c r="C56" i="10" s="1"/>
  <c r="A76" i="7"/>
  <c r="T76" i="6"/>
  <c r="A77" i="6"/>
  <c r="S76" i="6"/>
  <c r="U76" i="6"/>
  <c r="V76" i="6"/>
  <c r="H866" i="8"/>
  <c r="H867" i="8" s="1"/>
  <c r="Q858" i="8"/>
  <c r="X76" i="6" s="1"/>
  <c r="R858" i="8"/>
  <c r="Y76" i="6" s="1"/>
  <c r="I866" i="8"/>
  <c r="I867" i="8" s="1"/>
  <c r="A918" i="8"/>
  <c r="B76" i="7"/>
  <c r="B77" i="6"/>
  <c r="E56" i="10" l="1"/>
  <c r="G56" i="10" s="1"/>
  <c r="F56" i="10"/>
  <c r="B78" i="6"/>
  <c r="B77" i="7"/>
  <c r="A930" i="8"/>
  <c r="S77" i="6"/>
  <c r="A78" i="6"/>
  <c r="A77" i="7"/>
  <c r="T77" i="6"/>
  <c r="V77" i="6"/>
  <c r="U77" i="6"/>
  <c r="Q870" i="8"/>
  <c r="X77" i="6" s="1"/>
  <c r="I890" i="8"/>
  <c r="I891" i="8" s="1"/>
  <c r="Q882" i="8"/>
  <c r="R882" i="8"/>
  <c r="R870" i="8"/>
  <c r="Y77" i="6" s="1"/>
  <c r="I878" i="8"/>
  <c r="I879" i="8" s="1"/>
  <c r="H878" i="8"/>
  <c r="H879" i="8" s="1"/>
  <c r="H890" i="8"/>
  <c r="H891" i="8" s="1"/>
  <c r="B79" i="6" l="1"/>
  <c r="B78" i="7"/>
  <c r="A942" i="8"/>
  <c r="A78" i="7"/>
  <c r="V78" i="6"/>
  <c r="Y78" i="6"/>
  <c r="T78" i="6"/>
  <c r="U78" i="6"/>
  <c r="X78" i="6"/>
  <c r="A79" i="6"/>
  <c r="S78" i="6"/>
  <c r="H56" i="10"/>
  <c r="C57" i="10" s="1"/>
  <c r="B79" i="7" l="1"/>
  <c r="B80" i="6"/>
  <c r="F57" i="10"/>
  <c r="E57" i="10"/>
  <c r="G57" i="10" s="1"/>
  <c r="H57" i="10" s="1"/>
  <c r="C58" i="10" s="1"/>
  <c r="A79" i="7"/>
  <c r="A80" i="6"/>
  <c r="U79" i="6"/>
  <c r="V79" i="6"/>
  <c r="T79" i="6"/>
  <c r="S79" i="6"/>
  <c r="Q894" i="8"/>
  <c r="X79" i="6" s="1"/>
  <c r="I902" i="8"/>
  <c r="I903" i="8" s="1"/>
  <c r="H902" i="8"/>
  <c r="H903" i="8" s="1"/>
  <c r="R894" i="8"/>
  <c r="Y79" i="6" s="1"/>
  <c r="A954" i="8"/>
  <c r="E58" i="10" l="1"/>
  <c r="G58" i="10" s="1"/>
  <c r="F58" i="10"/>
  <c r="A966" i="8"/>
  <c r="A80" i="7"/>
  <c r="T80" i="6"/>
  <c r="V80" i="6"/>
  <c r="S80" i="6"/>
  <c r="A81" i="6"/>
  <c r="U80" i="6"/>
  <c r="R906" i="8"/>
  <c r="Y80" i="6" s="1"/>
  <c r="H914" i="8"/>
  <c r="H915" i="8" s="1"/>
  <c r="I914" i="8"/>
  <c r="I915" i="8" s="1"/>
  <c r="Q906" i="8"/>
  <c r="X80" i="6" s="1"/>
  <c r="B80" i="7"/>
  <c r="B81" i="6"/>
  <c r="I926" i="8"/>
  <c r="I927" i="8" s="1"/>
  <c r="B81" i="7" l="1"/>
  <c r="B82" i="6"/>
  <c r="S81" i="6"/>
  <c r="A81" i="7"/>
  <c r="V81" i="6"/>
  <c r="A82" i="6"/>
  <c r="U81" i="6"/>
  <c r="T81" i="6"/>
  <c r="R918" i="8"/>
  <c r="Y81" i="6" s="1"/>
  <c r="Q918" i="8"/>
  <c r="X81" i="6" s="1"/>
  <c r="R930" i="8"/>
  <c r="I938" i="8"/>
  <c r="I939" i="8" s="1"/>
  <c r="Q930" i="8"/>
  <c r="A978" i="8"/>
  <c r="H926" i="8"/>
  <c r="H927" i="8" s="1"/>
  <c r="H58" i="10"/>
  <c r="C59" i="10" s="1"/>
  <c r="A990" i="8" l="1"/>
  <c r="B83" i="6"/>
  <c r="B82" i="7"/>
  <c r="F59" i="10"/>
  <c r="E59" i="10"/>
  <c r="G59" i="10" s="1"/>
  <c r="H59" i="10" s="1"/>
  <c r="C60" i="10" s="1"/>
  <c r="A82" i="7"/>
  <c r="V82" i="6"/>
  <c r="A83" i="6"/>
  <c r="X82" i="6"/>
  <c r="S82" i="6"/>
  <c r="Y82" i="6"/>
  <c r="T82" i="6"/>
  <c r="U82" i="6"/>
  <c r="E60" i="10" l="1"/>
  <c r="G60" i="10" s="1"/>
  <c r="F60" i="10"/>
  <c r="A83" i="7"/>
  <c r="A84" i="6"/>
  <c r="U83" i="6"/>
  <c r="T83" i="6"/>
  <c r="V83" i="6"/>
  <c r="S83" i="6"/>
  <c r="H950" i="8"/>
  <c r="H951" i="8" s="1"/>
  <c r="H962" i="8"/>
  <c r="H963" i="8" s="1"/>
  <c r="I950" i="8"/>
  <c r="I951" i="8" s="1"/>
  <c r="Q942" i="8"/>
  <c r="X83" i="6" s="1"/>
  <c r="Q954" i="8"/>
  <c r="R942" i="8"/>
  <c r="Y83" i="6" s="1"/>
  <c r="R954" i="8"/>
  <c r="B83" i="7"/>
  <c r="B84" i="6"/>
  <c r="A1002" i="8"/>
  <c r="I962" i="8"/>
  <c r="I963" i="8" s="1"/>
  <c r="B84" i="7" l="1"/>
  <c r="B85" i="6"/>
  <c r="A84" i="7"/>
  <c r="X84" i="6"/>
  <c r="T84" i="6"/>
  <c r="U84" i="6"/>
  <c r="V84" i="6"/>
  <c r="Y84" i="6"/>
  <c r="A85" i="6"/>
  <c r="S84" i="6"/>
  <c r="H60" i="10"/>
  <c r="C61" i="10" s="1"/>
  <c r="A1014" i="8"/>
  <c r="S85" i="6" l="1"/>
  <c r="U85" i="6"/>
  <c r="V85" i="6"/>
  <c r="A85" i="7"/>
  <c r="A86" i="6"/>
  <c r="T85" i="6"/>
  <c r="I986" i="8"/>
  <c r="I987" i="8" s="1"/>
  <c r="I974" i="8"/>
  <c r="I975" i="8" s="1"/>
  <c r="Q966" i="8"/>
  <c r="X85" i="6" s="1"/>
  <c r="R978" i="8"/>
  <c r="H986" i="8"/>
  <c r="H987" i="8" s="1"/>
  <c r="R966" i="8"/>
  <c r="Y85" i="6" s="1"/>
  <c r="H974" i="8"/>
  <c r="H975" i="8" s="1"/>
  <c r="C62" i="10"/>
  <c r="F61" i="10"/>
  <c r="E61" i="10"/>
  <c r="G61" i="10" s="1"/>
  <c r="H61" i="10" s="1"/>
  <c r="B85" i="7"/>
  <c r="B86" i="6"/>
  <c r="A1026" i="8"/>
  <c r="A86" i="7" l="1"/>
  <c r="V86" i="6"/>
  <c r="A87" i="6"/>
  <c r="S86" i="6"/>
  <c r="Y86" i="6"/>
  <c r="U86" i="6"/>
  <c r="T86" i="6"/>
  <c r="Q978" i="8"/>
  <c r="X86" i="6" s="1"/>
  <c r="B87" i="6"/>
  <c r="B86" i="7"/>
  <c r="E62" i="10"/>
  <c r="G62" i="10" s="1"/>
  <c r="H62" i="10" s="1"/>
  <c r="C63" i="10" s="1"/>
  <c r="F62" i="10"/>
  <c r="A1038" i="8"/>
  <c r="F63" i="10" l="1"/>
  <c r="E63" i="10"/>
  <c r="G63" i="10" s="1"/>
  <c r="H63" i="10" s="1"/>
  <c r="C64" i="10" s="1"/>
  <c r="B87" i="7"/>
  <c r="B88" i="6"/>
  <c r="A1050" i="8"/>
  <c r="A87" i="7"/>
  <c r="A88" i="6"/>
  <c r="U87" i="6"/>
  <c r="S87" i="6"/>
  <c r="T87" i="6"/>
  <c r="V87" i="6"/>
  <c r="R990" i="8"/>
  <c r="Y87" i="6" s="1"/>
  <c r="Q990" i="8"/>
  <c r="X87" i="6" s="1"/>
  <c r="I998" i="8"/>
  <c r="I999" i="8" s="1"/>
  <c r="H998" i="8"/>
  <c r="H999" i="8" s="1"/>
  <c r="E64" i="10" l="1"/>
  <c r="G64" i="10" s="1"/>
  <c r="F64" i="10"/>
  <c r="A88" i="7"/>
  <c r="T88" i="6"/>
  <c r="A89" i="6"/>
  <c r="S88" i="6"/>
  <c r="U88" i="6"/>
  <c r="V88" i="6"/>
  <c r="R1002" i="8"/>
  <c r="Y88" i="6" s="1"/>
  <c r="H1010" i="8"/>
  <c r="H1011" i="8" s="1"/>
  <c r="I1010" i="8"/>
  <c r="I1011" i="8" s="1"/>
  <c r="Q1002" i="8"/>
  <c r="X88" i="6" s="1"/>
  <c r="A1062" i="8"/>
  <c r="B88" i="7"/>
  <c r="B89" i="6"/>
  <c r="B90" i="6" l="1"/>
  <c r="B89" i="7"/>
  <c r="S89" i="6"/>
  <c r="T89" i="6"/>
  <c r="U89" i="6"/>
  <c r="A89" i="7"/>
  <c r="A90" i="6"/>
  <c r="V89" i="6"/>
  <c r="R1014" i="8"/>
  <c r="Y89" i="6" s="1"/>
  <c r="I1022" i="8"/>
  <c r="I1023" i="8" s="1"/>
  <c r="H1022" i="8"/>
  <c r="H1023" i="8" s="1"/>
  <c r="Q1014" i="8"/>
  <c r="X89" i="6" s="1"/>
  <c r="A1074" i="8"/>
  <c r="H64" i="10"/>
  <c r="C65" i="10" s="1"/>
  <c r="F65" i="10" l="1"/>
  <c r="E65" i="10"/>
  <c r="G65" i="10" s="1"/>
  <c r="H65" i="10" s="1"/>
  <c r="C66" i="10" s="1"/>
  <c r="A90" i="7"/>
  <c r="V90" i="6"/>
  <c r="U90" i="6"/>
  <c r="S90" i="6"/>
  <c r="A91" i="6"/>
  <c r="T90" i="6"/>
  <c r="I1046" i="8"/>
  <c r="I1047" i="8" s="1"/>
  <c r="H1046" i="8"/>
  <c r="H1047" i="8" s="1"/>
  <c r="I1034" i="8"/>
  <c r="I1035" i="8" s="1"/>
  <c r="R1026" i="8"/>
  <c r="Y90" i="6" s="1"/>
  <c r="H1034" i="8"/>
  <c r="H1035" i="8" s="1"/>
  <c r="Q1026" i="8"/>
  <c r="X90" i="6" s="1"/>
  <c r="A1086" i="8"/>
  <c r="R1038" i="8"/>
  <c r="Q1038" i="8"/>
  <c r="B91" i="6"/>
  <c r="B90" i="7"/>
  <c r="E66" i="10" l="1"/>
  <c r="G66" i="10" s="1"/>
  <c r="F66" i="10"/>
  <c r="A1098" i="8"/>
  <c r="B91" i="7"/>
  <c r="B92" i="6"/>
  <c r="A91" i="7"/>
  <c r="A92" i="6"/>
  <c r="Y91" i="6"/>
  <c r="U91" i="6"/>
  <c r="X91" i="6"/>
  <c r="S91" i="6"/>
  <c r="V91" i="6"/>
  <c r="T91" i="6"/>
  <c r="A92" i="7" l="1"/>
  <c r="T92" i="6"/>
  <c r="A93" i="6"/>
  <c r="S92" i="6"/>
  <c r="V92" i="6"/>
  <c r="U92" i="6"/>
  <c r="Q1050" i="8"/>
  <c r="X92" i="6" s="1"/>
  <c r="R1050" i="8"/>
  <c r="Y92" i="6" s="1"/>
  <c r="I1058" i="8"/>
  <c r="I1059" i="8" s="1"/>
  <c r="H1058" i="8"/>
  <c r="H1059" i="8" s="1"/>
  <c r="B92" i="7"/>
  <c r="B93" i="6"/>
  <c r="A1110" i="8"/>
  <c r="H66" i="10"/>
  <c r="C67" i="10" s="1"/>
  <c r="F67" i="10" l="1"/>
  <c r="E67" i="10"/>
  <c r="G67" i="10" s="1"/>
  <c r="H67" i="10" s="1"/>
  <c r="C68" i="10" s="1"/>
  <c r="A1122" i="8"/>
  <c r="B94" i="6"/>
  <c r="B93" i="7"/>
  <c r="S93" i="6"/>
  <c r="A94" i="6"/>
  <c r="A93" i="7"/>
  <c r="T93" i="6"/>
  <c r="V93" i="6"/>
  <c r="U93" i="6"/>
  <c r="Q1062" i="8"/>
  <c r="X93" i="6" s="1"/>
  <c r="R1062" i="8"/>
  <c r="Y93" i="6" s="1"/>
  <c r="I1070" i="8"/>
  <c r="I1071" i="8" s="1"/>
  <c r="H1070" i="8"/>
  <c r="H1071" i="8" s="1"/>
  <c r="E68" i="10" l="1"/>
  <c r="G68" i="10" s="1"/>
  <c r="H68" i="10" s="1"/>
  <c r="C69" i="10" s="1"/>
  <c r="F68" i="10"/>
  <c r="A1134" i="8"/>
  <c r="A94" i="7"/>
  <c r="V94" i="6"/>
  <c r="T94" i="6"/>
  <c r="U94" i="6"/>
  <c r="S94" i="6"/>
  <c r="A95" i="6"/>
  <c r="I1082" i="8"/>
  <c r="I1083" i="8" s="1"/>
  <c r="R1086" i="8"/>
  <c r="Q1074" i="8"/>
  <c r="X94" i="6" s="1"/>
  <c r="I1094" i="8"/>
  <c r="I1095" i="8" s="1"/>
  <c r="H1082" i="8"/>
  <c r="H1083" i="8" s="1"/>
  <c r="R1074" i="8"/>
  <c r="Y94" i="6" s="1"/>
  <c r="Q1086" i="8"/>
  <c r="H1094" i="8"/>
  <c r="H1095" i="8" s="1"/>
  <c r="B95" i="6"/>
  <c r="B94" i="7"/>
  <c r="F69" i="10" l="1"/>
  <c r="E69" i="10"/>
  <c r="G69" i="10" s="1"/>
  <c r="H69" i="10" s="1"/>
  <c r="C70" i="10" s="1"/>
  <c r="B95" i="7"/>
  <c r="B96" i="6"/>
  <c r="A95" i="7"/>
  <c r="A96" i="6"/>
  <c r="Y95" i="6"/>
  <c r="U95" i="6"/>
  <c r="V95" i="6"/>
  <c r="T95" i="6"/>
  <c r="S95" i="6"/>
  <c r="X95" i="6"/>
  <c r="A1146" i="8"/>
  <c r="E70" i="10" l="1"/>
  <c r="G70" i="10" s="1"/>
  <c r="F70" i="10"/>
  <c r="A96" i="7"/>
  <c r="T96" i="6"/>
  <c r="V96" i="6"/>
  <c r="S96" i="6"/>
  <c r="A97" i="6"/>
  <c r="U96" i="6"/>
  <c r="H1106" i="8"/>
  <c r="H1107" i="8" s="1"/>
  <c r="Q1098" i="8"/>
  <c r="X96" i="6" s="1"/>
  <c r="I1106" i="8"/>
  <c r="I1107" i="8" s="1"/>
  <c r="R1098" i="8"/>
  <c r="Y96" i="6" s="1"/>
  <c r="R1110" i="8"/>
  <c r="B96" i="7"/>
  <c r="B97" i="6"/>
  <c r="A1158" i="8"/>
  <c r="B97" i="7" l="1"/>
  <c r="B98" i="6"/>
  <c r="S97" i="6"/>
  <c r="A97" i="7"/>
  <c r="V97" i="6"/>
  <c r="A98" i="6"/>
  <c r="U97" i="6"/>
  <c r="Y97" i="6"/>
  <c r="T97" i="6"/>
  <c r="I1118" i="8"/>
  <c r="I1119" i="8" s="1"/>
  <c r="H1118" i="8"/>
  <c r="H1119" i="8" s="1"/>
  <c r="I1130" i="8"/>
  <c r="I1131" i="8" s="1"/>
  <c r="Q1110" i="8"/>
  <c r="X97" i="6" s="1"/>
  <c r="R1122" i="8"/>
  <c r="Q1122" i="8"/>
  <c r="H1130" i="8"/>
  <c r="H1131" i="8" s="1"/>
  <c r="A1170" i="8"/>
  <c r="H70" i="10"/>
  <c r="C71" i="10" s="1"/>
  <c r="F71" i="10" l="1"/>
  <c r="E71" i="10"/>
  <c r="G71" i="10" s="1"/>
  <c r="H71" i="10" s="1"/>
  <c r="C72" i="10" s="1"/>
  <c r="A98" i="7"/>
  <c r="V98" i="6"/>
  <c r="A99" i="6"/>
  <c r="X98" i="6"/>
  <c r="S98" i="6"/>
  <c r="Y98" i="6"/>
  <c r="T98" i="6"/>
  <c r="U98" i="6"/>
  <c r="B99" i="6"/>
  <c r="B98" i="7"/>
  <c r="A1182" i="8"/>
  <c r="E72" i="10" l="1"/>
  <c r="G72" i="10" s="1"/>
  <c r="F72" i="10"/>
  <c r="A1194" i="8"/>
  <c r="A99" i="7"/>
  <c r="A100" i="6"/>
  <c r="U99" i="6"/>
  <c r="T99" i="6"/>
  <c r="V99" i="6"/>
  <c r="S99" i="6"/>
  <c r="H1142" i="8"/>
  <c r="H1143" i="8" s="1"/>
  <c r="I1142" i="8"/>
  <c r="I1143" i="8" s="1"/>
  <c r="Q1134" i="8"/>
  <c r="X99" i="6" s="1"/>
  <c r="R1134" i="8"/>
  <c r="Y99" i="6" s="1"/>
  <c r="B99" i="7"/>
  <c r="B100" i="6"/>
  <c r="B100" i="7" l="1"/>
  <c r="B101" i="6"/>
  <c r="A100" i="7"/>
  <c r="T100" i="6"/>
  <c r="U100" i="6"/>
  <c r="V100" i="6"/>
  <c r="A101" i="6"/>
  <c r="S100" i="6"/>
  <c r="Y100" i="6"/>
  <c r="Q1146" i="8"/>
  <c r="X100" i="6" s="1"/>
  <c r="R1146" i="8"/>
  <c r="I1154" i="8"/>
  <c r="I1155" i="8" s="1"/>
  <c r="H1154" i="8"/>
  <c r="H1155" i="8" s="1"/>
  <c r="A1206" i="8"/>
  <c r="H72" i="10"/>
  <c r="C73" i="10" s="1"/>
  <c r="A1218" i="8" l="1"/>
  <c r="S101" i="6"/>
  <c r="U101" i="6"/>
  <c r="V101" i="6"/>
  <c r="T101" i="6"/>
  <c r="A101" i="7"/>
  <c r="A102" i="6"/>
  <c r="H1166" i="8"/>
  <c r="H1167" i="8" s="1"/>
  <c r="R1158" i="8"/>
  <c r="Y101" i="6" s="1"/>
  <c r="Q1158" i="8"/>
  <c r="X101" i="6" s="1"/>
  <c r="I1166" i="8"/>
  <c r="I1167" i="8" s="1"/>
  <c r="B101" i="7"/>
  <c r="B102" i="6"/>
  <c r="C74" i="10"/>
  <c r="F73" i="10"/>
  <c r="E73" i="10"/>
  <c r="G73" i="10" s="1"/>
  <c r="H73" i="10" s="1"/>
  <c r="E74" i="10" l="1"/>
  <c r="G74" i="10" s="1"/>
  <c r="H74" i="10" s="1"/>
  <c r="C75" i="10" s="1"/>
  <c r="F74" i="10"/>
  <c r="B103" i="6"/>
  <c r="B102" i="7"/>
  <c r="A102" i="7"/>
  <c r="V102" i="6"/>
  <c r="A103" i="6"/>
  <c r="S102" i="6"/>
  <c r="T102" i="6"/>
  <c r="U102" i="6"/>
  <c r="R1170" i="8"/>
  <c r="Y102" i="6" s="1"/>
  <c r="Q1170" i="8"/>
  <c r="X102" i="6" s="1"/>
  <c r="H1178" i="8"/>
  <c r="H1179" i="8" s="1"/>
  <c r="R1182" i="8"/>
  <c r="I1178" i="8"/>
  <c r="I1179" i="8" s="1"/>
  <c r="A1230" i="8"/>
  <c r="F75" i="10" l="1"/>
  <c r="E75" i="10"/>
  <c r="G75" i="10" s="1"/>
  <c r="H75" i="10" s="1"/>
  <c r="C76" i="10" s="1"/>
  <c r="A1242" i="8"/>
  <c r="A103" i="7"/>
  <c r="A104" i="6"/>
  <c r="Y103" i="6"/>
  <c r="U103" i="6"/>
  <c r="S103" i="6"/>
  <c r="T103" i="6"/>
  <c r="V103" i="6"/>
  <c r="Q1182" i="8"/>
  <c r="X103" i="6" s="1"/>
  <c r="H1190" i="8"/>
  <c r="H1191" i="8" s="1"/>
  <c r="I1190" i="8"/>
  <c r="I1191" i="8" s="1"/>
  <c r="B103" i="7"/>
  <c r="B104" i="6"/>
  <c r="E76" i="10" l="1"/>
  <c r="G76" i="10" s="1"/>
  <c r="F76" i="10"/>
  <c r="J1238" i="8"/>
  <c r="J1239" i="8" s="1"/>
  <c r="G1238" i="8"/>
  <c r="G1239" i="8" s="1"/>
  <c r="B104" i="7"/>
  <c r="B105" i="6"/>
  <c r="A104" i="7"/>
  <c r="T104" i="6"/>
  <c r="A105" i="6"/>
  <c r="S104" i="6"/>
  <c r="U104" i="6"/>
  <c r="V104" i="6"/>
  <c r="H1214" i="8"/>
  <c r="H1215" i="8" s="1"/>
  <c r="I1214" i="8"/>
  <c r="I1215" i="8" s="1"/>
  <c r="Q1194" i="8"/>
  <c r="X104" i="6" s="1"/>
  <c r="G1226" i="8"/>
  <c r="G1227" i="8" s="1"/>
  <c r="R1206" i="8"/>
  <c r="I1226" i="8"/>
  <c r="I1227" i="8" s="1"/>
  <c r="H1202" i="8"/>
  <c r="H1203" i="8" s="1"/>
  <c r="H1226" i="8"/>
  <c r="H1227" i="8" s="1"/>
  <c r="Q1206" i="8"/>
  <c r="I1202" i="8"/>
  <c r="I1203" i="8" s="1"/>
  <c r="R1194" i="8"/>
  <c r="Y104" i="6" s="1"/>
  <c r="J1226" i="8"/>
  <c r="J1227" i="8" s="1"/>
  <c r="A1254" i="8"/>
  <c r="J1250" i="8"/>
  <c r="J1251" i="8" s="1"/>
  <c r="I1250" i="8"/>
  <c r="I1251" i="8" s="1"/>
  <c r="H1250" i="8"/>
  <c r="H1251" i="8" s="1"/>
  <c r="G1250" i="8"/>
  <c r="G1251" i="8" s="1"/>
  <c r="I1262" i="8" l="1"/>
  <c r="I1263" i="8" s="1"/>
  <c r="H1262" i="8"/>
  <c r="H1263" i="8" s="1"/>
  <c r="G1262" i="8"/>
  <c r="G1263" i="8" s="1"/>
  <c r="A1266" i="8"/>
  <c r="J1262" i="8"/>
  <c r="J1263" i="8" s="1"/>
  <c r="S105" i="6"/>
  <c r="Y105" i="6"/>
  <c r="T105" i="6"/>
  <c r="U105" i="6"/>
  <c r="A105" i="7"/>
  <c r="A106" i="6"/>
  <c r="X105" i="6"/>
  <c r="V105" i="6"/>
  <c r="I1238" i="8"/>
  <c r="I1239" i="8" s="1"/>
  <c r="H1238" i="8"/>
  <c r="H1239" i="8" s="1"/>
  <c r="B106" i="6"/>
  <c r="B105" i="7"/>
  <c r="H76" i="10"/>
  <c r="C77" i="10" s="1"/>
  <c r="B107" i="6" l="1"/>
  <c r="B106" i="7"/>
  <c r="H1274" i="8"/>
  <c r="H1275" i="8" s="1"/>
  <c r="G1274" i="8"/>
  <c r="G1275" i="8" s="1"/>
  <c r="A1278" i="8"/>
  <c r="J1274" i="8"/>
  <c r="J1275" i="8" s="1"/>
  <c r="I1274" i="8"/>
  <c r="I1275" i="8" s="1"/>
  <c r="F77" i="10"/>
  <c r="E77" i="10"/>
  <c r="G77" i="10" s="1"/>
  <c r="A106" i="7"/>
  <c r="V106" i="6"/>
  <c r="U106" i="6"/>
  <c r="A107" i="6"/>
  <c r="S106" i="6"/>
  <c r="T106" i="6"/>
  <c r="R1218" i="8"/>
  <c r="Y106" i="6" s="1"/>
  <c r="R1230" i="8"/>
  <c r="Q1218" i="8"/>
  <c r="X106" i="6" s="1"/>
  <c r="A107" i="7" l="1"/>
  <c r="A108" i="6"/>
  <c r="Y107" i="6"/>
  <c r="U107" i="6"/>
  <c r="S107" i="6"/>
  <c r="V107" i="6"/>
  <c r="T107" i="6"/>
  <c r="Q1230" i="8"/>
  <c r="X107" i="6" s="1"/>
  <c r="B107" i="7"/>
  <c r="B108" i="6"/>
  <c r="H77" i="10"/>
  <c r="C78" i="10" s="1"/>
  <c r="G1286" i="8"/>
  <c r="G1287" i="8" s="1"/>
  <c r="A1290" i="8"/>
  <c r="J1286" i="8"/>
  <c r="J1287" i="8" s="1"/>
  <c r="I1286" i="8"/>
  <c r="I1287" i="8" s="1"/>
  <c r="H1286" i="8"/>
  <c r="H1287" i="8" s="1"/>
  <c r="J1298" i="8" l="1"/>
  <c r="J1299" i="8" s="1"/>
  <c r="I1298" i="8"/>
  <c r="I1299" i="8" s="1"/>
  <c r="H1298" i="8"/>
  <c r="H1299" i="8" s="1"/>
  <c r="G1298" i="8"/>
  <c r="G1299" i="8" s="1"/>
  <c r="E78" i="10"/>
  <c r="G78" i="10" s="1"/>
  <c r="H78" i="10" s="1"/>
  <c r="C79" i="10" s="1"/>
  <c r="F78" i="10"/>
  <c r="B108" i="7"/>
  <c r="B109" i="6"/>
  <c r="A108" i="7"/>
  <c r="T108" i="6"/>
  <c r="A109" i="6"/>
  <c r="S108" i="6"/>
  <c r="U108" i="6"/>
  <c r="V108" i="6"/>
  <c r="Q1254" i="8"/>
  <c r="Q1242" i="8"/>
  <c r="X108" i="6" s="1"/>
  <c r="R1242" i="8"/>
  <c r="Y108" i="6" s="1"/>
  <c r="F79" i="10" l="1"/>
  <c r="E79" i="10"/>
  <c r="G79" i="10" s="1"/>
  <c r="H79" i="10" s="1"/>
  <c r="C80" i="10" s="1"/>
  <c r="S109" i="6"/>
  <c r="A110" i="6"/>
  <c r="X109" i="6"/>
  <c r="A109" i="7"/>
  <c r="T109" i="6"/>
  <c r="V109" i="6"/>
  <c r="U109" i="6"/>
  <c r="R1266" i="8"/>
  <c r="Q1266" i="8"/>
  <c r="R1254" i="8"/>
  <c r="Y109" i="6" s="1"/>
  <c r="B110" i="6"/>
  <c r="B109" i="7"/>
  <c r="E80" i="10" l="1"/>
  <c r="G80" i="10" s="1"/>
  <c r="H80" i="10" s="1"/>
  <c r="C81" i="10" s="1"/>
  <c r="F80" i="10"/>
  <c r="A110" i="7"/>
  <c r="V110" i="6"/>
  <c r="Y110" i="6"/>
  <c r="T110" i="6"/>
  <c r="U110" i="6"/>
  <c r="A111" i="6"/>
  <c r="S110" i="6"/>
  <c r="X110" i="6"/>
  <c r="B111" i="6"/>
  <c r="B111" i="7" s="1"/>
  <c r="B110" i="7"/>
  <c r="F81" i="10" l="1"/>
  <c r="E81" i="10"/>
  <c r="G81" i="10" s="1"/>
  <c r="H81" i="10" s="1"/>
  <c r="C82" i="10" s="1"/>
  <c r="A111" i="7"/>
  <c r="U111" i="6"/>
  <c r="V111" i="6"/>
  <c r="T111" i="6"/>
  <c r="S111" i="6"/>
  <c r="Y111" i="6"/>
  <c r="P1290" i="8"/>
  <c r="R1290" i="8"/>
  <c r="R1278" i="8"/>
  <c r="Q1290" i="8"/>
  <c r="Q1278" i="8"/>
  <c r="X111" i="6" s="1"/>
  <c r="S1290" i="8"/>
  <c r="E82" i="10" l="1"/>
  <c r="G82" i="10" s="1"/>
  <c r="F82" i="10"/>
  <c r="H82" i="10" l="1"/>
  <c r="C83" i="10" s="1"/>
  <c r="F83" i="10" l="1"/>
  <c r="E83" i="10"/>
  <c r="G83" i="10" s="1"/>
  <c r="H83" i="10" s="1"/>
  <c r="C84" i="10" s="1"/>
  <c r="E84" i="10" l="1"/>
  <c r="G84" i="10" s="1"/>
  <c r="F84" i="10"/>
  <c r="H84" i="10" l="1"/>
  <c r="C85" i="10" s="1"/>
  <c r="F85" i="10" l="1"/>
  <c r="E85" i="10"/>
  <c r="G85" i="10" s="1"/>
  <c r="H85" i="10" s="1"/>
  <c r="C86" i="10" s="1"/>
  <c r="E86" i="10" l="1"/>
  <c r="G86" i="10" s="1"/>
  <c r="F86" i="10"/>
  <c r="H86" i="10" l="1"/>
  <c r="C87" i="10" s="1"/>
  <c r="F87" i="10" l="1"/>
  <c r="E87" i="10"/>
  <c r="G87" i="10" s="1"/>
  <c r="H87" i="10" s="1"/>
  <c r="C88" i="10" s="1"/>
  <c r="E88" i="10" l="1"/>
  <c r="G88" i="10" s="1"/>
  <c r="F88" i="10"/>
  <c r="H88" i="10" l="1"/>
  <c r="C89" i="10" s="1"/>
  <c r="F89" i="10" l="1"/>
  <c r="E89" i="10"/>
  <c r="G89" i="10" s="1"/>
  <c r="H89" i="10" s="1"/>
  <c r="C90" i="10" s="1"/>
  <c r="E90" i="10" l="1"/>
  <c r="G90" i="10" s="1"/>
  <c r="F90" i="10"/>
  <c r="H90" i="10" l="1"/>
  <c r="C91" i="10" s="1"/>
  <c r="F91" i="10" l="1"/>
  <c r="E91" i="10"/>
  <c r="G91" i="10" s="1"/>
  <c r="H91" i="10" s="1"/>
  <c r="C92" i="10" s="1"/>
  <c r="E92" i="10" l="1"/>
  <c r="G92" i="10" s="1"/>
  <c r="F92" i="10"/>
  <c r="H92" i="10" l="1"/>
  <c r="C93" i="10" s="1"/>
  <c r="F93" i="10" l="1"/>
  <c r="E93" i="10"/>
  <c r="G93" i="10" s="1"/>
  <c r="H93" i="10" s="1"/>
  <c r="C94" i="10" s="1"/>
  <c r="E94" i="10" l="1"/>
  <c r="G94" i="10" s="1"/>
  <c r="F94" i="10"/>
  <c r="H94" i="10" l="1"/>
  <c r="C95" i="10" s="1"/>
  <c r="F95" i="10" l="1"/>
  <c r="E95" i="10"/>
  <c r="G95" i="10" s="1"/>
  <c r="H95" i="10" s="1"/>
  <c r="C96" i="10" s="1"/>
  <c r="E96" i="10" l="1"/>
  <c r="G96" i="10" s="1"/>
  <c r="F96" i="10"/>
  <c r="H96" i="10" l="1"/>
  <c r="C97" i="10" s="1"/>
  <c r="F97" i="10" l="1"/>
  <c r="E97" i="10"/>
  <c r="G97" i="10" s="1"/>
  <c r="H97" i="10" s="1"/>
  <c r="C98" i="10" s="1"/>
  <c r="E98" i="10" l="1"/>
  <c r="G98" i="10" s="1"/>
  <c r="F98" i="10"/>
  <c r="H98" i="10" l="1"/>
  <c r="C99" i="10" s="1"/>
  <c r="F99" i="10" l="1"/>
  <c r="E99" i="10"/>
  <c r="G99" i="10" s="1"/>
  <c r="H99" i="10" s="1"/>
  <c r="C100" i="10" s="1"/>
  <c r="E100" i="10" l="1"/>
  <c r="G100" i="10" s="1"/>
  <c r="F100" i="10"/>
  <c r="H100" i="10" l="1"/>
  <c r="C101" i="10" s="1"/>
  <c r="F101" i="10" l="1"/>
  <c r="E101" i="10"/>
  <c r="G101" i="10" s="1"/>
  <c r="H101" i="10" s="1"/>
  <c r="C102" i="10" s="1"/>
  <c r="E102" i="10" l="1"/>
  <c r="G102" i="10" s="1"/>
  <c r="F102" i="10"/>
  <c r="H102" i="10" l="1"/>
  <c r="C103" i="10" s="1"/>
  <c r="F103" i="10" l="1"/>
  <c r="E103" i="10"/>
  <c r="G103" i="10" s="1"/>
  <c r="H103" i="10" s="1"/>
  <c r="C104" i="10" s="1"/>
  <c r="E104" i="10" l="1"/>
  <c r="G104" i="10" s="1"/>
  <c r="F104" i="10"/>
  <c r="H104" i="10" l="1"/>
  <c r="C105" i="10" s="1"/>
  <c r="F105" i="10" l="1"/>
  <c r="E105" i="10"/>
  <c r="G105" i="10" s="1"/>
  <c r="H105" i="10" s="1"/>
  <c r="C106" i="10" s="1"/>
  <c r="E106" i="10" l="1"/>
  <c r="G106" i="10" s="1"/>
  <c r="F106" i="10"/>
  <c r="H106" i="10" l="1"/>
  <c r="C107" i="10" s="1"/>
  <c r="F107" i="10" l="1"/>
  <c r="E107" i="10"/>
  <c r="G107" i="10" s="1"/>
  <c r="H107" i="10" s="1"/>
  <c r="C108" i="10" s="1"/>
  <c r="E108" i="10" l="1"/>
  <c r="G108" i="10" s="1"/>
  <c r="F108" i="10"/>
  <c r="H108" i="10" l="1"/>
  <c r="C109" i="10" s="1"/>
  <c r="F109" i="10" l="1"/>
  <c r="E109" i="10"/>
  <c r="G109" i="10" s="1"/>
  <c r="H109" i="10" s="1"/>
  <c r="C110" i="10" s="1"/>
  <c r="E110" i="10" l="1"/>
  <c r="G110" i="10" s="1"/>
  <c r="F110" i="10"/>
  <c r="H110" i="10" l="1"/>
  <c r="C111" i="10" s="1"/>
  <c r="F111" i="10" l="1"/>
  <c r="E111" i="10"/>
  <c r="G111" i="10" s="1"/>
  <c r="H111" i="10" s="1"/>
  <c r="C112" i="10" s="1"/>
  <c r="E112" i="10" l="1"/>
  <c r="G112" i="10" s="1"/>
  <c r="F112" i="10"/>
  <c r="H112" i="10" l="1"/>
  <c r="C113" i="10" s="1"/>
  <c r="F113" i="10" l="1"/>
  <c r="E113" i="10"/>
  <c r="G113" i="10" s="1"/>
  <c r="H113" i="10" s="1"/>
  <c r="C114" i="10" s="1"/>
  <c r="E114" i="10" l="1"/>
  <c r="G114" i="10" s="1"/>
  <c r="F114" i="10"/>
  <c r="H114" i="10" l="1"/>
  <c r="C115" i="10" s="1"/>
  <c r="F115" i="10" l="1"/>
  <c r="E115" i="10"/>
  <c r="G115" i="10" s="1"/>
  <c r="H115" i="10" s="1"/>
  <c r="C116" i="10" s="1"/>
  <c r="E116" i="10" l="1"/>
  <c r="G116" i="10" s="1"/>
  <c r="F116" i="10"/>
  <c r="H116" i="10" l="1"/>
  <c r="C117" i="10" s="1"/>
  <c r="F117" i="10" l="1"/>
  <c r="E117" i="10"/>
  <c r="G117" i="10" s="1"/>
  <c r="H117" i="10" s="1"/>
  <c r="C118" i="10" s="1"/>
  <c r="E118" i="10" l="1"/>
  <c r="G118" i="10" s="1"/>
  <c r="F118" i="10"/>
  <c r="H118" i="10" l="1"/>
  <c r="C119" i="10" s="1"/>
  <c r="F119" i="10" l="1"/>
  <c r="E119" i="10"/>
  <c r="G119" i="10" s="1"/>
  <c r="H119" i="10" s="1"/>
  <c r="C120" i="10" s="1"/>
  <c r="E120" i="10" l="1"/>
  <c r="G120" i="10" s="1"/>
  <c r="F120" i="10"/>
  <c r="H120" i="10" l="1"/>
  <c r="C121" i="10" s="1"/>
  <c r="F121" i="10" l="1"/>
  <c r="E121" i="10"/>
  <c r="G121" i="10" s="1"/>
  <c r="H121" i="10" s="1"/>
  <c r="C122" i="10" s="1"/>
  <c r="E122" i="10" l="1"/>
  <c r="G122" i="10" s="1"/>
  <c r="H122" i="10" s="1"/>
  <c r="C123" i="10" s="1"/>
  <c r="F122" i="10"/>
  <c r="F123" i="10" l="1"/>
  <c r="E123" i="10"/>
  <c r="G123" i="10" s="1"/>
  <c r="H123" i="10" s="1"/>
  <c r="C124" i="10" s="1"/>
  <c r="E124" i="10" l="1"/>
  <c r="G124" i="10" s="1"/>
  <c r="F124" i="10"/>
  <c r="H124" i="10" l="1"/>
  <c r="C125" i="10" s="1"/>
  <c r="F125" i="10" l="1"/>
  <c r="E125" i="10"/>
  <c r="G125" i="10" s="1"/>
  <c r="H125" i="10" s="1"/>
  <c r="C126" i="10" s="1"/>
  <c r="E126" i="10" l="1"/>
  <c r="G126" i="10" s="1"/>
  <c r="F126" i="10"/>
  <c r="H126" i="10" l="1"/>
  <c r="C127" i="10" s="1"/>
  <c r="F127" i="10" l="1"/>
  <c r="E127" i="10"/>
  <c r="G127" i="10" s="1"/>
  <c r="H127" i="10" s="1"/>
  <c r="C128" i="10" s="1"/>
  <c r="E128" i="10" l="1"/>
  <c r="G128" i="10" s="1"/>
  <c r="F128" i="10"/>
  <c r="H128" i="10" l="1"/>
  <c r="C129" i="10" s="1"/>
  <c r="F129" i="10" l="1"/>
  <c r="E129" i="10"/>
  <c r="G129" i="10" s="1"/>
  <c r="H129" i="10" s="1"/>
  <c r="C130" i="10" s="1"/>
  <c r="E130" i="10" l="1"/>
  <c r="G130" i="10" s="1"/>
  <c r="F130" i="10"/>
  <c r="H130" i="10" l="1"/>
  <c r="C131" i="10" s="1"/>
  <c r="F131" i="10" l="1"/>
  <c r="E131" i="10"/>
  <c r="G131" i="10" s="1"/>
  <c r="H131" i="10" s="1"/>
  <c r="C132" i="10" s="1"/>
  <c r="E132" i="10" l="1"/>
  <c r="G132" i="10" s="1"/>
  <c r="F132" i="10"/>
  <c r="H132" i="10" l="1"/>
  <c r="C133" i="10" s="1"/>
  <c r="F133" i="10" l="1"/>
  <c r="E133" i="10"/>
  <c r="G133" i="10" s="1"/>
  <c r="H133" i="10" s="1"/>
  <c r="C134" i="10" s="1"/>
  <c r="E134" i="10" l="1"/>
  <c r="G134" i="10" s="1"/>
  <c r="F134" i="10"/>
  <c r="H134" i="10" l="1"/>
  <c r="C135" i="10" s="1"/>
  <c r="F135" i="10" l="1"/>
  <c r="E135" i="10"/>
  <c r="G135" i="10" s="1"/>
  <c r="H135" i="10" s="1"/>
  <c r="C136" i="10" s="1"/>
  <c r="E136" i="10" l="1"/>
  <c r="G136" i="10" s="1"/>
  <c r="F136" i="10"/>
  <c r="H136" i="10" l="1"/>
  <c r="C137" i="10" s="1"/>
  <c r="F137" i="10" l="1"/>
  <c r="E137" i="10"/>
  <c r="G137" i="10" s="1"/>
  <c r="H137" i="10" s="1"/>
  <c r="C138" i="10" s="1"/>
  <c r="E138" i="10" l="1"/>
  <c r="G138" i="10" s="1"/>
  <c r="F138" i="10"/>
  <c r="H138" i="10" l="1"/>
  <c r="C139" i="10" s="1"/>
  <c r="F139" i="10" l="1"/>
  <c r="E139" i="10"/>
  <c r="G139" i="10" s="1"/>
  <c r="H139" i="10" s="1"/>
  <c r="C140" i="10" s="1"/>
  <c r="E140" i="10" l="1"/>
  <c r="G140" i="10" s="1"/>
  <c r="F140" i="10"/>
  <c r="H140" i="10" l="1"/>
  <c r="C141" i="10" s="1"/>
  <c r="F141" i="10" l="1"/>
  <c r="E141" i="10"/>
  <c r="G141" i="10" s="1"/>
  <c r="H141" i="10" s="1"/>
  <c r="C142" i="10" s="1"/>
  <c r="E142" i="10" l="1"/>
  <c r="G142" i="10" s="1"/>
  <c r="F142" i="10"/>
  <c r="H142" i="10" l="1"/>
  <c r="C143" i="10" s="1"/>
  <c r="F143" i="10" l="1"/>
  <c r="E143" i="10"/>
  <c r="G143" i="10" s="1"/>
  <c r="H143" i="10" s="1"/>
  <c r="C144" i="10" s="1"/>
  <c r="E144" i="10" l="1"/>
  <c r="G144" i="10" s="1"/>
  <c r="F144" i="10"/>
  <c r="H144" i="10" l="1"/>
  <c r="C145" i="10" s="1"/>
  <c r="F145" i="10" l="1"/>
  <c r="E145" i="10"/>
  <c r="G145" i="10" s="1"/>
  <c r="H145" i="10" s="1"/>
  <c r="C146" i="10" s="1"/>
  <c r="E146" i="10" l="1"/>
  <c r="G146" i="10" s="1"/>
  <c r="F146" i="10"/>
  <c r="H146" i="10" l="1"/>
  <c r="C147" i="10" s="1"/>
  <c r="F147" i="10" l="1"/>
  <c r="E147" i="10"/>
  <c r="G147" i="10" s="1"/>
  <c r="H147" i="10" s="1"/>
  <c r="C148" i="10" s="1"/>
  <c r="E148" i="10" l="1"/>
  <c r="G148" i="10" s="1"/>
  <c r="F148" i="10"/>
  <c r="H148" i="10" l="1"/>
  <c r="C149" i="10" s="1"/>
  <c r="F149" i="10" l="1"/>
  <c r="E149" i="10"/>
  <c r="G149" i="10" s="1"/>
  <c r="H149" i="10" s="1"/>
  <c r="C150" i="10" s="1"/>
  <c r="E150" i="10" l="1"/>
  <c r="G150" i="10" s="1"/>
  <c r="H150" i="10" s="1"/>
  <c r="C151" i="10" s="1"/>
  <c r="F150" i="10"/>
  <c r="F151" i="10" l="1"/>
  <c r="E151" i="10"/>
  <c r="G151" i="10" s="1"/>
  <c r="H151" i="10" l="1"/>
  <c r="C152" i="10" s="1"/>
  <c r="F152" i="10" l="1"/>
  <c r="E152" i="10"/>
  <c r="G152" i="10" s="1"/>
  <c r="H152" i="10" l="1"/>
  <c r="C153" i="10" s="1"/>
  <c r="F153" i="10" l="1"/>
  <c r="E153" i="10"/>
  <c r="G153" i="10" s="1"/>
  <c r="H153" i="10" l="1"/>
  <c r="C154" i="10" s="1"/>
  <c r="F154" i="10" l="1"/>
  <c r="E154" i="10"/>
  <c r="G154" i="10" s="1"/>
  <c r="H154" i="10" l="1"/>
  <c r="C155" i="10" s="1"/>
  <c r="E155" i="10" l="1"/>
  <c r="G155" i="10" s="1"/>
  <c r="H155" i="10" s="1"/>
  <c r="C156" i="10" s="1"/>
  <c r="F155" i="10"/>
  <c r="F156" i="10" l="1"/>
  <c r="E156" i="10"/>
  <c r="G156" i="10" s="1"/>
  <c r="H156" i="10" l="1"/>
  <c r="C157" i="10" s="1"/>
  <c r="F157" i="10" l="1"/>
  <c r="E157" i="10"/>
  <c r="G157" i="10" s="1"/>
  <c r="H157" i="10" l="1"/>
  <c r="C158" i="10" s="1"/>
  <c r="F158" i="10" l="1"/>
  <c r="E158" i="10"/>
  <c r="G158" i="10" s="1"/>
  <c r="H158" i="10" s="1"/>
  <c r="C159" i="10" s="1"/>
  <c r="F159" i="10" l="1"/>
  <c r="E159" i="10"/>
  <c r="G159" i="10" s="1"/>
  <c r="H159" i="10" l="1"/>
  <c r="C160" i="10" s="1"/>
  <c r="F160" i="10" l="1"/>
  <c r="E160" i="10"/>
  <c r="G160" i="10" s="1"/>
  <c r="H160" i="10" l="1"/>
  <c r="C161" i="10" s="1"/>
  <c r="E161" i="10" l="1"/>
  <c r="G161" i="10" s="1"/>
  <c r="H161" i="10" s="1"/>
  <c r="C162" i="10" s="1"/>
  <c r="F161" i="10"/>
  <c r="F162" i="10" l="1"/>
  <c r="E162" i="10"/>
  <c r="G162" i="10" s="1"/>
  <c r="H162" i="10" l="1"/>
  <c r="C163" i="10" s="1"/>
  <c r="E163" i="10" l="1"/>
  <c r="G163" i="10" s="1"/>
  <c r="F163" i="10"/>
  <c r="H163" i="10" l="1"/>
  <c r="C164" i="10" s="1"/>
  <c r="F164" i="10" l="1"/>
  <c r="E164" i="10"/>
  <c r="G164" i="10" s="1"/>
  <c r="H164" i="10" l="1"/>
  <c r="C165" i="10" s="1"/>
  <c r="E165" i="10" l="1"/>
  <c r="G165" i="10" s="1"/>
  <c r="F165" i="10"/>
  <c r="H165" i="10" l="1"/>
  <c r="C166" i="10" s="1"/>
  <c r="F166" i="10" l="1"/>
  <c r="E166" i="10"/>
  <c r="G166" i="10" s="1"/>
  <c r="H166" i="10" l="1"/>
  <c r="C167" i="10" s="1"/>
  <c r="F167" i="10" l="1"/>
  <c r="E167" i="10"/>
  <c r="G167" i="10" s="1"/>
  <c r="H167" i="10" l="1"/>
  <c r="C168" i="10" s="1"/>
  <c r="F168" i="10" l="1"/>
  <c r="E168" i="10"/>
  <c r="G168" i="10" s="1"/>
  <c r="H168" i="10" s="1"/>
  <c r="C169" i="10" s="1"/>
  <c r="F169" i="10" l="1"/>
  <c r="E169" i="10"/>
  <c r="G169" i="10" s="1"/>
  <c r="H169" i="10" s="1"/>
  <c r="C170" i="10" s="1"/>
  <c r="F170" i="10" l="1"/>
  <c r="E170" i="10"/>
  <c r="G170" i="10" s="1"/>
  <c r="H170" i="10" l="1"/>
  <c r="C171" i="10" s="1"/>
  <c r="F171" i="10" l="1"/>
  <c r="E171" i="10"/>
  <c r="G171" i="10" s="1"/>
  <c r="H171" i="10" l="1"/>
  <c r="C172" i="10" s="1"/>
  <c r="F172" i="10" l="1"/>
  <c r="E172" i="10"/>
  <c r="G172" i="10" s="1"/>
  <c r="H172" i="10" l="1"/>
  <c r="C173" i="10" s="1"/>
  <c r="F173" i="10" l="1"/>
  <c r="E173" i="10"/>
  <c r="G173" i="10" s="1"/>
  <c r="H173" i="10" l="1"/>
  <c r="C174" i="10" s="1"/>
  <c r="F174" i="10" l="1"/>
  <c r="E174" i="10"/>
  <c r="G174" i="10" s="1"/>
  <c r="H174" i="10" s="1"/>
  <c r="C175" i="10" s="1"/>
  <c r="C176" i="10" l="1"/>
  <c r="F175" i="10"/>
  <c r="E175" i="10"/>
  <c r="G175" i="10" s="1"/>
  <c r="H175" i="10" s="1"/>
  <c r="C177" i="10" l="1"/>
  <c r="F176" i="10"/>
  <c r="E176" i="10"/>
  <c r="G176" i="10" s="1"/>
  <c r="H176" i="10" s="1"/>
  <c r="C178" i="10" l="1"/>
  <c r="F177" i="10"/>
  <c r="E177" i="10"/>
  <c r="G177" i="10" s="1"/>
  <c r="H177" i="10" s="1"/>
  <c r="C179" i="10" l="1"/>
  <c r="F178" i="10"/>
  <c r="E178" i="10"/>
  <c r="G178" i="10" s="1"/>
  <c r="H178" i="10" s="1"/>
  <c r="C180" i="10" l="1"/>
  <c r="F179" i="10"/>
  <c r="E179" i="10"/>
  <c r="G179" i="10" s="1"/>
  <c r="H179" i="10" s="1"/>
  <c r="C181" i="10" l="1"/>
  <c r="F180" i="10"/>
  <c r="E180" i="10"/>
  <c r="G180" i="10" s="1"/>
  <c r="H180" i="10" s="1"/>
  <c r="C182" i="10" l="1"/>
  <c r="F181" i="10"/>
  <c r="E181" i="10"/>
  <c r="G181" i="10" s="1"/>
  <c r="H181" i="10" s="1"/>
  <c r="C183" i="10" l="1"/>
  <c r="F182" i="10"/>
  <c r="E182" i="10"/>
  <c r="G182" i="10" s="1"/>
  <c r="H182" i="10" s="1"/>
  <c r="C184" i="10" l="1"/>
  <c r="F183" i="10"/>
  <c r="E183" i="10"/>
  <c r="G183" i="10" s="1"/>
  <c r="H183" i="10" s="1"/>
  <c r="C185" i="10" l="1"/>
  <c r="F184" i="10"/>
  <c r="E184" i="10"/>
  <c r="G184" i="10" s="1"/>
  <c r="H184" i="10" s="1"/>
  <c r="C186" i="10" l="1"/>
  <c r="F185" i="10"/>
  <c r="E185" i="10"/>
  <c r="G185" i="10" s="1"/>
  <c r="H185" i="10" s="1"/>
  <c r="C187" i="10" l="1"/>
  <c r="F186" i="10"/>
  <c r="E186" i="10"/>
  <c r="G186" i="10" s="1"/>
  <c r="H186" i="10" s="1"/>
  <c r="C188" i="10" l="1"/>
  <c r="F187" i="10"/>
  <c r="E187" i="10"/>
  <c r="G187" i="10" s="1"/>
  <c r="H187" i="10" s="1"/>
  <c r="C189" i="10" l="1"/>
  <c r="F188" i="10"/>
  <c r="E188" i="10"/>
  <c r="G188" i="10" s="1"/>
  <c r="H188" i="10" s="1"/>
  <c r="C190" i="10" l="1"/>
  <c r="F189" i="10"/>
  <c r="E189" i="10"/>
  <c r="G189" i="10" s="1"/>
  <c r="H189" i="10" s="1"/>
  <c r="C191" i="10" l="1"/>
  <c r="F190" i="10"/>
  <c r="E190" i="10"/>
  <c r="G190" i="10" s="1"/>
  <c r="H190" i="10" s="1"/>
  <c r="C192" i="10" l="1"/>
  <c r="F191" i="10"/>
  <c r="E191" i="10"/>
  <c r="G191" i="10" s="1"/>
  <c r="H191" i="10" s="1"/>
  <c r="C193" i="10" l="1"/>
  <c r="F192" i="10"/>
  <c r="E192" i="10"/>
  <c r="G192" i="10" s="1"/>
  <c r="H192" i="10" s="1"/>
  <c r="C194" i="10" l="1"/>
  <c r="F193" i="10"/>
  <c r="E193" i="10"/>
  <c r="G193" i="10" s="1"/>
  <c r="H193" i="10" s="1"/>
  <c r="C195" i="10" l="1"/>
  <c r="F194" i="10"/>
  <c r="E194" i="10"/>
  <c r="G194" i="10" s="1"/>
  <c r="H194" i="10" s="1"/>
  <c r="C196" i="10" l="1"/>
  <c r="F195" i="10"/>
  <c r="E195" i="10"/>
  <c r="G195" i="10" s="1"/>
  <c r="H195" i="10" s="1"/>
  <c r="C197" i="10" l="1"/>
  <c r="F196" i="10"/>
  <c r="E196" i="10"/>
  <c r="G196" i="10" s="1"/>
  <c r="H196" i="10" s="1"/>
  <c r="C198" i="10" l="1"/>
  <c r="F197" i="10"/>
  <c r="E197" i="10"/>
  <c r="G197" i="10" s="1"/>
  <c r="H197" i="10" s="1"/>
  <c r="C199" i="10" l="1"/>
  <c r="F198" i="10"/>
  <c r="E198" i="10"/>
  <c r="G198" i="10" s="1"/>
  <c r="H198" i="10" s="1"/>
  <c r="C200" i="10" l="1"/>
  <c r="F199" i="10"/>
  <c r="E199" i="10"/>
  <c r="G199" i="10" s="1"/>
  <c r="H199" i="10" s="1"/>
  <c r="C201" i="10" l="1"/>
  <c r="F200" i="10"/>
  <c r="E200" i="10"/>
  <c r="G200" i="10" s="1"/>
  <c r="H200" i="10" s="1"/>
  <c r="C202" i="10" l="1"/>
  <c r="F201" i="10"/>
  <c r="E201" i="10"/>
  <c r="G201" i="10" s="1"/>
  <c r="H201" i="10" s="1"/>
  <c r="C203" i="10" l="1"/>
  <c r="F202" i="10"/>
  <c r="E202" i="10"/>
  <c r="G202" i="10" s="1"/>
  <c r="H202" i="10" s="1"/>
  <c r="C204" i="10" l="1"/>
  <c r="F203" i="10"/>
  <c r="E203" i="10"/>
  <c r="G203" i="10" s="1"/>
  <c r="H203" i="10" s="1"/>
  <c r="F204" i="10" l="1"/>
  <c r="E204" i="10"/>
  <c r="G204" i="10" s="1"/>
  <c r="H204" i="10" s="1"/>
  <c r="C205" i="10" s="1"/>
  <c r="F205" i="10" l="1"/>
  <c r="E205" i="10"/>
  <c r="G205" i="10" s="1"/>
  <c r="H205" i="10" s="1"/>
  <c r="C206" i="10" s="1"/>
  <c r="F206" i="10" l="1"/>
  <c r="E206" i="10"/>
  <c r="G206" i="10" s="1"/>
  <c r="H206" i="10" s="1"/>
  <c r="C207" i="10" s="1"/>
  <c r="F207" i="10" l="1"/>
  <c r="E207" i="10"/>
  <c r="G207" i="10" s="1"/>
  <c r="H207" i="10" s="1"/>
  <c r="C208" i="10" s="1"/>
  <c r="F208" i="10" l="1"/>
  <c r="E208" i="10"/>
  <c r="G208" i="10" s="1"/>
  <c r="H208" i="10" s="1"/>
  <c r="C209" i="10" s="1"/>
  <c r="F209" i="10" l="1"/>
  <c r="E209" i="10"/>
  <c r="G209" i="10" s="1"/>
  <c r="H209" i="10" s="1"/>
  <c r="C210" i="10" s="1"/>
  <c r="F210" i="10" l="1"/>
  <c r="E210" i="10"/>
  <c r="G210" i="10" s="1"/>
  <c r="H210" i="10" l="1"/>
  <c r="C211" i="10" s="1"/>
  <c r="F211" i="10" l="1"/>
  <c r="E211" i="10"/>
  <c r="G211" i="10" s="1"/>
  <c r="H211" i="10" l="1"/>
  <c r="C212" i="10" s="1"/>
  <c r="F212" i="10" l="1"/>
  <c r="E212" i="10"/>
  <c r="G212" i="10" s="1"/>
  <c r="H212" i="10" s="1"/>
  <c r="C213" i="10" s="1"/>
  <c r="F213" i="10" l="1"/>
  <c r="E213" i="10"/>
  <c r="G213" i="10" s="1"/>
  <c r="H213" i="10" l="1"/>
  <c r="C214" i="10" s="1"/>
  <c r="F214" i="10" l="1"/>
  <c r="E214" i="10"/>
  <c r="G214" i="10" s="1"/>
  <c r="H214" i="10" s="1"/>
  <c r="C215" i="10" s="1"/>
  <c r="F215" i="10" l="1"/>
  <c r="E215" i="10"/>
  <c r="G215" i="10" s="1"/>
  <c r="H215" i="10" l="1"/>
  <c r="C216" i="10" s="1"/>
  <c r="F216" i="10" l="1"/>
  <c r="E216" i="10"/>
  <c r="G216" i="10" s="1"/>
  <c r="H216" i="10" s="1"/>
  <c r="C217" i="10" s="1"/>
  <c r="F217" i="10" l="1"/>
  <c r="E217" i="10"/>
  <c r="G217" i="10" s="1"/>
  <c r="H217" i="10" l="1"/>
  <c r="C218" i="10" s="1"/>
  <c r="E218" i="10" l="1"/>
  <c r="G218" i="10" s="1"/>
  <c r="H218" i="10" s="1"/>
  <c r="C219" i="10" s="1"/>
  <c r="F218" i="10"/>
  <c r="F219" i="10" l="1"/>
  <c r="E219" i="10"/>
  <c r="G219" i="10" s="1"/>
  <c r="H219" i="10" s="1"/>
  <c r="C220" i="10" s="1"/>
  <c r="F220" i="10" l="1"/>
  <c r="E220" i="10"/>
  <c r="G220" i="10" s="1"/>
  <c r="H220" i="10" s="1"/>
  <c r="C221" i="10" s="1"/>
  <c r="F221" i="10" l="1"/>
  <c r="E221" i="10"/>
  <c r="G221" i="10" s="1"/>
  <c r="H221" i="10" l="1"/>
  <c r="C222" i="10" s="1"/>
  <c r="F222" i="10" l="1"/>
  <c r="E222" i="10"/>
  <c r="G222" i="10" s="1"/>
  <c r="H222" i="10" l="1"/>
  <c r="C223" i="10" s="1"/>
  <c r="F223" i="10" l="1"/>
  <c r="E223" i="10"/>
  <c r="G223" i="10" s="1"/>
  <c r="H223" i="10" l="1"/>
  <c r="C224" i="10" s="1"/>
  <c r="F224" i="10" l="1"/>
  <c r="E224" i="10"/>
  <c r="G224" i="10" s="1"/>
  <c r="H224" i="10" s="1"/>
  <c r="C225" i="10" s="1"/>
  <c r="F225" i="10" l="1"/>
  <c r="E225" i="10"/>
  <c r="G225" i="10" s="1"/>
  <c r="H225" i="10" s="1"/>
  <c r="C226" i="10" s="1"/>
  <c r="E226" i="10" l="1"/>
  <c r="G226" i="10" s="1"/>
  <c r="H226" i="10" s="1"/>
  <c r="C227" i="10" s="1"/>
  <c r="F226" i="10"/>
  <c r="F227" i="10" l="1"/>
  <c r="E227" i="10"/>
  <c r="G227" i="10" s="1"/>
  <c r="H227" i="10" s="1"/>
  <c r="C228" i="10" s="1"/>
  <c r="F228" i="10" l="1"/>
  <c r="E228" i="10"/>
  <c r="G228" i="10" s="1"/>
  <c r="H228" i="10" s="1"/>
  <c r="C229" i="10" s="1"/>
  <c r="F229" i="10" l="1"/>
  <c r="E229" i="10"/>
  <c r="G229" i="10" s="1"/>
  <c r="H229" i="10" s="1"/>
  <c r="C230" i="10" s="1"/>
  <c r="F230" i="10" l="1"/>
  <c r="E230" i="10"/>
  <c r="G230" i="10" s="1"/>
  <c r="H230" i="10" s="1"/>
  <c r="C231" i="10" s="1"/>
  <c r="F231" i="10" l="1"/>
  <c r="E231" i="10"/>
  <c r="G231" i="10" s="1"/>
  <c r="H231" i="10" l="1"/>
  <c r="C232" i="10" s="1"/>
  <c r="F232" i="10" l="1"/>
  <c r="E232" i="10"/>
  <c r="G232" i="10" s="1"/>
  <c r="H232" i="10" l="1"/>
  <c r="C233" i="10" s="1"/>
  <c r="F233" i="10" l="1"/>
  <c r="E233" i="10"/>
  <c r="G233" i="10" s="1"/>
  <c r="H233" i="10" l="1"/>
  <c r="C234" i="10" s="1"/>
  <c r="F234" i="10" l="1"/>
  <c r="E234" i="10"/>
  <c r="G234" i="10" s="1"/>
  <c r="H234" i="10" l="1"/>
  <c r="C235" i="10" s="1"/>
  <c r="F235" i="10" l="1"/>
  <c r="E235" i="10"/>
  <c r="G235" i="10" s="1"/>
  <c r="H235" i="10" s="1"/>
  <c r="C236" i="10" s="1"/>
  <c r="F236" i="10" l="1"/>
  <c r="E236" i="10"/>
  <c r="G236" i="10" s="1"/>
  <c r="H236" i="10" s="1"/>
  <c r="C237" i="10" s="1"/>
  <c r="F237" i="10" l="1"/>
  <c r="E237" i="10"/>
  <c r="G237" i="10" s="1"/>
  <c r="H237" i="10" l="1"/>
  <c r="C238" i="10" s="1"/>
  <c r="F238" i="10" l="1"/>
  <c r="E238" i="10"/>
  <c r="G238" i="10" s="1"/>
  <c r="H238" i="10" l="1"/>
  <c r="C239" i="10" s="1"/>
  <c r="F239" i="10" l="1"/>
  <c r="E239" i="10"/>
  <c r="G239" i="10" s="1"/>
  <c r="H239" i="10" s="1"/>
  <c r="C240" i="10" s="1"/>
  <c r="F240" i="10" l="1"/>
  <c r="E240" i="10"/>
  <c r="G240" i="10" s="1"/>
  <c r="H240" i="10" l="1"/>
  <c r="C241" i="10" s="1"/>
  <c r="F241" i="10" l="1"/>
  <c r="E241" i="10"/>
  <c r="G241" i="10" s="1"/>
  <c r="H241" i="10" s="1"/>
  <c r="C242" i="10" s="1"/>
  <c r="F242" i="10" l="1"/>
  <c r="E242" i="10"/>
  <c r="G242" i="10" s="1"/>
  <c r="H242" i="10" s="1"/>
  <c r="C243" i="10" s="1"/>
  <c r="F243" i="10" l="1"/>
  <c r="E243" i="10"/>
  <c r="G243" i="10" s="1"/>
  <c r="H243" i="10" s="1"/>
  <c r="C244" i="10" s="1"/>
  <c r="F244" i="10" l="1"/>
  <c r="E244" i="10"/>
  <c r="G244" i="10" s="1"/>
  <c r="H244" i="10" s="1"/>
  <c r="C245" i="10" s="1"/>
  <c r="F245" i="10" l="1"/>
  <c r="E245" i="10"/>
  <c r="G245" i="10" s="1"/>
  <c r="H245" i="10" s="1"/>
  <c r="C246" i="10" s="1"/>
  <c r="F246" i="10" l="1"/>
  <c r="E246" i="10"/>
  <c r="G246" i="10" s="1"/>
  <c r="H246" i="10" s="1"/>
  <c r="C247" i="10" s="1"/>
  <c r="F247" i="10" l="1"/>
  <c r="E247" i="10"/>
  <c r="G247" i="10" s="1"/>
  <c r="H247" i="10" s="1"/>
  <c r="C248" i="10" s="1"/>
  <c r="F248" i="10" l="1"/>
  <c r="E248" i="10"/>
  <c r="G248" i="10" s="1"/>
  <c r="H248" i="10" s="1"/>
  <c r="C249" i="10" s="1"/>
  <c r="F249" i="10" l="1"/>
  <c r="E249" i="10"/>
  <c r="G249" i="10" s="1"/>
  <c r="H249" i="10" s="1"/>
  <c r="C250" i="10" s="1"/>
  <c r="F250" i="10" l="1"/>
  <c r="E250" i="10"/>
  <c r="G250" i="10" s="1"/>
  <c r="H250" i="10" s="1"/>
  <c r="C251" i="10" s="1"/>
  <c r="F251" i="10" l="1"/>
  <c r="E251" i="10"/>
  <c r="G251" i="10" s="1"/>
  <c r="H251" i="10" l="1"/>
  <c r="C252" i="10" s="1"/>
  <c r="F252" i="10" l="1"/>
  <c r="E252" i="10"/>
  <c r="G252" i="10" s="1"/>
  <c r="H252" i="10" l="1"/>
  <c r="C253" i="10" s="1"/>
  <c r="F253" i="10" l="1"/>
  <c r="E253" i="10"/>
  <c r="G253" i="10" s="1"/>
  <c r="H253" i="10" s="1"/>
  <c r="C254" i="10" s="1"/>
  <c r="F254" i="10" l="1"/>
  <c r="E254" i="10"/>
  <c r="G254" i="10" s="1"/>
  <c r="H254" i="10" s="1"/>
  <c r="C255" i="10" s="1"/>
  <c r="F255" i="10" l="1"/>
  <c r="E255" i="10"/>
  <c r="G255" i="10" s="1"/>
  <c r="H255" i="10" s="1"/>
  <c r="C256" i="10" s="1"/>
  <c r="F256" i="10" l="1"/>
  <c r="E256" i="10"/>
  <c r="G256" i="10" s="1"/>
  <c r="H256" i="10" s="1"/>
  <c r="C257" i="10" s="1"/>
  <c r="F257" i="10" l="1"/>
  <c r="E257" i="10"/>
  <c r="G257" i="10" s="1"/>
  <c r="H257" i="10" s="1"/>
  <c r="C258" i="10" s="1"/>
  <c r="F258" i="10" l="1"/>
  <c r="E258" i="10"/>
  <c r="G258" i="10" s="1"/>
  <c r="H258" i="10" s="1"/>
  <c r="C259" i="10" s="1"/>
  <c r="F259" i="10" l="1"/>
  <c r="E259" i="10"/>
  <c r="G259" i="10" s="1"/>
  <c r="H259" i="10" s="1"/>
  <c r="C260" i="10" s="1"/>
  <c r="F260" i="10" l="1"/>
  <c r="E260" i="10"/>
  <c r="G260" i="10" s="1"/>
  <c r="H260" i="10" s="1"/>
  <c r="C261" i="10" s="1"/>
  <c r="F261" i="10" l="1"/>
  <c r="E261" i="10"/>
  <c r="G261" i="10" s="1"/>
  <c r="H261" i="10" s="1"/>
  <c r="C262" i="10" s="1"/>
  <c r="F262" i="10" l="1"/>
  <c r="E262" i="10"/>
  <c r="G262" i="10" s="1"/>
  <c r="H262" i="10" l="1"/>
  <c r="C263" i="10" s="1"/>
  <c r="F263" i="10" l="1"/>
  <c r="E263" i="10"/>
  <c r="G263" i="10" s="1"/>
  <c r="H263" i="10" s="1"/>
  <c r="C264" i="10" s="1"/>
  <c r="F264" i="10" l="1"/>
  <c r="E264" i="10"/>
  <c r="G264" i="10" s="1"/>
  <c r="H264" i="10" l="1"/>
  <c r="C265" i="10" s="1"/>
  <c r="F265" i="10" l="1"/>
  <c r="E265" i="10"/>
  <c r="G265" i="10" s="1"/>
  <c r="H265" i="10" s="1"/>
  <c r="C266" i="10" s="1"/>
  <c r="F266" i="10" l="1"/>
  <c r="E266" i="10"/>
  <c r="G266" i="10" s="1"/>
  <c r="H266" i="10" l="1"/>
  <c r="C267" i="10" s="1"/>
  <c r="F267" i="10" l="1"/>
  <c r="E267" i="10"/>
  <c r="G267" i="10" s="1"/>
  <c r="H267" i="10" s="1"/>
  <c r="C268" i="10" s="1"/>
  <c r="F268" i="10" l="1"/>
  <c r="E268" i="10"/>
  <c r="G268" i="10" s="1"/>
  <c r="H268" i="10" l="1"/>
  <c r="C269" i="10" s="1"/>
  <c r="F269" i="10" l="1"/>
  <c r="E269" i="10"/>
  <c r="G269" i="10" s="1"/>
  <c r="H269" i="10" s="1"/>
  <c r="C270" i="10" s="1"/>
  <c r="F270" i="10" l="1"/>
  <c r="E270" i="10"/>
  <c r="G270" i="10" s="1"/>
  <c r="H270" i="10" l="1"/>
  <c r="C271" i="10" s="1"/>
  <c r="F271" i="10" l="1"/>
  <c r="E271" i="10"/>
  <c r="G271" i="10" s="1"/>
  <c r="H271" i="10" l="1"/>
  <c r="C272" i="10" s="1"/>
  <c r="F272" i="10" l="1"/>
  <c r="E272" i="10"/>
  <c r="G272" i="10" s="1"/>
  <c r="H272" i="10" s="1"/>
  <c r="C273" i="10" s="1"/>
  <c r="F273" i="10" l="1"/>
  <c r="E273" i="10"/>
  <c r="G273" i="10" s="1"/>
  <c r="H273" i="10" l="1"/>
  <c r="C274" i="10" s="1"/>
  <c r="F274" i="10" l="1"/>
  <c r="E274" i="10"/>
  <c r="G274" i="10" s="1"/>
  <c r="H274" i="10" s="1"/>
  <c r="C275" i="10" s="1"/>
  <c r="F275" i="10" l="1"/>
  <c r="E275" i="10"/>
  <c r="G275" i="10" s="1"/>
  <c r="H275" i="10" s="1"/>
  <c r="C276" i="10" s="1"/>
  <c r="E276" i="10" l="1"/>
  <c r="G276" i="10" s="1"/>
  <c r="H276" i="10" s="1"/>
  <c r="C277" i="10" s="1"/>
  <c r="F276" i="10"/>
  <c r="E277" i="10" l="1"/>
  <c r="G277" i="10" s="1"/>
  <c r="H277" i="10" s="1"/>
  <c r="C278" i="10" s="1"/>
  <c r="F277" i="10"/>
  <c r="F278" i="10" l="1"/>
  <c r="E278" i="10"/>
  <c r="G278" i="10" s="1"/>
  <c r="H278" i="10" l="1"/>
  <c r="C279" i="10" s="1"/>
  <c r="E279" i="10" l="1"/>
  <c r="G279" i="10" s="1"/>
  <c r="F279" i="10"/>
  <c r="H279" i="10" l="1"/>
  <c r="C280" i="10" s="1"/>
  <c r="F280" i="10" l="1"/>
  <c r="E280" i="10"/>
  <c r="G280" i="10" s="1"/>
  <c r="H280" i="10" s="1"/>
  <c r="C281" i="10" s="1"/>
  <c r="E281" i="10" l="1"/>
  <c r="G281" i="10" s="1"/>
  <c r="F281" i="10"/>
  <c r="H281" i="10" l="1"/>
  <c r="C282" i="10" s="1"/>
  <c r="F282" i="10" l="1"/>
  <c r="E282" i="10"/>
  <c r="G282" i="10" s="1"/>
  <c r="H282" i="10" l="1"/>
  <c r="C283" i="10" s="1"/>
  <c r="E283" i="10" l="1"/>
  <c r="G283" i="10" s="1"/>
  <c r="H283" i="10" s="1"/>
  <c r="C284" i="10" s="1"/>
  <c r="F283" i="10"/>
  <c r="F284" i="10" l="1"/>
  <c r="E284" i="10"/>
  <c r="G284" i="10" s="1"/>
  <c r="H284" i="10" l="1"/>
  <c r="C285" i="10" s="1"/>
  <c r="E285" i="10" l="1"/>
  <c r="G285" i="10" s="1"/>
  <c r="F285" i="10"/>
  <c r="H285" i="10" l="1"/>
  <c r="C286" i="10" s="1"/>
  <c r="F286" i="10" l="1"/>
  <c r="E286" i="10"/>
  <c r="G286" i="10" s="1"/>
  <c r="H286" i="10" l="1"/>
  <c r="C287" i="10" s="1"/>
  <c r="E287" i="10" l="1"/>
  <c r="G287" i="10" s="1"/>
  <c r="F287" i="10"/>
  <c r="H287" i="10" l="1"/>
  <c r="C288" i="10" s="1"/>
  <c r="F288" i="10" l="1"/>
  <c r="E288" i="10"/>
  <c r="G288" i="10" s="1"/>
  <c r="H288" i="10" s="1"/>
  <c r="C289" i="10" s="1"/>
  <c r="E289" i="10" l="1"/>
  <c r="G289" i="10" s="1"/>
  <c r="F289" i="10"/>
  <c r="H289" i="10" l="1"/>
  <c r="C290" i="10" s="1"/>
  <c r="F290" i="10" l="1"/>
  <c r="E290" i="10"/>
  <c r="G290" i="10" s="1"/>
  <c r="H290" i="10" s="1"/>
  <c r="C291" i="10" s="1"/>
  <c r="E291" i="10" l="1"/>
  <c r="G291" i="10" s="1"/>
  <c r="H291" i="10" s="1"/>
  <c r="C292" i="10" s="1"/>
  <c r="F291" i="10"/>
  <c r="F292" i="10" l="1"/>
  <c r="E292" i="10"/>
  <c r="G292" i="10" s="1"/>
  <c r="H292" i="10" l="1"/>
  <c r="C293" i="10" s="1"/>
  <c r="E293" i="10" l="1"/>
  <c r="G293" i="10" s="1"/>
  <c r="F293" i="10"/>
  <c r="H293" i="10" l="1"/>
  <c r="C294" i="10" s="1"/>
  <c r="F294" i="10" l="1"/>
  <c r="E294" i="10"/>
  <c r="G294" i="10" s="1"/>
  <c r="H294" i="10" l="1"/>
  <c r="C295" i="10" s="1"/>
  <c r="E295" i="10" l="1"/>
  <c r="G295" i="10" s="1"/>
  <c r="H295" i="10" s="1"/>
  <c r="C296" i="10" s="1"/>
  <c r="F295" i="10"/>
  <c r="F296" i="10" l="1"/>
  <c r="E296" i="10"/>
  <c r="G296" i="10" s="1"/>
  <c r="H296" i="10" l="1"/>
  <c r="C297" i="10" s="1"/>
  <c r="E297" i="10" l="1"/>
  <c r="G297" i="10" s="1"/>
  <c r="H297" i="10" s="1"/>
  <c r="C298" i="10" s="1"/>
  <c r="F297" i="10"/>
  <c r="F298" i="10" l="1"/>
  <c r="E298" i="10"/>
  <c r="G298" i="10" s="1"/>
  <c r="H298" i="10" l="1"/>
  <c r="C299" i="10" s="1"/>
  <c r="E299" i="10" l="1"/>
  <c r="G299" i="10" s="1"/>
  <c r="H299" i="10" s="1"/>
  <c r="C300" i="10" s="1"/>
  <c r="F299" i="10"/>
  <c r="F300" i="10" l="1"/>
  <c r="E300" i="10"/>
  <c r="G300" i="10" s="1"/>
  <c r="H300" i="10" s="1"/>
  <c r="C301" i="10" s="1"/>
  <c r="E301" i="10" l="1"/>
  <c r="G301" i="10" s="1"/>
  <c r="F301" i="10"/>
  <c r="H301" i="10" l="1"/>
  <c r="C302" i="10" s="1"/>
  <c r="F302" i="10" l="1"/>
  <c r="E302" i="10"/>
  <c r="G302" i="10" s="1"/>
  <c r="H302" i="10" l="1"/>
  <c r="C303" i="10" s="1"/>
  <c r="E303" i="10" l="1"/>
  <c r="G303" i="10" s="1"/>
  <c r="F303" i="10"/>
  <c r="H303" i="10" l="1"/>
  <c r="C304" i="10" s="1"/>
  <c r="F304" i="10" l="1"/>
  <c r="E304" i="10"/>
  <c r="G304" i="10" s="1"/>
  <c r="H304" i="10" l="1"/>
  <c r="C305" i="10" s="1"/>
  <c r="E305" i="10" l="1"/>
  <c r="G305" i="10" s="1"/>
  <c r="F305" i="10"/>
  <c r="H305" i="10" l="1"/>
  <c r="C306" i="10" s="1"/>
  <c r="F306" i="10" l="1"/>
  <c r="E306" i="10"/>
  <c r="G306" i="10" s="1"/>
  <c r="H306" i="10" l="1"/>
  <c r="C307" i="10" s="1"/>
  <c r="E307" i="10" l="1"/>
  <c r="G307" i="10" s="1"/>
  <c r="F307" i="10"/>
  <c r="H307" i="10" l="1"/>
  <c r="C308" i="10" s="1"/>
  <c r="F308" i="10" l="1"/>
  <c r="E308" i="10"/>
  <c r="G308" i="10" s="1"/>
  <c r="H308" i="10" s="1"/>
  <c r="C309" i="10" s="1"/>
  <c r="E309" i="10" l="1"/>
  <c r="G309" i="10" s="1"/>
  <c r="F309" i="10"/>
  <c r="H309" i="10" l="1"/>
  <c r="C310" i="10" s="1"/>
  <c r="F310" i="10" l="1"/>
  <c r="E310" i="10"/>
  <c r="G310" i="10" s="1"/>
  <c r="H310" i="10" l="1"/>
  <c r="C311" i="10" s="1"/>
  <c r="E311" i="10" l="1"/>
  <c r="G311" i="10" s="1"/>
  <c r="H311" i="10" s="1"/>
  <c r="C312" i="10" s="1"/>
  <c r="F311" i="10"/>
  <c r="F312" i="10" l="1"/>
  <c r="E312" i="10"/>
  <c r="G312" i="10" s="1"/>
  <c r="H312" i="10" l="1"/>
  <c r="C313" i="10" s="1"/>
  <c r="E313" i="10" l="1"/>
  <c r="G313" i="10" s="1"/>
  <c r="F313" i="10"/>
  <c r="H313" i="10" l="1"/>
  <c r="C314" i="10" s="1"/>
  <c r="F314" i="10" l="1"/>
  <c r="E314" i="10"/>
  <c r="G314" i="10" s="1"/>
  <c r="H314" i="10" l="1"/>
  <c r="C315" i="10" s="1"/>
  <c r="E315" i="10" l="1"/>
  <c r="G315" i="10" s="1"/>
  <c r="F315" i="10"/>
  <c r="H315" i="10" l="1"/>
  <c r="C316" i="10" s="1"/>
  <c r="F316" i="10" l="1"/>
  <c r="E316" i="10"/>
  <c r="G316" i="10" s="1"/>
  <c r="H316" i="10" s="1"/>
  <c r="C317" i="10" s="1"/>
  <c r="E317" i="10" l="1"/>
  <c r="G317" i="10" s="1"/>
  <c r="H317" i="10" s="1"/>
  <c r="C318" i="10" s="1"/>
  <c r="F317" i="10"/>
  <c r="F318" i="10" l="1"/>
  <c r="E318" i="10"/>
  <c r="G318" i="10" s="1"/>
  <c r="H318" i="10" l="1"/>
  <c r="C319" i="10" s="1"/>
  <c r="E319" i="10" l="1"/>
  <c r="G319" i="10" s="1"/>
  <c r="H319" i="10" s="1"/>
  <c r="C320" i="10" s="1"/>
  <c r="F319" i="10"/>
  <c r="F320" i="10" l="1"/>
  <c r="E320" i="10"/>
  <c r="G320" i="10" s="1"/>
  <c r="H320" i="10" l="1"/>
  <c r="C321" i="10" s="1"/>
  <c r="E321" i="10" l="1"/>
  <c r="G321" i="10" s="1"/>
  <c r="F321" i="10"/>
  <c r="H321" i="10" l="1"/>
  <c r="C322" i="10" s="1"/>
  <c r="F322" i="10" l="1"/>
  <c r="E322" i="10"/>
  <c r="G322" i="10" s="1"/>
  <c r="H322" i="10" s="1"/>
  <c r="C323" i="10" s="1"/>
  <c r="E323" i="10" l="1"/>
  <c r="G323" i="10" s="1"/>
  <c r="F323" i="10"/>
  <c r="H323" i="10" l="1"/>
  <c r="C324" i="10" s="1"/>
  <c r="F324" i="10" l="1"/>
  <c r="E324" i="10"/>
  <c r="G324" i="10" s="1"/>
  <c r="H324" i="10" s="1"/>
  <c r="C325" i="10" s="1"/>
  <c r="E325" i="10" l="1"/>
  <c r="G325" i="10" s="1"/>
  <c r="F325" i="10"/>
  <c r="H325" i="10" l="1"/>
  <c r="C326" i="10" s="1"/>
  <c r="F326" i="10" l="1"/>
  <c r="E326" i="10"/>
  <c r="G326" i="10" s="1"/>
  <c r="H326" i="10" l="1"/>
  <c r="C327" i="10" s="1"/>
  <c r="E327" i="10" l="1"/>
  <c r="G327" i="10" s="1"/>
  <c r="F327" i="10"/>
  <c r="H327" i="10" l="1"/>
  <c r="C328" i="10" s="1"/>
  <c r="F328" i="10" l="1"/>
  <c r="E328" i="10"/>
  <c r="G328" i="10" s="1"/>
  <c r="H328" i="10" s="1"/>
  <c r="C329" i="10" s="1"/>
  <c r="E329" i="10" l="1"/>
  <c r="G329" i="10" s="1"/>
  <c r="F329" i="10"/>
  <c r="H329" i="10" l="1"/>
  <c r="C330" i="10" s="1"/>
  <c r="F330" i="10" l="1"/>
  <c r="E330" i="10"/>
  <c r="G330" i="10" s="1"/>
  <c r="H330" i="10" s="1"/>
  <c r="C331" i="10" s="1"/>
  <c r="E331" i="10" l="1"/>
  <c r="G331" i="10" s="1"/>
  <c r="F331" i="10"/>
  <c r="H331" i="10" l="1"/>
  <c r="C332" i="10" s="1"/>
  <c r="F332" i="10" l="1"/>
  <c r="E332" i="10"/>
  <c r="G332" i="10" s="1"/>
  <c r="H332" i="10" s="1"/>
  <c r="C333" i="10" s="1"/>
  <c r="F333" i="10" l="1"/>
  <c r="E333" i="10"/>
  <c r="G333" i="10" s="1"/>
  <c r="H333" i="10" s="1"/>
  <c r="C334" i="10" s="1"/>
  <c r="F334" i="10" l="1"/>
  <c r="E334" i="10"/>
  <c r="G334" i="10" s="1"/>
  <c r="H334" i="10" s="1"/>
  <c r="C335" i="10" s="1"/>
  <c r="F335" i="10" l="1"/>
  <c r="E335" i="10"/>
  <c r="G335" i="10" s="1"/>
  <c r="H335" i="10" s="1"/>
  <c r="C336" i="10" s="1"/>
  <c r="E336" i="10" l="1"/>
  <c r="G336" i="10" s="1"/>
  <c r="H336" i="10" s="1"/>
  <c r="C337" i="10" s="1"/>
  <c r="F336" i="10"/>
  <c r="F337" i="10" l="1"/>
  <c r="E337" i="10"/>
  <c r="G337" i="10" s="1"/>
  <c r="H337" i="10" l="1"/>
  <c r="C338" i="10" s="1"/>
  <c r="F338" i="10" l="1"/>
  <c r="E338" i="10"/>
  <c r="G338" i="10" s="1"/>
  <c r="H338" i="10" l="1"/>
  <c r="C339" i="10" s="1"/>
  <c r="F339" i="10" l="1"/>
  <c r="E339" i="10"/>
  <c r="G339" i="10" s="1"/>
  <c r="H339" i="10" s="1"/>
  <c r="C340" i="10" s="1"/>
  <c r="F340" i="10" l="1"/>
  <c r="E340" i="10"/>
  <c r="G340" i="10" s="1"/>
  <c r="H340" i="10" l="1"/>
  <c r="C341" i="10" s="1"/>
  <c r="F341" i="10" l="1"/>
  <c r="E341" i="10"/>
  <c r="G341" i="10" s="1"/>
  <c r="H341" i="10" s="1"/>
  <c r="C342" i="10" s="1"/>
  <c r="F342" i="10" l="1"/>
  <c r="E342" i="10"/>
  <c r="G342" i="10" s="1"/>
  <c r="H342" i="10" l="1"/>
  <c r="C343" i="10" s="1"/>
  <c r="F343" i="10" l="1"/>
  <c r="E343" i="10"/>
  <c r="G343" i="10" s="1"/>
  <c r="H343" i="10" s="1"/>
  <c r="C344" i="10" s="1"/>
  <c r="F344" i="10" l="1"/>
  <c r="E344" i="10"/>
  <c r="G344" i="10" s="1"/>
  <c r="H344" i="10" s="1"/>
  <c r="C345" i="10" s="1"/>
  <c r="F345" i="10" l="1"/>
  <c r="E345" i="10"/>
  <c r="G345" i="10" s="1"/>
  <c r="H345" i="10" l="1"/>
  <c r="C346" i="10" s="1"/>
  <c r="F346" i="10" l="1"/>
  <c r="E346" i="10"/>
  <c r="G346" i="10" s="1"/>
  <c r="H346" i="10" l="1"/>
  <c r="C347" i="10" s="1"/>
  <c r="F347" i="10" l="1"/>
  <c r="E347" i="10"/>
  <c r="G347" i="10" s="1"/>
  <c r="H347" i="10" l="1"/>
  <c r="C348" i="10" s="1"/>
  <c r="F348" i="10" l="1"/>
  <c r="E348" i="10"/>
  <c r="G348" i="10" s="1"/>
  <c r="H348" i="10" s="1"/>
  <c r="C349" i="10" s="1"/>
  <c r="F349" i="10" l="1"/>
  <c r="E349" i="10"/>
  <c r="G349" i="10" s="1"/>
  <c r="H349" i="10" l="1"/>
  <c r="C350" i="10" s="1"/>
  <c r="F350" i="10" l="1"/>
  <c r="E350" i="10"/>
  <c r="G350" i="10" s="1"/>
  <c r="H350" i="10" s="1"/>
  <c r="C351" i="10" s="1"/>
  <c r="F351" i="10" l="1"/>
  <c r="E351" i="10"/>
  <c r="G351" i="10" s="1"/>
  <c r="H351" i="10" s="1"/>
  <c r="C352" i="10" s="1"/>
  <c r="F352" i="10" l="1"/>
  <c r="E352" i="10"/>
  <c r="G352" i="10" s="1"/>
  <c r="H352" i="10" s="1"/>
  <c r="C353" i="10" s="1"/>
  <c r="F353" i="10" l="1"/>
  <c r="E353" i="10"/>
  <c r="G353" i="10" s="1"/>
  <c r="H353" i="10" l="1"/>
  <c r="C354" i="10" s="1"/>
  <c r="F354" i="10" l="1"/>
  <c r="E354" i="10"/>
  <c r="G354" i="10" s="1"/>
  <c r="H354" i="10" s="1"/>
  <c r="C355" i="10" s="1"/>
  <c r="F355" i="10" l="1"/>
  <c r="E355" i="10"/>
  <c r="G355" i="10" s="1"/>
  <c r="H355" i="10" l="1"/>
  <c r="C356" i="10" s="1"/>
  <c r="F356" i="10" l="1"/>
  <c r="E356" i="10"/>
  <c r="G356" i="10" s="1"/>
  <c r="H356" i="10" s="1"/>
  <c r="C357" i="10" s="1"/>
  <c r="F357" i="10" l="1"/>
  <c r="E357" i="10"/>
  <c r="G357" i="10" s="1"/>
  <c r="H357" i="10" l="1"/>
  <c r="C358" i="10" s="1"/>
  <c r="F358" i="10" l="1"/>
  <c r="E358" i="10"/>
  <c r="G358" i="10" s="1"/>
  <c r="H358" i="10" s="1"/>
  <c r="C359" i="10" s="1"/>
  <c r="F359" i="10" l="1"/>
  <c r="E359" i="10"/>
  <c r="G359" i="10" s="1"/>
  <c r="H359" i="10" s="1"/>
  <c r="C360" i="10" s="1"/>
  <c r="F360" i="10" l="1"/>
  <c r="E360" i="10"/>
  <c r="G360" i="10" s="1"/>
  <c r="H360" i="10" s="1"/>
  <c r="C361" i="10" s="1"/>
  <c r="F361" i="10" l="1"/>
  <c r="E361" i="10"/>
  <c r="G361" i="10" s="1"/>
  <c r="H361" i="10" s="1"/>
  <c r="C362" i="10" s="1"/>
  <c r="F362" i="10" l="1"/>
  <c r="E362" i="10"/>
  <c r="G362" i="10" s="1"/>
  <c r="H362" i="10" s="1"/>
  <c r="C363" i="10" s="1"/>
  <c r="F363" i="10" l="1"/>
  <c r="E363" i="10"/>
  <c r="G363" i="10" s="1"/>
  <c r="H363" i="10" l="1"/>
  <c r="C364" i="10" s="1"/>
  <c r="F364" i="10" l="1"/>
  <c r="E364" i="10"/>
  <c r="G364" i="10" s="1"/>
  <c r="H364" i="10" l="1"/>
  <c r="C365" i="10" s="1"/>
  <c r="F365" i="10" l="1"/>
  <c r="E365" i="10"/>
  <c r="G365" i="10" s="1"/>
  <c r="H365" i="10" s="1"/>
  <c r="C366" i="10" s="1"/>
  <c r="F366" i="10" l="1"/>
  <c r="E366" i="10"/>
  <c r="G366" i="10" s="1"/>
  <c r="H366" i="10" s="1"/>
  <c r="C367" i="10" s="1"/>
  <c r="F367" i="10" l="1"/>
  <c r="E367" i="10"/>
  <c r="G367" i="10" s="1"/>
  <c r="H367" i="10" l="1"/>
  <c r="C368" i="10" s="1"/>
  <c r="F368" i="10" l="1"/>
  <c r="E368" i="10"/>
  <c r="G368" i="10" s="1"/>
  <c r="H368" i="10" s="1"/>
  <c r="C369" i="10" s="1"/>
  <c r="F369" i="10" l="1"/>
  <c r="E369" i="10"/>
  <c r="G369" i="10" s="1"/>
  <c r="H369" i="10" l="1"/>
  <c r="C370" i="10" s="1"/>
  <c r="F370" i="10" l="1"/>
  <c r="E370" i="10"/>
  <c r="G370" i="10" s="1"/>
  <c r="H370" i="10" l="1"/>
  <c r="C371" i="10" s="1"/>
  <c r="F371" i="10" l="1"/>
  <c r="E371" i="10"/>
  <c r="G371" i="10" s="1"/>
  <c r="H371" i="10" s="1"/>
  <c r="C372" i="10" s="1"/>
  <c r="F372" i="10" l="1"/>
  <c r="E372" i="10"/>
  <c r="G372" i="10" s="1"/>
  <c r="H372" i="10" l="1"/>
  <c r="C373" i="10" s="1"/>
  <c r="F373" i="10" l="1"/>
  <c r="E373" i="10"/>
  <c r="G373" i="10" s="1"/>
  <c r="H373" i="10" s="1"/>
  <c r="C374" i="10" s="1"/>
  <c r="F374" i="10" l="1"/>
  <c r="E374" i="10"/>
  <c r="G374" i="10" s="1"/>
  <c r="H374" i="10" l="1"/>
  <c r="C375" i="10" s="1"/>
  <c r="F375" i="10" l="1"/>
  <c r="E375" i="10"/>
  <c r="G375" i="10" s="1"/>
  <c r="H375" i="10" s="1"/>
  <c r="C376" i="10" s="1"/>
  <c r="F376" i="10" l="1"/>
  <c r="E376" i="10"/>
  <c r="G376" i="10" s="1"/>
  <c r="H376" i="10" l="1"/>
  <c r="C377" i="10" s="1"/>
  <c r="F377" i="10" l="1"/>
  <c r="E377" i="10"/>
  <c r="G377" i="10" s="1"/>
  <c r="H377" i="10" l="1"/>
  <c r="C378" i="10" s="1"/>
  <c r="F378" i="10" l="1"/>
  <c r="E378" i="10"/>
  <c r="G378" i="10" s="1"/>
  <c r="H378" i="10" l="1"/>
  <c r="C379" i="10" s="1"/>
  <c r="F379" i="10" l="1"/>
  <c r="E379" i="10"/>
  <c r="G379" i="10" s="1"/>
  <c r="H379" i="10" s="1"/>
  <c r="C380" i="10" s="1"/>
  <c r="F380" i="10" l="1"/>
  <c r="E380" i="10"/>
  <c r="G380" i="10" s="1"/>
  <c r="H380" i="10" l="1"/>
  <c r="C381" i="10" s="1"/>
  <c r="F381" i="10" l="1"/>
  <c r="E381" i="10"/>
  <c r="G381" i="10" s="1"/>
  <c r="H381" i="10" s="1"/>
  <c r="C382" i="10" s="1"/>
  <c r="F382" i="10" l="1"/>
  <c r="E382" i="10"/>
  <c r="G382" i="10" s="1"/>
  <c r="H382" i="10" l="1"/>
  <c r="C383" i="10" s="1"/>
  <c r="F383" i="10" l="1"/>
  <c r="E383" i="10"/>
  <c r="G383" i="10" s="1"/>
  <c r="H383" i="10" s="1"/>
  <c r="C384" i="10" s="1"/>
  <c r="F384" i="10" l="1"/>
  <c r="E384" i="10"/>
  <c r="G384" i="10" s="1"/>
  <c r="H384" i="10" s="1"/>
  <c r="C385" i="10" s="1"/>
  <c r="F385" i="10" l="1"/>
  <c r="E385" i="10"/>
  <c r="G385" i="10" s="1"/>
  <c r="H385" i="10" s="1"/>
  <c r="C386" i="10" s="1"/>
  <c r="F386" i="10" l="1"/>
  <c r="E386" i="10"/>
  <c r="G386" i="10" s="1"/>
  <c r="H386" i="10" s="1"/>
  <c r="C387" i="10" s="1"/>
  <c r="F387" i="10" l="1"/>
  <c r="E387" i="10"/>
  <c r="G387" i="10" s="1"/>
  <c r="H387" i="10" l="1"/>
  <c r="C388" i="10" s="1"/>
  <c r="F388" i="10" l="1"/>
  <c r="E388" i="10"/>
  <c r="G388" i="10" s="1"/>
  <c r="H388" i="10" s="1"/>
  <c r="G81" i="8"/>
  <c r="G82" i="8"/>
  <c r="W11" i="6" s="1"/>
  <c r="S85" i="8"/>
  <c r="W85" i="8" s="1"/>
  <c r="Z12" i="6" s="1"/>
  <c r="AA12" i="6" s="1"/>
  <c r="C13" i="6" s="1"/>
  <c r="AC13" i="6" s="1"/>
  <c r="H938" i="8"/>
  <c r="H939" i="8" s="1"/>
  <c r="E13" i="6" l="1"/>
  <c r="H13" i="6" s="1"/>
  <c r="G13" i="6"/>
  <c r="I13" i="6" l="1"/>
  <c r="N13" i="6" s="1"/>
  <c r="P97" i="8" s="1"/>
  <c r="W13" i="6" s="1"/>
  <c r="J13" i="6"/>
  <c r="K13" i="6" l="1"/>
  <c r="G105" i="8"/>
  <c r="G106" i="8" s="1"/>
  <c r="Q13" i="6"/>
  <c r="S97" i="8" s="1"/>
  <c r="Z13" i="6" s="1"/>
  <c r="AA13" i="6" s="1"/>
  <c r="C14" i="6" s="1"/>
  <c r="J105" i="8" l="1"/>
  <c r="J106" i="8" s="1"/>
  <c r="E14" i="6"/>
  <c r="H14" i="6" s="1"/>
  <c r="G14" i="6"/>
  <c r="AC14" i="6"/>
  <c r="I14" i="6" l="1"/>
  <c r="N14" i="6" s="1"/>
  <c r="K14" i="6" s="1"/>
  <c r="P109" i="8"/>
  <c r="W14" i="6" s="1"/>
  <c r="J14" i="6"/>
  <c r="G117" i="8" l="1"/>
  <c r="G118" i="8" s="1"/>
  <c r="Q14" i="6"/>
  <c r="J117" i="8" s="1"/>
  <c r="J118" i="8" s="1"/>
  <c r="S109" i="8" l="1"/>
  <c r="Z14" i="6" s="1"/>
  <c r="AA14" i="6" s="1"/>
  <c r="C15" i="6" s="1"/>
  <c r="G15" i="6" s="1"/>
  <c r="E15" i="6" l="1"/>
  <c r="H15" i="6" s="1"/>
  <c r="J15" i="6" s="1"/>
  <c r="AC15" i="6"/>
  <c r="I15" i="6" l="1"/>
  <c r="N15" i="6" s="1"/>
  <c r="K15" i="6" l="1"/>
  <c r="P121" i="8"/>
  <c r="W15" i="6" s="1"/>
  <c r="Q15" i="6"/>
  <c r="S121" i="8" s="1"/>
  <c r="Z15" i="6" s="1"/>
  <c r="AA15" i="6" s="1"/>
  <c r="C16" i="6" s="1"/>
  <c r="G16" i="6" l="1"/>
  <c r="I16" i="6" s="1"/>
  <c r="N16" i="6" s="1"/>
  <c r="AC16" i="6"/>
  <c r="E16" i="6"/>
  <c r="H16" i="6" s="1"/>
  <c r="J16" i="6" s="1"/>
  <c r="G138" i="8" l="1"/>
  <c r="G139" i="8" s="1"/>
  <c r="P130" i="8"/>
  <c r="W16" i="6" s="1"/>
  <c r="K16" i="6"/>
  <c r="Q16" i="6"/>
  <c r="S130" i="8" l="1"/>
  <c r="Z16" i="6" s="1"/>
  <c r="AA16" i="6" s="1"/>
  <c r="C17" i="6" s="1"/>
  <c r="J138" i="8"/>
  <c r="J139" i="8" s="1"/>
  <c r="AC17" i="6" l="1"/>
  <c r="E17" i="6"/>
  <c r="H17" i="6" s="1"/>
  <c r="J17" i="6" s="1"/>
  <c r="G17" i="6"/>
  <c r="I17" i="6" l="1"/>
  <c r="N17" i="6" s="1"/>
  <c r="K17" i="6" l="1"/>
  <c r="P142" i="8"/>
  <c r="W17" i="6" s="1"/>
  <c r="Q17" i="6"/>
  <c r="G150" i="8"/>
  <c r="G151" i="8" s="1"/>
  <c r="J150" i="8" l="1"/>
  <c r="J151" i="8" s="1"/>
  <c r="S142" i="8"/>
  <c r="Z17" i="6" s="1"/>
  <c r="AA17" i="6" s="1"/>
  <c r="C18" i="6" s="1"/>
  <c r="G18" i="6" l="1"/>
  <c r="I18" i="6" s="1"/>
  <c r="N18" i="6" s="1"/>
  <c r="AC18" i="6"/>
  <c r="E18" i="6"/>
  <c r="H18" i="6" s="1"/>
  <c r="J18" i="6" s="1"/>
  <c r="Q18" i="6" l="1"/>
  <c r="G163" i="8"/>
  <c r="G164" i="8" s="1"/>
  <c r="P154" i="8"/>
  <c r="W18" i="6" s="1"/>
  <c r="K18" i="6"/>
  <c r="S154" i="8" l="1"/>
  <c r="Z18" i="6" s="1"/>
  <c r="AA18" i="6" s="1"/>
  <c r="C19" i="6" s="1"/>
  <c r="J163" i="8"/>
  <c r="J164" i="8" s="1"/>
  <c r="G19" i="6" l="1"/>
  <c r="E19" i="6"/>
  <c r="H19" i="6" s="1"/>
  <c r="J19" i="6" s="1"/>
  <c r="AC19" i="6"/>
  <c r="I19" i="6" l="1"/>
  <c r="N19" i="6" s="1"/>
  <c r="K19" i="6" l="1"/>
  <c r="P167" i="8"/>
  <c r="W19" i="6" s="1"/>
  <c r="Q19" i="6"/>
  <c r="G176" i="8"/>
  <c r="G177" i="8" s="1"/>
  <c r="J176" i="8" l="1"/>
  <c r="J177" i="8" s="1"/>
  <c r="S167" i="8"/>
  <c r="Z19" i="6" s="1"/>
  <c r="AA19" i="6" s="1"/>
  <c r="C20" i="6" s="1"/>
  <c r="G20" i="6" l="1"/>
  <c r="AC20" i="6"/>
  <c r="E20" i="6"/>
  <c r="H20" i="6" s="1"/>
  <c r="J20" i="6" s="1"/>
  <c r="I20" i="6" l="1"/>
  <c r="N20" i="6" s="1"/>
  <c r="K20" i="6" s="1"/>
  <c r="P180" i="8"/>
  <c r="W20" i="6" s="1"/>
  <c r="Q20" i="6"/>
  <c r="G188" i="8"/>
  <c r="G189" i="8" s="1"/>
  <c r="J188" i="8" l="1"/>
  <c r="J189" i="8" s="1"/>
  <c r="S180" i="8"/>
  <c r="Z20" i="6" s="1"/>
  <c r="AA20" i="6" s="1"/>
  <c r="C21" i="6" s="1"/>
  <c r="AC21" i="6" l="1"/>
  <c r="E21" i="6"/>
  <c r="H21" i="6" s="1"/>
  <c r="J21" i="6" s="1"/>
  <c r="G21" i="6"/>
  <c r="I21" i="6" l="1"/>
  <c r="N21" i="6" s="1"/>
  <c r="G200" i="8" l="1"/>
  <c r="G201" i="8" s="1"/>
  <c r="K21" i="6"/>
  <c r="P192" i="8"/>
  <c r="W21" i="6" s="1"/>
  <c r="Q21" i="6"/>
  <c r="J200" i="8" l="1"/>
  <c r="J201" i="8" s="1"/>
  <c r="S192" i="8"/>
  <c r="Z21" i="6" s="1"/>
  <c r="AA21" i="6" s="1"/>
  <c r="C22" i="6" s="1"/>
  <c r="AC22" i="6" l="1"/>
  <c r="E22" i="6"/>
  <c r="H22" i="6" s="1"/>
  <c r="J22" i="6" s="1"/>
  <c r="G22" i="6"/>
  <c r="I22" i="6" l="1"/>
  <c r="N22" i="6" s="1"/>
  <c r="P204" i="8" l="1"/>
  <c r="W22" i="6" s="1"/>
  <c r="K22" i="6"/>
  <c r="Q22" i="6"/>
  <c r="G215" i="8"/>
  <c r="G216" i="8" s="1"/>
  <c r="S204" i="8" l="1"/>
  <c r="Z22" i="6" s="1"/>
  <c r="AA22" i="6" s="1"/>
  <c r="C23" i="6" s="1"/>
  <c r="J215" i="8"/>
  <c r="J216" i="8" s="1"/>
  <c r="AC23" i="6" l="1"/>
  <c r="G23" i="6"/>
  <c r="I23" i="6" s="1"/>
  <c r="N23" i="6" s="1"/>
  <c r="E23" i="6"/>
  <c r="H23" i="6" s="1"/>
  <c r="J23" i="6" s="1"/>
  <c r="K23" i="6" l="1"/>
  <c r="P219" i="8"/>
  <c r="W23" i="6" s="1"/>
  <c r="Q23" i="6"/>
  <c r="G230" i="8"/>
  <c r="G231" i="8" s="1"/>
  <c r="J230" i="8" l="1"/>
  <c r="J231" i="8" s="1"/>
  <c r="S219" i="8"/>
  <c r="Z23" i="6" s="1"/>
  <c r="AA23" i="6" s="1"/>
  <c r="C24" i="6" s="1"/>
  <c r="E24" i="6" l="1"/>
  <c r="H24" i="6" s="1"/>
  <c r="J24" i="6" s="1"/>
  <c r="G24" i="6"/>
  <c r="I24" i="6" s="1"/>
  <c r="N24" i="6" s="1"/>
  <c r="G242" i="8" l="1"/>
  <c r="G243" i="8" s="1"/>
  <c r="P234" i="8"/>
  <c r="W24" i="6" s="1"/>
  <c r="K24" i="6"/>
  <c r="Q24" i="6"/>
  <c r="S234" i="8" l="1"/>
  <c r="Z24" i="6" s="1"/>
  <c r="AA24" i="6" s="1"/>
  <c r="C25" i="6" s="1"/>
  <c r="J242" i="8"/>
  <c r="J243" i="8" s="1"/>
  <c r="E25" i="6" l="1"/>
  <c r="H25" i="6" s="1"/>
  <c r="J25" i="6" s="1"/>
  <c r="G25" i="6"/>
  <c r="I25" i="6" s="1"/>
  <c r="N25" i="6" s="1"/>
  <c r="Q25" i="6" s="1"/>
  <c r="G254" i="8" l="1"/>
  <c r="G255" i="8" s="1"/>
  <c r="P246" i="8"/>
  <c r="W25" i="6" s="1"/>
  <c r="K25" i="6"/>
  <c r="S246" i="8"/>
  <c r="Z25" i="6" s="1"/>
  <c r="AA25" i="6" s="1"/>
  <c r="C26" i="6" s="1"/>
  <c r="J254" i="8"/>
  <c r="J255" i="8" s="1"/>
  <c r="E26" i="6" l="1"/>
  <c r="H26" i="6" s="1"/>
  <c r="G26" i="6"/>
  <c r="I26" i="6" l="1"/>
  <c r="N26" i="6" s="1"/>
  <c r="J26" i="6"/>
  <c r="P258" i="8" l="1"/>
  <c r="W26" i="6" s="1"/>
  <c r="K26" i="6"/>
  <c r="Q26" i="6"/>
  <c r="G266" i="8"/>
  <c r="G267" i="8" s="1"/>
  <c r="S258" i="8" l="1"/>
  <c r="Z26" i="6" s="1"/>
  <c r="AA26" i="6" s="1"/>
  <c r="C27" i="6" s="1"/>
  <c r="J266" i="8"/>
  <c r="J267" i="8" s="1"/>
  <c r="E27" i="6" l="1"/>
  <c r="H27" i="6" s="1"/>
  <c r="G27" i="6"/>
  <c r="J27" i="6" l="1"/>
  <c r="I27" i="6"/>
  <c r="N27" i="6" s="1"/>
  <c r="K27" i="6" l="1"/>
  <c r="P270" i="8"/>
  <c r="W27" i="6" s="1"/>
  <c r="Q27" i="6"/>
  <c r="G278" i="8"/>
  <c r="G279" i="8" s="1"/>
  <c r="S270" i="8" l="1"/>
  <c r="Z27" i="6" s="1"/>
  <c r="AA27" i="6" s="1"/>
  <c r="C28" i="6" s="1"/>
  <c r="J278" i="8"/>
  <c r="J279" i="8" s="1"/>
  <c r="E28" i="6" l="1"/>
  <c r="H28" i="6" s="1"/>
  <c r="G28" i="6"/>
  <c r="I28" i="6" l="1"/>
  <c r="N28" i="6" s="1"/>
  <c r="J28" i="6"/>
  <c r="P282" i="8" l="1"/>
  <c r="W28" i="6" s="1"/>
  <c r="K28" i="6"/>
  <c r="Q28" i="6"/>
  <c r="G290" i="8"/>
  <c r="G291" i="8" s="1"/>
  <c r="S282" i="8" l="1"/>
  <c r="Z28" i="6" s="1"/>
  <c r="AA28" i="6" s="1"/>
  <c r="C29" i="6" s="1"/>
  <c r="J290" i="8"/>
  <c r="J291" i="8" s="1"/>
  <c r="E29" i="6" l="1"/>
  <c r="H29" i="6" s="1"/>
  <c r="G29" i="6"/>
  <c r="I29" i="6" s="1"/>
  <c r="N29" i="6" s="1"/>
  <c r="K29" i="6" l="1"/>
  <c r="P294" i="8"/>
  <c r="W29" i="6" s="1"/>
  <c r="Q29" i="6"/>
  <c r="G302" i="8"/>
  <c r="G303" i="8" s="1"/>
  <c r="J29" i="6"/>
  <c r="S294" i="8" l="1"/>
  <c r="Z29" i="6" s="1"/>
  <c r="AA29" i="6" s="1"/>
  <c r="C30" i="6" s="1"/>
  <c r="J302" i="8"/>
  <c r="J303" i="8" s="1"/>
  <c r="E30" i="6" l="1"/>
  <c r="H30" i="6" s="1"/>
  <c r="G30" i="6"/>
  <c r="J30" i="6" l="1"/>
  <c r="I30" i="6"/>
  <c r="N30" i="6" s="1"/>
  <c r="P306" i="8" l="1"/>
  <c r="W30" i="6" s="1"/>
  <c r="K30" i="6"/>
  <c r="Q30" i="6"/>
  <c r="G314" i="8"/>
  <c r="G315" i="8" s="1"/>
  <c r="S306" i="8" l="1"/>
  <c r="Z30" i="6" s="1"/>
  <c r="AA30" i="6" s="1"/>
  <c r="C31" i="6" s="1"/>
  <c r="J314" i="8"/>
  <c r="J315" i="8" s="1"/>
  <c r="E31" i="6" l="1"/>
  <c r="H31" i="6" s="1"/>
  <c r="G31" i="6"/>
  <c r="I31" i="6" l="1"/>
  <c r="N31" i="6" s="1"/>
  <c r="J31" i="6"/>
  <c r="K31" i="6" l="1"/>
  <c r="P318" i="8"/>
  <c r="W31" i="6" s="1"/>
  <c r="Q31" i="6"/>
  <c r="G326" i="8"/>
  <c r="G327" i="8" s="1"/>
  <c r="S318" i="8" l="1"/>
  <c r="Z31" i="6" s="1"/>
  <c r="AA31" i="6" s="1"/>
  <c r="C32" i="6" s="1"/>
  <c r="J326" i="8"/>
  <c r="J327" i="8" s="1"/>
  <c r="E32" i="6" l="1"/>
  <c r="H32" i="6" s="1"/>
  <c r="G32" i="6"/>
  <c r="I32" i="6" s="1"/>
  <c r="N32" i="6" s="1"/>
  <c r="P330" i="8" l="1"/>
  <c r="W32" i="6" s="1"/>
  <c r="K32" i="6"/>
  <c r="Q32" i="6"/>
  <c r="G338" i="8"/>
  <c r="G339" i="8" s="1"/>
  <c r="J32" i="6"/>
  <c r="S330" i="8" l="1"/>
  <c r="Z32" i="6" s="1"/>
  <c r="AA32" i="6" s="1"/>
  <c r="C33" i="6" s="1"/>
  <c r="J338" i="8"/>
  <c r="J339" i="8" s="1"/>
  <c r="E33" i="6" l="1"/>
  <c r="H33" i="6" s="1"/>
  <c r="G33" i="6"/>
  <c r="I33" i="6" s="1"/>
  <c r="N33" i="6" s="1"/>
  <c r="K33" i="6" l="1"/>
  <c r="P342" i="8"/>
  <c r="W33" i="6" s="1"/>
  <c r="Q33" i="6"/>
  <c r="G350" i="8"/>
  <c r="G351" i="8" s="1"/>
  <c r="J33" i="6"/>
  <c r="S342" i="8" l="1"/>
  <c r="Z33" i="6" s="1"/>
  <c r="AA33" i="6" s="1"/>
  <c r="C34" i="6" s="1"/>
  <c r="J350" i="8"/>
  <c r="J351" i="8" s="1"/>
  <c r="E34" i="6" l="1"/>
  <c r="H34" i="6" s="1"/>
  <c r="G34" i="6"/>
  <c r="I34" i="6" l="1"/>
  <c r="N34" i="6" s="1"/>
  <c r="J34" i="6"/>
  <c r="P354" i="8" l="1"/>
  <c r="W34" i="6" s="1"/>
  <c r="K34" i="6"/>
  <c r="Q34" i="6"/>
  <c r="G362" i="8"/>
  <c r="G363" i="8" s="1"/>
  <c r="S354" i="8" l="1"/>
  <c r="Z34" i="6" s="1"/>
  <c r="AA34" i="6" s="1"/>
  <c r="C35" i="6" s="1"/>
  <c r="J362" i="8"/>
  <c r="J363" i="8" s="1"/>
  <c r="E35" i="6" l="1"/>
  <c r="H35" i="6" s="1"/>
  <c r="G35" i="6"/>
  <c r="I35" i="6" s="1"/>
  <c r="N35" i="6" s="1"/>
  <c r="K35" i="6" l="1"/>
  <c r="P366" i="8"/>
  <c r="W35" i="6" s="1"/>
  <c r="Q35" i="6"/>
  <c r="G374" i="8"/>
  <c r="G375" i="8" s="1"/>
  <c r="J35" i="6"/>
  <c r="S366" i="8" l="1"/>
  <c r="Z35" i="6" s="1"/>
  <c r="AA35" i="6" s="1"/>
  <c r="C36" i="6" s="1"/>
  <c r="J374" i="8"/>
  <c r="J375" i="8" s="1"/>
  <c r="E36" i="6" l="1"/>
  <c r="H36" i="6" s="1"/>
  <c r="G36" i="6"/>
  <c r="I36" i="6" s="1"/>
  <c r="N36" i="6" s="1"/>
  <c r="P378" i="8" l="1"/>
  <c r="W36" i="6" s="1"/>
  <c r="Q36" i="6"/>
  <c r="K36" i="6"/>
  <c r="G386" i="8"/>
  <c r="G387" i="8" s="1"/>
  <c r="J36" i="6"/>
  <c r="S378" i="8" l="1"/>
  <c r="Z36" i="6" s="1"/>
  <c r="AA36" i="6" s="1"/>
  <c r="C37" i="6" s="1"/>
  <c r="J386" i="8"/>
  <c r="J387" i="8" s="1"/>
  <c r="E37" i="6" l="1"/>
  <c r="H37" i="6" s="1"/>
  <c r="G37" i="6"/>
  <c r="I37" i="6" s="1"/>
  <c r="N37" i="6" s="1"/>
  <c r="K37" i="6" l="1"/>
  <c r="P390" i="8"/>
  <c r="W37" i="6" s="1"/>
  <c r="Q37" i="6"/>
  <c r="G398" i="8"/>
  <c r="G399" i="8" s="1"/>
  <c r="J37" i="6"/>
  <c r="S390" i="8" l="1"/>
  <c r="Z37" i="6" s="1"/>
  <c r="AA37" i="6" s="1"/>
  <c r="C38" i="6" s="1"/>
  <c r="J398" i="8"/>
  <c r="J399" i="8" s="1"/>
  <c r="E38" i="6" l="1"/>
  <c r="H38" i="6" s="1"/>
  <c r="G38" i="6"/>
  <c r="J38" i="6" l="1"/>
  <c r="I38" i="6"/>
  <c r="N38" i="6" s="1"/>
  <c r="P402" i="8" l="1"/>
  <c r="W38" i="6" s="1"/>
  <c r="K38" i="6"/>
  <c r="Q38" i="6"/>
  <c r="G410" i="8"/>
  <c r="G411" i="8" s="1"/>
  <c r="S402" i="8" l="1"/>
  <c r="Z38" i="6" s="1"/>
  <c r="AA38" i="6" s="1"/>
  <c r="C39" i="6" s="1"/>
  <c r="J410" i="8"/>
  <c r="J411" i="8" s="1"/>
  <c r="E39" i="6" l="1"/>
  <c r="H39" i="6" s="1"/>
  <c r="G39" i="6"/>
  <c r="I39" i="6" l="1"/>
  <c r="N39" i="6" s="1"/>
  <c r="J39" i="6"/>
  <c r="K39" i="6" l="1"/>
  <c r="P414" i="8"/>
  <c r="W39" i="6" s="1"/>
  <c r="Q39" i="6"/>
  <c r="G422" i="8"/>
  <c r="G423" i="8" s="1"/>
  <c r="S414" i="8" l="1"/>
  <c r="Z39" i="6" s="1"/>
  <c r="AA39" i="6" s="1"/>
  <c r="C40" i="6" s="1"/>
  <c r="J422" i="8"/>
  <c r="J423" i="8" s="1"/>
  <c r="E40" i="6" l="1"/>
  <c r="H40" i="6" s="1"/>
  <c r="G40" i="6"/>
  <c r="I40" i="6" s="1"/>
  <c r="N40" i="6" s="1"/>
  <c r="P426" i="8" l="1"/>
  <c r="W40" i="6" s="1"/>
  <c r="K40" i="6"/>
  <c r="Q40" i="6"/>
  <c r="G434" i="8"/>
  <c r="G435" i="8" s="1"/>
  <c r="J40" i="6"/>
  <c r="S426" i="8" l="1"/>
  <c r="Z40" i="6" s="1"/>
  <c r="AA40" i="6" s="1"/>
  <c r="C41" i="6" s="1"/>
  <c r="J434" i="8"/>
  <c r="J435" i="8" s="1"/>
  <c r="E41" i="6" l="1"/>
  <c r="H41" i="6" s="1"/>
  <c r="G41" i="6"/>
  <c r="J41" i="6" l="1"/>
  <c r="I41" i="6"/>
  <c r="N41" i="6" s="1"/>
  <c r="K41" i="6" l="1"/>
  <c r="P438" i="8"/>
  <c r="W41" i="6" s="1"/>
  <c r="Q41" i="6"/>
  <c r="G446" i="8"/>
  <c r="G447" i="8" s="1"/>
  <c r="S438" i="8" l="1"/>
  <c r="Z41" i="6" s="1"/>
  <c r="AA41" i="6" s="1"/>
  <c r="C42" i="6" s="1"/>
  <c r="J446" i="8"/>
  <c r="J447" i="8" s="1"/>
  <c r="E42" i="6" l="1"/>
  <c r="H42" i="6" s="1"/>
  <c r="G42" i="6"/>
  <c r="I42" i="6" s="1"/>
  <c r="N42" i="6" s="1"/>
  <c r="P450" i="8" l="1"/>
  <c r="W42" i="6" s="1"/>
  <c r="K42" i="6"/>
  <c r="Q42" i="6"/>
  <c r="G458" i="8"/>
  <c r="G459" i="8" s="1"/>
  <c r="J42" i="6"/>
  <c r="S450" i="8" l="1"/>
  <c r="Z42" i="6" s="1"/>
  <c r="AA42" i="6" s="1"/>
  <c r="C43" i="6" s="1"/>
  <c r="J458" i="8"/>
  <c r="J459" i="8" s="1"/>
  <c r="E43" i="6" l="1"/>
  <c r="H43" i="6" s="1"/>
  <c r="G43" i="6"/>
  <c r="J43" i="6" l="1"/>
  <c r="I43" i="6"/>
  <c r="N43" i="6" s="1"/>
  <c r="K43" i="6" l="1"/>
  <c r="P462" i="8"/>
  <c r="W43" i="6" s="1"/>
  <c r="Q43" i="6"/>
  <c r="G470" i="8"/>
  <c r="G471" i="8" s="1"/>
  <c r="S462" i="8" l="1"/>
  <c r="Z43" i="6" s="1"/>
  <c r="AA43" i="6" s="1"/>
  <c r="C44" i="6" s="1"/>
  <c r="J470" i="8"/>
  <c r="J471" i="8" s="1"/>
  <c r="E44" i="6" l="1"/>
  <c r="H44" i="6" s="1"/>
  <c r="G44" i="6"/>
  <c r="I44" i="6" l="1"/>
  <c r="N44" i="6" s="1"/>
  <c r="J44" i="6"/>
  <c r="P474" i="8" l="1"/>
  <c r="W44" i="6" s="1"/>
  <c r="K44" i="6"/>
  <c r="Q44" i="6"/>
  <c r="G482" i="8"/>
  <c r="G483" i="8" s="1"/>
  <c r="S474" i="8" l="1"/>
  <c r="Z44" i="6" s="1"/>
  <c r="AA44" i="6" s="1"/>
  <c r="C45" i="6" s="1"/>
  <c r="J482" i="8"/>
  <c r="J483" i="8" s="1"/>
  <c r="E45" i="6" l="1"/>
  <c r="H45" i="6" s="1"/>
  <c r="G45" i="6"/>
  <c r="I45" i="6" s="1"/>
  <c r="N45" i="6" s="1"/>
  <c r="K45" i="6" l="1"/>
  <c r="P486" i="8"/>
  <c r="W45" i="6" s="1"/>
  <c r="G494" i="8"/>
  <c r="G495" i="8" s="1"/>
  <c r="Q45" i="6"/>
  <c r="J45" i="6"/>
  <c r="S486" i="8" l="1"/>
  <c r="Z45" i="6" s="1"/>
  <c r="AA45" i="6" s="1"/>
  <c r="C46" i="6" s="1"/>
  <c r="J494" i="8"/>
  <c r="J495" i="8" s="1"/>
  <c r="E46" i="6" l="1"/>
  <c r="H46" i="6" s="1"/>
  <c r="G46" i="6"/>
  <c r="I46" i="6" s="1"/>
  <c r="N46" i="6" s="1"/>
  <c r="P498" i="8" l="1"/>
  <c r="W46" i="6" s="1"/>
  <c r="K46" i="6"/>
  <c r="Q46" i="6"/>
  <c r="G506" i="8"/>
  <c r="G507" i="8" s="1"/>
  <c r="J46" i="6"/>
  <c r="S498" i="8" l="1"/>
  <c r="Z46" i="6" s="1"/>
  <c r="AA46" i="6" s="1"/>
  <c r="C47" i="6" s="1"/>
  <c r="J506" i="8"/>
  <c r="J507" i="8" s="1"/>
  <c r="E47" i="6" l="1"/>
  <c r="H47" i="6" s="1"/>
  <c r="G47" i="6"/>
  <c r="I47" i="6" l="1"/>
  <c r="N47" i="6" s="1"/>
  <c r="J47" i="6"/>
  <c r="K47" i="6" l="1"/>
  <c r="P510" i="8"/>
  <c r="W47" i="6" s="1"/>
  <c r="Q47" i="6"/>
  <c r="G518" i="8"/>
  <c r="G519" i="8" s="1"/>
  <c r="S510" i="8" l="1"/>
  <c r="Z47" i="6" s="1"/>
  <c r="AA47" i="6" s="1"/>
  <c r="C48" i="6" s="1"/>
  <c r="J518" i="8"/>
  <c r="J519" i="8" s="1"/>
  <c r="E48" i="6" l="1"/>
  <c r="H48" i="6" s="1"/>
  <c r="G48" i="6"/>
  <c r="J48" i="6" l="1"/>
  <c r="I48" i="6"/>
  <c r="N48" i="6" s="1"/>
  <c r="P522" i="8" l="1"/>
  <c r="W48" i="6" s="1"/>
  <c r="K48" i="6"/>
  <c r="G530" i="8"/>
  <c r="G531" i="8" s="1"/>
  <c r="Q48" i="6"/>
  <c r="S522" i="8" l="1"/>
  <c r="Z48" i="6" s="1"/>
  <c r="AA48" i="6" s="1"/>
  <c r="C49" i="6" s="1"/>
  <c r="J530" i="8"/>
  <c r="J531" i="8" s="1"/>
  <c r="E49" i="6" l="1"/>
  <c r="H49" i="6" s="1"/>
  <c r="G49" i="6"/>
  <c r="I49" i="6" l="1"/>
  <c r="N49" i="6" s="1"/>
  <c r="J49" i="6"/>
  <c r="K49" i="6" l="1"/>
  <c r="P534" i="8"/>
  <c r="W49" i="6" s="1"/>
  <c r="G542" i="8"/>
  <c r="G543" i="8" s="1"/>
  <c r="Q49" i="6"/>
  <c r="S534" i="8" l="1"/>
  <c r="Z49" i="6" s="1"/>
  <c r="AA49" i="6" s="1"/>
  <c r="C50" i="6" s="1"/>
  <c r="J542" i="8"/>
  <c r="J543" i="8" s="1"/>
  <c r="E50" i="6" l="1"/>
  <c r="H50" i="6" s="1"/>
  <c r="G50" i="6"/>
  <c r="I50" i="6" s="1"/>
  <c r="N50" i="6" s="1"/>
  <c r="Q50" i="6" l="1"/>
  <c r="K50" i="6"/>
  <c r="P546" i="8"/>
  <c r="W50" i="6" s="1"/>
  <c r="G554" i="8"/>
  <c r="G555" i="8" s="1"/>
  <c r="J50" i="6"/>
  <c r="J554" i="8" l="1"/>
  <c r="J555" i="8" s="1"/>
  <c r="S546" i="8"/>
  <c r="Z50" i="6" s="1"/>
  <c r="AA50" i="6" s="1"/>
  <c r="C51" i="6" s="1"/>
  <c r="G51" i="6" l="1"/>
  <c r="E51" i="6"/>
  <c r="H51" i="6" s="1"/>
  <c r="I51" i="6" l="1"/>
  <c r="N51" i="6" s="1"/>
  <c r="P558" i="8" s="1"/>
  <c r="W51" i="6" s="1"/>
  <c r="J51" i="6"/>
  <c r="G566" i="8" l="1"/>
  <c r="G567" i="8" s="1"/>
  <c r="Q51" i="6"/>
  <c r="S558" i="8" s="1"/>
  <c r="Z51" i="6" s="1"/>
  <c r="AA51" i="6" s="1"/>
  <c r="C52" i="6" s="1"/>
  <c r="K51" i="6"/>
  <c r="J566" i="8" l="1"/>
  <c r="J567" i="8" s="1"/>
  <c r="G52" i="6"/>
  <c r="E52" i="6"/>
  <c r="H52" i="6" s="1"/>
  <c r="J52" i="6" l="1"/>
  <c r="I52" i="6"/>
  <c r="N52" i="6" s="1"/>
  <c r="Q52" i="6" l="1"/>
  <c r="P570" i="8"/>
  <c r="W52" i="6" s="1"/>
  <c r="K52" i="6"/>
  <c r="G578" i="8"/>
  <c r="G579" i="8" s="1"/>
  <c r="S570" i="8" l="1"/>
  <c r="Z52" i="6" s="1"/>
  <c r="AA52" i="6" s="1"/>
  <c r="C53" i="6" s="1"/>
  <c r="J578" i="8"/>
  <c r="J579" i="8" s="1"/>
  <c r="G53" i="6" l="1"/>
  <c r="E53" i="6"/>
  <c r="H53" i="6" s="1"/>
  <c r="I53" i="6" l="1"/>
  <c r="N53" i="6" s="1"/>
  <c r="Q53" i="6" s="1"/>
  <c r="J53" i="6"/>
  <c r="G590" i="8" l="1"/>
  <c r="G591" i="8" s="1"/>
  <c r="P582" i="8"/>
  <c r="W53" i="6" s="1"/>
  <c r="K53" i="6"/>
  <c r="S582" i="8"/>
  <c r="Z53" i="6" s="1"/>
  <c r="AA53" i="6" s="1"/>
  <c r="C54" i="6" s="1"/>
  <c r="J590" i="8"/>
  <c r="J591" i="8" s="1"/>
  <c r="G54" i="6" l="1"/>
  <c r="E54" i="6"/>
  <c r="H54" i="6" s="1"/>
  <c r="J54" i="6" l="1"/>
  <c r="I54" i="6"/>
  <c r="N54" i="6" s="1"/>
  <c r="Q54" i="6" l="1"/>
  <c r="K54" i="6"/>
  <c r="P594" i="8"/>
  <c r="W54" i="6" s="1"/>
  <c r="G602" i="8"/>
  <c r="G603" i="8" s="1"/>
  <c r="J602" i="8" l="1"/>
  <c r="J603" i="8" s="1"/>
  <c r="S594" i="8"/>
  <c r="Z54" i="6" s="1"/>
  <c r="AA54" i="6" s="1"/>
  <c r="C55" i="6" s="1"/>
  <c r="G55" i="6" l="1"/>
  <c r="E55" i="6"/>
  <c r="H55" i="6" s="1"/>
  <c r="I55" i="6" l="1"/>
  <c r="N55" i="6" s="1"/>
  <c r="Q55" i="6" s="1"/>
  <c r="J55" i="6"/>
  <c r="P606" i="8" l="1"/>
  <c r="W55" i="6" s="1"/>
  <c r="K55" i="6"/>
  <c r="G614" i="8"/>
  <c r="G615" i="8" s="1"/>
  <c r="S606" i="8"/>
  <c r="Z55" i="6" s="1"/>
  <c r="AA55" i="6" s="1"/>
  <c r="C56" i="6" s="1"/>
  <c r="J614" i="8"/>
  <c r="J615" i="8" s="1"/>
  <c r="G56" i="6" l="1"/>
  <c r="E56" i="6"/>
  <c r="H56" i="6" s="1"/>
  <c r="I56" i="6" l="1"/>
  <c r="N56" i="6" s="1"/>
  <c r="Q56" i="6" s="1"/>
  <c r="J56" i="6"/>
  <c r="P618" i="8" l="1"/>
  <c r="W56" i="6" s="1"/>
  <c r="G626" i="8"/>
  <c r="G627" i="8" s="1"/>
  <c r="K56" i="6"/>
  <c r="S618" i="8"/>
  <c r="Z56" i="6" s="1"/>
  <c r="AA56" i="6" s="1"/>
  <c r="C57" i="6" s="1"/>
  <c r="J626" i="8"/>
  <c r="J627" i="8" s="1"/>
  <c r="G57" i="6" l="1"/>
  <c r="E57" i="6"/>
  <c r="H57" i="6" s="1"/>
  <c r="I57" i="6" l="1"/>
  <c r="N57" i="6" s="1"/>
  <c r="Q57" i="6" s="1"/>
  <c r="J57" i="6"/>
  <c r="P630" i="8" l="1"/>
  <c r="W57" i="6" s="1"/>
  <c r="G638" i="8"/>
  <c r="G639" i="8" s="1"/>
  <c r="K57" i="6"/>
  <c r="J638" i="8"/>
  <c r="J639" i="8" s="1"/>
  <c r="S630" i="8"/>
  <c r="Z57" i="6" s="1"/>
  <c r="AA57" i="6" s="1"/>
  <c r="C58" i="6" s="1"/>
  <c r="G58" i="6" l="1"/>
  <c r="E58" i="6"/>
  <c r="H58" i="6" s="1"/>
  <c r="I58" i="6" l="1"/>
  <c r="N58" i="6" s="1"/>
  <c r="K58" i="6" s="1"/>
  <c r="J58" i="6"/>
  <c r="Q58" i="6" l="1"/>
  <c r="S642" i="8" s="1"/>
  <c r="Z58" i="6" s="1"/>
  <c r="AA58" i="6" s="1"/>
  <c r="C59" i="6" s="1"/>
  <c r="G650" i="8"/>
  <c r="G651" i="8" s="1"/>
  <c r="P642" i="8"/>
  <c r="W58" i="6" s="1"/>
  <c r="J650" i="8" l="1"/>
  <c r="J651" i="8" s="1"/>
  <c r="G59" i="6"/>
  <c r="E59" i="6"/>
  <c r="H59" i="6" s="1"/>
  <c r="I59" i="6" l="1"/>
  <c r="N59" i="6" s="1"/>
  <c r="Q59" i="6" s="1"/>
  <c r="J59" i="6"/>
  <c r="G662" i="8" l="1"/>
  <c r="G663" i="8" s="1"/>
  <c r="K59" i="6"/>
  <c r="P654" i="8"/>
  <c r="W59" i="6" s="1"/>
  <c r="S654" i="8"/>
  <c r="Z59" i="6" s="1"/>
  <c r="AA59" i="6" s="1"/>
  <c r="C60" i="6" s="1"/>
  <c r="J662" i="8"/>
  <c r="J663" i="8" s="1"/>
  <c r="G60" i="6" l="1"/>
  <c r="E60" i="6"/>
  <c r="H60" i="6" s="1"/>
  <c r="J60" i="6" l="1"/>
  <c r="I60" i="6"/>
  <c r="N60" i="6" s="1"/>
  <c r="Q60" i="6" l="1"/>
  <c r="P666" i="8"/>
  <c r="W60" i="6" s="1"/>
  <c r="K60" i="6"/>
  <c r="G674" i="8"/>
  <c r="G675" i="8" s="1"/>
  <c r="S666" i="8" l="1"/>
  <c r="Z60" i="6" s="1"/>
  <c r="AA60" i="6" s="1"/>
  <c r="C61" i="6" s="1"/>
  <c r="J674" i="8"/>
  <c r="J675" i="8" s="1"/>
  <c r="G61" i="6" l="1"/>
  <c r="E61" i="6"/>
  <c r="H61" i="6" s="1"/>
  <c r="J61" i="6" l="1"/>
  <c r="I61" i="6"/>
  <c r="N61" i="6" s="1"/>
  <c r="Q61" i="6" l="1"/>
  <c r="K61" i="6"/>
  <c r="P678" i="8"/>
  <c r="W61" i="6" s="1"/>
  <c r="G686" i="8"/>
  <c r="G687" i="8" s="1"/>
  <c r="S678" i="8" l="1"/>
  <c r="Z61" i="6" s="1"/>
  <c r="AA61" i="6" s="1"/>
  <c r="C62" i="6" s="1"/>
  <c r="J686" i="8"/>
  <c r="J687" i="8" s="1"/>
  <c r="G62" i="6" l="1"/>
  <c r="E62" i="6"/>
  <c r="H62" i="6" s="1"/>
  <c r="I62" i="6" l="1"/>
  <c r="N62" i="6" s="1"/>
  <c r="K62" i="6" s="1"/>
  <c r="J62" i="6"/>
  <c r="Q62" i="6" l="1"/>
  <c r="J698" i="8" s="1"/>
  <c r="J699" i="8" s="1"/>
  <c r="G698" i="8"/>
  <c r="G699" i="8" s="1"/>
  <c r="P690" i="8"/>
  <c r="W62" i="6" s="1"/>
  <c r="S690" i="8"/>
  <c r="Z62" i="6" s="1"/>
  <c r="AA62" i="6" s="1"/>
  <c r="C63" i="6" s="1"/>
  <c r="G63" i="6" l="1"/>
  <c r="E63" i="6"/>
  <c r="H63" i="6" s="1"/>
  <c r="I63" i="6" l="1"/>
  <c r="N63" i="6" s="1"/>
  <c r="Q63" i="6" s="1"/>
  <c r="J63" i="6"/>
  <c r="G710" i="8" l="1"/>
  <c r="G711" i="8" s="1"/>
  <c r="K63" i="6"/>
  <c r="P702" i="8"/>
  <c r="W63" i="6" s="1"/>
  <c r="S702" i="8"/>
  <c r="Z63" i="6" s="1"/>
  <c r="AA63" i="6" s="1"/>
  <c r="C64" i="6" s="1"/>
  <c r="J710" i="8"/>
  <c r="J711" i="8" s="1"/>
  <c r="G64" i="6" l="1"/>
  <c r="E64" i="6"/>
  <c r="H64" i="6" s="1"/>
  <c r="J64" i="6" l="1"/>
  <c r="I64" i="6"/>
  <c r="N64" i="6" s="1"/>
  <c r="Q64" i="6" l="1"/>
  <c r="K64" i="6"/>
  <c r="G722" i="8"/>
  <c r="G723" i="8" s="1"/>
  <c r="P714" i="8"/>
  <c r="W64" i="6" s="1"/>
  <c r="S714" i="8" l="1"/>
  <c r="Z64" i="6" s="1"/>
  <c r="AA64" i="6" s="1"/>
  <c r="C65" i="6" s="1"/>
  <c r="J722" i="8"/>
  <c r="J723" i="8" s="1"/>
  <c r="G65" i="6" l="1"/>
  <c r="E65" i="6"/>
  <c r="H65" i="6" s="1"/>
  <c r="I65" i="6" l="1"/>
  <c r="N65" i="6" s="1"/>
  <c r="Q65" i="6" s="1"/>
  <c r="J65" i="6"/>
  <c r="G734" i="8" l="1"/>
  <c r="G735" i="8" s="1"/>
  <c r="P726" i="8"/>
  <c r="W65" i="6" s="1"/>
  <c r="K65" i="6"/>
  <c r="J734" i="8"/>
  <c r="J735" i="8" s="1"/>
  <c r="S726" i="8"/>
  <c r="Z65" i="6" s="1"/>
  <c r="AA65" i="6" s="1"/>
  <c r="C66" i="6" s="1"/>
  <c r="G66" i="6" l="1"/>
  <c r="E66" i="6"/>
  <c r="H66" i="6" s="1"/>
  <c r="I66" i="6" l="1"/>
  <c r="N66" i="6" s="1"/>
  <c r="Q66" i="6" s="1"/>
  <c r="J66" i="6"/>
  <c r="P738" i="8" l="1"/>
  <c r="W66" i="6" s="1"/>
  <c r="G746" i="8"/>
  <c r="G747" i="8" s="1"/>
  <c r="K66" i="6"/>
  <c r="S738" i="8"/>
  <c r="Z66" i="6" s="1"/>
  <c r="AA66" i="6" s="1"/>
  <c r="C67" i="6" s="1"/>
  <c r="J746" i="8"/>
  <c r="J747" i="8" s="1"/>
  <c r="G67" i="6" l="1"/>
  <c r="E67" i="6"/>
  <c r="H67" i="6" s="1"/>
  <c r="I67" i="6" l="1"/>
  <c r="N67" i="6" s="1"/>
  <c r="Q67" i="6" s="1"/>
  <c r="J67" i="6"/>
  <c r="G758" i="8" l="1"/>
  <c r="G759" i="8" s="1"/>
  <c r="K67" i="6"/>
  <c r="P750" i="8"/>
  <c r="W67" i="6" s="1"/>
  <c r="S750" i="8"/>
  <c r="Z67" i="6" s="1"/>
  <c r="AA67" i="6" s="1"/>
  <c r="C68" i="6" s="1"/>
  <c r="J758" i="8"/>
  <c r="J759" i="8" s="1"/>
  <c r="G68" i="6" l="1"/>
  <c r="E68" i="6"/>
  <c r="H68" i="6" s="1"/>
  <c r="I68" i="6" l="1"/>
  <c r="N68" i="6" s="1"/>
  <c r="Q68" i="6" s="1"/>
  <c r="J68" i="6"/>
  <c r="G770" i="8"/>
  <c r="G771" i="8" s="1"/>
  <c r="K68" i="6" l="1"/>
  <c r="P762" i="8"/>
  <c r="W68" i="6" s="1"/>
  <c r="S762" i="8"/>
  <c r="Z68" i="6" s="1"/>
  <c r="AA68" i="6" s="1"/>
  <c r="C69" i="6" s="1"/>
  <c r="J770" i="8"/>
  <c r="J771" i="8" s="1"/>
  <c r="G69" i="6" l="1"/>
  <c r="E69" i="6"/>
  <c r="H69" i="6" s="1"/>
  <c r="J69" i="6" l="1"/>
  <c r="I69" i="6"/>
  <c r="N69" i="6" s="1"/>
  <c r="Q69" i="6" l="1"/>
  <c r="K69" i="6"/>
  <c r="G782" i="8"/>
  <c r="G783" i="8" s="1"/>
  <c r="P774" i="8"/>
  <c r="W69" i="6" s="1"/>
  <c r="S774" i="8" l="1"/>
  <c r="Z69" i="6" s="1"/>
  <c r="AA69" i="6" s="1"/>
  <c r="C70" i="6" s="1"/>
  <c r="J782" i="8"/>
  <c r="J783" i="8" s="1"/>
  <c r="G70" i="6" l="1"/>
  <c r="E70" i="6"/>
  <c r="H70" i="6" s="1"/>
  <c r="I70" i="6" l="1"/>
  <c r="N70" i="6" s="1"/>
  <c r="Q70" i="6" s="1"/>
  <c r="J70" i="6"/>
  <c r="G794" i="8" l="1"/>
  <c r="G795" i="8" s="1"/>
  <c r="P786" i="8"/>
  <c r="W70" i="6" s="1"/>
  <c r="K70" i="6"/>
  <c r="S786" i="8"/>
  <c r="Z70" i="6" s="1"/>
  <c r="AA70" i="6" s="1"/>
  <c r="C71" i="6" s="1"/>
  <c r="J794" i="8"/>
  <c r="J795" i="8" s="1"/>
  <c r="G71" i="6" l="1"/>
  <c r="E71" i="6"/>
  <c r="H71" i="6" s="1"/>
  <c r="J71" i="6" l="1"/>
  <c r="I71" i="6"/>
  <c r="N71" i="6" s="1"/>
  <c r="Q71" i="6" l="1"/>
  <c r="P798" i="8"/>
  <c r="W71" i="6" s="1"/>
  <c r="K71" i="6"/>
  <c r="G806" i="8"/>
  <c r="G807" i="8" s="1"/>
  <c r="S798" i="8" l="1"/>
  <c r="Z71" i="6" s="1"/>
  <c r="AA71" i="6" s="1"/>
  <c r="C72" i="6" s="1"/>
  <c r="J806" i="8"/>
  <c r="J807" i="8" s="1"/>
  <c r="G72" i="6" l="1"/>
  <c r="E72" i="6"/>
  <c r="H72" i="6" s="1"/>
  <c r="I72" i="6" l="1"/>
  <c r="N72" i="6" s="1"/>
  <c r="Q72" i="6" s="1"/>
  <c r="J72" i="6"/>
  <c r="P810" i="8"/>
  <c r="W72" i="6" s="1"/>
  <c r="G818" i="8" l="1"/>
  <c r="G819" i="8" s="1"/>
  <c r="K72" i="6"/>
  <c r="S810" i="8"/>
  <c r="Z72" i="6" s="1"/>
  <c r="AA72" i="6" s="1"/>
  <c r="C73" i="6" s="1"/>
  <c r="J818" i="8"/>
  <c r="J819" i="8" s="1"/>
  <c r="G73" i="6" l="1"/>
  <c r="E73" i="6"/>
  <c r="H73" i="6" s="1"/>
  <c r="I73" i="6" l="1"/>
  <c r="N73" i="6" s="1"/>
  <c r="Q73" i="6" s="1"/>
  <c r="J73" i="6"/>
  <c r="G830" i="8" l="1"/>
  <c r="G831" i="8" s="1"/>
  <c r="P822" i="8"/>
  <c r="W73" i="6" s="1"/>
  <c r="K73" i="6"/>
  <c r="J830" i="8"/>
  <c r="J831" i="8" s="1"/>
  <c r="S822" i="8"/>
  <c r="Z73" i="6" s="1"/>
  <c r="AA73" i="6" s="1"/>
  <c r="C74" i="6" s="1"/>
  <c r="G74" i="6" l="1"/>
  <c r="E74" i="6"/>
  <c r="H74" i="6" s="1"/>
  <c r="I74" i="6" l="1"/>
  <c r="N74" i="6" s="1"/>
  <c r="K74" i="6" s="1"/>
  <c r="J74" i="6"/>
  <c r="Q74" i="6" l="1"/>
  <c r="S834" i="8" s="1"/>
  <c r="Z74" i="6" s="1"/>
  <c r="AA74" i="6" s="1"/>
  <c r="C75" i="6" s="1"/>
  <c r="G842" i="8"/>
  <c r="G843" i="8" s="1"/>
  <c r="P834" i="8"/>
  <c r="W74" i="6" s="1"/>
  <c r="J842" i="8" l="1"/>
  <c r="J843" i="8" s="1"/>
  <c r="G75" i="6"/>
  <c r="E75" i="6"/>
  <c r="H75" i="6" s="1"/>
  <c r="J75" i="6" l="1"/>
  <c r="I75" i="6"/>
  <c r="N75" i="6" s="1"/>
  <c r="Q75" i="6" l="1"/>
  <c r="P846" i="8"/>
  <c r="W75" i="6" s="1"/>
  <c r="K75" i="6"/>
  <c r="G854" i="8"/>
  <c r="G855" i="8" s="1"/>
  <c r="S846" i="8" l="1"/>
  <c r="Z75" i="6" s="1"/>
  <c r="AA75" i="6" s="1"/>
  <c r="C76" i="6" s="1"/>
  <c r="J854" i="8"/>
  <c r="J855" i="8" s="1"/>
  <c r="G76" i="6" l="1"/>
  <c r="E76" i="6"/>
  <c r="H76" i="6" s="1"/>
  <c r="J76" i="6" l="1"/>
  <c r="I76" i="6"/>
  <c r="N76" i="6" s="1"/>
  <c r="K76" i="6" l="1"/>
  <c r="Q76" i="6"/>
  <c r="P858" i="8"/>
  <c r="W76" i="6" s="1"/>
  <c r="G866" i="8"/>
  <c r="G867" i="8" s="1"/>
  <c r="J866" i="8" l="1"/>
  <c r="J867" i="8" s="1"/>
  <c r="S858" i="8"/>
  <c r="Z76" i="6" s="1"/>
  <c r="AA76" i="6" s="1"/>
  <c r="C77" i="6" s="1"/>
  <c r="G77" i="6" l="1"/>
  <c r="E77" i="6"/>
  <c r="H77" i="6" s="1"/>
  <c r="I77" i="6" l="1"/>
  <c r="N77" i="6" s="1"/>
  <c r="Q77" i="6" s="1"/>
  <c r="J77" i="6"/>
  <c r="K77" i="6" l="1"/>
  <c r="G878" i="8"/>
  <c r="G879" i="8" s="1"/>
  <c r="P870" i="8"/>
  <c r="W77" i="6" s="1"/>
  <c r="J878" i="8"/>
  <c r="J879" i="8" s="1"/>
  <c r="S870" i="8"/>
  <c r="Z77" i="6" s="1"/>
  <c r="AA77" i="6" s="1"/>
  <c r="C78" i="6" s="1"/>
  <c r="G78" i="6" l="1"/>
  <c r="E78" i="6"/>
  <c r="H78" i="6" s="1"/>
  <c r="I78" i="6" l="1"/>
  <c r="N78" i="6" s="1"/>
  <c r="Q78" i="6" s="1"/>
  <c r="J78" i="6"/>
  <c r="K78" i="6" l="1"/>
  <c r="G890" i="8"/>
  <c r="G891" i="8" s="1"/>
  <c r="P882" i="8"/>
  <c r="W78" i="6" s="1"/>
  <c r="S882" i="8"/>
  <c r="Z78" i="6" s="1"/>
  <c r="AA78" i="6" s="1"/>
  <c r="C79" i="6" s="1"/>
  <c r="J890" i="8"/>
  <c r="J891" i="8" s="1"/>
  <c r="G79" i="6" l="1"/>
  <c r="E79" i="6"/>
  <c r="H79" i="6" s="1"/>
  <c r="J79" i="6" l="1"/>
  <c r="I79" i="6"/>
  <c r="N79" i="6" s="1"/>
  <c r="Q79" i="6" l="1"/>
  <c r="K79" i="6"/>
  <c r="P894" i="8"/>
  <c r="W79" i="6" s="1"/>
  <c r="G902" i="8"/>
  <c r="G903" i="8" s="1"/>
  <c r="J902" i="8" l="1"/>
  <c r="J903" i="8" s="1"/>
  <c r="S894" i="8"/>
  <c r="Z79" i="6" s="1"/>
  <c r="AA79" i="6" s="1"/>
  <c r="C80" i="6" s="1"/>
  <c r="G80" i="6" l="1"/>
  <c r="E80" i="6"/>
  <c r="H80" i="6" s="1"/>
  <c r="I80" i="6" l="1"/>
  <c r="N80" i="6" s="1"/>
  <c r="P906" i="8" s="1"/>
  <c r="W80" i="6" s="1"/>
  <c r="J80" i="6"/>
  <c r="G914" i="8" l="1"/>
  <c r="G915" i="8" s="1"/>
  <c r="Q80" i="6"/>
  <c r="J914" i="8" s="1"/>
  <c r="J915" i="8" s="1"/>
  <c r="K80" i="6"/>
  <c r="S906" i="8" l="1"/>
  <c r="Z80" i="6" s="1"/>
  <c r="AA80" i="6" s="1"/>
  <c r="C81" i="6" s="1"/>
  <c r="E81" i="6" s="1"/>
  <c r="H81" i="6" s="1"/>
  <c r="G81" i="6" l="1"/>
  <c r="I81" i="6" s="1"/>
  <c r="N81" i="6" s="1"/>
  <c r="J81" i="6"/>
  <c r="Q81" i="6" l="1"/>
  <c r="K81" i="6"/>
  <c r="P918" i="8"/>
  <c r="W81" i="6" s="1"/>
  <c r="G926" i="8"/>
  <c r="G927" i="8" s="1"/>
  <c r="S918" i="8" l="1"/>
  <c r="Z81" i="6" s="1"/>
  <c r="AA81" i="6" s="1"/>
  <c r="C82" i="6" s="1"/>
  <c r="J926" i="8"/>
  <c r="J927" i="8" s="1"/>
  <c r="G82" i="6" l="1"/>
  <c r="E82" i="6"/>
  <c r="H82" i="6" s="1"/>
  <c r="I82" i="6" l="1"/>
  <c r="N82" i="6" s="1"/>
  <c r="K82" i="6" s="1"/>
  <c r="J82" i="6"/>
  <c r="P930" i="8" l="1"/>
  <c r="W82" i="6" s="1"/>
  <c r="G938" i="8"/>
  <c r="G939" i="8" s="1"/>
  <c r="Q82" i="6"/>
  <c r="J938" i="8" s="1"/>
  <c r="J939" i="8" s="1"/>
  <c r="S930" i="8"/>
  <c r="Z82" i="6" s="1"/>
  <c r="AA82" i="6" s="1"/>
  <c r="C83" i="6" s="1"/>
  <c r="G83" i="6" l="1"/>
  <c r="E83" i="6"/>
  <c r="H83" i="6" s="1"/>
  <c r="I83" i="6" l="1"/>
  <c r="N83" i="6" s="1"/>
  <c r="P942" i="8" s="1"/>
  <c r="W83" i="6" s="1"/>
  <c r="J83" i="6"/>
  <c r="Q83" i="6" l="1"/>
  <c r="J950" i="8" s="1"/>
  <c r="J951" i="8" s="1"/>
  <c r="K83" i="6"/>
  <c r="G950" i="8"/>
  <c r="G951" i="8" s="1"/>
  <c r="S942" i="8" l="1"/>
  <c r="Z83" i="6" s="1"/>
  <c r="AA83" i="6" s="1"/>
  <c r="C84" i="6" s="1"/>
  <c r="E84" i="6" s="1"/>
  <c r="H84" i="6" s="1"/>
  <c r="G84" i="6" l="1"/>
  <c r="I84" i="6"/>
  <c r="N84" i="6" s="1"/>
  <c r="P954" i="8" s="1"/>
  <c r="W84" i="6" s="1"/>
  <c r="J84" i="6"/>
  <c r="K84" i="6" l="1"/>
  <c r="G962" i="8"/>
  <c r="G963" i="8" s="1"/>
  <c r="Q84" i="6"/>
  <c r="J962" i="8" s="1"/>
  <c r="J963" i="8" s="1"/>
  <c r="S954" i="8" l="1"/>
  <c r="Z84" i="6" s="1"/>
  <c r="AA84" i="6" s="1"/>
  <c r="C85" i="6" s="1"/>
  <c r="E85" i="6" s="1"/>
  <c r="H85" i="6" s="1"/>
  <c r="G85" i="6" l="1"/>
  <c r="I85" i="6" s="1"/>
  <c r="N85" i="6" s="1"/>
  <c r="Q85" i="6" s="1"/>
  <c r="J85" i="6"/>
  <c r="G974" i="8" l="1"/>
  <c r="G975" i="8" s="1"/>
  <c r="K85" i="6"/>
  <c r="P966" i="8"/>
  <c r="W85" i="6" s="1"/>
  <c r="S966" i="8"/>
  <c r="Z85" i="6" s="1"/>
  <c r="AA85" i="6" s="1"/>
  <c r="C86" i="6" s="1"/>
  <c r="J974" i="8"/>
  <c r="J975" i="8" s="1"/>
  <c r="E86" i="6" l="1"/>
  <c r="H86" i="6" s="1"/>
  <c r="G86" i="6"/>
  <c r="I86" i="6" s="1"/>
  <c r="N86" i="6" s="1"/>
  <c r="P978" i="8" l="1"/>
  <c r="W86" i="6" s="1"/>
  <c r="Q86" i="6"/>
  <c r="G986" i="8"/>
  <c r="G987" i="8" s="1"/>
  <c r="K86" i="6"/>
  <c r="J86" i="6"/>
  <c r="J986" i="8" l="1"/>
  <c r="J987" i="8" s="1"/>
  <c r="S978" i="8"/>
  <c r="Z86" i="6" s="1"/>
  <c r="AA86" i="6" s="1"/>
  <c r="C87" i="6" s="1"/>
  <c r="G87" i="6" l="1"/>
  <c r="E87" i="6"/>
  <c r="H87" i="6" s="1"/>
  <c r="I87" i="6" l="1"/>
  <c r="N87" i="6" s="1"/>
  <c r="K87" i="6" s="1"/>
  <c r="J87" i="6"/>
  <c r="P990" i="8"/>
  <c r="W87" i="6" s="1"/>
  <c r="G998" i="8"/>
  <c r="G999" i="8" s="1"/>
  <c r="Q87" i="6" l="1"/>
  <c r="S990" i="8" s="1"/>
  <c r="Z87" i="6" s="1"/>
  <c r="AA87" i="6" s="1"/>
  <c r="C88" i="6" s="1"/>
  <c r="J998" i="8" l="1"/>
  <c r="J999" i="8" s="1"/>
  <c r="E88" i="6"/>
  <c r="H88" i="6" s="1"/>
  <c r="G88" i="6"/>
  <c r="I88" i="6" l="1"/>
  <c r="N88" i="6" s="1"/>
  <c r="P1002" i="8" s="1"/>
  <c r="W88" i="6" s="1"/>
  <c r="J88" i="6"/>
  <c r="K88" i="6" l="1"/>
  <c r="G1010" i="8"/>
  <c r="G1011" i="8" s="1"/>
  <c r="Q88" i="6"/>
  <c r="J1010" i="8"/>
  <c r="J1011" i="8" s="1"/>
  <c r="S1002" i="8"/>
  <c r="Z88" i="6" s="1"/>
  <c r="AA88" i="6" s="1"/>
  <c r="C89" i="6" s="1"/>
  <c r="G89" i="6" l="1"/>
  <c r="E89" i="6"/>
  <c r="H89" i="6" s="1"/>
  <c r="I89" i="6" l="1"/>
  <c r="N89" i="6" s="1"/>
  <c r="Q89" i="6" s="1"/>
  <c r="J89" i="6"/>
  <c r="K89" i="6" l="1"/>
  <c r="G1022" i="8"/>
  <c r="G1023" i="8" s="1"/>
  <c r="P1014" i="8"/>
  <c r="W89" i="6" s="1"/>
  <c r="S1014" i="8"/>
  <c r="Z89" i="6" s="1"/>
  <c r="AA89" i="6" s="1"/>
  <c r="C90" i="6" s="1"/>
  <c r="J1022" i="8"/>
  <c r="J1023" i="8" s="1"/>
  <c r="E90" i="6" l="1"/>
  <c r="H90" i="6" s="1"/>
  <c r="G90" i="6"/>
  <c r="I90" i="6" s="1"/>
  <c r="N90" i="6" s="1"/>
  <c r="P1026" i="8" l="1"/>
  <c r="W90" i="6" s="1"/>
  <c r="Q90" i="6"/>
  <c r="G1034" i="8"/>
  <c r="G1035" i="8" s="1"/>
  <c r="K90" i="6"/>
  <c r="J90" i="6"/>
  <c r="J1034" i="8" l="1"/>
  <c r="J1035" i="8" s="1"/>
  <c r="S1026" i="8"/>
  <c r="Z90" i="6" s="1"/>
  <c r="AA90" i="6" s="1"/>
  <c r="C91" i="6" s="1"/>
  <c r="G91" i="6" l="1"/>
  <c r="E91" i="6"/>
  <c r="H91" i="6" s="1"/>
  <c r="I91" i="6" l="1"/>
  <c r="N91" i="6" s="1"/>
  <c r="Q91" i="6" s="1"/>
  <c r="J91" i="6"/>
  <c r="K91" i="6" l="1"/>
  <c r="P1038" i="8"/>
  <c r="W91" i="6" s="1"/>
  <c r="G1046" i="8"/>
  <c r="G1047" i="8" s="1"/>
  <c r="S1038" i="8"/>
  <c r="Z91" i="6" s="1"/>
  <c r="AA91" i="6" s="1"/>
  <c r="C92" i="6" s="1"/>
  <c r="J1046" i="8"/>
  <c r="J1047" i="8" s="1"/>
  <c r="E92" i="6" l="1"/>
  <c r="H92" i="6" s="1"/>
  <c r="G92" i="6"/>
  <c r="I92" i="6" l="1"/>
  <c r="N92" i="6" s="1"/>
  <c r="Q92" i="6" s="1"/>
  <c r="P1050" i="8"/>
  <c r="W92" i="6" s="1"/>
  <c r="G1058" i="8"/>
  <c r="G1059" i="8" s="1"/>
  <c r="J92" i="6"/>
  <c r="K92" i="6" l="1"/>
  <c r="J1058" i="8"/>
  <c r="J1059" i="8" s="1"/>
  <c r="S1050" i="8"/>
  <c r="Z92" i="6" s="1"/>
  <c r="AA92" i="6" s="1"/>
  <c r="C93" i="6" s="1"/>
  <c r="G93" i="6" l="1"/>
  <c r="E93" i="6"/>
  <c r="H93" i="6" s="1"/>
  <c r="I93" i="6" l="1"/>
  <c r="N93" i="6" s="1"/>
  <c r="G1070" i="8" s="1"/>
  <c r="G1071" i="8" s="1"/>
  <c r="J93" i="6"/>
  <c r="K93" i="6" l="1"/>
  <c r="P1062" i="8"/>
  <c r="W93" i="6" s="1"/>
  <c r="Q93" i="6"/>
  <c r="S1062" i="8" s="1"/>
  <c r="Z93" i="6" s="1"/>
  <c r="AA93" i="6" s="1"/>
  <c r="C94" i="6" s="1"/>
  <c r="J1070" i="8" l="1"/>
  <c r="J1071" i="8" s="1"/>
  <c r="E94" i="6"/>
  <c r="H94" i="6" s="1"/>
  <c r="G94" i="6"/>
  <c r="I94" i="6" l="1"/>
  <c r="N94" i="6" s="1"/>
  <c r="K94" i="6" s="1"/>
  <c r="P1074" i="8"/>
  <c r="W94" i="6" s="1"/>
  <c r="G1082" i="8"/>
  <c r="G1083" i="8" s="1"/>
  <c r="J94" i="6"/>
  <c r="Q94" i="6" l="1"/>
  <c r="S1074" i="8" s="1"/>
  <c r="Z94" i="6" s="1"/>
  <c r="AA94" i="6" s="1"/>
  <c r="C95" i="6" s="1"/>
  <c r="J1082" i="8"/>
  <c r="J1083" i="8" s="1"/>
  <c r="E95" i="6" l="1"/>
  <c r="H95" i="6" s="1"/>
  <c r="G95" i="6"/>
  <c r="J95" i="6" l="1"/>
  <c r="I95" i="6"/>
  <c r="N95" i="6" s="1"/>
  <c r="K95" i="6" l="1"/>
  <c r="P1086" i="8"/>
  <c r="W95" i="6" s="1"/>
  <c r="Q95" i="6"/>
  <c r="G1094" i="8"/>
  <c r="G1095" i="8" s="1"/>
  <c r="S1086" i="8" l="1"/>
  <c r="Z95" i="6" s="1"/>
  <c r="AA95" i="6" s="1"/>
  <c r="C96" i="6" s="1"/>
  <c r="J1094" i="8"/>
  <c r="J1095" i="8" s="1"/>
  <c r="E96" i="6" l="1"/>
  <c r="H96" i="6" s="1"/>
  <c r="G96" i="6"/>
  <c r="I96" i="6" l="1"/>
  <c r="N96" i="6" s="1"/>
  <c r="J96" i="6"/>
  <c r="P1098" i="8" l="1"/>
  <c r="W96" i="6" s="1"/>
  <c r="Q96" i="6"/>
  <c r="K96" i="6"/>
  <c r="G1106" i="8"/>
  <c r="G1107" i="8" s="1"/>
  <c r="J1106" i="8" l="1"/>
  <c r="J1107" i="8" s="1"/>
  <c r="S1098" i="8"/>
  <c r="Z96" i="6" s="1"/>
  <c r="AA96" i="6" s="1"/>
  <c r="C97" i="6" s="1"/>
  <c r="G97" i="6" l="1"/>
  <c r="E97" i="6"/>
  <c r="H97" i="6" s="1"/>
  <c r="I97" i="6" l="1"/>
  <c r="N97" i="6" s="1"/>
  <c r="Q97" i="6" s="1"/>
  <c r="J97" i="6"/>
  <c r="K97" i="6" l="1"/>
  <c r="P1110" i="8"/>
  <c r="W97" i="6" s="1"/>
  <c r="G1118" i="8"/>
  <c r="G1119" i="8" s="1"/>
  <c r="S1110" i="8"/>
  <c r="Z97" i="6" s="1"/>
  <c r="AA97" i="6" s="1"/>
  <c r="C98" i="6" s="1"/>
  <c r="J1118" i="8"/>
  <c r="J1119" i="8" s="1"/>
  <c r="E98" i="6" l="1"/>
  <c r="H98" i="6" s="1"/>
  <c r="G98" i="6"/>
  <c r="I98" i="6" s="1"/>
  <c r="N98" i="6" s="1"/>
  <c r="P1122" i="8" l="1"/>
  <c r="W98" i="6" s="1"/>
  <c r="G1130" i="8"/>
  <c r="G1131" i="8" s="1"/>
  <c r="K98" i="6"/>
  <c r="Q98" i="6"/>
  <c r="J98" i="6"/>
  <c r="S1122" i="8" l="1"/>
  <c r="Z98" i="6" s="1"/>
  <c r="AA98" i="6" s="1"/>
  <c r="C99" i="6" s="1"/>
  <c r="J1130" i="8"/>
  <c r="J1131" i="8" s="1"/>
  <c r="E99" i="6" l="1"/>
  <c r="H99" i="6" s="1"/>
  <c r="G99" i="6"/>
  <c r="I99" i="6" s="1"/>
  <c r="N99" i="6" s="1"/>
  <c r="K99" i="6" l="1"/>
  <c r="G1142" i="8"/>
  <c r="G1143" i="8" s="1"/>
  <c r="Q99" i="6"/>
  <c r="P1134" i="8"/>
  <c r="W99" i="6" s="1"/>
  <c r="J99" i="6"/>
  <c r="S1134" i="8" l="1"/>
  <c r="Z99" i="6" s="1"/>
  <c r="AA99" i="6" s="1"/>
  <c r="C100" i="6" s="1"/>
  <c r="J1142" i="8"/>
  <c r="J1143" i="8" s="1"/>
  <c r="E100" i="6" l="1"/>
  <c r="H100" i="6" s="1"/>
  <c r="G100" i="6"/>
  <c r="I100" i="6" s="1"/>
  <c r="N100" i="6" s="1"/>
  <c r="P1146" i="8" l="1"/>
  <c r="W100" i="6" s="1"/>
  <c r="Q100" i="6"/>
  <c r="G1154" i="8"/>
  <c r="G1155" i="8" s="1"/>
  <c r="K100" i="6"/>
  <c r="J100" i="6"/>
  <c r="J1154" i="8" l="1"/>
  <c r="J1155" i="8" s="1"/>
  <c r="S1146" i="8"/>
  <c r="Z100" i="6" s="1"/>
  <c r="AA100" i="6" s="1"/>
  <c r="C101" i="6" s="1"/>
  <c r="E101" i="6" l="1"/>
  <c r="H101" i="6" s="1"/>
  <c r="G101" i="6"/>
  <c r="I101" i="6" s="1"/>
  <c r="N101" i="6" s="1"/>
  <c r="J101" i="6" l="1"/>
  <c r="K101" i="6"/>
  <c r="G1166" i="8"/>
  <c r="G1167" i="8" s="1"/>
  <c r="Q101" i="6"/>
  <c r="P1158" i="8"/>
  <c r="W101" i="6" s="1"/>
  <c r="S1158" i="8" l="1"/>
  <c r="Z101" i="6" s="1"/>
  <c r="AA101" i="6" s="1"/>
  <c r="C102" i="6" s="1"/>
  <c r="J1166" i="8"/>
  <c r="J1167" i="8" s="1"/>
  <c r="E102" i="6" l="1"/>
  <c r="H102" i="6" s="1"/>
  <c r="G102" i="6"/>
  <c r="J102" i="6" l="1"/>
  <c r="I102" i="6"/>
  <c r="N102" i="6" s="1"/>
  <c r="P1170" i="8" l="1"/>
  <c r="W102" i="6" s="1"/>
  <c r="K102" i="6"/>
  <c r="G1178" i="8"/>
  <c r="G1179" i="8" s="1"/>
  <c r="Q102" i="6"/>
  <c r="S1170" i="8" l="1"/>
  <c r="Z102" i="6" s="1"/>
  <c r="AA102" i="6" s="1"/>
  <c r="C103" i="6" s="1"/>
  <c r="J1178" i="8"/>
  <c r="J1179" i="8" s="1"/>
  <c r="E103" i="6" l="1"/>
  <c r="H103" i="6" s="1"/>
  <c r="G103" i="6"/>
  <c r="I103" i="6" l="1"/>
  <c r="N103" i="6" s="1"/>
  <c r="J103" i="6"/>
  <c r="K103" i="6" l="1"/>
  <c r="P1182" i="8"/>
  <c r="W103" i="6" s="1"/>
  <c r="G1190" i="8"/>
  <c r="G1191" i="8" s="1"/>
  <c r="Q103" i="6"/>
  <c r="S1182" i="8" l="1"/>
  <c r="Z103" i="6" s="1"/>
  <c r="AA103" i="6" s="1"/>
  <c r="C104" i="6" s="1"/>
  <c r="J1190" i="8"/>
  <c r="J1191" i="8" s="1"/>
  <c r="E104" i="6" l="1"/>
  <c r="H104" i="6" s="1"/>
  <c r="G104" i="6"/>
  <c r="I104" i="6" s="1"/>
  <c r="N104" i="6" s="1"/>
  <c r="P1194" i="8" l="1"/>
  <c r="W104" i="6" s="1"/>
  <c r="G1202" i="8"/>
  <c r="G1203" i="8" s="1"/>
  <c r="Q104" i="6"/>
  <c r="K104" i="6"/>
  <c r="J104" i="6"/>
  <c r="J1202" i="8" l="1"/>
  <c r="J1203" i="8" s="1"/>
  <c r="S1194" i="8"/>
  <c r="Z104" i="6" s="1"/>
  <c r="AA104" i="6" s="1"/>
  <c r="C105" i="6" s="1"/>
  <c r="G105" i="6" l="1"/>
  <c r="E105" i="6"/>
  <c r="H105" i="6" s="1"/>
  <c r="J105" i="6" l="1"/>
  <c r="I105" i="6"/>
  <c r="N105" i="6" s="1"/>
  <c r="K105" i="6" l="1"/>
  <c r="Q105" i="6"/>
  <c r="P1206" i="8"/>
  <c r="W105" i="6" s="1"/>
  <c r="G1214" i="8"/>
  <c r="G1215" i="8" s="1"/>
  <c r="S1206" i="8" l="1"/>
  <c r="Z105" i="6" s="1"/>
  <c r="AA105" i="6" s="1"/>
  <c r="C106" i="6" s="1"/>
  <c r="J1214" i="8"/>
  <c r="J1215" i="8" s="1"/>
  <c r="E106" i="6" l="1"/>
  <c r="H106" i="6" s="1"/>
  <c r="G106" i="6"/>
  <c r="I106" i="6" s="1"/>
  <c r="N106" i="6" s="1"/>
  <c r="P1218" i="8" l="1"/>
  <c r="W106" i="6" s="1"/>
  <c r="K106" i="6"/>
  <c r="Q106" i="6"/>
  <c r="S1218" i="8" s="1"/>
  <c r="Z106" i="6" s="1"/>
  <c r="AA106" i="6" s="1"/>
  <c r="C107" i="6" s="1"/>
  <c r="J106" i="6"/>
  <c r="E107" i="6" l="1"/>
  <c r="H107" i="6" s="1"/>
  <c r="G107" i="6"/>
  <c r="I107" i="6" s="1"/>
  <c r="N107" i="6" s="1"/>
  <c r="J107" i="6" l="1"/>
  <c r="K107" i="6"/>
  <c r="Q107" i="6"/>
  <c r="S1230" i="8" s="1"/>
  <c r="Z107" i="6" s="1"/>
  <c r="AA107" i="6" s="1"/>
  <c r="C108" i="6" s="1"/>
  <c r="P1230" i="8"/>
  <c r="W107" i="6" s="1"/>
  <c r="E108" i="6" l="1"/>
  <c r="H108" i="6" s="1"/>
  <c r="G108" i="6"/>
  <c r="I108" i="6" s="1"/>
  <c r="N108" i="6" s="1"/>
  <c r="P1242" i="8" l="1"/>
  <c r="W108" i="6" s="1"/>
  <c r="Q108" i="6"/>
  <c r="S1242" i="8" s="1"/>
  <c r="Z108" i="6" s="1"/>
  <c r="AA108" i="6" s="1"/>
  <c r="C109" i="6" s="1"/>
  <c r="K108" i="6"/>
  <c r="J108" i="6"/>
  <c r="G109" i="6" l="1"/>
  <c r="E109" i="6"/>
  <c r="H109" i="6" s="1"/>
  <c r="J109" i="6" l="1"/>
  <c r="I109" i="6"/>
  <c r="N109" i="6" s="1"/>
  <c r="K109" i="6" l="1"/>
  <c r="Q109" i="6"/>
  <c r="S1254" i="8" s="1"/>
  <c r="Z109" i="6" s="1"/>
  <c r="AA109" i="6" s="1"/>
  <c r="C110" i="6" s="1"/>
  <c r="P1254" i="8"/>
  <c r="W109" i="6" s="1"/>
  <c r="E110" i="6" l="1"/>
  <c r="H110" i="6" s="1"/>
  <c r="G110" i="6"/>
  <c r="I110" i="6" s="1"/>
  <c r="N110" i="6" s="1"/>
  <c r="P1266" i="8" l="1"/>
  <c r="W110" i="6" s="1"/>
  <c r="K110" i="6"/>
  <c r="Q110" i="6"/>
  <c r="S1266" i="8" s="1"/>
  <c r="Z110" i="6" s="1"/>
  <c r="AA110" i="6" s="1"/>
  <c r="C111" i="6" s="1"/>
  <c r="J110" i="6"/>
  <c r="E111" i="6" l="1"/>
  <c r="H111" i="6" s="1"/>
  <c r="G111" i="6"/>
  <c r="I111" i="6" s="1"/>
  <c r="N111" i="6" s="1"/>
  <c r="K111" i="6" l="1"/>
  <c r="P1278" i="8"/>
  <c r="W111" i="6" s="1"/>
  <c r="Q111" i="6"/>
  <c r="S1278" i="8" s="1"/>
  <c r="Z111" i="6" s="1"/>
  <c r="AA111" i="6" s="1"/>
  <c r="J111" i="6"/>
</calcChain>
</file>

<file path=xl/sharedStrings.xml><?xml version="1.0" encoding="utf-8"?>
<sst xmlns="http://schemas.openxmlformats.org/spreadsheetml/2006/main" count="2532" uniqueCount="171">
  <si>
    <t>Enter your starting numbers</t>
  </si>
  <si>
    <t>Select Gender</t>
  </si>
  <si>
    <t>Male</t>
  </si>
  <si>
    <t>Age</t>
  </si>
  <si>
    <t>years</t>
  </si>
  <si>
    <t>Weight</t>
  </si>
  <si>
    <t>lbs</t>
  </si>
  <si>
    <t>Height (inches)</t>
  </si>
  <si>
    <t>inches</t>
  </si>
  <si>
    <t>Neck</t>
  </si>
  <si>
    <t>Waist</t>
  </si>
  <si>
    <t>Ankle</t>
  </si>
  <si>
    <t>Wrist</t>
  </si>
  <si>
    <t>Hips (females)</t>
  </si>
  <si>
    <t>Activity Level</t>
  </si>
  <si>
    <t>Lightly Active</t>
  </si>
  <si>
    <t>Enter your Goal</t>
  </si>
  <si>
    <t>Body Fat %</t>
  </si>
  <si>
    <t>%</t>
  </si>
  <si>
    <t>TDEE Calculation</t>
  </si>
  <si>
    <t>http://www.superskinnyme.com/calculate-tdee.html</t>
  </si>
  <si>
    <t>TDEE</t>
  </si>
  <si>
    <t>cals/day</t>
  </si>
  <si>
    <t>Cals/lb/day (@start)</t>
  </si>
  <si>
    <t>cals/lb-day</t>
  </si>
  <si>
    <t>Height(cm)</t>
  </si>
  <si>
    <t>cm</t>
  </si>
  <si>
    <t>Weight(kg)</t>
  </si>
  <si>
    <t>Female</t>
  </si>
  <si>
    <t>BMR (both genders)</t>
  </si>
  <si>
    <t>BMR (selected gender)</t>
  </si>
  <si>
    <t>Sedentary</t>
  </si>
  <si>
    <t>Moderately Active</t>
  </si>
  <si>
    <t>Very Active</t>
  </si>
  <si>
    <t>Extremely Active</t>
  </si>
  <si>
    <t>Department of Defense Formula (aka US Navy Circumference Method)</t>
  </si>
  <si>
    <t>http://www.healthydietbase.com/five-ways-to-estimate-body-fat-percentage-using-a-tape-measure/</t>
  </si>
  <si>
    <t>Starting Fat%</t>
  </si>
  <si>
    <t>Starting Weight</t>
  </si>
  <si>
    <t>(From measurement worksheet)</t>
  </si>
  <si>
    <t>Conserve LBM</t>
  </si>
  <si>
    <t>Calculated for gender selected</t>
  </si>
  <si>
    <t>Calculated for male</t>
  </si>
  <si>
    <t>Calculated for female</t>
  </si>
  <si>
    <t>Protein Amount</t>
  </si>
  <si>
    <t>https://www.bodybuilding.com/fun/calculate-your-total-daily-energy-expenditure-tdee.html</t>
  </si>
  <si>
    <t>Protein Need</t>
  </si>
  <si>
    <t>g/lb LBM</t>
  </si>
  <si>
    <t>LBM</t>
  </si>
  <si>
    <t>lb</t>
  </si>
  <si>
    <t>g</t>
  </si>
  <si>
    <t>Maximum Lean Body Mass (LBM)</t>
  </si>
  <si>
    <t>https://www.builtlean.com/2011/03/30/how-much-muscle-can-you-gain-naturally/</t>
  </si>
  <si>
    <t>Max LBM</t>
  </si>
  <si>
    <t>Weight w/ Body Fat</t>
  </si>
  <si>
    <t>Height</t>
  </si>
  <si>
    <t>in</t>
  </si>
  <si>
    <t>Body Fat (Goal)</t>
  </si>
  <si>
    <t>Goal Weight</t>
  </si>
  <si>
    <t>Calculated Daily Macro Needs</t>
  </si>
  <si>
    <t>Food Calories (FoodLog Actuals)</t>
  </si>
  <si>
    <t>Net (Calc – actual)</t>
  </si>
  <si>
    <t>Scale</t>
  </si>
  <si>
    <t>Date</t>
  </si>
  <si>
    <t>Day</t>
  </si>
  <si>
    <t>lbs Fat</t>
  </si>
  <si>
    <t>Cals Need
(TDEE)</t>
  </si>
  <si>
    <t>Body Fat
(Cals Avail)</t>
  </si>
  <si>
    <t>Calc
Food
(Cals)</t>
  </si>
  <si>
    <t>Max
Wt loss
(lbs)</t>
  </si>
  <si>
    <t>Fat
(g)</t>
  </si>
  <si>
    <t>Carb
(g)</t>
  </si>
  <si>
    <t>Protein
(g)</t>
  </si>
  <si>
    <t>Fat
(Cals)</t>
  </si>
  <si>
    <t>Carb
(Cals)</t>
  </si>
  <si>
    <t>Prot
(Cals)</t>
  </si>
  <si>
    <t>Min
Food
(Cals)</t>
  </si>
  <si>
    <t>Calc
Weight
Loss</t>
  </si>
  <si>
    <t>Delta to Weight Goal</t>
  </si>
  <si>
    <t>Scale Measurements</t>
  </si>
  <si>
    <t>BMI</t>
  </si>
  <si>
    <t>Fat%</t>
  </si>
  <si>
    <t>H2O%</t>
  </si>
  <si>
    <t>Muscle
%</t>
  </si>
  <si>
    <t>Maint.
Cals</t>
  </si>
  <si>
    <t>Weight Loss</t>
  </si>
  <si>
    <t>Fat lbs</t>
  </si>
  <si>
    <t>H2O lbs</t>
  </si>
  <si>
    <t>Muscle
lbs</t>
  </si>
  <si>
    <t>Delta Fat Lbs</t>
  </si>
  <si>
    <t>Delta H2O lbs</t>
  </si>
  <si>
    <t>Delta Muscle Lbs</t>
  </si>
  <si>
    <t>Description</t>
  </si>
  <si>
    <t>Servings</t>
  </si>
  <si>
    <t>IsoPure Whey</t>
  </si>
  <si>
    <t>Broccoli (oz)</t>
  </si>
  <si>
    <t>Chia Seeds</t>
  </si>
  <si>
    <t>Totals</t>
  </si>
  <si>
    <t>Chicken Wing (Medium)</t>
  </si>
  <si>
    <t>Kimchi</t>
  </si>
  <si>
    <t>Egg</t>
  </si>
  <si>
    <t>Goal</t>
  </si>
  <si>
    <t>(Loss Chart today)</t>
  </si>
  <si>
    <t>Remainder</t>
  </si>
  <si>
    <t>Turkey Breast</t>
  </si>
  <si>
    <t>Asparagus</t>
  </si>
  <si>
    <t>Fish Oil</t>
  </si>
  <si>
    <t>Air</t>
  </si>
  <si>
    <t>Butter</t>
  </si>
  <si>
    <t>Sum Fat (Cals)</t>
  </si>
  <si>
    <t>Sum Carb (Cals)</t>
  </si>
  <si>
    <t>Sum Prot (Cal)</t>
  </si>
  <si>
    <t>Sum Cals</t>
  </si>
  <si>
    <t>Goal Fat (Cals)</t>
  </si>
  <si>
    <t>Goal Carb (Cals)</t>
  </si>
  <si>
    <t>Goal Protein (Cals)</t>
  </si>
  <si>
    <t>Goal Total (Cals)</t>
  </si>
  <si>
    <t>Remain Fat (Cals)</t>
  </si>
  <si>
    <t>Remain Carb (Cals)</t>
  </si>
  <si>
    <t>Remain Protein (Cals)</t>
  </si>
  <si>
    <t>Remain Total (Cals)</t>
  </si>
  <si>
    <t>Hamburger</t>
  </si>
  <si>
    <t>Pork Rinds</t>
  </si>
  <si>
    <t>Turkey Breast (5 slices)</t>
  </si>
  <si>
    <t>Dymatize Elite Casein</t>
  </si>
  <si>
    <t>Chicken Breast</t>
  </si>
  <si>
    <t>Almond Flour</t>
  </si>
  <si>
    <t>Tomato (Small)</t>
  </si>
  <si>
    <t>Zuccini</t>
  </si>
  <si>
    <t>Banana Petter</t>
  </si>
  <si>
    <t>Rao’s Marinara Sauce</t>
  </si>
  <si>
    <t>Tuna, seasoned in H2O</t>
  </si>
  <si>
    <t>Size</t>
  </si>
  <si>
    <t xml:space="preserve"> Carbs
(g)</t>
  </si>
  <si>
    <t>Fat
(Cal)</t>
  </si>
  <si>
    <t>Carb
(Cal)</t>
  </si>
  <si>
    <t>Protein
(Cal)</t>
  </si>
  <si>
    <t>Total
Calories</t>
  </si>
  <si>
    <t>¼ cup</t>
  </si>
  <si>
    <t>100g</t>
  </si>
  <si>
    <t>1 oz</t>
  </si>
  <si>
    <t>1T</t>
  </si>
  <si>
    <t>Cauliflower</t>
  </si>
  <si>
    <t>1 med head</t>
  </si>
  <si>
    <t>Chicken Thigh</t>
  </si>
  <si>
    <t>116g</t>
  </si>
  <si>
    <t>Chicken Wing (Large)</t>
  </si>
  <si>
    <t>Chicken Wing (Small)</t>
  </si>
  <si>
    <t>Creatine</t>
  </si>
  <si>
    <t>1 Scoop</t>
  </si>
  <si>
    <t>2 Scoops</t>
  </si>
  <si>
    <t>2 oz</t>
  </si>
  <si>
    <t>MCT Oil</t>
  </si>
  <si>
    <t>0.5oz</t>
  </si>
  <si>
    <t>½ cup</t>
  </si>
  <si>
    <t>Sardines</t>
  </si>
  <si>
    <t>3.75oz</t>
  </si>
  <si>
    <t>small</t>
  </si>
  <si>
    <t>Tomato (Medium)</t>
  </si>
  <si>
    <t>medium</t>
  </si>
  <si>
    <t>Tomato (Large)</t>
  </si>
  <si>
    <t>large</t>
  </si>
  <si>
    <t>2.5oz</t>
  </si>
  <si>
    <t>Tuna, White in H2O</t>
  </si>
  <si>
    <t>3oz</t>
  </si>
  <si>
    <t>4 oz</t>
  </si>
  <si>
    <t>5 slices</t>
  </si>
  <si>
    <t>1 Medium</t>
  </si>
  <si>
    <t>Max Body Fat
(Cals Avail)</t>
  </si>
  <si>
    <t>Wt loss
(lbs)</t>
  </si>
  <si>
    <t>Target
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</si>
</sst>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&quot;TRUE&quot;;&quot;TRUE&quot;;&quot;FALSE&quot;"/>
    <numFmt numFmtId="166" formatCode="0.000000000000000000000"/>
    <numFmt numFmtId="167" formatCode="yyyy\-mm\-dd"/>
    <numFmt numFmtId="168" formatCode="0.0%"/>
    <numFmt numFmtId="169" formatCode="#,##0.0"/>
  </numFmts>
  <fonts count="8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/>
      <sz val="8"/>
      <color rgb="FF0000FF"/>
      <name val="Courier New"/>
      <family val="3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Border="0" applyProtection="0"/>
    <xf numFmtId="0" fontId="7" fillId="0" borderId="0"/>
  </cellStyleXfs>
  <cellXfs count="120">
    <xf numFmtId="0" fontId="0" fillId="0" borderId="0" xfId="0"/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Alignment="1">
      <alignment wrapText="1"/>
    </xf>
    <xf numFmtId="0" fontId="4" fillId="0" borderId="3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/>
      <protection locked="0"/>
    </xf>
    <xf numFmtId="0" fontId="4" fillId="0" borderId="1" xfId="0" applyFont="1" applyBorder="1" applyAlignment="1">
      <alignment horizontal="center"/>
    </xf>
    <xf numFmtId="0" fontId="0" fillId="0" borderId="0" xfId="0" applyProtection="1"/>
    <xf numFmtId="0" fontId="1" fillId="0" borderId="0" xfId="0" applyFont="1" applyProtection="1"/>
    <xf numFmtId="0" fontId="0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0" fillId="0" borderId="0" xfId="0" applyFont="1" applyProtection="1"/>
    <xf numFmtId="0" fontId="1" fillId="0" borderId="0" xfId="0" applyFont="1"/>
    <xf numFmtId="0" fontId="2" fillId="0" borderId="0" xfId="1" applyFont="1" applyBorder="1" applyProtection="1"/>
    <xf numFmtId="1" fontId="3" fillId="0" borderId="0" xfId="0" applyNumberFormat="1" applyFont="1"/>
    <xf numFmtId="2" fontId="3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0" fillId="0" borderId="0" xfId="0" applyFont="1" applyProtection="1">
      <protection hidden="1"/>
    </xf>
    <xf numFmtId="1" fontId="0" fillId="0" borderId="0" xfId="0" applyNumberFormat="1" applyFont="1" applyProtection="1">
      <protection hidden="1"/>
    </xf>
    <xf numFmtId="165" fontId="0" fillId="0" borderId="0" xfId="0" applyNumberFormat="1" applyFont="1" applyProtection="1">
      <protection hidden="1"/>
    </xf>
    <xf numFmtId="165" fontId="0" fillId="0" borderId="0" xfId="0" applyNumberFormat="1"/>
    <xf numFmtId="0" fontId="4" fillId="0" borderId="0" xfId="0" applyFont="1" applyProtection="1"/>
    <xf numFmtId="164" fontId="4" fillId="0" borderId="0" xfId="0" applyNumberFormat="1" applyFont="1" applyProtection="1"/>
    <xf numFmtId="0" fontId="3" fillId="0" borderId="0" xfId="0" applyFont="1" applyProtection="1"/>
    <xf numFmtId="0" fontId="5" fillId="0" borderId="0" xfId="0" applyFont="1" applyProtection="1"/>
    <xf numFmtId="164" fontId="5" fillId="0" borderId="0" xfId="0" applyNumberFormat="1" applyFont="1" applyProtection="1"/>
    <xf numFmtId="0" fontId="4" fillId="0" borderId="0" xfId="0" applyFont="1"/>
    <xf numFmtId="0" fontId="3" fillId="0" borderId="0" xfId="0" applyFont="1"/>
    <xf numFmtId="164" fontId="3" fillId="0" borderId="0" xfId="0" applyNumberFormat="1" applyFont="1"/>
    <xf numFmtId="0" fontId="5" fillId="0" borderId="0" xfId="0" applyFont="1"/>
    <xf numFmtId="165" fontId="5" fillId="0" borderId="0" xfId="0" applyNumberFormat="1" applyFont="1"/>
    <xf numFmtId="0" fontId="1" fillId="0" borderId="0" xfId="2" applyFont="1"/>
    <xf numFmtId="0" fontId="0" fillId="0" borderId="0" xfId="2" applyFont="1"/>
    <xf numFmtId="0" fontId="6" fillId="0" borderId="0" xfId="1" applyFont="1" applyBorder="1" applyAlignment="1" applyProtection="1"/>
    <xf numFmtId="1" fontId="4" fillId="0" borderId="0" xfId="2" applyNumberFormat="1" applyFont="1"/>
    <xf numFmtId="166" fontId="4" fillId="0" borderId="0" xfId="2" applyNumberFormat="1" applyFont="1"/>
    <xf numFmtId="1" fontId="3" fillId="0" borderId="0" xfId="2" applyNumberFormat="1" applyFont="1"/>
    <xf numFmtId="0" fontId="5" fillId="0" borderId="0" xfId="2" applyFont="1"/>
    <xf numFmtId="0" fontId="0" fillId="0" borderId="0" xfId="0" applyProtection="1">
      <protection locked="0"/>
    </xf>
    <xf numFmtId="0" fontId="4" fillId="0" borderId="0" xfId="0" applyFont="1" applyBorder="1"/>
    <xf numFmtId="0" fontId="4" fillId="0" borderId="3" xfId="0" applyFont="1" applyBorder="1" applyAlignment="1" applyProtection="1">
      <alignment horizontal="center"/>
      <protection locked="0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7" xfId="0" applyFont="1" applyBorder="1" applyAlignment="1" applyProtection="1">
      <alignment horizontal="center" vertical="center" wrapText="1"/>
      <protection locked="0"/>
    </xf>
    <xf numFmtId="0" fontId="4" fillId="0" borderId="8" xfId="0" applyFont="1" applyBorder="1" applyAlignment="1" applyProtection="1">
      <alignment horizontal="center" vertical="center" wrapText="1"/>
      <protection locked="0"/>
    </xf>
    <xf numFmtId="0" fontId="4" fillId="0" borderId="9" xfId="0" applyFont="1" applyBorder="1" applyAlignment="1" applyProtection="1">
      <alignment horizontal="center" vertical="center" wrapText="1"/>
      <protection locked="0"/>
    </xf>
    <xf numFmtId="0" fontId="4" fillId="0" borderId="10" xfId="0" applyFont="1" applyBorder="1" applyAlignment="1" applyProtection="1">
      <alignment horizontal="center" vertical="center" wrapText="1"/>
      <protection locked="0"/>
    </xf>
    <xf numFmtId="0" fontId="4" fillId="0" borderId="11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4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67" fontId="0" fillId="0" borderId="14" xfId="0" applyNumberFormat="1" applyBorder="1"/>
    <xf numFmtId="0" fontId="0" fillId="0" borderId="15" xfId="0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2" fontId="0" fillId="0" borderId="15" xfId="0" applyNumberFormat="1" applyBorder="1"/>
    <xf numFmtId="164" fontId="0" fillId="0" borderId="17" xfId="0" applyNumberFormat="1" applyFont="1" applyBorder="1" applyProtection="1">
      <protection locked="0"/>
    </xf>
    <xf numFmtId="164" fontId="0" fillId="0" borderId="18" xfId="0" applyNumberFormat="1" applyFont="1" applyBorder="1" applyProtection="1">
      <protection locked="0"/>
    </xf>
    <xf numFmtId="164" fontId="0" fillId="0" borderId="19" xfId="0" applyNumberFormat="1" applyFont="1" applyBorder="1" applyProtection="1">
      <protection locked="0"/>
    </xf>
    <xf numFmtId="2" fontId="0" fillId="0" borderId="17" xfId="0" applyNumberFormat="1" applyBorder="1"/>
    <xf numFmtId="0" fontId="0" fillId="0" borderId="18" xfId="0" applyBorder="1" applyProtection="1">
      <protection locked="0"/>
    </xf>
    <xf numFmtId="164" fontId="0" fillId="0" borderId="18" xfId="0" applyNumberFormat="1" applyBorder="1" applyProtection="1">
      <protection locked="0"/>
    </xf>
    <xf numFmtId="167" fontId="0" fillId="0" borderId="20" xfId="0" applyNumberFormat="1" applyBorder="1"/>
    <xf numFmtId="0" fontId="0" fillId="0" borderId="21" xfId="0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20" xfId="0" applyNumberFormat="1" applyBorder="1"/>
    <xf numFmtId="164" fontId="0" fillId="0" borderId="20" xfId="0" applyNumberFormat="1" applyBorder="1" applyProtection="1">
      <protection locked="0"/>
    </xf>
    <xf numFmtId="164" fontId="0" fillId="0" borderId="21" xfId="0" applyNumberFormat="1" applyBorder="1" applyProtection="1">
      <protection locked="0"/>
    </xf>
    <xf numFmtId="164" fontId="0" fillId="0" borderId="21" xfId="0" applyNumberFormat="1" applyFont="1" applyBorder="1" applyProtection="1">
      <protection locked="0"/>
    </xf>
    <xf numFmtId="164" fontId="0" fillId="0" borderId="23" xfId="0" applyNumberFormat="1" applyFont="1" applyBorder="1" applyProtection="1">
      <protection locked="0"/>
    </xf>
    <xf numFmtId="164" fontId="0" fillId="0" borderId="23" xfId="0" applyNumberFormat="1" applyBorder="1" applyProtection="1">
      <protection locked="0"/>
    </xf>
    <xf numFmtId="164" fontId="0" fillId="0" borderId="21" xfId="0" applyNumberFormat="1" applyFont="1" applyBorder="1"/>
    <xf numFmtId="164" fontId="0" fillId="0" borderId="22" xfId="0" applyNumberFormat="1" applyFont="1" applyBorder="1"/>
    <xf numFmtId="164" fontId="0" fillId="0" borderId="0" xfId="0" applyNumberFormat="1" applyFont="1" applyBorder="1"/>
    <xf numFmtId="164" fontId="0" fillId="0" borderId="20" xfId="0" applyNumberFormat="1" applyFont="1" applyBorder="1"/>
    <xf numFmtId="0" fontId="0" fillId="0" borderId="24" xfId="0" applyBorder="1"/>
    <xf numFmtId="164" fontId="0" fillId="0" borderId="24" xfId="0" applyNumberFormat="1" applyBorder="1"/>
    <xf numFmtId="164" fontId="0" fillId="0" borderId="24" xfId="0" applyNumberFormat="1" applyFont="1" applyBorder="1"/>
    <xf numFmtId="164" fontId="0" fillId="0" borderId="25" xfId="0" applyNumberFormat="1" applyFont="1" applyBorder="1"/>
    <xf numFmtId="164" fontId="0" fillId="0" borderId="26" xfId="0" applyNumberFormat="1" applyFont="1" applyBorder="1"/>
    <xf numFmtId="164" fontId="0" fillId="0" borderId="25" xfId="0" applyNumberFormat="1" applyBorder="1"/>
    <xf numFmtId="0" fontId="0" fillId="0" borderId="0" xfId="0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Alignment="1">
      <alignment horizontal="center" wrapText="1"/>
    </xf>
    <xf numFmtId="167" fontId="0" fillId="0" borderId="0" xfId="0" applyNumberFormat="1" applyAlignment="1">
      <alignment wrapText="1"/>
    </xf>
    <xf numFmtId="0" fontId="0" fillId="0" borderId="0" xfId="0" applyBorder="1" applyAlignment="1" applyProtection="1">
      <alignment wrapText="1"/>
      <protection locked="0"/>
    </xf>
    <xf numFmtId="164" fontId="0" fillId="0" borderId="0" xfId="0" applyNumberFormat="1" applyAlignment="1">
      <alignment wrapText="1"/>
    </xf>
    <xf numFmtId="164" fontId="0" fillId="0" borderId="0" xfId="0" applyNumberFormat="1" applyBorder="1" applyAlignment="1" applyProtection="1">
      <alignment wrapText="1"/>
      <protection locked="0"/>
    </xf>
    <xf numFmtId="0" fontId="4" fillId="0" borderId="0" xfId="0" applyFont="1" applyAlignment="1">
      <alignment wrapText="1"/>
    </xf>
    <xf numFmtId="167" fontId="0" fillId="0" borderId="0" xfId="0" applyNumberFormat="1"/>
    <xf numFmtId="0" fontId="0" fillId="2" borderId="0" xfId="0" applyFont="1" applyFill="1"/>
    <xf numFmtId="0" fontId="0" fillId="2" borderId="0" xfId="0" applyFill="1"/>
    <xf numFmtId="10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0" xfId="0" applyAlignment="1" applyProtection="1">
      <alignment horizontal="left"/>
      <protection locked="0"/>
    </xf>
    <xf numFmtId="0" fontId="4" fillId="0" borderId="4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/>
    </xf>
    <xf numFmtId="0" fontId="4" fillId="0" borderId="5" xfId="0" applyFont="1" applyBorder="1" applyAlignment="1" applyProtection="1">
      <alignment horizontal="center" vertical="center" wrapText="1"/>
    </xf>
    <xf numFmtId="0" fontId="4" fillId="0" borderId="6" xfId="0" applyFont="1" applyBorder="1" applyAlignment="1" applyProtection="1">
      <alignment horizontal="center" vertical="center" wrapText="1"/>
    </xf>
    <xf numFmtId="169" fontId="0" fillId="0" borderId="0" xfId="0" applyNumberForma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horizontal="left"/>
      <protection locked="0"/>
    </xf>
    <xf numFmtId="169" fontId="0" fillId="0" borderId="0" xfId="0" applyNumberFormat="1" applyFont="1" applyProtection="1">
      <protection locked="0"/>
    </xf>
    <xf numFmtId="0" fontId="4" fillId="0" borderId="0" xfId="0" applyFont="1" applyBorder="1" applyAlignment="1"/>
    <xf numFmtId="0" fontId="4" fillId="0" borderId="0" xfId="0" applyFont="1" applyBorder="1" applyProtection="1">
      <protection locked="0"/>
    </xf>
    <xf numFmtId="0" fontId="4" fillId="0" borderId="0" xfId="0" applyFont="1" applyAlignment="1" applyProtection="1">
      <alignment wrapText="1"/>
      <protection locked="0"/>
    </xf>
    <xf numFmtId="164" fontId="0" fillId="0" borderId="0" xfId="0" applyNumberFormat="1" applyFont="1" applyProtection="1">
      <protection locked="0"/>
    </xf>
    <xf numFmtId="164" fontId="0" fillId="0" borderId="0" xfId="0" applyNumberFormat="1" applyFont="1" applyBorder="1" applyProtection="1">
      <protection locked="0"/>
    </xf>
    <xf numFmtId="164" fontId="0" fillId="0" borderId="0" xfId="0" applyNumberFormat="1" applyProtection="1">
      <protection locked="0"/>
    </xf>
    <xf numFmtId="167" fontId="0" fillId="0" borderId="26" xfId="0" applyNumberFormat="1" applyBorder="1"/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perskinnyme.com/calculate-tdee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ealthydietbase.com/five-ways-to-estimate-body-fat-percentage-using-a-tape-measu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dybuilding.com/fun/calculate-your-total-daily-energy-expenditure-tdee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iltlean.com/2011/03/30/how-much-muscle-can-you-gain-natural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"/>
  <sheetViews>
    <sheetView zoomScale="160" zoomScaleNormal="160" workbookViewId="0">
      <selection activeCell="B12" sqref="B12"/>
    </sheetView>
  </sheetViews>
  <sheetFormatPr defaultRowHeight="15" x14ac:dyDescent="0.25"/>
  <cols>
    <col min="1" max="1" width="13.5703125" style="6" customWidth="1"/>
    <col min="2" max="2" width="12.140625" style="6" customWidth="1"/>
    <col min="3" max="3" width="6.7109375" style="6" customWidth="1"/>
    <col min="4" max="4" width="1.7109375" style="6" customWidth="1"/>
    <col min="5" max="5" width="9.7109375" style="6" customWidth="1"/>
    <col min="6" max="6" width="3.42578125" style="6" customWidth="1"/>
    <col min="7" max="1025" width="8.7109375" style="6" customWidth="1"/>
  </cols>
  <sheetData>
    <row r="1" spans="1:3" ht="18.75" x14ac:dyDescent="0.3">
      <c r="A1" s="7" t="s">
        <v>0</v>
      </c>
    </row>
    <row r="3" spans="1:3" x14ac:dyDescent="0.25">
      <c r="A3" s="6" t="s">
        <v>1</v>
      </c>
      <c r="B3" s="8" t="s">
        <v>2</v>
      </c>
    </row>
    <row r="4" spans="1:3" x14ac:dyDescent="0.25">
      <c r="A4" s="6" t="s">
        <v>3</v>
      </c>
      <c r="B4" s="9">
        <v>57</v>
      </c>
      <c r="C4" s="6" t="s">
        <v>4</v>
      </c>
    </row>
    <row r="5" spans="1:3" x14ac:dyDescent="0.25">
      <c r="A5" s="6" t="s">
        <v>5</v>
      </c>
      <c r="B5" s="9">
        <v>203.3</v>
      </c>
      <c r="C5" s="6" t="s">
        <v>6</v>
      </c>
    </row>
    <row r="6" spans="1:3" x14ac:dyDescent="0.25">
      <c r="A6" s="6" t="s">
        <v>7</v>
      </c>
      <c r="B6" s="9">
        <v>70.5</v>
      </c>
      <c r="C6" s="6" t="s">
        <v>8</v>
      </c>
    </row>
    <row r="7" spans="1:3" x14ac:dyDescent="0.25">
      <c r="A7" s="6" t="s">
        <v>9</v>
      </c>
      <c r="B7" s="9">
        <v>15</v>
      </c>
      <c r="C7" s="10" t="s">
        <v>8</v>
      </c>
    </row>
    <row r="8" spans="1:3" x14ac:dyDescent="0.25">
      <c r="A8" s="6" t="s">
        <v>10</v>
      </c>
      <c r="B8" s="9">
        <v>38.75</v>
      </c>
      <c r="C8" s="10" t="s">
        <v>8</v>
      </c>
    </row>
    <row r="9" spans="1:3" x14ac:dyDescent="0.25">
      <c r="A9" s="6" t="s">
        <v>11</v>
      </c>
      <c r="B9" s="9">
        <v>9</v>
      </c>
      <c r="C9" s="10" t="s">
        <v>8</v>
      </c>
    </row>
    <row r="10" spans="1:3" x14ac:dyDescent="0.25">
      <c r="A10" s="6" t="s">
        <v>12</v>
      </c>
      <c r="B10" s="9">
        <v>7</v>
      </c>
      <c r="C10" s="10" t="s">
        <v>8</v>
      </c>
    </row>
    <row r="11" spans="1:3" x14ac:dyDescent="0.25">
      <c r="A11" s="6" t="s">
        <v>13</v>
      </c>
      <c r="B11" s="9">
        <v>50</v>
      </c>
      <c r="C11" s="10" t="s">
        <v>8</v>
      </c>
    </row>
    <row r="12" spans="1:3" x14ac:dyDescent="0.25">
      <c r="A12" s="6" t="s">
        <v>14</v>
      </c>
      <c r="B12" s="8" t="s">
        <v>15</v>
      </c>
    </row>
    <row r="14" spans="1:3" ht="18.75" x14ac:dyDescent="0.3">
      <c r="A14" s="7" t="s">
        <v>16</v>
      </c>
    </row>
    <row r="16" spans="1:3" x14ac:dyDescent="0.25">
      <c r="A16" s="6" t="s">
        <v>17</v>
      </c>
      <c r="B16" s="9">
        <v>15</v>
      </c>
      <c r="C16" s="6" t="s">
        <v>18</v>
      </c>
    </row>
  </sheetData>
  <sheetProtection sheet="1" objects="1" scenarios="1"/>
  <dataValidations count="2">
    <dataValidation type="list" operator="equal" allowBlank="1" showErrorMessage="1" sqref="B3">
      <formula1>"Male,Female"</formula1>
      <formula2>0</formula2>
    </dataValidation>
    <dataValidation type="list" operator="equal" allowBlank="1" showErrorMessage="1" sqref="B12">
      <formula1>"Sedentary,Lightly Active,Moderately Active,Very Active,Extremely Active"</formula1>
      <formula2>0</formula2>
    </dataValidation>
  </dataValidation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="160" zoomScaleNormal="160" workbookViewId="0">
      <selection activeCell="B10" sqref="B10"/>
    </sheetView>
  </sheetViews>
  <sheetFormatPr defaultRowHeight="15" x14ac:dyDescent="0.25"/>
  <cols>
    <col min="1" max="1" width="19.28515625" customWidth="1"/>
    <col min="2" max="3" width="8.7109375" customWidth="1"/>
    <col min="4" max="4" width="6.28515625" customWidth="1"/>
    <col min="5" max="1025" width="8.7109375" customWidth="1"/>
  </cols>
  <sheetData>
    <row r="1" spans="1:9" ht="18.75" x14ac:dyDescent="0.3">
      <c r="A1" s="11" t="s">
        <v>19</v>
      </c>
    </row>
    <row r="2" spans="1:9" x14ac:dyDescent="0.25">
      <c r="A2" s="12" t="s">
        <v>20</v>
      </c>
    </row>
    <row r="4" spans="1:9" x14ac:dyDescent="0.25">
      <c r="A4" t="s">
        <v>21</v>
      </c>
      <c r="B4" s="13">
        <f>$B$11*$D$18</f>
        <v>2529.6625000000004</v>
      </c>
      <c r="C4" t="s">
        <v>22</v>
      </c>
    </row>
    <row r="5" spans="1:9" x14ac:dyDescent="0.25">
      <c r="A5" t="s">
        <v>23</v>
      </c>
      <c r="B5" s="14">
        <f>$B$4/Measured!B5</f>
        <v>12.443002951303493</v>
      </c>
      <c r="C5" t="s">
        <v>24</v>
      </c>
    </row>
    <row r="7" spans="1:9" x14ac:dyDescent="0.25">
      <c r="A7" s="15" t="s">
        <v>25</v>
      </c>
      <c r="B7" s="16">
        <f>Measured!B6*2.54</f>
        <v>179.07</v>
      </c>
      <c r="C7" s="15" t="s">
        <v>26</v>
      </c>
      <c r="D7" s="15"/>
      <c r="E7" s="15"/>
    </row>
    <row r="8" spans="1:9" x14ac:dyDescent="0.25">
      <c r="A8" s="15" t="s">
        <v>27</v>
      </c>
      <c r="B8" s="16">
        <f>Measured!B5/2.2</f>
        <v>92.409090909090907</v>
      </c>
      <c r="C8" s="15" t="s">
        <v>26</v>
      </c>
      <c r="D8" s="15"/>
      <c r="E8" s="15"/>
    </row>
    <row r="9" spans="1:9" x14ac:dyDescent="0.25">
      <c r="A9" s="17"/>
      <c r="B9" s="17" t="s">
        <v>2</v>
      </c>
      <c r="C9" s="17" t="s">
        <v>28</v>
      </c>
      <c r="D9" s="17"/>
      <c r="E9" s="15"/>
    </row>
    <row r="10" spans="1:9" x14ac:dyDescent="0.25">
      <c r="A10" s="17" t="s">
        <v>29</v>
      </c>
      <c r="B10" s="18">
        <f>66+(13.7*$B$8)+(5*$B$7)-(6.8*Measured!$B$4)</f>
        <v>1839.7545454545457</v>
      </c>
      <c r="C10" s="18">
        <f>655+(9.6*$B$8)+(1.8*$B$7)-(4.7*Measured!$B$4)</f>
        <v>1596.5532727272725</v>
      </c>
      <c r="D10" s="17"/>
      <c r="E10" s="15"/>
    </row>
    <row r="11" spans="1:9" x14ac:dyDescent="0.25">
      <c r="A11" s="17" t="s">
        <v>30</v>
      </c>
      <c r="B11" s="18">
        <f>IF(Measured!$B$3="Male",$B$10,$C$10)</f>
        <v>1839.7545454545457</v>
      </c>
      <c r="C11" s="18"/>
      <c r="D11" s="17"/>
      <c r="E11" s="15"/>
    </row>
    <row r="12" spans="1:9" x14ac:dyDescent="0.25">
      <c r="A12" s="17"/>
      <c r="B12" s="17"/>
      <c r="C12" s="17"/>
      <c r="D12" s="17"/>
      <c r="E12" s="15"/>
    </row>
    <row r="13" spans="1:9" x14ac:dyDescent="0.25">
      <c r="A13" s="17" t="s">
        <v>31</v>
      </c>
      <c r="B13" s="19" t="b">
        <f>IF(Measured!$B$12=$A13,1)</f>
        <v>0</v>
      </c>
      <c r="C13" s="17">
        <v>1.2</v>
      </c>
      <c r="D13" s="17">
        <f>IF(B13,C13,0)</f>
        <v>0</v>
      </c>
      <c r="E13" s="15"/>
      <c r="I13" s="20"/>
    </row>
    <row r="14" spans="1:9" x14ac:dyDescent="0.25">
      <c r="A14" s="17" t="s">
        <v>15</v>
      </c>
      <c r="B14" s="19">
        <f>IF(Measured!$B$12=$A14,1)</f>
        <v>1</v>
      </c>
      <c r="C14" s="17">
        <v>1.375</v>
      </c>
      <c r="D14" s="17">
        <f>IF(B14,C14,0)</f>
        <v>1.375</v>
      </c>
      <c r="E14" s="15"/>
      <c r="I14" s="20"/>
    </row>
    <row r="15" spans="1:9" x14ac:dyDescent="0.25">
      <c r="A15" s="17" t="s">
        <v>32</v>
      </c>
      <c r="B15" s="19" t="b">
        <f>IF(Measured!$B$12=$A15,1)</f>
        <v>0</v>
      </c>
      <c r="C15" s="17">
        <v>1.55</v>
      </c>
      <c r="D15" s="17">
        <f>IF(B15,C15,0)</f>
        <v>0</v>
      </c>
      <c r="E15" s="15"/>
      <c r="I15" s="20"/>
    </row>
    <row r="16" spans="1:9" x14ac:dyDescent="0.25">
      <c r="A16" s="17" t="s">
        <v>33</v>
      </c>
      <c r="B16" s="19" t="b">
        <f>IF(Measured!$B$12=$A16,1)</f>
        <v>0</v>
      </c>
      <c r="C16" s="17">
        <v>1.7250000000000001</v>
      </c>
      <c r="D16" s="17">
        <f>IF(B16,C16,0)</f>
        <v>0</v>
      </c>
      <c r="E16" s="15"/>
      <c r="I16" s="20"/>
    </row>
    <row r="17" spans="1:9" x14ac:dyDescent="0.25">
      <c r="A17" s="17" t="s">
        <v>34</v>
      </c>
      <c r="B17" s="19" t="b">
        <f>IF(Measured!$B$12=$A17,1)</f>
        <v>0</v>
      </c>
      <c r="C17" s="17">
        <v>1.9</v>
      </c>
      <c r="D17" s="17">
        <f>IF(B17,C17,0)</f>
        <v>0</v>
      </c>
      <c r="E17" s="15"/>
      <c r="I17" s="20"/>
    </row>
    <row r="18" spans="1:9" x14ac:dyDescent="0.25">
      <c r="A18" s="17"/>
      <c r="B18" s="17"/>
      <c r="C18" s="17"/>
      <c r="D18" s="17">
        <f>MAX(D13:D17)</f>
        <v>1.375</v>
      </c>
      <c r="E18" s="15"/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5"/>
  <sheetViews>
    <sheetView zoomScale="160" zoomScaleNormal="160" workbookViewId="0">
      <selection activeCell="D11" sqref="D11"/>
    </sheetView>
  </sheetViews>
  <sheetFormatPr defaultRowHeight="15" x14ac:dyDescent="0.25"/>
  <cols>
    <col min="1" max="1" width="14" style="6" customWidth="1"/>
    <col min="2" max="2" width="5.5703125" style="6" customWidth="1"/>
    <col min="3" max="3" width="7.28515625" style="6" customWidth="1"/>
    <col min="4" max="4" width="12.85546875" style="6" customWidth="1"/>
    <col min="5" max="1025" width="8.7109375" style="6" customWidth="1"/>
  </cols>
  <sheetData>
    <row r="1" spans="1:7" ht="18.75" x14ac:dyDescent="0.3">
      <c r="A1" s="7" t="s">
        <v>35</v>
      </c>
    </row>
    <row r="2" spans="1:7" x14ac:dyDescent="0.25">
      <c r="A2" s="12" t="s">
        <v>36</v>
      </c>
    </row>
    <row r="4" spans="1:7" x14ac:dyDescent="0.25">
      <c r="A4" s="21" t="s">
        <v>37</v>
      </c>
      <c r="B4" s="22">
        <f>IF(Measured!$B$3="Male",$B$13,$B$14)</f>
        <v>26.631813493581198</v>
      </c>
    </row>
    <row r="5" spans="1:7" x14ac:dyDescent="0.25">
      <c r="A5" s="6" t="s">
        <v>38</v>
      </c>
      <c r="B5" s="23">
        <f>Measured!$B$5</f>
        <v>203.3</v>
      </c>
      <c r="C5" s="6" t="s">
        <v>6</v>
      </c>
      <c r="D5" s="6" t="s">
        <v>39</v>
      </c>
    </row>
    <row r="6" spans="1:7" x14ac:dyDescent="0.25">
      <c r="A6" s="6" t="s">
        <v>40</v>
      </c>
      <c r="B6" s="23">
        <f>$B$5*(1-($B$4/100))</f>
        <v>149.15752316754944</v>
      </c>
      <c r="C6" s="6" t="s">
        <v>6</v>
      </c>
      <c r="D6" s="6" t="s">
        <v>41</v>
      </c>
    </row>
    <row r="8" spans="1:7" x14ac:dyDescent="0.25">
      <c r="A8" s="24" t="s">
        <v>7</v>
      </c>
      <c r="B8" s="24">
        <f>Measured!$B$6</f>
        <v>70.5</v>
      </c>
      <c r="C8" s="24" t="s">
        <v>39</v>
      </c>
      <c r="D8" s="24"/>
      <c r="E8" s="24"/>
    </row>
    <row r="9" spans="1:7" x14ac:dyDescent="0.25">
      <c r="A9" s="24" t="s">
        <v>9</v>
      </c>
      <c r="B9" s="24">
        <f>Measured!$B$7</f>
        <v>15</v>
      </c>
      <c r="C9" s="24" t="s">
        <v>39</v>
      </c>
      <c r="D9" s="24"/>
      <c r="E9" s="24"/>
    </row>
    <row r="10" spans="1:7" x14ac:dyDescent="0.25">
      <c r="A10" s="24" t="s">
        <v>10</v>
      </c>
      <c r="B10" s="24">
        <f>Measured!$B$8</f>
        <v>38.75</v>
      </c>
      <c r="C10" s="24" t="s">
        <v>39</v>
      </c>
      <c r="D10" s="24"/>
      <c r="E10" s="24"/>
    </row>
    <row r="11" spans="1:7" x14ac:dyDescent="0.25">
      <c r="A11" s="24" t="s">
        <v>13</v>
      </c>
      <c r="B11" s="24">
        <f>Measured!$B$11</f>
        <v>50</v>
      </c>
      <c r="C11" s="24" t="s">
        <v>39</v>
      </c>
      <c r="D11" s="24"/>
      <c r="E11" s="24"/>
    </row>
    <row r="12" spans="1:7" x14ac:dyDescent="0.25">
      <c r="A12" s="24"/>
      <c r="B12" s="24"/>
      <c r="C12" s="24"/>
      <c r="D12" s="24"/>
      <c r="E12" s="24"/>
    </row>
    <row r="13" spans="1:7" x14ac:dyDescent="0.25">
      <c r="A13" s="24" t="s">
        <v>2</v>
      </c>
      <c r="B13" s="25">
        <f>86.01*(LOG10($B$10-$B$9))-70.041*LOG10($B$8)+37.76</f>
        <v>26.631813493581198</v>
      </c>
      <c r="C13" s="24" t="s">
        <v>42</v>
      </c>
      <c r="D13" s="24"/>
      <c r="E13" s="24"/>
      <c r="G13" s="6">
        <v>-78.387</v>
      </c>
    </row>
    <row r="14" spans="1:7" x14ac:dyDescent="0.25">
      <c r="A14" s="24" t="s">
        <v>28</v>
      </c>
      <c r="B14" s="25">
        <f>(163.205*LOG10($B$11+$B$10-$B$9))-(97.684*LOG10($B$8))-78.387</f>
        <v>45.902595528848252</v>
      </c>
      <c r="C14" s="24" t="s">
        <v>43</v>
      </c>
      <c r="D14" s="24"/>
      <c r="E14" s="24"/>
      <c r="G14" s="6">
        <f>163.205*LOG10($B$11+$B$10-$B$9)</f>
        <v>304.82810123303602</v>
      </c>
    </row>
    <row r="15" spans="1:7" x14ac:dyDescent="0.25">
      <c r="G15" s="6">
        <f>-(97.684*LOG10($B$8))</f>
        <v>-180.53850570418777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="160" zoomScaleNormal="160" workbookViewId="0">
      <selection activeCell="A8" sqref="A8"/>
    </sheetView>
  </sheetViews>
  <sheetFormatPr defaultRowHeight="15" x14ac:dyDescent="0.25"/>
  <cols>
    <col min="1" max="1" width="16.140625" customWidth="1"/>
    <col min="2" max="2" width="6.28515625" customWidth="1"/>
    <col min="3" max="3" width="6.7109375" customWidth="1"/>
    <col min="4" max="4" width="5.42578125" customWidth="1"/>
    <col min="5" max="1025" width="8.7109375" customWidth="1"/>
  </cols>
  <sheetData>
    <row r="1" spans="1:6" x14ac:dyDescent="0.25">
      <c r="A1" s="26" t="s">
        <v>44</v>
      </c>
    </row>
    <row r="2" spans="1:6" x14ac:dyDescent="0.25">
      <c r="A2" t="s">
        <v>45</v>
      </c>
    </row>
    <row r="4" spans="1:6" x14ac:dyDescent="0.25">
      <c r="A4" t="s">
        <v>46</v>
      </c>
      <c r="B4" s="27">
        <f>MAX(D8:D12)</f>
        <v>0.8</v>
      </c>
      <c r="C4" t="s">
        <v>47</v>
      </c>
    </row>
    <row r="5" spans="1:6" x14ac:dyDescent="0.25">
      <c r="A5" t="s">
        <v>48</v>
      </c>
      <c r="B5" s="28">
        <f>BF_DoD!B6</f>
        <v>149.15752316754944</v>
      </c>
      <c r="C5" t="s">
        <v>49</v>
      </c>
    </row>
    <row r="6" spans="1:6" x14ac:dyDescent="0.25">
      <c r="A6" t="s">
        <v>44</v>
      </c>
      <c r="B6" s="28">
        <f>B5*B4</f>
        <v>119.32601853403956</v>
      </c>
      <c r="C6" t="s">
        <v>50</v>
      </c>
    </row>
    <row r="7" spans="1:6" x14ac:dyDescent="0.25">
      <c r="A7" s="29"/>
      <c r="B7" s="29"/>
      <c r="C7" s="29"/>
      <c r="D7" s="29"/>
      <c r="E7" s="29"/>
      <c r="F7" s="29"/>
    </row>
    <row r="8" spans="1:6" x14ac:dyDescent="0.25">
      <c r="A8" s="29" t="s">
        <v>31</v>
      </c>
      <c r="B8" s="29">
        <v>0.69</v>
      </c>
      <c r="C8" s="30">
        <f>IF(A8=Measured!$B$12,1,0)</f>
        <v>0</v>
      </c>
      <c r="D8" s="29">
        <f>IF(C8=1,B8,0)</f>
        <v>0</v>
      </c>
      <c r="E8" s="29"/>
      <c r="F8" s="29"/>
    </row>
    <row r="9" spans="1:6" x14ac:dyDescent="0.25">
      <c r="A9" s="29" t="s">
        <v>15</v>
      </c>
      <c r="B9" s="29">
        <v>0.8</v>
      </c>
      <c r="C9" s="30">
        <f>IF(A9=Measured!$B$12,1,0)</f>
        <v>1</v>
      </c>
      <c r="D9" s="29">
        <f>IF(C9=1,B9,0)</f>
        <v>0.8</v>
      </c>
      <c r="E9" s="29"/>
      <c r="F9" s="29"/>
    </row>
    <row r="10" spans="1:6" x14ac:dyDescent="0.25">
      <c r="A10" s="29" t="s">
        <v>32</v>
      </c>
      <c r="B10" s="29">
        <v>0.9</v>
      </c>
      <c r="C10" s="30">
        <f>IF(A10=Measured!$B$12,1,0)</f>
        <v>0</v>
      </c>
      <c r="D10" s="29">
        <f>IF(C10=1,B10,0)</f>
        <v>0</v>
      </c>
      <c r="E10" s="29"/>
      <c r="F10" s="29"/>
    </row>
    <row r="11" spans="1:6" x14ac:dyDescent="0.25">
      <c r="A11" s="29" t="s">
        <v>33</v>
      </c>
      <c r="B11" s="29">
        <v>1</v>
      </c>
      <c r="C11" s="30">
        <f>IF(A11=Measured!$B$12,1,0)</f>
        <v>0</v>
      </c>
      <c r="D11" s="29">
        <f>IF(C11=1,B11,0)</f>
        <v>0</v>
      </c>
      <c r="E11" s="29"/>
      <c r="F11" s="29"/>
    </row>
    <row r="12" spans="1:6" x14ac:dyDescent="0.25">
      <c r="A12" s="29" t="s">
        <v>34</v>
      </c>
      <c r="B12" s="29">
        <v>1.2</v>
      </c>
      <c r="C12" s="30">
        <f>IF(A12=Measured!$B$12,1,0)</f>
        <v>0</v>
      </c>
      <c r="D12" s="29">
        <f>IF(C12=1,B12,0)</f>
        <v>0</v>
      </c>
      <c r="E12" s="29"/>
      <c r="F12" s="29"/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60" zoomScaleNormal="160" workbookViewId="0">
      <selection activeCell="B4" sqref="B4"/>
    </sheetView>
  </sheetViews>
  <sheetFormatPr defaultRowHeight="15" x14ac:dyDescent="0.25"/>
  <cols>
    <col min="1" max="1" width="17.140625" customWidth="1"/>
    <col min="2" max="2" width="8.7109375" customWidth="1"/>
    <col min="3" max="3" width="3.85546875" customWidth="1"/>
    <col min="4" max="4" width="8.7109375" customWidth="1"/>
    <col min="5" max="5" width="25.28515625" customWidth="1"/>
    <col min="6" max="1025" width="8.7109375" customWidth="1"/>
  </cols>
  <sheetData>
    <row r="1" spans="1:5" ht="18.75" x14ac:dyDescent="0.3">
      <c r="A1" s="31" t="s">
        <v>51</v>
      </c>
      <c r="B1" s="32"/>
      <c r="C1" s="32"/>
    </row>
    <row r="2" spans="1:5" x14ac:dyDescent="0.25">
      <c r="A2" s="33" t="s">
        <v>52</v>
      </c>
      <c r="B2" s="32"/>
      <c r="C2" s="32"/>
    </row>
    <row r="4" spans="1:5" x14ac:dyDescent="0.25">
      <c r="A4" s="32" t="s">
        <v>53</v>
      </c>
      <c r="B4" s="34">
        <f>($B$7^1.5)*((SQRT($B$9)/22.667) + (SQRT($B$8)/17.0104))*(($B$10/224)+1)</f>
        <v>185.10902667969179</v>
      </c>
      <c r="C4" s="32" t="s">
        <v>6</v>
      </c>
      <c r="E4" s="35"/>
    </row>
    <row r="5" spans="1:5" x14ac:dyDescent="0.25">
      <c r="A5" s="32" t="s">
        <v>54</v>
      </c>
      <c r="B5" s="36">
        <f>(1+(B10/100))*B4</f>
        <v>212.87538068164554</v>
      </c>
      <c r="C5" s="32" t="s">
        <v>6</v>
      </c>
    </row>
    <row r="7" spans="1:5" x14ac:dyDescent="0.25">
      <c r="A7" s="37" t="s">
        <v>55</v>
      </c>
      <c r="B7" s="37">
        <f>Measured!B6</f>
        <v>70.5</v>
      </c>
      <c r="C7" s="37" t="s">
        <v>56</v>
      </c>
    </row>
    <row r="8" spans="1:5" x14ac:dyDescent="0.25">
      <c r="A8" s="37" t="s">
        <v>11</v>
      </c>
      <c r="B8" s="37">
        <f>Measured!B9</f>
        <v>9</v>
      </c>
      <c r="C8" s="37" t="s">
        <v>56</v>
      </c>
    </row>
    <row r="9" spans="1:5" x14ac:dyDescent="0.25">
      <c r="A9" s="37" t="s">
        <v>12</v>
      </c>
      <c r="B9" s="37">
        <f>Measured!B10</f>
        <v>7</v>
      </c>
      <c r="C9" s="37" t="s">
        <v>56</v>
      </c>
    </row>
    <row r="10" spans="1:5" x14ac:dyDescent="0.25">
      <c r="A10" s="37" t="s">
        <v>57</v>
      </c>
      <c r="B10" s="37">
        <f>Measured!B16</f>
        <v>15</v>
      </c>
      <c r="C10" s="37" t="s">
        <v>18</v>
      </c>
    </row>
  </sheetData>
  <hyperlinks>
    <hyperlink ref="A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1"/>
  <sheetViews>
    <sheetView zoomScale="160" zoomScaleNormal="160" workbookViewId="0">
      <pane ySplit="2" topLeftCell="A3" activePane="bottomLeft" state="frozen"/>
      <selection activeCell="B1" sqref="B1"/>
      <selection pane="bottomLeft" activeCell="C3" sqref="C3"/>
    </sheetView>
  </sheetViews>
  <sheetFormatPr defaultRowHeight="15" x14ac:dyDescent="0.25"/>
  <cols>
    <col min="1" max="1" width="11.7109375" customWidth="1"/>
    <col min="2" max="2" width="6" customWidth="1"/>
    <col min="3" max="3" width="7.5703125" customWidth="1"/>
    <col min="4" max="4" width="6" customWidth="1"/>
    <col min="5" max="5" width="6.7109375" customWidth="1"/>
    <col min="6" max="6" width="1.7109375" customWidth="1"/>
    <col min="7" max="7" width="7" customWidth="1"/>
    <col min="8" max="8" width="10.85546875" customWidth="1"/>
    <col min="9" max="9" width="7" customWidth="1"/>
    <col min="10" max="10" width="7.5703125" customWidth="1"/>
    <col min="11" max="11" width="5.7109375" customWidth="1"/>
    <col min="12" max="12" width="5" customWidth="1"/>
    <col min="13" max="13" width="7.5703125" customWidth="1"/>
    <col min="14" max="16" width="6" customWidth="1"/>
    <col min="17" max="17" width="7" customWidth="1"/>
    <col min="18" max="18" width="1.42578125" customWidth="1"/>
    <col min="19" max="19" width="7.140625" style="38" customWidth="1"/>
    <col min="20" max="20" width="5.140625" style="38" customWidth="1"/>
    <col min="21" max="21" width="7.5703125" style="38" customWidth="1"/>
    <col min="22" max="22" width="8.140625" style="38" customWidth="1"/>
    <col min="23" max="23" width="6.5703125" style="38" customWidth="1"/>
    <col min="24" max="24" width="5.5703125" style="38" customWidth="1"/>
    <col min="25" max="25" width="7.5703125" style="38" customWidth="1"/>
    <col min="26" max="26" width="8.140625" style="38" customWidth="1"/>
    <col min="27" max="27" width="7.5703125" customWidth="1"/>
    <col min="28" max="28" width="7" style="38" customWidth="1"/>
    <col min="29" max="1025" width="8.7109375" customWidth="1"/>
  </cols>
  <sheetData>
    <row r="1" spans="1:29" x14ac:dyDescent="0.25">
      <c r="A1" s="26" t="s">
        <v>58</v>
      </c>
      <c r="B1" s="28">
        <f>BF_DoD!B6*(1+(Measured!B16/100))</f>
        <v>171.53115164268183</v>
      </c>
      <c r="C1" s="39"/>
      <c r="D1" s="39"/>
      <c r="E1" s="39"/>
      <c r="F1" s="39"/>
      <c r="G1" s="5" t="s">
        <v>59</v>
      </c>
      <c r="H1" s="5"/>
      <c r="I1" s="5"/>
      <c r="J1" s="5"/>
      <c r="K1" s="5"/>
      <c r="L1" s="5"/>
      <c r="M1" s="5"/>
      <c r="N1" s="5"/>
      <c r="O1" s="5"/>
      <c r="P1" s="5"/>
      <c r="Q1" s="5"/>
      <c r="S1" s="4" t="s">
        <v>60</v>
      </c>
      <c r="T1" s="4"/>
      <c r="U1" s="4"/>
      <c r="V1" s="4"/>
      <c r="W1" s="3" t="s">
        <v>61</v>
      </c>
      <c r="X1" s="3"/>
      <c r="Y1" s="3"/>
      <c r="Z1" s="3"/>
      <c r="AB1" s="40" t="s">
        <v>62</v>
      </c>
    </row>
    <row r="2" spans="1:29" s="56" customFormat="1" ht="45" x14ac:dyDescent="0.25">
      <c r="A2" s="41" t="s">
        <v>63</v>
      </c>
      <c r="B2" s="42" t="s">
        <v>64</v>
      </c>
      <c r="C2" s="46" t="s">
        <v>170</v>
      </c>
      <c r="D2" s="42" t="s">
        <v>48</v>
      </c>
      <c r="E2" s="43" t="s">
        <v>65</v>
      </c>
      <c r="F2" s="44"/>
      <c r="G2" s="45" t="s">
        <v>66</v>
      </c>
      <c r="H2" s="46" t="s">
        <v>67</v>
      </c>
      <c r="I2" s="46" t="s">
        <v>68</v>
      </c>
      <c r="J2" s="46" t="s">
        <v>69</v>
      </c>
      <c r="K2" s="46" t="s">
        <v>70</v>
      </c>
      <c r="L2" s="46" t="s">
        <v>71</v>
      </c>
      <c r="M2" s="46" t="s">
        <v>72</v>
      </c>
      <c r="N2" s="46" t="s">
        <v>73</v>
      </c>
      <c r="O2" s="46" t="s">
        <v>74</v>
      </c>
      <c r="P2" s="46" t="s">
        <v>75</v>
      </c>
      <c r="Q2" s="47" t="s">
        <v>76</v>
      </c>
      <c r="R2" s="48"/>
      <c r="S2" s="49" t="str">
        <f>FoodLog!$G$1</f>
        <v>Fat
(Cal)</v>
      </c>
      <c r="T2" s="50" t="str">
        <f>FoodLog!$H$1</f>
        <v>Carb
(Cal)</v>
      </c>
      <c r="U2" s="50" t="str">
        <f>FoodLog!$I$1</f>
        <v>Protein
(Cal)</v>
      </c>
      <c r="V2" s="51" t="str">
        <f>FoodLog!$J$1</f>
        <v>Total
Calories</v>
      </c>
      <c r="W2" s="52" t="str">
        <f>FoodLog!$G$1</f>
        <v>Fat
(Cal)</v>
      </c>
      <c r="X2" s="53" t="str">
        <f>FoodLog!$H$1</f>
        <v>Carb
(Cal)</v>
      </c>
      <c r="Y2" s="53" t="str">
        <f>FoodLog!$I$1</f>
        <v>Protein
(Cal)</v>
      </c>
      <c r="Z2" s="54" t="str">
        <f>FoodLog!$J$1</f>
        <v>Total
Calories</v>
      </c>
      <c r="AA2" s="55" t="s">
        <v>77</v>
      </c>
      <c r="AB2" s="52" t="s">
        <v>5</v>
      </c>
      <c r="AC2" s="55" t="s">
        <v>78</v>
      </c>
    </row>
    <row r="3" spans="1:29" x14ac:dyDescent="0.25">
      <c r="A3" s="57">
        <v>42992</v>
      </c>
      <c r="B3" s="58">
        <v>1</v>
      </c>
      <c r="C3" s="59">
        <f>Measured!B5</f>
        <v>203.3</v>
      </c>
      <c r="D3" s="59">
        <f>BF_DoD!B6</f>
        <v>149.15752316754944</v>
      </c>
      <c r="E3" s="60">
        <f t="shared" ref="E3:E34" si="0">C3-D3</f>
        <v>54.142476832450569</v>
      </c>
      <c r="F3" s="61"/>
      <c r="G3" s="62">
        <f>C3*TDEE!$B$5</f>
        <v>2529.6625000000004</v>
      </c>
      <c r="H3" s="59">
        <f>E3*31</f>
        <v>1678.4167818059677</v>
      </c>
      <c r="I3" s="59">
        <f>G3-H3</f>
        <v>851.24571819403263</v>
      </c>
      <c r="J3" s="63">
        <f t="shared" ref="J3:J34" si="1">H3/3500</f>
        <v>0.47954765194456223</v>
      </c>
      <c r="K3" s="59">
        <f t="shared" ref="K3:K34" si="2">N3/9</f>
        <v>32.660182673097147</v>
      </c>
      <c r="L3" s="59">
        <v>20</v>
      </c>
      <c r="M3" s="59">
        <f>Protein_Amt!$B$6</f>
        <v>119.32601853403956</v>
      </c>
      <c r="N3" s="59">
        <f t="shared" ref="N3:N34" si="3">MAX(0,I3-(O3+P3))</f>
        <v>293.94164405787433</v>
      </c>
      <c r="O3" s="59">
        <f t="shared" ref="O3:O34" si="4">4*L3</f>
        <v>80</v>
      </c>
      <c r="P3" s="59">
        <f t="shared" ref="P3:P34" si="5">4*M3</f>
        <v>477.30407413615825</v>
      </c>
      <c r="Q3" s="60">
        <f t="shared" ref="Q3:Q34" si="6">SUM(N3:P3)</f>
        <v>851.24571819403263</v>
      </c>
      <c r="S3" s="64">
        <f>FoodLog!G6</f>
        <v>171</v>
      </c>
      <c r="T3" s="65">
        <f>FoodLog!H6</f>
        <v>52</v>
      </c>
      <c r="U3" s="65">
        <f>FoodLog!I6</f>
        <v>455.6</v>
      </c>
      <c r="V3" s="65">
        <f>FoodLog!J6</f>
        <v>678.6</v>
      </c>
      <c r="W3" s="65">
        <f t="shared" ref="W3:Y6" si="7">-N3+S3</f>
        <v>-122.94164405787433</v>
      </c>
      <c r="X3" s="65">
        <f t="shared" si="7"/>
        <v>-28</v>
      </c>
      <c r="Y3" s="65">
        <f t="shared" si="7"/>
        <v>-21.704074136158226</v>
      </c>
      <c r="Z3" s="66">
        <f>SUM(W3:Y3)</f>
        <v>-172.64571819403255</v>
      </c>
      <c r="AA3" s="67">
        <f t="shared" ref="AA3:AA34" si="8">MIN($H3,($H3+Z3))/3500</f>
        <v>0.43022030388912436</v>
      </c>
      <c r="AB3" s="68">
        <f>Scale!C3</f>
        <v>202.8</v>
      </c>
      <c r="AC3" s="69">
        <f t="shared" ref="AC3:AC23" si="9">C3-AB3</f>
        <v>0.5</v>
      </c>
    </row>
    <row r="4" spans="1:29" x14ac:dyDescent="0.25">
      <c r="A4" s="70">
        <f t="shared" ref="A4:A35" si="10">A3+1</f>
        <v>42993</v>
      </c>
      <c r="B4" s="71">
        <f t="shared" ref="B4:B35" si="11">B3+1</f>
        <v>2</v>
      </c>
      <c r="C4" s="72">
        <f t="shared" ref="C4:C35" si="12">C3-AA3</f>
        <v>202.8697796961109</v>
      </c>
      <c r="D4" s="72">
        <f t="shared" ref="D4:D35" si="13">$D$3</f>
        <v>149.15752316754944</v>
      </c>
      <c r="E4" s="73">
        <f t="shared" si="0"/>
        <v>53.712256528561454</v>
      </c>
      <c r="F4" s="61"/>
      <c r="G4" s="74">
        <f>C4*TDEE!$B$5</f>
        <v>2524.3092674889972</v>
      </c>
      <c r="H4" s="72">
        <f t="shared" ref="H4:H35" si="14">$E4*31</f>
        <v>1665.079952385405</v>
      </c>
      <c r="I4" s="72">
        <f t="shared" ref="I4:I35" si="15">$G4-$H4</f>
        <v>859.22931510359217</v>
      </c>
      <c r="J4" s="63">
        <f t="shared" si="1"/>
        <v>0.47573712925297285</v>
      </c>
      <c r="K4" s="72">
        <f t="shared" si="2"/>
        <v>33.547248996381541</v>
      </c>
      <c r="L4" s="72">
        <v>20</v>
      </c>
      <c r="M4" s="59">
        <f>Protein_Amt!$B$6</f>
        <v>119.32601853403956</v>
      </c>
      <c r="N4" s="72">
        <f t="shared" si="3"/>
        <v>301.92524096743387</v>
      </c>
      <c r="O4" s="72">
        <f t="shared" si="4"/>
        <v>80</v>
      </c>
      <c r="P4" s="72">
        <f t="shared" si="5"/>
        <v>477.30407413615825</v>
      </c>
      <c r="Q4" s="73">
        <f t="shared" si="6"/>
        <v>859.22931510359217</v>
      </c>
      <c r="S4" s="75">
        <f>FoodLog!G11</f>
        <v>173.60999999999999</v>
      </c>
      <c r="T4" s="76">
        <f>FoodLog!H11</f>
        <v>0</v>
      </c>
      <c r="U4" s="76">
        <f>FoodLog!I11</f>
        <v>402.24</v>
      </c>
      <c r="V4" s="76">
        <f>FoodLog!J11</f>
        <v>575.84999999999991</v>
      </c>
      <c r="W4" s="77">
        <f t="shared" si="7"/>
        <v>-128.31524096743388</v>
      </c>
      <c r="X4" s="77">
        <f t="shared" si="7"/>
        <v>-80</v>
      </c>
      <c r="Y4" s="77">
        <f t="shared" si="7"/>
        <v>-75.06407413615824</v>
      </c>
      <c r="Z4" s="78">
        <f>SUM(W4:Y4)</f>
        <v>-283.37931510359215</v>
      </c>
      <c r="AA4" s="67">
        <f t="shared" si="8"/>
        <v>0.39477161065194649</v>
      </c>
      <c r="AB4" s="68">
        <f>Scale!C4</f>
        <v>200.2</v>
      </c>
      <c r="AC4" s="69">
        <f t="shared" si="9"/>
        <v>2.6697796961109077</v>
      </c>
    </row>
    <row r="5" spans="1:29" x14ac:dyDescent="0.25">
      <c r="A5" s="70">
        <f t="shared" si="10"/>
        <v>42994</v>
      </c>
      <c r="B5" s="71">
        <f t="shared" si="11"/>
        <v>3</v>
      </c>
      <c r="C5" s="72">
        <f t="shared" si="12"/>
        <v>202.47500808545894</v>
      </c>
      <c r="D5" s="72">
        <f t="shared" si="13"/>
        <v>149.15752316754944</v>
      </c>
      <c r="E5" s="73">
        <f t="shared" si="0"/>
        <v>53.317484917909496</v>
      </c>
      <c r="F5" s="61"/>
      <c r="G5" s="74">
        <f>C5*TDEE!$B$5</f>
        <v>2519.3971231725641</v>
      </c>
      <c r="H5" s="72">
        <f t="shared" si="14"/>
        <v>1652.8420324551944</v>
      </c>
      <c r="I5" s="72">
        <f t="shared" si="15"/>
        <v>866.55509071736969</v>
      </c>
      <c r="J5" s="63">
        <f t="shared" si="1"/>
        <v>0.47224058070148411</v>
      </c>
      <c r="K5" s="72">
        <f t="shared" si="2"/>
        <v>34.361224064579041</v>
      </c>
      <c r="L5" s="72">
        <v>20</v>
      </c>
      <c r="M5" s="59">
        <f>Protein_Amt!$B$6</f>
        <v>119.32601853403956</v>
      </c>
      <c r="N5" s="72">
        <f t="shared" si="3"/>
        <v>309.25101658121139</v>
      </c>
      <c r="O5" s="72">
        <f t="shared" si="4"/>
        <v>80</v>
      </c>
      <c r="P5" s="72">
        <f t="shared" si="5"/>
        <v>477.30407413615825</v>
      </c>
      <c r="Q5" s="73">
        <f t="shared" si="6"/>
        <v>866.55509071736969</v>
      </c>
      <c r="S5" s="75">
        <f>FoodLog!G17</f>
        <v>282.59999999999997</v>
      </c>
      <c r="T5" s="76">
        <f>FoodLog!H17</f>
        <v>28</v>
      </c>
      <c r="U5" s="76">
        <f>FoodLog!I17</f>
        <v>387.2</v>
      </c>
      <c r="V5" s="76">
        <f>FoodLog!J17</f>
        <v>697.8</v>
      </c>
      <c r="W5" s="77">
        <f t="shared" si="7"/>
        <v>-26.651016581211422</v>
      </c>
      <c r="X5" s="77">
        <f t="shared" si="7"/>
        <v>-52</v>
      </c>
      <c r="Y5" s="77">
        <f t="shared" si="7"/>
        <v>-90.10407413615826</v>
      </c>
      <c r="Z5" s="78">
        <f>SUM(W5:Y5)</f>
        <v>-168.75509071736968</v>
      </c>
      <c r="AA5" s="67">
        <f t="shared" si="8"/>
        <v>0.42402484049652134</v>
      </c>
      <c r="AB5" s="68">
        <f>Scale!C5</f>
        <v>198.4</v>
      </c>
      <c r="AC5" s="69">
        <f t="shared" si="9"/>
        <v>4.0750080854589328</v>
      </c>
    </row>
    <row r="6" spans="1:29" x14ac:dyDescent="0.25">
      <c r="A6" s="70">
        <f t="shared" si="10"/>
        <v>42995</v>
      </c>
      <c r="B6" s="71">
        <f t="shared" si="11"/>
        <v>4</v>
      </c>
      <c r="C6" s="72">
        <f t="shared" si="12"/>
        <v>202.05098324496242</v>
      </c>
      <c r="D6" s="72">
        <f t="shared" si="13"/>
        <v>149.15752316754944</v>
      </c>
      <c r="E6" s="73">
        <f t="shared" si="0"/>
        <v>52.893460077412982</v>
      </c>
      <c r="F6" s="61"/>
      <c r="G6" s="74">
        <f>C6*TDEE!$B$5</f>
        <v>2514.1209808308399</v>
      </c>
      <c r="H6" s="72">
        <f t="shared" si="14"/>
        <v>1639.6972623998024</v>
      </c>
      <c r="I6" s="72">
        <f t="shared" si="15"/>
        <v>874.42371843103751</v>
      </c>
      <c r="J6" s="63">
        <f t="shared" si="1"/>
        <v>0.46848493211422926</v>
      </c>
      <c r="K6" s="72">
        <f t="shared" si="2"/>
        <v>35.235516032764359</v>
      </c>
      <c r="L6" s="72">
        <v>20</v>
      </c>
      <c r="M6" s="59">
        <f>Protein_Amt!$B$6</f>
        <v>119.32601853403956</v>
      </c>
      <c r="N6" s="72">
        <f t="shared" si="3"/>
        <v>317.11964429487921</v>
      </c>
      <c r="O6" s="72">
        <f t="shared" si="4"/>
        <v>80</v>
      </c>
      <c r="P6" s="72">
        <f t="shared" si="5"/>
        <v>477.30407413615825</v>
      </c>
      <c r="Q6" s="73">
        <f t="shared" si="6"/>
        <v>874.42371843103751</v>
      </c>
      <c r="S6" s="75">
        <f>FoodLog!G24</f>
        <v>175.85999999999999</v>
      </c>
      <c r="T6" s="76">
        <f>FoodLog!H24</f>
        <v>56</v>
      </c>
      <c r="U6" s="76">
        <f>FoodLog!I24</f>
        <v>535.84</v>
      </c>
      <c r="V6" s="76">
        <f>FoodLog!J24</f>
        <v>767.7</v>
      </c>
      <c r="W6" s="77">
        <f t="shared" si="7"/>
        <v>-141.25964429487922</v>
      </c>
      <c r="X6" s="77">
        <f t="shared" si="7"/>
        <v>-24</v>
      </c>
      <c r="Y6" s="77">
        <f t="shared" si="7"/>
        <v>58.535925863841783</v>
      </c>
      <c r="Z6" s="78">
        <f>SUM(W6:Y6)</f>
        <v>-106.72371843103744</v>
      </c>
      <c r="AA6" s="67">
        <f t="shared" si="8"/>
        <v>0.43799244113393282</v>
      </c>
      <c r="AB6" s="68">
        <f>Scale!C6</f>
        <v>199.4</v>
      </c>
      <c r="AC6" s="69">
        <f t="shared" si="9"/>
        <v>2.6509832449624184</v>
      </c>
    </row>
    <row r="7" spans="1:29" x14ac:dyDescent="0.25">
      <c r="A7" s="70">
        <f t="shared" si="10"/>
        <v>42996</v>
      </c>
      <c r="B7" s="71">
        <f t="shared" si="11"/>
        <v>5</v>
      </c>
      <c r="C7" s="72">
        <f t="shared" si="12"/>
        <v>201.6129908038285</v>
      </c>
      <c r="D7" s="72">
        <f t="shared" si="13"/>
        <v>149.15752316754944</v>
      </c>
      <c r="E7" s="73">
        <f t="shared" si="0"/>
        <v>52.455467636279053</v>
      </c>
      <c r="F7" s="61"/>
      <c r="G7" s="74">
        <f>C7*TDEE!$B$5</f>
        <v>2508.6710395931618</v>
      </c>
      <c r="H7" s="72">
        <f t="shared" si="14"/>
        <v>1626.1194967246506</v>
      </c>
      <c r="I7" s="72">
        <f t="shared" si="15"/>
        <v>882.55154286851121</v>
      </c>
      <c r="J7" s="63">
        <f t="shared" si="1"/>
        <v>0.4646055704927573</v>
      </c>
      <c r="K7" s="72">
        <f t="shared" si="2"/>
        <v>36.1386076369281</v>
      </c>
      <c r="L7" s="72">
        <v>20</v>
      </c>
      <c r="M7" s="59">
        <f>Protein_Amt!$B$6</f>
        <v>119.32601853403956</v>
      </c>
      <c r="N7" s="72">
        <f t="shared" si="3"/>
        <v>325.2474687323529</v>
      </c>
      <c r="O7" s="72">
        <f t="shared" si="4"/>
        <v>80</v>
      </c>
      <c r="P7" s="72">
        <f t="shared" si="5"/>
        <v>477.30407413615825</v>
      </c>
      <c r="Q7" s="73">
        <f t="shared" si="6"/>
        <v>882.55154286851121</v>
      </c>
      <c r="S7" s="75">
        <f>FoodLog!G34</f>
        <v>235.62</v>
      </c>
      <c r="T7" s="76">
        <f>FoodLog!H34</f>
        <v>58.857142857142861</v>
      </c>
      <c r="U7" s="76">
        <f>FoodLog!I34</f>
        <v>531.74857142857138</v>
      </c>
      <c r="V7" s="76">
        <f>FoodLog!J34</f>
        <v>826.22571428571428</v>
      </c>
      <c r="W7" s="76">
        <f>FoodLog!G36</f>
        <v>89.627468732352895</v>
      </c>
      <c r="X7" s="76">
        <f>FoodLog!H36</f>
        <v>21.142857142857139</v>
      </c>
      <c r="Y7" s="76">
        <f>FoodLog!I36</f>
        <v>-54.444497292413132</v>
      </c>
      <c r="Z7" s="79">
        <f>FoodLog!J36</f>
        <v>56.32582858279693</v>
      </c>
      <c r="AA7" s="67">
        <f t="shared" si="8"/>
        <v>0.4646055704927573</v>
      </c>
      <c r="AB7" s="68">
        <f>Scale!C7</f>
        <v>200.3</v>
      </c>
      <c r="AC7" s="69">
        <f t="shared" si="9"/>
        <v>1.3129908038284839</v>
      </c>
    </row>
    <row r="8" spans="1:29" x14ac:dyDescent="0.25">
      <c r="A8" s="70">
        <f t="shared" si="10"/>
        <v>42997</v>
      </c>
      <c r="B8" s="71">
        <f t="shared" si="11"/>
        <v>6</v>
      </c>
      <c r="C8" s="72">
        <f t="shared" si="12"/>
        <v>201.14838523333574</v>
      </c>
      <c r="D8" s="72">
        <f t="shared" si="13"/>
        <v>149.15752316754944</v>
      </c>
      <c r="E8" s="73">
        <f t="shared" si="0"/>
        <v>51.990862065786303</v>
      </c>
      <c r="F8" s="61"/>
      <c r="G8" s="74">
        <f>C8*TDEE!$B$5</f>
        <v>2502.8899511083287</v>
      </c>
      <c r="H8" s="72">
        <f t="shared" si="14"/>
        <v>1611.7167240393753</v>
      </c>
      <c r="I8" s="72">
        <f t="shared" si="15"/>
        <v>891.17322706895334</v>
      </c>
      <c r="J8" s="63">
        <f t="shared" si="1"/>
        <v>0.46049049258267866</v>
      </c>
      <c r="K8" s="72">
        <f t="shared" si="2"/>
        <v>37.096572548088339</v>
      </c>
      <c r="L8" s="72">
        <v>20</v>
      </c>
      <c r="M8" s="59">
        <f>Protein_Amt!$B$6</f>
        <v>119.32601853403956</v>
      </c>
      <c r="N8" s="72">
        <f t="shared" si="3"/>
        <v>333.86915293279503</v>
      </c>
      <c r="O8" s="72">
        <f t="shared" si="4"/>
        <v>80</v>
      </c>
      <c r="P8" s="72">
        <f t="shared" si="5"/>
        <v>477.30407413615825</v>
      </c>
      <c r="Q8" s="73">
        <f t="shared" si="6"/>
        <v>891.17322706895334</v>
      </c>
      <c r="S8" s="75">
        <f>FoodLog!G44</f>
        <v>238.5</v>
      </c>
      <c r="T8" s="75">
        <f>FoodLog!H44</f>
        <v>56.8</v>
      </c>
      <c r="U8" s="75">
        <f>FoodLog!I44</f>
        <v>537.91999999999996</v>
      </c>
      <c r="V8" s="75">
        <f>FoodLog!J44</f>
        <v>833.22</v>
      </c>
      <c r="W8" s="75">
        <f>FoodLog!G46</f>
        <v>95.369152932795032</v>
      </c>
      <c r="X8" s="75">
        <f>FoodLog!H46</f>
        <v>23.200000000000003</v>
      </c>
      <c r="Y8" s="75">
        <f>FoodLog!I46</f>
        <v>-60.61592586384171</v>
      </c>
      <c r="Z8" s="75">
        <f>FoodLog!J46</f>
        <v>57.953227068953311</v>
      </c>
      <c r="AA8" s="67">
        <f t="shared" si="8"/>
        <v>0.46049049258267866</v>
      </c>
      <c r="AB8" s="68">
        <f>Scale!C8</f>
        <v>200.4</v>
      </c>
      <c r="AC8" s="69">
        <f t="shared" si="9"/>
        <v>0.74838523333573903</v>
      </c>
    </row>
    <row r="9" spans="1:29" x14ac:dyDescent="0.25">
      <c r="A9" s="70">
        <f t="shared" si="10"/>
        <v>42998</v>
      </c>
      <c r="B9" s="71">
        <f t="shared" si="11"/>
        <v>7</v>
      </c>
      <c r="C9" s="72">
        <f t="shared" si="12"/>
        <v>200.68789474075308</v>
      </c>
      <c r="D9" s="72">
        <f t="shared" si="13"/>
        <v>149.15752316754944</v>
      </c>
      <c r="E9" s="73">
        <f t="shared" si="0"/>
        <v>51.530371573203638</v>
      </c>
      <c r="F9" s="61"/>
      <c r="G9" s="74">
        <f>C9*TDEE!$B$5</f>
        <v>2497.1600665500755</v>
      </c>
      <c r="H9" s="72">
        <f t="shared" si="14"/>
        <v>1597.4415187693128</v>
      </c>
      <c r="I9" s="72">
        <f t="shared" si="15"/>
        <v>899.71854778076272</v>
      </c>
      <c r="J9" s="63">
        <f t="shared" si="1"/>
        <v>0.45641186250551796</v>
      </c>
      <c r="K9" s="72">
        <f t="shared" si="2"/>
        <v>38.04605262717827</v>
      </c>
      <c r="L9" s="72">
        <v>20</v>
      </c>
      <c r="M9" s="59">
        <f>Protein_Amt!$B$6</f>
        <v>119.32601853403956</v>
      </c>
      <c r="N9" s="72">
        <f t="shared" si="3"/>
        <v>342.41447364460441</v>
      </c>
      <c r="O9" s="72">
        <f t="shared" si="4"/>
        <v>80</v>
      </c>
      <c r="P9" s="72">
        <f t="shared" si="5"/>
        <v>477.30407413615825</v>
      </c>
      <c r="Q9" s="73">
        <f t="shared" si="6"/>
        <v>899.71854778076272</v>
      </c>
      <c r="S9" s="75">
        <f>FoodLog!G56</f>
        <v>401.4</v>
      </c>
      <c r="T9" s="75">
        <f>FoodLog!H56</f>
        <v>64.571428571428569</v>
      </c>
      <c r="U9" s="75">
        <f>FoodLog!I56</f>
        <v>550.60571428571427</v>
      </c>
      <c r="V9" s="75">
        <f>FoodLog!J56</f>
        <v>1016.5771428571428</v>
      </c>
      <c r="W9" s="75">
        <f>FoodLog!G58</f>
        <v>-58.985526355395564</v>
      </c>
      <c r="X9" s="75">
        <f>FoodLog!H58</f>
        <v>15.428571428571431</v>
      </c>
      <c r="Y9" s="75">
        <f>FoodLog!I58</f>
        <v>-73.301640149556022</v>
      </c>
      <c r="Z9" s="75">
        <f>FoodLog!J58</f>
        <v>-116.85859507638008</v>
      </c>
      <c r="AA9" s="67">
        <f t="shared" si="8"/>
        <v>0.42302369248369504</v>
      </c>
      <c r="AB9" s="68">
        <f>Scale!C9</f>
        <v>199.8</v>
      </c>
      <c r="AC9" s="69">
        <f t="shared" si="9"/>
        <v>0.88789474075306885</v>
      </c>
    </row>
    <row r="10" spans="1:29" x14ac:dyDescent="0.25">
      <c r="A10" s="70">
        <f t="shared" si="10"/>
        <v>42999</v>
      </c>
      <c r="B10" s="71">
        <f t="shared" si="11"/>
        <v>8</v>
      </c>
      <c r="C10" s="72">
        <f t="shared" si="12"/>
        <v>200.26487104826938</v>
      </c>
      <c r="D10" s="72">
        <f t="shared" si="13"/>
        <v>149.15752316754944</v>
      </c>
      <c r="E10" s="73">
        <f t="shared" si="0"/>
        <v>51.107347880719942</v>
      </c>
      <c r="F10" s="61"/>
      <c r="G10" s="74">
        <f>C10*TDEE!$B$5</f>
        <v>2491.8963814960293</v>
      </c>
      <c r="H10" s="72">
        <f t="shared" si="14"/>
        <v>1584.3277843023182</v>
      </c>
      <c r="I10" s="72">
        <f t="shared" si="15"/>
        <v>907.56859719371118</v>
      </c>
      <c r="J10" s="63">
        <f t="shared" si="1"/>
        <v>0.45266508122923377</v>
      </c>
      <c r="K10" s="72">
        <f t="shared" si="2"/>
        <v>38.918280339728099</v>
      </c>
      <c r="L10" s="72">
        <v>20</v>
      </c>
      <c r="M10" s="59">
        <f>Protein_Amt!$B$6</f>
        <v>119.32601853403956</v>
      </c>
      <c r="N10" s="72">
        <f t="shared" si="3"/>
        <v>350.26452305755288</v>
      </c>
      <c r="O10" s="72">
        <f t="shared" si="4"/>
        <v>80</v>
      </c>
      <c r="P10" s="72">
        <f t="shared" si="5"/>
        <v>477.30407413615825</v>
      </c>
      <c r="Q10" s="73">
        <f t="shared" si="6"/>
        <v>907.56859719371118</v>
      </c>
      <c r="S10" s="75">
        <f>FoodLog!G68</f>
        <v>340.55999999999995</v>
      </c>
      <c r="T10" s="75">
        <f>FoodLog!H68</f>
        <v>44</v>
      </c>
      <c r="U10" s="75">
        <f>FoodLog!I68</f>
        <v>492.64000000000004</v>
      </c>
      <c r="V10" s="75">
        <f>FoodLog!J68</f>
        <v>877.2</v>
      </c>
      <c r="W10" s="75">
        <f>FoodLog!G70</f>
        <v>9.7045230575529331</v>
      </c>
      <c r="X10" s="75">
        <f>FoodLog!H70</f>
        <v>36</v>
      </c>
      <c r="Y10" s="75">
        <f>FoodLog!I70</f>
        <v>-15.335925863841794</v>
      </c>
      <c r="Z10" s="75">
        <f>FoodLog!J70</f>
        <v>30.368597193711139</v>
      </c>
      <c r="AA10" s="67">
        <f t="shared" si="8"/>
        <v>0.45266508122923377</v>
      </c>
      <c r="AB10" s="68">
        <f>Scale!C10</f>
        <v>199.8</v>
      </c>
      <c r="AC10" s="69">
        <f t="shared" si="9"/>
        <v>0.46487104826937298</v>
      </c>
    </row>
    <row r="11" spans="1:29" x14ac:dyDescent="0.25">
      <c r="A11" s="70">
        <f t="shared" si="10"/>
        <v>43000</v>
      </c>
      <c r="B11" s="71">
        <f t="shared" si="11"/>
        <v>9</v>
      </c>
      <c r="C11" s="72">
        <f t="shared" si="12"/>
        <v>199.81220596704014</v>
      </c>
      <c r="D11" s="72">
        <f t="shared" si="13"/>
        <v>149.15752316754944</v>
      </c>
      <c r="E11" s="73">
        <f t="shared" si="0"/>
        <v>50.654682799490701</v>
      </c>
      <c r="F11" s="61"/>
      <c r="G11" s="74">
        <f>C11*TDEE!$B$5</f>
        <v>2486.263868554342</v>
      </c>
      <c r="H11" s="72">
        <f t="shared" si="14"/>
        <v>1570.2951667842117</v>
      </c>
      <c r="I11" s="72">
        <f t="shared" si="15"/>
        <v>915.96870177013034</v>
      </c>
      <c r="J11" s="63">
        <f t="shared" si="1"/>
        <v>0.44865576193834622</v>
      </c>
      <c r="K11" s="72">
        <f t="shared" si="2"/>
        <v>39.851625292663556</v>
      </c>
      <c r="L11" s="72">
        <v>20</v>
      </c>
      <c r="M11" s="59">
        <f>Protein_Amt!$B$6</f>
        <v>119.32601853403956</v>
      </c>
      <c r="N11" s="72">
        <f t="shared" si="3"/>
        <v>358.66462763397203</v>
      </c>
      <c r="O11" s="72">
        <f t="shared" si="4"/>
        <v>80</v>
      </c>
      <c r="P11" s="72">
        <f t="shared" si="5"/>
        <v>477.30407413615825</v>
      </c>
      <c r="Q11" s="73">
        <f t="shared" si="6"/>
        <v>915.96870177013034</v>
      </c>
      <c r="S11" s="75">
        <f>FoodLog!G80</f>
        <v>469.26</v>
      </c>
      <c r="T11" s="75">
        <f>FoodLog!H80</f>
        <v>79.428571428571431</v>
      </c>
      <c r="U11" s="75">
        <f>FoodLog!I80</f>
        <v>491.31428571428569</v>
      </c>
      <c r="V11" s="75">
        <f>FoodLog!J80</f>
        <v>1040.002857142857</v>
      </c>
      <c r="W11" s="75">
        <f>FoodLog!G82</f>
        <v>-110.59537236602796</v>
      </c>
      <c r="X11" s="75">
        <f>FoodLog!H82</f>
        <v>0.5714285714285694</v>
      </c>
      <c r="Y11" s="75">
        <f>FoodLog!I82</f>
        <v>-14.010211578127439</v>
      </c>
      <c r="Z11" s="75">
        <f>FoodLog!J82</f>
        <v>-124.03415537272667</v>
      </c>
      <c r="AA11" s="67">
        <f t="shared" si="8"/>
        <v>0.41321743183185289</v>
      </c>
      <c r="AB11" s="68">
        <f>Scale!C11</f>
        <v>198.4</v>
      </c>
      <c r="AC11" s="69">
        <f t="shared" si="9"/>
        <v>1.412205967040137</v>
      </c>
    </row>
    <row r="12" spans="1:29" x14ac:dyDescent="0.25">
      <c r="A12" s="70">
        <f t="shared" si="10"/>
        <v>43001</v>
      </c>
      <c r="B12" s="71">
        <f t="shared" si="11"/>
        <v>10</v>
      </c>
      <c r="C12" s="72">
        <f t="shared" si="12"/>
        <v>199.3989885352083</v>
      </c>
      <c r="D12" s="72">
        <f t="shared" si="13"/>
        <v>149.15752316754944</v>
      </c>
      <c r="E12" s="73">
        <f t="shared" si="0"/>
        <v>50.241465367658861</v>
      </c>
      <c r="F12" s="61"/>
      <c r="G12" s="74">
        <f>C12*TDEE!$B$5</f>
        <v>2481.1222028305283</v>
      </c>
      <c r="H12" s="72">
        <f t="shared" si="14"/>
        <v>1557.4854263974248</v>
      </c>
      <c r="I12" s="72">
        <f t="shared" si="15"/>
        <v>923.63677643310348</v>
      </c>
      <c r="J12" s="63">
        <f t="shared" si="1"/>
        <v>0.44499583611354993</v>
      </c>
      <c r="K12" s="72">
        <f t="shared" si="2"/>
        <v>40.703633588549465</v>
      </c>
      <c r="L12" s="72">
        <v>20</v>
      </c>
      <c r="M12" s="59">
        <f>Protein_Amt!$B$6</f>
        <v>119.32601853403956</v>
      </c>
      <c r="N12" s="72">
        <f t="shared" si="3"/>
        <v>366.33270229694517</v>
      </c>
      <c r="O12" s="72">
        <f t="shared" si="4"/>
        <v>80</v>
      </c>
      <c r="P12" s="72">
        <f t="shared" si="5"/>
        <v>477.30407413615825</v>
      </c>
      <c r="Q12" s="73">
        <f t="shared" si="6"/>
        <v>923.63677643310348</v>
      </c>
      <c r="S12" s="75">
        <f>VLOOKUP($A12,FoodLog!$A$1:$Z$439,12,0)</f>
        <v>493.92</v>
      </c>
      <c r="T12" s="75">
        <f>VLOOKUP($A12,FoodLog!$A$1:$Z$439,13,0)</f>
        <v>28</v>
      </c>
      <c r="U12" s="75">
        <f>VLOOKUP($A12,FoodLog!$A$1:$Z$439,14,0)</f>
        <v>458.40000000000003</v>
      </c>
      <c r="V12" s="75">
        <f>VLOOKUP($A12,FoodLog!$A$1:$Z$439,15,0)</f>
        <v>980.32000000000016</v>
      </c>
      <c r="W12" s="75">
        <f>VLOOKUP($A12,FoodLog!$A$1:$Z$439,20,0)</f>
        <v>-127.58729770305484</v>
      </c>
      <c r="X12" s="75">
        <f>VLOOKUP($A12,FoodLog!$A$1:$Z$439,21,0)</f>
        <v>52</v>
      </c>
      <c r="Y12" s="75">
        <f>VLOOKUP($A12,FoodLog!$A$1:$Z$439,22,0)</f>
        <v>18.904074136158215</v>
      </c>
      <c r="Z12" s="75">
        <f>VLOOKUP($A12,FoodLog!$A$1:$Z$439,23,0)</f>
        <v>-56.683223566896686</v>
      </c>
      <c r="AA12" s="67">
        <f t="shared" si="8"/>
        <v>0.4288006293801509</v>
      </c>
      <c r="AB12" s="69">
        <f>Scale!C12</f>
        <v>197.6</v>
      </c>
      <c r="AC12" s="69">
        <f t="shared" si="9"/>
        <v>1.7989885352083093</v>
      </c>
    </row>
    <row r="13" spans="1:29" x14ac:dyDescent="0.25">
      <c r="A13" s="70">
        <f t="shared" si="10"/>
        <v>43002</v>
      </c>
      <c r="B13" s="71">
        <f t="shared" si="11"/>
        <v>11</v>
      </c>
      <c r="C13" s="72">
        <f t="shared" si="12"/>
        <v>198.97018790582814</v>
      </c>
      <c r="D13" s="72">
        <f t="shared" si="13"/>
        <v>149.15752316754944</v>
      </c>
      <c r="E13" s="73">
        <f t="shared" si="0"/>
        <v>49.812664738278698</v>
      </c>
      <c r="F13" s="61"/>
      <c r="G13" s="74">
        <f>C13*TDEE!$B$5</f>
        <v>2475.7866353336299</v>
      </c>
      <c r="H13" s="72">
        <f t="shared" si="14"/>
        <v>1544.1926068866396</v>
      </c>
      <c r="I13" s="72">
        <f t="shared" si="15"/>
        <v>931.59402844699025</v>
      </c>
      <c r="J13" s="63">
        <f t="shared" si="1"/>
        <v>0.44119788768189705</v>
      </c>
      <c r="K13" s="72">
        <f t="shared" si="2"/>
        <v>41.587772701203548</v>
      </c>
      <c r="L13" s="72">
        <v>20</v>
      </c>
      <c r="M13" s="59">
        <f>Protein_Amt!$B$6</f>
        <v>119.32601853403956</v>
      </c>
      <c r="N13" s="72">
        <f t="shared" si="3"/>
        <v>374.28995431083194</v>
      </c>
      <c r="O13" s="72">
        <f t="shared" si="4"/>
        <v>80</v>
      </c>
      <c r="P13" s="72">
        <f t="shared" si="5"/>
        <v>477.30407413615825</v>
      </c>
      <c r="Q13" s="73">
        <f t="shared" si="6"/>
        <v>931.59402844699025</v>
      </c>
      <c r="S13" s="75">
        <f>VLOOKUP($A13,FoodLog!$A$1:$Z$439,12,0)</f>
        <v>402.12</v>
      </c>
      <c r="T13" s="75">
        <f>VLOOKUP($A13,FoodLog!$A$1:$Z$439,13,0)</f>
        <v>80.571428571428569</v>
      </c>
      <c r="U13" s="75">
        <f>VLOOKUP($A13,FoodLog!$A$1:$Z$439,14,0)</f>
        <v>444.20571428571429</v>
      </c>
      <c r="V13" s="75">
        <f>VLOOKUP($A13,FoodLog!$A$1:$Z$439,15,0)</f>
        <v>926.89714285714285</v>
      </c>
      <c r="W13" s="75">
        <f>VLOOKUP($A13,FoodLog!$A$1:$Z$439,16,0)</f>
        <v>-27.83004568916806</v>
      </c>
      <c r="X13" s="75">
        <f>VLOOKUP($A13,FoodLog!$A$1:$Z$439,17,0)</f>
        <v>-0.5714285714285694</v>
      </c>
      <c r="Y13" s="75">
        <f>VLOOKUP($A13,FoodLog!$A$1:$Z$439,18,0)</f>
        <v>33.098359850443956</v>
      </c>
      <c r="Z13" s="75">
        <f>VLOOKUP($A13,FoodLog!$A$1:$Z$439,19,0)</f>
        <v>4.6968855898473976</v>
      </c>
      <c r="AA13" s="67">
        <f t="shared" si="8"/>
        <v>0.44119788768189705</v>
      </c>
      <c r="AB13" s="69">
        <f>Scale!C13</f>
        <v>198</v>
      </c>
      <c r="AC13" s="69">
        <f t="shared" si="9"/>
        <v>0.97018790582814063</v>
      </c>
    </row>
    <row r="14" spans="1:29" x14ac:dyDescent="0.25">
      <c r="A14" s="70">
        <f t="shared" si="10"/>
        <v>43003</v>
      </c>
      <c r="B14" s="71">
        <f t="shared" si="11"/>
        <v>12</v>
      </c>
      <c r="C14" s="72">
        <f t="shared" si="12"/>
        <v>198.52899001814623</v>
      </c>
      <c r="D14" s="72">
        <f t="shared" si="13"/>
        <v>149.15752316754944</v>
      </c>
      <c r="E14" s="73">
        <f t="shared" si="0"/>
        <v>49.371466850596789</v>
      </c>
      <c r="F14" s="61"/>
      <c r="G14" s="74">
        <f>C14*TDEE!$B$5</f>
        <v>2470.2968087150953</v>
      </c>
      <c r="H14" s="72">
        <f t="shared" si="14"/>
        <v>1530.5154723685005</v>
      </c>
      <c r="I14" s="72">
        <f t="shared" si="15"/>
        <v>939.7813363465948</v>
      </c>
      <c r="J14" s="63">
        <f t="shared" si="1"/>
        <v>0.43729013496242869</v>
      </c>
      <c r="K14" s="72">
        <f t="shared" si="2"/>
        <v>42.497473578937388</v>
      </c>
      <c r="L14" s="72">
        <v>20</v>
      </c>
      <c r="M14" s="59">
        <f>Protein_Amt!$B$6</f>
        <v>119.32601853403956</v>
      </c>
      <c r="N14" s="72">
        <f t="shared" si="3"/>
        <v>382.47726221043649</v>
      </c>
      <c r="O14" s="72">
        <f t="shared" si="4"/>
        <v>80</v>
      </c>
      <c r="P14" s="72">
        <f t="shared" si="5"/>
        <v>477.30407413615825</v>
      </c>
      <c r="Q14" s="73">
        <f t="shared" si="6"/>
        <v>939.7813363465948</v>
      </c>
      <c r="S14" s="75">
        <f>VLOOKUP($A14,FoodLog!$A$1:$Z$439,12,0)</f>
        <v>462.59999999999997</v>
      </c>
      <c r="T14" s="75">
        <f>VLOOKUP($A14,FoodLog!$A$1:$Z$439,13,0)</f>
        <v>52.571428571428569</v>
      </c>
      <c r="U14" s="75">
        <f>VLOOKUP($A14,FoodLog!$A$1:$Z$439,14,0)</f>
        <v>498.28571428571428</v>
      </c>
      <c r="V14" s="75">
        <f>VLOOKUP($A14,FoodLog!$A$1:$Z$439,15,0)</f>
        <v>1013.4571428571428</v>
      </c>
      <c r="W14" s="75">
        <f>VLOOKUP($A14,FoodLog!$A$1:$Z$439,16,0)</f>
        <v>-80.122737789563473</v>
      </c>
      <c r="X14" s="75">
        <f>VLOOKUP($A14,FoodLog!$A$1:$Z$439,17,0)</f>
        <v>27.428571428571431</v>
      </c>
      <c r="Y14" s="75">
        <f>VLOOKUP($A14,FoodLog!$A$1:$Z$439,18,0)</f>
        <v>-20.981640149556029</v>
      </c>
      <c r="Z14" s="75">
        <f>VLOOKUP($A14,FoodLog!$A$1:$Z$439,19,0)</f>
        <v>-73.675806510548</v>
      </c>
      <c r="AA14" s="67">
        <f t="shared" si="8"/>
        <v>0.41623990453084359</v>
      </c>
      <c r="AB14" s="69">
        <f>Scale!C14</f>
        <v>198</v>
      </c>
      <c r="AC14" s="69">
        <f t="shared" si="9"/>
        <v>0.52899001814623148</v>
      </c>
    </row>
    <row r="15" spans="1:29" x14ac:dyDescent="0.25">
      <c r="A15" s="70">
        <f t="shared" si="10"/>
        <v>43004</v>
      </c>
      <c r="B15" s="71">
        <f t="shared" si="11"/>
        <v>13</v>
      </c>
      <c r="C15" s="72">
        <f t="shared" si="12"/>
        <v>198.11275011361539</v>
      </c>
      <c r="D15" s="72">
        <f t="shared" si="13"/>
        <v>149.15752316754944</v>
      </c>
      <c r="E15" s="73">
        <f t="shared" si="0"/>
        <v>48.955226946065949</v>
      </c>
      <c r="F15" s="61"/>
      <c r="G15" s="74">
        <f>C15*TDEE!$B$5</f>
        <v>2465.1175343545679</v>
      </c>
      <c r="H15" s="72">
        <f t="shared" si="14"/>
        <v>1517.6120353280444</v>
      </c>
      <c r="I15" s="72">
        <f t="shared" si="15"/>
        <v>947.50549902652347</v>
      </c>
      <c r="J15" s="63">
        <f t="shared" si="1"/>
        <v>0.43360343866515555</v>
      </c>
      <c r="K15" s="72">
        <f t="shared" si="2"/>
        <v>43.355713876707242</v>
      </c>
      <c r="L15" s="72">
        <v>20</v>
      </c>
      <c r="M15" s="59">
        <f>Protein_Amt!$B$6</f>
        <v>119.32601853403956</v>
      </c>
      <c r="N15" s="72">
        <f t="shared" si="3"/>
        <v>390.20142489036516</v>
      </c>
      <c r="O15" s="72">
        <f t="shared" si="4"/>
        <v>80</v>
      </c>
      <c r="P15" s="72">
        <f t="shared" si="5"/>
        <v>477.30407413615825</v>
      </c>
      <c r="Q15" s="73">
        <f t="shared" si="6"/>
        <v>947.50549902652347</v>
      </c>
      <c r="S15" s="75">
        <f>VLOOKUP($A15,FoodLog!$A$1:$Z$10007,12,0)</f>
        <v>469.34999999999997</v>
      </c>
      <c r="T15" s="75">
        <f>VLOOKUP($A15,FoodLog!$A$1:$Z$10007,13,0)</f>
        <v>60.571428571428569</v>
      </c>
      <c r="U15" s="75">
        <f>VLOOKUP($A15,FoodLog!$A$1:$Z$10007,14,0)</f>
        <v>518.28571428571422</v>
      </c>
      <c r="V15" s="75">
        <f>VLOOKUP($A15,FoodLog!$A$1:$Z$10007,15,0)</f>
        <v>1048.2071428571428</v>
      </c>
      <c r="W15" s="75">
        <f>VLOOKUP($A15,FoodLog!$A$1:$Z$10007,16,0)</f>
        <v>-79.148575109634805</v>
      </c>
      <c r="X15" s="75">
        <f>VLOOKUP($A15,FoodLog!$A$1:$Z$10007,17,0)</f>
        <v>19.428571428571431</v>
      </c>
      <c r="Y15" s="75">
        <f>VLOOKUP($A15,FoodLog!$A$1:$Z$10007,18,0)</f>
        <v>-40.981640149555972</v>
      </c>
      <c r="Z15" s="75">
        <f>VLOOKUP($A15,FoodLog!$A$1:$Z$10007,19,0)</f>
        <v>-100.70164383061933</v>
      </c>
      <c r="AA15" s="67">
        <f t="shared" si="8"/>
        <v>0.40483154042783576</v>
      </c>
      <c r="AB15" s="69">
        <f>Scale!C15</f>
        <v>198.8</v>
      </c>
      <c r="AC15" s="69">
        <f t="shared" si="9"/>
        <v>-0.68724988638462037</v>
      </c>
    </row>
    <row r="16" spans="1:29" x14ac:dyDescent="0.25">
      <c r="A16" s="70">
        <f t="shared" si="10"/>
        <v>43005</v>
      </c>
      <c r="B16" s="71">
        <f t="shared" si="11"/>
        <v>14</v>
      </c>
      <c r="C16" s="72">
        <f t="shared" si="12"/>
        <v>197.70791857318756</v>
      </c>
      <c r="D16" s="72">
        <f t="shared" si="13"/>
        <v>149.15752316754944</v>
      </c>
      <c r="E16" s="73">
        <f t="shared" si="0"/>
        <v>48.550395405638113</v>
      </c>
      <c r="F16" s="61"/>
      <c r="G16" s="74">
        <f>C16*TDEE!$B$5</f>
        <v>2460.0802143022433</v>
      </c>
      <c r="H16" s="72">
        <f t="shared" si="14"/>
        <v>1505.0622575747816</v>
      </c>
      <c r="I16" s="72">
        <f t="shared" si="15"/>
        <v>955.01795672746175</v>
      </c>
      <c r="J16" s="63">
        <f t="shared" si="1"/>
        <v>0.43001778787850903</v>
      </c>
      <c r="K16" s="72">
        <f t="shared" si="2"/>
        <v>44.190431399033713</v>
      </c>
      <c r="L16" s="72">
        <v>20</v>
      </c>
      <c r="M16" s="59">
        <f>Protein_Amt!$B$6</f>
        <v>119.32601853403956</v>
      </c>
      <c r="N16" s="72">
        <f t="shared" si="3"/>
        <v>397.71388259130345</v>
      </c>
      <c r="O16" s="72">
        <f t="shared" si="4"/>
        <v>80</v>
      </c>
      <c r="P16" s="72">
        <f t="shared" si="5"/>
        <v>477.30407413615825</v>
      </c>
      <c r="Q16" s="73">
        <f t="shared" si="6"/>
        <v>955.01795672746175</v>
      </c>
      <c r="S16" s="75">
        <f>VLOOKUP($A16,FoodLog!$A$1:$Z$10007,12,0)</f>
        <v>452.07</v>
      </c>
      <c r="T16" s="75">
        <f>VLOOKUP($A16,FoodLog!$A$1:$Z$10007,13,0)</f>
        <v>20</v>
      </c>
      <c r="U16" s="75">
        <f>VLOOKUP($A16,FoodLog!$A$1:$Z$10007,14,0)</f>
        <v>525.6</v>
      </c>
      <c r="V16" s="75">
        <f>VLOOKUP($A16,FoodLog!$A$1:$Z$10007,15,0)</f>
        <v>997.67000000000007</v>
      </c>
      <c r="W16" s="75">
        <f>VLOOKUP($A16,FoodLog!$A$1:$Z$10007,16,0)</f>
        <v>-54.356117408696548</v>
      </c>
      <c r="X16" s="75">
        <f>VLOOKUP($A16,FoodLog!$A$1:$Z$10007,17,0)</f>
        <v>60</v>
      </c>
      <c r="Y16" s="75">
        <f>VLOOKUP($A16,FoodLog!$A$1:$Z$10007,18,0)</f>
        <v>-48.295925863841774</v>
      </c>
      <c r="Z16" s="75">
        <f>VLOOKUP($A16,FoodLog!$A$1:$Z$10007,19,0)</f>
        <v>-42.652043272538322</v>
      </c>
      <c r="AA16" s="67">
        <f t="shared" si="8"/>
        <v>0.41783148980064094</v>
      </c>
      <c r="AB16" s="69">
        <f>Scale!C16</f>
        <v>198.6</v>
      </c>
      <c r="AC16" s="69">
        <f t="shared" si="9"/>
        <v>-0.89208142681243885</v>
      </c>
    </row>
    <row r="17" spans="1:29" x14ac:dyDescent="0.25">
      <c r="A17" s="70">
        <f t="shared" si="10"/>
        <v>43006</v>
      </c>
      <c r="B17" s="71">
        <f t="shared" si="11"/>
        <v>15</v>
      </c>
      <c r="C17" s="72">
        <f t="shared" si="12"/>
        <v>197.29008708338691</v>
      </c>
      <c r="D17" s="72">
        <f t="shared" si="13"/>
        <v>149.15752316754944</v>
      </c>
      <c r="E17" s="73">
        <f t="shared" si="0"/>
        <v>48.132563915837466</v>
      </c>
      <c r="F17" s="61"/>
      <c r="G17" s="74">
        <f>C17*TDEE!$B$5</f>
        <v>2454.8811358415064</v>
      </c>
      <c r="H17" s="72">
        <f t="shared" si="14"/>
        <v>1492.1094813909615</v>
      </c>
      <c r="I17" s="72">
        <f t="shared" si="15"/>
        <v>962.77165445054493</v>
      </c>
      <c r="J17" s="63">
        <f t="shared" si="1"/>
        <v>0.42631699468313183</v>
      </c>
      <c r="K17" s="72">
        <f t="shared" si="2"/>
        <v>45.051953368265181</v>
      </c>
      <c r="L17" s="72">
        <v>20</v>
      </c>
      <c r="M17" s="59">
        <f>Protein_Amt!$B$6</f>
        <v>119.32601853403956</v>
      </c>
      <c r="N17" s="72">
        <f t="shared" si="3"/>
        <v>405.46758031438662</v>
      </c>
      <c r="O17" s="72">
        <f t="shared" si="4"/>
        <v>80</v>
      </c>
      <c r="P17" s="72">
        <f t="shared" si="5"/>
        <v>477.30407413615825</v>
      </c>
      <c r="Q17" s="73">
        <f t="shared" si="6"/>
        <v>962.77165445054493</v>
      </c>
      <c r="S17" s="75">
        <f>VLOOKUP($A17,FoodLog!$A$1:$Z$10007,12,0)</f>
        <v>519.75</v>
      </c>
      <c r="T17" s="75">
        <f>VLOOKUP($A17,FoodLog!$A$1:$Z$10007,13,0)</f>
        <v>55.542857142857144</v>
      </c>
      <c r="U17" s="75">
        <f>VLOOKUP($A17,FoodLog!$A$1:$Z$10007,14,0)</f>
        <v>463.37142857142857</v>
      </c>
      <c r="V17" s="75">
        <f>VLOOKUP($A17,FoodLog!$A$1:$Z$10007,15,0)</f>
        <v>1038.6642857142858</v>
      </c>
      <c r="W17" s="75">
        <f>VLOOKUP($A17,FoodLog!$A$1:$Z$10007,16,0)</f>
        <v>-114.28241968561338</v>
      </c>
      <c r="X17" s="75">
        <f>VLOOKUP($A17,FoodLog!$A$1:$Z$10007,17,0)</f>
        <v>24.457142857142856</v>
      </c>
      <c r="Y17" s="75">
        <f>VLOOKUP($A17,FoodLog!$A$1:$Z$10007,18,0)</f>
        <v>13.932645564729683</v>
      </c>
      <c r="Z17" s="75">
        <f>VLOOKUP($A17,FoodLog!$A$1:$Z$10007,19,0)</f>
        <v>-75.892631263740896</v>
      </c>
      <c r="AA17" s="67">
        <f t="shared" si="8"/>
        <v>0.40463338575063446</v>
      </c>
      <c r="AB17" s="69">
        <f>Scale!C17</f>
        <v>198.2</v>
      </c>
      <c r="AC17" s="69">
        <f t="shared" si="9"/>
        <v>-0.90991291661308082</v>
      </c>
    </row>
    <row r="18" spans="1:29" x14ac:dyDescent="0.25">
      <c r="A18" s="70">
        <f t="shared" si="10"/>
        <v>43007</v>
      </c>
      <c r="B18" s="71">
        <f t="shared" si="11"/>
        <v>16</v>
      </c>
      <c r="C18" s="72">
        <f t="shared" si="12"/>
        <v>196.88545369763628</v>
      </c>
      <c r="D18" s="72">
        <f t="shared" si="13"/>
        <v>149.15752316754944</v>
      </c>
      <c r="E18" s="73">
        <f t="shared" si="0"/>
        <v>47.727930530086837</v>
      </c>
      <c r="F18" s="61"/>
      <c r="G18" s="74">
        <f>C18*TDEE!$B$5</f>
        <v>2449.8462814284153</v>
      </c>
      <c r="H18" s="72">
        <f t="shared" si="14"/>
        <v>1479.5658464326921</v>
      </c>
      <c r="I18" s="72">
        <f t="shared" si="15"/>
        <v>970.28043499572323</v>
      </c>
      <c r="J18" s="63">
        <f t="shared" si="1"/>
        <v>0.42273309898076916</v>
      </c>
      <c r="K18" s="72">
        <f t="shared" si="2"/>
        <v>45.886262317729432</v>
      </c>
      <c r="L18" s="72">
        <v>20</v>
      </c>
      <c r="M18" s="59">
        <f>Protein_Amt!$B$6</f>
        <v>119.32601853403956</v>
      </c>
      <c r="N18" s="72">
        <f t="shared" si="3"/>
        <v>412.97636085956492</v>
      </c>
      <c r="O18" s="72">
        <f t="shared" si="4"/>
        <v>80</v>
      </c>
      <c r="P18" s="72">
        <f t="shared" si="5"/>
        <v>477.30407413615825</v>
      </c>
      <c r="Q18" s="73">
        <f t="shared" si="6"/>
        <v>970.28043499572323</v>
      </c>
      <c r="S18" s="75">
        <f>VLOOKUP($A18,FoodLog!$A$1:$Z$10007,12,0)</f>
        <v>526.5</v>
      </c>
      <c r="T18" s="75">
        <f>VLOOKUP($A18,FoodLog!$A$1:$Z$10007,13,0)</f>
        <v>65.485714285714295</v>
      </c>
      <c r="U18" s="75">
        <f>VLOOKUP($A18,FoodLog!$A$1:$Z$10007,14,0)</f>
        <v>498.74285714285713</v>
      </c>
      <c r="V18" s="75">
        <f>VLOOKUP($A18,FoodLog!$A$1:$Z$10007,15,0)</f>
        <v>1090.7285714285713</v>
      </c>
      <c r="W18" s="75">
        <f>VLOOKUP($A18,FoodLog!$A$1:$Z$10007,16,0)</f>
        <v>-113.52363914043508</v>
      </c>
      <c r="X18" s="75">
        <f>VLOOKUP($A18,FoodLog!$A$1:$Z$10007,17,0)</f>
        <v>14.514285714285705</v>
      </c>
      <c r="Y18" s="75">
        <f>VLOOKUP($A18,FoodLog!$A$1:$Z$10007,18,0)</f>
        <v>-21.438783006698884</v>
      </c>
      <c r="Z18" s="75">
        <f>VLOOKUP($A18,FoodLog!$A$1:$Z$10007,19,0)</f>
        <v>-120.44813643284806</v>
      </c>
      <c r="AA18" s="67">
        <f t="shared" si="8"/>
        <v>0.38831934571424115</v>
      </c>
      <c r="AB18" s="68">
        <f>Scale!C18</f>
        <v>197.2</v>
      </c>
      <c r="AC18" s="69">
        <f t="shared" si="9"/>
        <v>-0.31454630236370917</v>
      </c>
    </row>
    <row r="19" spans="1:29" x14ac:dyDescent="0.25">
      <c r="A19" s="70">
        <f t="shared" si="10"/>
        <v>43008</v>
      </c>
      <c r="B19" s="71">
        <f t="shared" si="11"/>
        <v>17</v>
      </c>
      <c r="C19" s="72">
        <f t="shared" si="12"/>
        <v>196.49713435192203</v>
      </c>
      <c r="D19" s="72">
        <f t="shared" si="13"/>
        <v>149.15752316754944</v>
      </c>
      <c r="E19" s="73">
        <f t="shared" si="0"/>
        <v>47.339611184372586</v>
      </c>
      <c r="F19" s="61"/>
      <c r="G19" s="74">
        <f>C19*TDEE!$B$5</f>
        <v>2445.0144226636448</v>
      </c>
      <c r="H19" s="72">
        <f t="shared" si="14"/>
        <v>1467.5279467155501</v>
      </c>
      <c r="I19" s="72">
        <f t="shared" si="15"/>
        <v>977.48647594809472</v>
      </c>
      <c r="J19" s="63">
        <f t="shared" si="1"/>
        <v>0.41929369906158576</v>
      </c>
      <c r="K19" s="72">
        <f t="shared" si="2"/>
        <v>46.686933534659602</v>
      </c>
      <c r="L19" s="72">
        <v>20</v>
      </c>
      <c r="M19" s="59">
        <f>Protein_Amt!$B$6</f>
        <v>119.32601853403956</v>
      </c>
      <c r="N19" s="72">
        <f t="shared" si="3"/>
        <v>420.18240181193642</v>
      </c>
      <c r="O19" s="72">
        <f t="shared" si="4"/>
        <v>80</v>
      </c>
      <c r="P19" s="72">
        <f t="shared" si="5"/>
        <v>477.30407413615825</v>
      </c>
      <c r="Q19" s="73">
        <f t="shared" si="6"/>
        <v>977.48647594809472</v>
      </c>
      <c r="S19" s="75">
        <f>VLOOKUP($A19,FoodLog!$A$1:$Z$10007,12,0)</f>
        <v>483.48</v>
      </c>
      <c r="T19" s="75">
        <f>VLOOKUP($A19,FoodLog!$A$1:$Z$10007,13,0)</f>
        <v>43.714285714285715</v>
      </c>
      <c r="U19" s="75">
        <f>VLOOKUP($A19,FoodLog!$A$1:$Z$10007,14,0)</f>
        <v>518.97714285714278</v>
      </c>
      <c r="V19" s="75">
        <f>VLOOKUP($A19,FoodLog!$A$1:$Z$10007,15,0)</f>
        <v>1046.1714285714284</v>
      </c>
      <c r="W19" s="75">
        <f>VLOOKUP($A19,FoodLog!$A$1:$Z$10007,16,0)</f>
        <v>-63.297598188063603</v>
      </c>
      <c r="X19" s="75">
        <f>VLOOKUP($A19,FoodLog!$A$1:$Z$10007,17,0)</f>
        <v>36.285714285714285</v>
      </c>
      <c r="Y19" s="75">
        <f>VLOOKUP($A19,FoodLog!$A$1:$Z$10007,18,0)</f>
        <v>-41.673068720984531</v>
      </c>
      <c r="Z19" s="75">
        <f>VLOOKUP($A19,FoodLog!$A$1:$Z$10007,19,0)</f>
        <v>-68.684952623333629</v>
      </c>
      <c r="AA19" s="67">
        <f t="shared" si="8"/>
        <v>0.39966942688349044</v>
      </c>
      <c r="AB19" s="68">
        <f>Scale!C19</f>
        <v>197.8</v>
      </c>
      <c r="AC19" s="69">
        <f t="shared" si="9"/>
        <v>-1.302865648077983</v>
      </c>
    </row>
    <row r="20" spans="1:29" ht="15.75" thickBot="1" x14ac:dyDescent="0.3">
      <c r="A20" s="70">
        <f t="shared" si="10"/>
        <v>43009</v>
      </c>
      <c r="B20" s="71">
        <f t="shared" si="11"/>
        <v>18</v>
      </c>
      <c r="C20" s="72">
        <f t="shared" si="12"/>
        <v>196.09746492503854</v>
      </c>
      <c r="D20" s="72">
        <f t="shared" si="13"/>
        <v>149.15752316754944</v>
      </c>
      <c r="E20" s="73">
        <f t="shared" si="0"/>
        <v>46.939941757489095</v>
      </c>
      <c r="F20" s="61"/>
      <c r="G20" s="74">
        <f>C20*TDEE!$B$5</f>
        <v>2440.0413348053876</v>
      </c>
      <c r="H20" s="72">
        <f t="shared" si="14"/>
        <v>1455.1381944821619</v>
      </c>
      <c r="I20" s="72">
        <f t="shared" si="15"/>
        <v>984.90314032322567</v>
      </c>
      <c r="J20" s="63">
        <f t="shared" si="1"/>
        <v>0.41575376985204626</v>
      </c>
      <c r="K20" s="72">
        <f t="shared" si="2"/>
        <v>47.511007354118597</v>
      </c>
      <c r="L20" s="72">
        <v>20</v>
      </c>
      <c r="M20" s="59">
        <f>Protein_Amt!$B$6</f>
        <v>119.32601853403956</v>
      </c>
      <c r="N20" s="72">
        <f t="shared" si="3"/>
        <v>427.59906618706736</v>
      </c>
      <c r="O20" s="72">
        <f t="shared" si="4"/>
        <v>80</v>
      </c>
      <c r="P20" s="72">
        <f t="shared" si="5"/>
        <v>477.30407413615825</v>
      </c>
      <c r="Q20" s="73">
        <f t="shared" si="6"/>
        <v>984.90314032322567</v>
      </c>
      <c r="S20" s="75">
        <f>VLOOKUP($A20,FoodLog!$A$1:$Z$10007,12,0)</f>
        <v>504.9</v>
      </c>
      <c r="T20" s="75">
        <f>VLOOKUP($A20,FoodLog!$A$1:$Z$10007,13,0)</f>
        <v>51.714285714285715</v>
      </c>
      <c r="U20" s="75">
        <f>VLOOKUP($A20,FoodLog!$A$1:$Z$10007,14,0)</f>
        <v>476.65714285714284</v>
      </c>
      <c r="V20" s="75">
        <f>VLOOKUP($A20,FoodLog!$A$1:$Z$10007,15,0)</f>
        <v>1033.2714285714285</v>
      </c>
      <c r="W20" s="75">
        <f>VLOOKUP($A20,FoodLog!$A$1:$Z$10007,16,0)</f>
        <v>-77.300933812932612</v>
      </c>
      <c r="X20" s="75">
        <f>VLOOKUP($A20,FoodLog!$A$1:$Z$10007,17,0)</f>
        <v>28.285714285714285</v>
      </c>
      <c r="Y20" s="75">
        <f>VLOOKUP($A20,FoodLog!$A$1:$Z$10007,18,0)</f>
        <v>0.64693127901540493</v>
      </c>
      <c r="Z20" s="75">
        <f>VLOOKUP($A20,FoodLog!$A$1:$Z$10007,19,0)</f>
        <v>-48.368288248202816</v>
      </c>
      <c r="AA20" s="67">
        <f t="shared" si="8"/>
        <v>0.40193425892398832</v>
      </c>
      <c r="AB20" s="68">
        <f>Scale!C20</f>
        <v>197.8</v>
      </c>
      <c r="AC20" s="69">
        <f t="shared" si="9"/>
        <v>-1.7025350749614745</v>
      </c>
    </row>
    <row r="21" spans="1:29" ht="15.75" thickBot="1" x14ac:dyDescent="0.3">
      <c r="A21" s="70">
        <f t="shared" si="10"/>
        <v>43010</v>
      </c>
      <c r="B21" s="71">
        <f t="shared" si="11"/>
        <v>19</v>
      </c>
      <c r="C21" s="72">
        <f t="shared" si="12"/>
        <v>195.69553066611454</v>
      </c>
      <c r="D21" s="72">
        <f t="shared" si="13"/>
        <v>149.15752316754944</v>
      </c>
      <c r="E21" s="73">
        <f t="shared" si="0"/>
        <v>46.538007498565094</v>
      </c>
      <c r="F21" s="61"/>
      <c r="G21" s="74">
        <f>C21*TDEE!$B$5</f>
        <v>2435.0400656353663</v>
      </c>
      <c r="H21" s="72">
        <f t="shared" si="14"/>
        <v>1442.6782324555179</v>
      </c>
      <c r="I21" s="72">
        <f t="shared" si="15"/>
        <v>992.36183317984842</v>
      </c>
      <c r="J21" s="63">
        <f t="shared" si="1"/>
        <v>0.41219378070157653</v>
      </c>
      <c r="K21" s="72">
        <f t="shared" si="2"/>
        <v>48.339751004854456</v>
      </c>
      <c r="L21" s="72">
        <v>20</v>
      </c>
      <c r="M21" s="59">
        <f>Protein_Amt!$B$6</f>
        <v>119.32601853403956</v>
      </c>
      <c r="N21" s="72">
        <f t="shared" si="3"/>
        <v>435.05775904369011</v>
      </c>
      <c r="O21" s="72">
        <f t="shared" si="4"/>
        <v>80</v>
      </c>
      <c r="P21" s="72">
        <f t="shared" si="5"/>
        <v>477.30407413615825</v>
      </c>
      <c r="Q21" s="73">
        <f t="shared" si="6"/>
        <v>992.36183317984842</v>
      </c>
      <c r="S21" s="75">
        <f>VLOOKUP($A21,FoodLog!$A$1:$Z$10007,12,0)</f>
        <v>504.9</v>
      </c>
      <c r="T21" s="75">
        <f>VLOOKUP($A21,FoodLog!$A$1:$Z$10007,13,0)</f>
        <v>51.714285714285715</v>
      </c>
      <c r="U21" s="75">
        <f>VLOOKUP($A21,FoodLog!$A$1:$Z$10007,14,0)</f>
        <v>476.65714285714284</v>
      </c>
      <c r="V21" s="75">
        <f>VLOOKUP($A21,FoodLog!$A$1:$Z$10007,15,0)</f>
        <v>1033.2714285714285</v>
      </c>
      <c r="W21" s="75">
        <f>VLOOKUP($A21,FoodLog!$A$1:$Z$10007,16,0)</f>
        <v>-69.842240956309865</v>
      </c>
      <c r="X21" s="75">
        <f>VLOOKUP($A21,FoodLog!$A$1:$Z$10007,17,0)</f>
        <v>28.285714285714285</v>
      </c>
      <c r="Y21" s="75">
        <f>VLOOKUP($A21,FoodLog!$A$1:$Z$10007,18,0)</f>
        <v>0.64693127901540493</v>
      </c>
      <c r="Z21" s="75">
        <f>VLOOKUP($A21,FoodLog!$A$1:$Z$10007,19,0)</f>
        <v>-40.909595391580069</v>
      </c>
      <c r="AA21" s="67">
        <f t="shared" si="8"/>
        <v>0.4005053248754108</v>
      </c>
      <c r="AB21" s="68">
        <f>Scale!C21</f>
        <v>197</v>
      </c>
      <c r="AC21" s="69">
        <f t="shared" si="9"/>
        <v>-1.3044693338854643</v>
      </c>
    </row>
    <row r="22" spans="1:29" ht="15.75" thickBot="1" x14ac:dyDescent="0.3">
      <c r="A22" s="70">
        <f t="shared" si="10"/>
        <v>43011</v>
      </c>
      <c r="B22" s="71">
        <f t="shared" si="11"/>
        <v>20</v>
      </c>
      <c r="C22" s="72">
        <f t="shared" si="12"/>
        <v>195.29502534123912</v>
      </c>
      <c r="D22" s="72">
        <f t="shared" si="13"/>
        <v>149.15752316754944</v>
      </c>
      <c r="E22" s="73">
        <f t="shared" si="0"/>
        <v>46.137502173689683</v>
      </c>
      <c r="F22" s="61"/>
      <c r="G22" s="74">
        <f>C22*TDEE!$B$5</f>
        <v>2430.0565766959289</v>
      </c>
      <c r="H22" s="72">
        <f t="shared" si="14"/>
        <v>1430.2625673843802</v>
      </c>
      <c r="I22" s="72">
        <f t="shared" si="15"/>
        <v>999.79400931154873</v>
      </c>
      <c r="J22" s="63">
        <f t="shared" si="1"/>
        <v>0.40864644782410864</v>
      </c>
      <c r="K22" s="72">
        <f t="shared" si="2"/>
        <v>49.165548352821162</v>
      </c>
      <c r="L22" s="72">
        <v>20</v>
      </c>
      <c r="M22" s="59">
        <f>Protein_Amt!$B$6</f>
        <v>119.32601853403956</v>
      </c>
      <c r="N22" s="72">
        <f t="shared" si="3"/>
        <v>442.48993517539043</v>
      </c>
      <c r="O22" s="72">
        <f t="shared" si="4"/>
        <v>80</v>
      </c>
      <c r="P22" s="72">
        <f t="shared" si="5"/>
        <v>477.30407413615825</v>
      </c>
      <c r="Q22" s="73">
        <f t="shared" si="6"/>
        <v>999.79400931154873</v>
      </c>
      <c r="S22" s="75">
        <f>VLOOKUP($A22,FoodLog!$A$1:$Z$10007,12,0)</f>
        <v>426.6</v>
      </c>
      <c r="T22" s="75">
        <f>VLOOKUP($A22,FoodLog!$A$1:$Z$10007,13,0)</f>
        <v>65.599999999999994</v>
      </c>
      <c r="U22" s="75">
        <f>VLOOKUP($A22,FoodLog!$A$1:$Z$10007,14,0)</f>
        <v>500.40000000000003</v>
      </c>
      <c r="V22" s="75">
        <f>VLOOKUP($A22,FoodLog!$A$1:$Z$10007,15,0)</f>
        <v>992.60000000000014</v>
      </c>
      <c r="W22" s="75">
        <f>VLOOKUP($A22,FoodLog!$A$1:$Z$10007,16,0)</f>
        <v>15.889935175390406</v>
      </c>
      <c r="X22" s="75">
        <f>VLOOKUP($A22,FoodLog!$A$1:$Z$10007,17,0)</f>
        <v>14.400000000000006</v>
      </c>
      <c r="Y22" s="75">
        <f>VLOOKUP($A22,FoodLog!$A$1:$Z$10007,18,0)</f>
        <v>-23.095925863841785</v>
      </c>
      <c r="Z22" s="75">
        <f>VLOOKUP($A22,FoodLog!$A$1:$Z$10007,19,0)</f>
        <v>7.1940093115485979</v>
      </c>
      <c r="AA22" s="67">
        <f t="shared" si="8"/>
        <v>0.40864644782410864</v>
      </c>
      <c r="AB22" s="68">
        <f>Scale!C22</f>
        <v>197.2</v>
      </c>
      <c r="AC22" s="69">
        <f t="shared" si="9"/>
        <v>-1.9049746587608638</v>
      </c>
    </row>
    <row r="23" spans="1:29" ht="15.75" thickBot="1" x14ac:dyDescent="0.3">
      <c r="A23" s="70">
        <f t="shared" si="10"/>
        <v>43012</v>
      </c>
      <c r="B23" s="71">
        <f t="shared" si="11"/>
        <v>21</v>
      </c>
      <c r="C23" s="72">
        <f t="shared" si="12"/>
        <v>194.88637889341501</v>
      </c>
      <c r="D23" s="72">
        <f t="shared" si="13"/>
        <v>149.15752316754944</v>
      </c>
      <c r="E23" s="73">
        <f t="shared" si="0"/>
        <v>45.728855725865571</v>
      </c>
      <c r="F23" s="61"/>
      <c r="G23" s="74">
        <f>C23*TDEE!$B$5</f>
        <v>2424.9717877396138</v>
      </c>
      <c r="H23" s="72">
        <f t="shared" si="14"/>
        <v>1417.5945275018328</v>
      </c>
      <c r="I23" s="72">
        <f t="shared" si="15"/>
        <v>1007.377260237781</v>
      </c>
      <c r="J23" s="63">
        <f t="shared" si="1"/>
        <v>0.40502700785766649</v>
      </c>
      <c r="K23" s="72">
        <f t="shared" si="2"/>
        <v>50.008131789069189</v>
      </c>
      <c r="L23" s="72">
        <v>20</v>
      </c>
      <c r="M23" s="59">
        <f>Protein_Amt!$B$6</f>
        <v>119.32601853403956</v>
      </c>
      <c r="N23" s="72">
        <f t="shared" si="3"/>
        <v>450.0731861016227</v>
      </c>
      <c r="O23" s="72">
        <f t="shared" si="4"/>
        <v>80</v>
      </c>
      <c r="P23" s="72">
        <f t="shared" si="5"/>
        <v>477.30407413615825</v>
      </c>
      <c r="Q23" s="73">
        <f t="shared" si="6"/>
        <v>1007.377260237781</v>
      </c>
      <c r="S23" s="75">
        <f>VLOOKUP($A23,FoodLog!$A$1:$Z$10007,12,0)</f>
        <v>64.8</v>
      </c>
      <c r="T23" s="75">
        <f>VLOOKUP($A23,FoodLog!$A$1:$Z$10007,13,0)</f>
        <v>0</v>
      </c>
      <c r="U23" s="75">
        <f>VLOOKUP($A23,FoodLog!$A$1:$Z$10007,14,0)</f>
        <v>248</v>
      </c>
      <c r="V23" s="75">
        <f>VLOOKUP($A23,FoodLog!$A$1:$Z$10007,15,0)</f>
        <v>312.8</v>
      </c>
      <c r="W23" s="75">
        <f>VLOOKUP($A23,FoodLog!$A$1:$Z$10007,16,0)</f>
        <v>385.27318610162268</v>
      </c>
      <c r="X23" s="75">
        <f>VLOOKUP($A23,FoodLog!$A$1:$Z$10007,17,0)</f>
        <v>80</v>
      </c>
      <c r="Y23" s="75">
        <f>VLOOKUP($A23,FoodLog!$A$1:$Z$10007,18,0)</f>
        <v>229.30407413615825</v>
      </c>
      <c r="Z23" s="75">
        <f>VLOOKUP($A23,FoodLog!$A$1:$Z$10007,19,0)</f>
        <v>694.57726023778105</v>
      </c>
      <c r="AA23" s="67">
        <f t="shared" si="8"/>
        <v>0.40502700785766649</v>
      </c>
      <c r="AB23" s="68">
        <f>Scale!C23</f>
        <v>197.2</v>
      </c>
      <c r="AC23" s="69">
        <f t="shared" si="9"/>
        <v>-2.313621106584975</v>
      </c>
    </row>
    <row r="24" spans="1:29" ht="15.75" thickBot="1" x14ac:dyDescent="0.3">
      <c r="A24" s="70">
        <f t="shared" si="10"/>
        <v>43013</v>
      </c>
      <c r="B24" s="71">
        <f t="shared" si="11"/>
        <v>22</v>
      </c>
      <c r="C24" s="72">
        <f t="shared" si="12"/>
        <v>194.48135188555736</v>
      </c>
      <c r="D24" s="72">
        <f t="shared" si="13"/>
        <v>149.15752316754944</v>
      </c>
      <c r="E24" s="73">
        <f t="shared" si="0"/>
        <v>45.323828718007917</v>
      </c>
      <c r="F24" s="61"/>
      <c r="G24" s="74">
        <f>C24*TDEE!$B$5</f>
        <v>2419.9320354854835</v>
      </c>
      <c r="H24" s="72">
        <f t="shared" si="14"/>
        <v>1405.0386902582454</v>
      </c>
      <c r="I24" s="72">
        <f t="shared" si="15"/>
        <v>1014.8933452272381</v>
      </c>
      <c r="J24" s="63">
        <f t="shared" si="1"/>
        <v>0.40143962578807013</v>
      </c>
      <c r="K24" s="72">
        <f t="shared" si="2"/>
        <v>50.843252343453315</v>
      </c>
      <c r="L24" s="72">
        <v>20</v>
      </c>
      <c r="M24" s="59">
        <f>Protein_Amt!$B$6</f>
        <v>119.32601853403956</v>
      </c>
      <c r="N24" s="72">
        <f t="shared" si="3"/>
        <v>457.58927109107981</v>
      </c>
      <c r="O24" s="72">
        <f t="shared" si="4"/>
        <v>80</v>
      </c>
      <c r="P24" s="72">
        <f t="shared" si="5"/>
        <v>477.30407413615825</v>
      </c>
      <c r="Q24" s="73">
        <f t="shared" si="6"/>
        <v>1014.8933452272381</v>
      </c>
      <c r="S24" s="75">
        <f>VLOOKUP($A24,FoodLog!$A$1:$Z$10007,12,0)</f>
        <v>0</v>
      </c>
      <c r="T24" s="75">
        <f>VLOOKUP($A24,FoodLog!$A$1:$Z$10007,13,0)</f>
        <v>0</v>
      </c>
      <c r="U24" s="75">
        <f>VLOOKUP($A24,FoodLog!$A$1:$Z$10007,14,0)</f>
        <v>0</v>
      </c>
      <c r="V24" s="75">
        <f>VLOOKUP($A24,FoodLog!$A$1:$Z$10007,15,0)</f>
        <v>0</v>
      </c>
      <c r="W24" s="75">
        <f>VLOOKUP($A24,FoodLog!$A$1:$Z$10007,16,0)</f>
        <v>457.58927109107981</v>
      </c>
      <c r="X24" s="75">
        <f>VLOOKUP($A24,FoodLog!$A$1:$Z$10007,17,0)</f>
        <v>80</v>
      </c>
      <c r="Y24" s="75">
        <f>VLOOKUP($A24,FoodLog!$A$1:$Z$10007,18,0)</f>
        <v>477.30407413615825</v>
      </c>
      <c r="Z24" s="75">
        <f>VLOOKUP($A24,FoodLog!$A$1:$Z$10007,19,0)</f>
        <v>1014.8933452272381</v>
      </c>
      <c r="AA24" s="67">
        <f t="shared" si="8"/>
        <v>0.40143962578807013</v>
      </c>
      <c r="AB24" s="68">
        <f>Scale!C24</f>
        <v>0</v>
      </c>
    </row>
    <row r="25" spans="1:29" x14ac:dyDescent="0.25">
      <c r="A25" s="70">
        <f t="shared" si="10"/>
        <v>43014</v>
      </c>
      <c r="B25" s="71">
        <f t="shared" si="11"/>
        <v>23</v>
      </c>
      <c r="C25" s="72">
        <f t="shared" si="12"/>
        <v>194.07991225976929</v>
      </c>
      <c r="D25" s="72">
        <f t="shared" si="13"/>
        <v>149.15752316754944</v>
      </c>
      <c r="E25" s="73">
        <f t="shared" si="0"/>
        <v>44.922389092219845</v>
      </c>
      <c r="F25" s="61"/>
      <c r="G25" s="74">
        <f>C25*TDEE!$B$5</f>
        <v>2414.9369210370323</v>
      </c>
      <c r="H25" s="72">
        <f t="shared" si="14"/>
        <v>1392.5940618588152</v>
      </c>
      <c r="I25" s="72">
        <f t="shared" si="15"/>
        <v>1022.3428591782172</v>
      </c>
      <c r="J25" s="63">
        <f t="shared" si="1"/>
        <v>0.39788401767394721</v>
      </c>
      <c r="K25" s="72">
        <f t="shared" si="2"/>
        <v>51.67097611578432</v>
      </c>
      <c r="L25" s="72">
        <v>20</v>
      </c>
      <c r="M25" s="59">
        <f>Protein_Amt!$B$6</f>
        <v>119.32601853403956</v>
      </c>
      <c r="N25" s="72">
        <f t="shared" si="3"/>
        <v>465.03878504205886</v>
      </c>
      <c r="O25" s="72">
        <f t="shared" si="4"/>
        <v>80</v>
      </c>
      <c r="P25" s="72">
        <f t="shared" si="5"/>
        <v>477.30407413615825</v>
      </c>
      <c r="Q25" s="73">
        <f t="shared" si="6"/>
        <v>1022.3428591782172</v>
      </c>
      <c r="S25" s="75">
        <f>VLOOKUP($A25,FoodLog!$A$1:$Z$10007,12,0)</f>
        <v>0</v>
      </c>
      <c r="T25" s="75">
        <f>VLOOKUP($A25,FoodLog!$A$1:$Z$10007,13,0)</f>
        <v>0</v>
      </c>
      <c r="U25" s="75">
        <f>VLOOKUP($A25,FoodLog!$A$1:$Z$10007,14,0)</f>
        <v>0</v>
      </c>
      <c r="V25" s="75">
        <f>VLOOKUP($A25,FoodLog!$A$1:$Z$10007,15,0)</f>
        <v>0</v>
      </c>
      <c r="W25" s="75">
        <f>VLOOKUP($A25,FoodLog!$A$1:$Z$10007,16,0)</f>
        <v>465.03878504205886</v>
      </c>
      <c r="X25" s="75">
        <f>VLOOKUP($A25,FoodLog!$A$1:$Z$10007,17,0)</f>
        <v>80</v>
      </c>
      <c r="Y25" s="75">
        <f>VLOOKUP($A25,FoodLog!$A$1:$Z$10007,18,0)</f>
        <v>477.30407413615825</v>
      </c>
      <c r="Z25" s="75">
        <f>VLOOKUP($A25,FoodLog!$A$1:$Z$10007,19,0)</f>
        <v>1022.3428591782172</v>
      </c>
      <c r="AA25" s="67">
        <f t="shared" si="8"/>
        <v>0.39788401767394721</v>
      </c>
      <c r="AB25" s="68">
        <f>Scale!C25</f>
        <v>0</v>
      </c>
    </row>
    <row r="26" spans="1:29" x14ac:dyDescent="0.25">
      <c r="A26" s="70">
        <f t="shared" si="10"/>
        <v>43015</v>
      </c>
      <c r="B26" s="71">
        <f t="shared" si="11"/>
        <v>24</v>
      </c>
      <c r="C26" s="72">
        <f t="shared" si="12"/>
        <v>193.68202824209533</v>
      </c>
      <c r="D26" s="72">
        <f t="shared" si="13"/>
        <v>149.15752316754944</v>
      </c>
      <c r="E26" s="73">
        <f t="shared" si="0"/>
        <v>44.524505074545885</v>
      </c>
      <c r="F26" s="61"/>
      <c r="G26" s="74">
        <f>C26*TDEE!$B$5</f>
        <v>2409.9860490308388</v>
      </c>
      <c r="H26" s="72">
        <f t="shared" si="14"/>
        <v>1380.2596573109224</v>
      </c>
      <c r="I26" s="72">
        <f t="shared" si="15"/>
        <v>1029.7263917199164</v>
      </c>
      <c r="J26" s="63">
        <f t="shared" si="1"/>
        <v>0.39435990208883498</v>
      </c>
      <c r="K26" s="72">
        <f t="shared" si="2"/>
        <v>52.49136862041756</v>
      </c>
      <c r="L26" s="72">
        <v>20</v>
      </c>
      <c r="M26" s="59">
        <f>Protein_Amt!$B$6</f>
        <v>119.32601853403956</v>
      </c>
      <c r="N26" s="72">
        <f t="shared" si="3"/>
        <v>472.42231758375806</v>
      </c>
      <c r="O26" s="72">
        <f t="shared" si="4"/>
        <v>80</v>
      </c>
      <c r="P26" s="72">
        <f t="shared" si="5"/>
        <v>477.30407413615825</v>
      </c>
      <c r="Q26" s="73">
        <f t="shared" si="6"/>
        <v>1029.7263917199164</v>
      </c>
      <c r="S26" s="75">
        <f>VLOOKUP($A26,FoodLog!$A$1:$Z$10007,12,0)</f>
        <v>0</v>
      </c>
      <c r="T26" s="75">
        <f>VLOOKUP($A26,FoodLog!$A$1:$Z$10007,13,0)</f>
        <v>0</v>
      </c>
      <c r="U26" s="75">
        <f>VLOOKUP($A26,FoodLog!$A$1:$Z$10007,14,0)</f>
        <v>0</v>
      </c>
      <c r="V26" s="75">
        <f>VLOOKUP($A26,FoodLog!$A$1:$Z$10007,15,0)</f>
        <v>0</v>
      </c>
      <c r="W26" s="75">
        <f>VLOOKUP($A26,FoodLog!$A$1:$Z$10007,16,0)</f>
        <v>472.42231758375806</v>
      </c>
      <c r="X26" s="75">
        <f>VLOOKUP($A26,FoodLog!$A$1:$Z$10007,17,0)</f>
        <v>80</v>
      </c>
      <c r="Y26" s="75">
        <f>VLOOKUP($A26,FoodLog!$A$1:$Z$10007,18,0)</f>
        <v>477.30407413615825</v>
      </c>
      <c r="Z26" s="75">
        <f>VLOOKUP($A26,FoodLog!$A$1:$Z$10007,19,0)</f>
        <v>1029.7263917199164</v>
      </c>
      <c r="AA26" s="67">
        <f t="shared" si="8"/>
        <v>0.39435990208883498</v>
      </c>
      <c r="AB26" s="68">
        <f>Scale!C26</f>
        <v>0</v>
      </c>
    </row>
    <row r="27" spans="1:29" x14ac:dyDescent="0.25">
      <c r="A27" s="70">
        <f t="shared" si="10"/>
        <v>43016</v>
      </c>
      <c r="B27" s="71">
        <f t="shared" si="11"/>
        <v>25</v>
      </c>
      <c r="C27" s="72">
        <f t="shared" si="12"/>
        <v>193.28766834000649</v>
      </c>
      <c r="D27" s="72">
        <f t="shared" si="13"/>
        <v>149.15752316754944</v>
      </c>
      <c r="E27" s="73">
        <f t="shared" si="0"/>
        <v>44.130145172457048</v>
      </c>
      <c r="F27" s="61"/>
      <c r="G27" s="74">
        <f>C27*TDEE!$B$5</f>
        <v>2405.0790276052712</v>
      </c>
      <c r="H27" s="72">
        <f t="shared" si="14"/>
        <v>1368.0345003461684</v>
      </c>
      <c r="I27" s="72">
        <f t="shared" si="15"/>
        <v>1037.0445272591028</v>
      </c>
      <c r="J27" s="63">
        <f t="shared" si="1"/>
        <v>0.39086700009890529</v>
      </c>
      <c r="K27" s="72">
        <f t="shared" si="2"/>
        <v>53.304494791438273</v>
      </c>
      <c r="L27" s="72">
        <v>20</v>
      </c>
      <c r="M27" s="59">
        <f>Protein_Amt!$B$6</f>
        <v>119.32601853403956</v>
      </c>
      <c r="N27" s="72">
        <f t="shared" si="3"/>
        <v>479.74045312294447</v>
      </c>
      <c r="O27" s="72">
        <f t="shared" si="4"/>
        <v>80</v>
      </c>
      <c r="P27" s="72">
        <f t="shared" si="5"/>
        <v>477.30407413615825</v>
      </c>
      <c r="Q27" s="73">
        <f t="shared" si="6"/>
        <v>1037.0445272591028</v>
      </c>
      <c r="S27" s="75">
        <f>VLOOKUP($A27,FoodLog!$A$1:$Z$10007,12,0)</f>
        <v>0</v>
      </c>
      <c r="T27" s="75">
        <f>VLOOKUP($A27,FoodLog!$A$1:$Z$10007,13,0)</f>
        <v>0</v>
      </c>
      <c r="U27" s="75">
        <f>VLOOKUP($A27,FoodLog!$A$1:$Z$10007,14,0)</f>
        <v>0</v>
      </c>
      <c r="V27" s="75">
        <f>VLOOKUP($A27,FoodLog!$A$1:$Z$10007,15,0)</f>
        <v>0</v>
      </c>
      <c r="W27" s="75">
        <f>VLOOKUP($A27,FoodLog!$A$1:$Z$10007,16,0)</f>
        <v>479.74045312294447</v>
      </c>
      <c r="X27" s="75">
        <f>VLOOKUP($A27,FoodLog!$A$1:$Z$10007,17,0)</f>
        <v>80</v>
      </c>
      <c r="Y27" s="75">
        <f>VLOOKUP($A27,FoodLog!$A$1:$Z$10007,18,0)</f>
        <v>477.30407413615825</v>
      </c>
      <c r="Z27" s="75">
        <f>VLOOKUP($A27,FoodLog!$A$1:$Z$10007,19,0)</f>
        <v>1037.0445272591028</v>
      </c>
      <c r="AA27" s="67">
        <f t="shared" si="8"/>
        <v>0.39086700009890529</v>
      </c>
      <c r="AB27" s="68">
        <f>Scale!C27</f>
        <v>0</v>
      </c>
    </row>
    <row r="28" spans="1:29" x14ac:dyDescent="0.25">
      <c r="A28" s="70">
        <f t="shared" si="10"/>
        <v>43017</v>
      </c>
      <c r="B28" s="71">
        <f t="shared" si="11"/>
        <v>26</v>
      </c>
      <c r="C28" s="72">
        <f t="shared" si="12"/>
        <v>192.8968013399076</v>
      </c>
      <c r="D28" s="72">
        <f t="shared" si="13"/>
        <v>149.15752316754944</v>
      </c>
      <c r="E28" s="73">
        <f t="shared" si="0"/>
        <v>43.739278172358155</v>
      </c>
      <c r="F28" s="61"/>
      <c r="G28" s="74">
        <f>C28*TDEE!$B$5</f>
        <v>2400.2154683694739</v>
      </c>
      <c r="H28" s="72">
        <f t="shared" si="14"/>
        <v>1355.9176233431028</v>
      </c>
      <c r="I28" s="72">
        <f t="shared" si="15"/>
        <v>1044.2978450263711</v>
      </c>
      <c r="J28" s="63">
        <f t="shared" si="1"/>
        <v>0.38740503524088654</v>
      </c>
      <c r="K28" s="72">
        <f t="shared" si="2"/>
        <v>54.110418987801417</v>
      </c>
      <c r="L28" s="72">
        <v>20</v>
      </c>
      <c r="M28" s="59">
        <f>Protein_Amt!$B$6</f>
        <v>119.32601853403956</v>
      </c>
      <c r="N28" s="72">
        <f t="shared" si="3"/>
        <v>486.99377089021277</v>
      </c>
      <c r="O28" s="72">
        <f t="shared" si="4"/>
        <v>80</v>
      </c>
      <c r="P28" s="72">
        <f t="shared" si="5"/>
        <v>477.30407413615825</v>
      </c>
      <c r="Q28" s="73">
        <f t="shared" si="6"/>
        <v>1044.2978450263711</v>
      </c>
      <c r="S28" s="75">
        <f>VLOOKUP($A28,FoodLog!$A$1:$Z$10007,12,0)</f>
        <v>0</v>
      </c>
      <c r="T28" s="75">
        <f>VLOOKUP($A28,FoodLog!$A$1:$Z$10007,13,0)</f>
        <v>0</v>
      </c>
      <c r="U28" s="75">
        <f>VLOOKUP($A28,FoodLog!$A$1:$Z$10007,14,0)</f>
        <v>0</v>
      </c>
      <c r="V28" s="75">
        <f>VLOOKUP($A28,FoodLog!$A$1:$Z$10007,15,0)</f>
        <v>0</v>
      </c>
      <c r="W28" s="75">
        <f>VLOOKUP($A28,FoodLog!$A$1:$Z$10007,16,0)</f>
        <v>486.99377089021277</v>
      </c>
      <c r="X28" s="75">
        <f>VLOOKUP($A28,FoodLog!$A$1:$Z$10007,17,0)</f>
        <v>80</v>
      </c>
      <c r="Y28" s="75">
        <f>VLOOKUP($A28,FoodLog!$A$1:$Z$10007,18,0)</f>
        <v>477.30407413615825</v>
      </c>
      <c r="Z28" s="75">
        <f>VLOOKUP($A28,FoodLog!$A$1:$Z$10007,19,0)</f>
        <v>1044.2978450263711</v>
      </c>
      <c r="AA28" s="67">
        <f t="shared" si="8"/>
        <v>0.38740503524088654</v>
      </c>
      <c r="AB28" s="68">
        <f>Scale!C28</f>
        <v>0</v>
      </c>
    </row>
    <row r="29" spans="1:29" x14ac:dyDescent="0.25">
      <c r="A29" s="70">
        <f t="shared" si="10"/>
        <v>43018</v>
      </c>
      <c r="B29" s="71">
        <f t="shared" si="11"/>
        <v>27</v>
      </c>
      <c r="C29" s="72">
        <f t="shared" si="12"/>
        <v>192.50939630466672</v>
      </c>
      <c r="D29" s="72">
        <f t="shared" si="13"/>
        <v>149.15752316754944</v>
      </c>
      <c r="E29" s="73">
        <f t="shared" si="0"/>
        <v>43.351873137117281</v>
      </c>
      <c r="F29" s="61"/>
      <c r="G29" s="74">
        <f>C29*TDEE!$B$5</f>
        <v>2395.3949863726216</v>
      </c>
      <c r="H29" s="72">
        <f t="shared" si="14"/>
        <v>1343.9080672506357</v>
      </c>
      <c r="I29" s="72">
        <f t="shared" si="15"/>
        <v>1051.4869191219859</v>
      </c>
      <c r="J29" s="63">
        <f t="shared" si="1"/>
        <v>0.3839737335001816</v>
      </c>
      <c r="K29" s="72">
        <f t="shared" si="2"/>
        <v>54.909204998425288</v>
      </c>
      <c r="L29" s="72">
        <v>20</v>
      </c>
      <c r="M29" s="59">
        <f>Protein_Amt!$B$6</f>
        <v>119.32601853403956</v>
      </c>
      <c r="N29" s="72">
        <f t="shared" si="3"/>
        <v>494.18284498582761</v>
      </c>
      <c r="O29" s="72">
        <f t="shared" si="4"/>
        <v>80</v>
      </c>
      <c r="P29" s="72">
        <f t="shared" si="5"/>
        <v>477.30407413615825</v>
      </c>
      <c r="Q29" s="73">
        <f t="shared" si="6"/>
        <v>1051.4869191219859</v>
      </c>
      <c r="S29" s="75">
        <f>VLOOKUP($A29,FoodLog!$A$1:$Z$10007,12,0)</f>
        <v>0</v>
      </c>
      <c r="T29" s="75">
        <f>VLOOKUP($A29,FoodLog!$A$1:$Z$10007,13,0)</f>
        <v>0</v>
      </c>
      <c r="U29" s="75">
        <f>VLOOKUP($A29,FoodLog!$A$1:$Z$10007,14,0)</f>
        <v>0</v>
      </c>
      <c r="V29" s="75">
        <f>VLOOKUP($A29,FoodLog!$A$1:$Z$10007,15,0)</f>
        <v>0</v>
      </c>
      <c r="W29" s="75">
        <f>VLOOKUP($A29,FoodLog!$A$1:$Z$10007,16,0)</f>
        <v>494.18284498582761</v>
      </c>
      <c r="X29" s="75">
        <f>VLOOKUP($A29,FoodLog!$A$1:$Z$10007,17,0)</f>
        <v>80</v>
      </c>
      <c r="Y29" s="75">
        <f>VLOOKUP($A29,FoodLog!$A$1:$Z$10007,18,0)</f>
        <v>477.30407413615825</v>
      </c>
      <c r="Z29" s="75">
        <f>VLOOKUP($A29,FoodLog!$A$1:$Z$10007,19,0)</f>
        <v>1051.4869191219859</v>
      </c>
      <c r="AA29" s="67">
        <f t="shared" si="8"/>
        <v>0.3839737335001816</v>
      </c>
      <c r="AB29" s="68">
        <f>Scale!C29</f>
        <v>0</v>
      </c>
    </row>
    <row r="30" spans="1:29" x14ac:dyDescent="0.25">
      <c r="A30" s="70">
        <f t="shared" si="10"/>
        <v>43019</v>
      </c>
      <c r="B30" s="71">
        <f t="shared" si="11"/>
        <v>28</v>
      </c>
      <c r="C30" s="72">
        <f t="shared" si="12"/>
        <v>192.12542257116655</v>
      </c>
      <c r="D30" s="72">
        <f t="shared" si="13"/>
        <v>149.15752316754944</v>
      </c>
      <c r="E30" s="73">
        <f t="shared" si="0"/>
        <v>42.96789940361711</v>
      </c>
      <c r="F30" s="61"/>
      <c r="G30" s="74">
        <f>C30*TDEE!$B$5</f>
        <v>2390.6172000734559</v>
      </c>
      <c r="H30" s="72">
        <f t="shared" si="14"/>
        <v>1332.0048815121304</v>
      </c>
      <c r="I30" s="72">
        <f t="shared" si="15"/>
        <v>1058.6123185613255</v>
      </c>
      <c r="J30" s="63">
        <f t="shared" si="1"/>
        <v>0.38057282328918013</v>
      </c>
      <c r="K30" s="72">
        <f t="shared" si="2"/>
        <v>55.700916047240803</v>
      </c>
      <c r="L30" s="72">
        <v>20</v>
      </c>
      <c r="M30" s="59">
        <f>Protein_Amt!$B$6</f>
        <v>119.32601853403956</v>
      </c>
      <c r="N30" s="72">
        <f t="shared" si="3"/>
        <v>501.30824442516723</v>
      </c>
      <c r="O30" s="72">
        <f t="shared" si="4"/>
        <v>80</v>
      </c>
      <c r="P30" s="72">
        <f t="shared" si="5"/>
        <v>477.30407413615825</v>
      </c>
      <c r="Q30" s="73">
        <f t="shared" si="6"/>
        <v>1058.6123185613255</v>
      </c>
      <c r="S30" s="75">
        <f>VLOOKUP($A30,FoodLog!$A$1:$Z$10007,12,0)</f>
        <v>0</v>
      </c>
      <c r="T30" s="75">
        <f>VLOOKUP($A30,FoodLog!$A$1:$Z$10007,13,0)</f>
        <v>0</v>
      </c>
      <c r="U30" s="75">
        <f>VLOOKUP($A30,FoodLog!$A$1:$Z$10007,14,0)</f>
        <v>0</v>
      </c>
      <c r="V30" s="75">
        <f>VLOOKUP($A30,FoodLog!$A$1:$Z$10007,15,0)</f>
        <v>0</v>
      </c>
      <c r="W30" s="75">
        <f>VLOOKUP($A30,FoodLog!$A$1:$Z$10007,16,0)</f>
        <v>501.30824442516723</v>
      </c>
      <c r="X30" s="75">
        <f>VLOOKUP($A30,FoodLog!$A$1:$Z$10007,17,0)</f>
        <v>80</v>
      </c>
      <c r="Y30" s="75">
        <f>VLOOKUP($A30,FoodLog!$A$1:$Z$10007,18,0)</f>
        <v>477.30407413615825</v>
      </c>
      <c r="Z30" s="75">
        <f>VLOOKUP($A30,FoodLog!$A$1:$Z$10007,19,0)</f>
        <v>1058.6123185613255</v>
      </c>
      <c r="AA30" s="67">
        <f t="shared" si="8"/>
        <v>0.38057282328918013</v>
      </c>
      <c r="AB30" s="68">
        <f>Scale!C30</f>
        <v>0</v>
      </c>
    </row>
    <row r="31" spans="1:29" x14ac:dyDescent="0.25">
      <c r="A31" s="70">
        <f t="shared" si="10"/>
        <v>43020</v>
      </c>
      <c r="B31" s="71">
        <f t="shared" si="11"/>
        <v>29</v>
      </c>
      <c r="C31" s="72">
        <f t="shared" si="12"/>
        <v>191.74484974787737</v>
      </c>
      <c r="D31" s="72">
        <f t="shared" si="13"/>
        <v>149.15752316754944</v>
      </c>
      <c r="E31" s="73">
        <f t="shared" si="0"/>
        <v>42.587326580327925</v>
      </c>
      <c r="F31" s="61"/>
      <c r="G31" s="74">
        <f>C31*TDEE!$B$5</f>
        <v>2385.8817313100831</v>
      </c>
      <c r="H31" s="72">
        <f t="shared" si="14"/>
        <v>1320.2071239901657</v>
      </c>
      <c r="I31" s="72">
        <f t="shared" si="15"/>
        <v>1065.6746073199174</v>
      </c>
      <c r="J31" s="63">
        <f t="shared" si="1"/>
        <v>0.37720203542576164</v>
      </c>
      <c r="K31" s="72">
        <f t="shared" si="2"/>
        <v>56.485614798195456</v>
      </c>
      <c r="L31" s="72">
        <v>20</v>
      </c>
      <c r="M31" s="59">
        <f>Protein_Amt!$B$6</f>
        <v>119.32601853403956</v>
      </c>
      <c r="N31" s="72">
        <f t="shared" si="3"/>
        <v>508.37053318375911</v>
      </c>
      <c r="O31" s="72">
        <f t="shared" si="4"/>
        <v>80</v>
      </c>
      <c r="P31" s="72">
        <f t="shared" si="5"/>
        <v>477.30407413615825</v>
      </c>
      <c r="Q31" s="73">
        <f t="shared" si="6"/>
        <v>1065.6746073199174</v>
      </c>
      <c r="S31" s="75">
        <f>VLOOKUP($A31,FoodLog!$A$1:$Z$10007,12,0)</f>
        <v>0</v>
      </c>
      <c r="T31" s="75">
        <f>VLOOKUP($A31,FoodLog!$A$1:$Z$10007,13,0)</f>
        <v>0</v>
      </c>
      <c r="U31" s="75">
        <f>VLOOKUP($A31,FoodLog!$A$1:$Z$10007,14,0)</f>
        <v>0</v>
      </c>
      <c r="V31" s="75">
        <f>VLOOKUP($A31,FoodLog!$A$1:$Z$10007,15,0)</f>
        <v>0</v>
      </c>
      <c r="W31" s="75">
        <f>VLOOKUP($A31,FoodLog!$A$1:$Z$10007,16,0)</f>
        <v>508.37053318375911</v>
      </c>
      <c r="X31" s="75">
        <f>VLOOKUP($A31,FoodLog!$A$1:$Z$10007,17,0)</f>
        <v>80</v>
      </c>
      <c r="Y31" s="75">
        <f>VLOOKUP($A31,FoodLog!$A$1:$Z$10007,18,0)</f>
        <v>477.30407413615825</v>
      </c>
      <c r="Z31" s="75">
        <f>VLOOKUP($A31,FoodLog!$A$1:$Z$10007,19,0)</f>
        <v>1065.6746073199174</v>
      </c>
      <c r="AA31" s="67">
        <f t="shared" si="8"/>
        <v>0.37720203542576164</v>
      </c>
      <c r="AB31" s="68">
        <f>Scale!C31</f>
        <v>0</v>
      </c>
    </row>
    <row r="32" spans="1:29" x14ac:dyDescent="0.25">
      <c r="A32" s="70">
        <f t="shared" si="10"/>
        <v>43021</v>
      </c>
      <c r="B32" s="71">
        <f t="shared" si="11"/>
        <v>30</v>
      </c>
      <c r="C32" s="72">
        <f t="shared" si="12"/>
        <v>191.3676477124516</v>
      </c>
      <c r="D32" s="72">
        <f t="shared" si="13"/>
        <v>149.15752316754944</v>
      </c>
      <c r="E32" s="73">
        <f t="shared" si="0"/>
        <v>42.210124544902158</v>
      </c>
      <c r="F32" s="61"/>
      <c r="G32" s="74">
        <f>C32*TDEE!$B$5</f>
        <v>2381.1882052700425</v>
      </c>
      <c r="H32" s="72">
        <f t="shared" si="14"/>
        <v>1308.5138608919669</v>
      </c>
      <c r="I32" s="72">
        <f t="shared" si="15"/>
        <v>1072.6743443780756</v>
      </c>
      <c r="J32" s="63">
        <f t="shared" si="1"/>
        <v>0.37386110311199056</v>
      </c>
      <c r="K32" s="72">
        <f t="shared" si="2"/>
        <v>57.263363360213035</v>
      </c>
      <c r="L32" s="72">
        <v>20</v>
      </c>
      <c r="M32" s="59">
        <f>Protein_Amt!$B$6</f>
        <v>119.32601853403956</v>
      </c>
      <c r="N32" s="72">
        <f t="shared" si="3"/>
        <v>515.3702702419173</v>
      </c>
      <c r="O32" s="72">
        <f t="shared" si="4"/>
        <v>80</v>
      </c>
      <c r="P32" s="72">
        <f t="shared" si="5"/>
        <v>477.30407413615825</v>
      </c>
      <c r="Q32" s="73">
        <f t="shared" si="6"/>
        <v>1072.6743443780756</v>
      </c>
      <c r="S32" s="75">
        <f>VLOOKUP($A32,FoodLog!$A$1:$Z$10007,12,0)</f>
        <v>0</v>
      </c>
      <c r="T32" s="75">
        <f>VLOOKUP($A32,FoodLog!$A$1:$Z$10007,13,0)</f>
        <v>0</v>
      </c>
      <c r="U32" s="75">
        <f>VLOOKUP($A32,FoodLog!$A$1:$Z$10007,14,0)</f>
        <v>0</v>
      </c>
      <c r="V32" s="75">
        <f>VLOOKUP($A32,FoodLog!$A$1:$Z$10007,15,0)</f>
        <v>0</v>
      </c>
      <c r="W32" s="75">
        <f>VLOOKUP($A32,FoodLog!$A$1:$Z$10007,16,0)</f>
        <v>515.3702702419173</v>
      </c>
      <c r="X32" s="75">
        <f>VLOOKUP($A32,FoodLog!$A$1:$Z$10007,17,0)</f>
        <v>80</v>
      </c>
      <c r="Y32" s="75">
        <f>VLOOKUP($A32,FoodLog!$A$1:$Z$10007,18,0)</f>
        <v>477.30407413615825</v>
      </c>
      <c r="Z32" s="75">
        <f>VLOOKUP($A32,FoodLog!$A$1:$Z$10007,19,0)</f>
        <v>1072.6743443780756</v>
      </c>
      <c r="AA32" s="67">
        <f t="shared" si="8"/>
        <v>0.37386110311199056</v>
      </c>
      <c r="AB32" s="68">
        <f>Scale!C32</f>
        <v>0</v>
      </c>
    </row>
    <row r="33" spans="1:28" x14ac:dyDescent="0.25">
      <c r="A33" s="70">
        <f t="shared" si="10"/>
        <v>43022</v>
      </c>
      <c r="B33" s="71">
        <f t="shared" si="11"/>
        <v>31</v>
      </c>
      <c r="C33" s="72">
        <f t="shared" si="12"/>
        <v>190.99378660933962</v>
      </c>
      <c r="D33" s="72">
        <f t="shared" si="13"/>
        <v>149.15752316754944</v>
      </c>
      <c r="E33" s="73">
        <f t="shared" si="0"/>
        <v>41.83626344179018</v>
      </c>
      <c r="F33" s="61"/>
      <c r="G33" s="74">
        <f>C33*TDEE!$B$5</f>
        <v>2376.5362504606423</v>
      </c>
      <c r="H33" s="72">
        <f t="shared" si="14"/>
        <v>1296.9241666954956</v>
      </c>
      <c r="I33" s="72">
        <f t="shared" si="15"/>
        <v>1079.6120837651467</v>
      </c>
      <c r="J33" s="63">
        <f t="shared" si="1"/>
        <v>0.37054976191299877</v>
      </c>
      <c r="K33" s="72">
        <f t="shared" si="2"/>
        <v>58.034223292109829</v>
      </c>
      <c r="L33" s="72">
        <v>20</v>
      </c>
      <c r="M33" s="59">
        <f>Protein_Amt!$B$6</f>
        <v>119.32601853403956</v>
      </c>
      <c r="N33" s="72">
        <f t="shared" si="3"/>
        <v>522.30800962898843</v>
      </c>
      <c r="O33" s="72">
        <f t="shared" si="4"/>
        <v>80</v>
      </c>
      <c r="P33" s="72">
        <f t="shared" si="5"/>
        <v>477.30407413615825</v>
      </c>
      <c r="Q33" s="73">
        <f t="shared" si="6"/>
        <v>1079.6120837651467</v>
      </c>
      <c r="S33" s="75">
        <f>VLOOKUP($A33,FoodLog!$A$1:$Z$10007,12,0)</f>
        <v>0</v>
      </c>
      <c r="T33" s="75">
        <f>VLOOKUP($A33,FoodLog!$A$1:$Z$10007,13,0)</f>
        <v>0</v>
      </c>
      <c r="U33" s="75">
        <f>VLOOKUP($A33,FoodLog!$A$1:$Z$10007,14,0)</f>
        <v>0</v>
      </c>
      <c r="V33" s="75">
        <f>VLOOKUP($A33,FoodLog!$A$1:$Z$10007,15,0)</f>
        <v>0</v>
      </c>
      <c r="W33" s="75">
        <f>VLOOKUP($A33,FoodLog!$A$1:$Z$10007,16,0)</f>
        <v>522.30800962898843</v>
      </c>
      <c r="X33" s="75">
        <f>VLOOKUP($A33,FoodLog!$A$1:$Z$10007,17,0)</f>
        <v>80</v>
      </c>
      <c r="Y33" s="75">
        <f>VLOOKUP($A33,FoodLog!$A$1:$Z$10007,18,0)</f>
        <v>477.30407413615825</v>
      </c>
      <c r="Z33" s="75">
        <f>VLOOKUP($A33,FoodLog!$A$1:$Z$10007,19,0)</f>
        <v>1079.6120837651467</v>
      </c>
      <c r="AA33" s="67">
        <f t="shared" si="8"/>
        <v>0.37054976191299877</v>
      </c>
      <c r="AB33" s="68">
        <f>Scale!C33</f>
        <v>0</v>
      </c>
    </row>
    <row r="34" spans="1:28" x14ac:dyDescent="0.25">
      <c r="A34" s="70">
        <f t="shared" si="10"/>
        <v>43023</v>
      </c>
      <c r="B34" s="71">
        <f t="shared" si="11"/>
        <v>32</v>
      </c>
      <c r="C34" s="72">
        <f t="shared" si="12"/>
        <v>190.62323684742663</v>
      </c>
      <c r="D34" s="72">
        <f t="shared" si="13"/>
        <v>149.15752316754944</v>
      </c>
      <c r="E34" s="73">
        <f t="shared" si="0"/>
        <v>41.465713679877183</v>
      </c>
      <c r="F34" s="61"/>
      <c r="G34" s="74">
        <f>C34*TDEE!$B$5</f>
        <v>2371.925498679554</v>
      </c>
      <c r="H34" s="72">
        <f t="shared" si="14"/>
        <v>1285.4371240761927</v>
      </c>
      <c r="I34" s="72">
        <f t="shared" si="15"/>
        <v>1086.4883746033613</v>
      </c>
      <c r="J34" s="63">
        <f t="shared" si="1"/>
        <v>0.36726774973605508</v>
      </c>
      <c r="K34" s="72">
        <f t="shared" si="2"/>
        <v>58.798255607466999</v>
      </c>
      <c r="L34" s="72">
        <v>20</v>
      </c>
      <c r="M34" s="59">
        <f>Protein_Amt!$B$6</f>
        <v>119.32601853403956</v>
      </c>
      <c r="N34" s="72">
        <f t="shared" si="3"/>
        <v>529.184300467203</v>
      </c>
      <c r="O34" s="72">
        <f t="shared" si="4"/>
        <v>80</v>
      </c>
      <c r="P34" s="72">
        <f t="shared" si="5"/>
        <v>477.30407413615825</v>
      </c>
      <c r="Q34" s="73">
        <f t="shared" si="6"/>
        <v>1086.4883746033613</v>
      </c>
      <c r="S34" s="75">
        <f>VLOOKUP($A34,FoodLog!$A$1:$Z$10007,12,0)</f>
        <v>0</v>
      </c>
      <c r="T34" s="75">
        <f>VLOOKUP($A34,FoodLog!$A$1:$Z$10007,13,0)</f>
        <v>0</v>
      </c>
      <c r="U34" s="75">
        <f>VLOOKUP($A34,FoodLog!$A$1:$Z$10007,14,0)</f>
        <v>0</v>
      </c>
      <c r="V34" s="75">
        <f>VLOOKUP($A34,FoodLog!$A$1:$Z$10007,15,0)</f>
        <v>0</v>
      </c>
      <c r="W34" s="75">
        <f>VLOOKUP($A34,FoodLog!$A$1:$Z$10007,16,0)</f>
        <v>529.184300467203</v>
      </c>
      <c r="X34" s="75">
        <f>VLOOKUP($A34,FoodLog!$A$1:$Z$10007,17,0)</f>
        <v>80</v>
      </c>
      <c r="Y34" s="75">
        <f>VLOOKUP($A34,FoodLog!$A$1:$Z$10007,18,0)</f>
        <v>477.30407413615825</v>
      </c>
      <c r="Z34" s="75">
        <f>VLOOKUP($A34,FoodLog!$A$1:$Z$10007,19,0)</f>
        <v>1086.4883746033613</v>
      </c>
      <c r="AA34" s="67">
        <f t="shared" si="8"/>
        <v>0.36726774973605508</v>
      </c>
      <c r="AB34" s="68">
        <f>Scale!C34</f>
        <v>0</v>
      </c>
    </row>
    <row r="35" spans="1:28" x14ac:dyDescent="0.25">
      <c r="A35" s="70">
        <f t="shared" si="10"/>
        <v>43024</v>
      </c>
      <c r="B35" s="71">
        <f t="shared" si="11"/>
        <v>33</v>
      </c>
      <c r="C35" s="72">
        <f t="shared" si="12"/>
        <v>190.25596909769058</v>
      </c>
      <c r="D35" s="72">
        <f t="shared" si="13"/>
        <v>149.15752316754944</v>
      </c>
      <c r="E35" s="73">
        <f t="shared" ref="E35:E66" si="16">C35-D35</f>
        <v>41.098445930141139</v>
      </c>
      <c r="F35" s="61"/>
      <c r="G35" s="74">
        <f>C35*TDEE!$B$5</f>
        <v>2367.3555849856698</v>
      </c>
      <c r="H35" s="72">
        <f t="shared" si="14"/>
        <v>1274.0518238343752</v>
      </c>
      <c r="I35" s="72">
        <f t="shared" si="15"/>
        <v>1093.3037611512946</v>
      </c>
      <c r="J35" s="63">
        <f t="shared" ref="J35:J66" si="17">H35/3500</f>
        <v>0.36401480680982151</v>
      </c>
      <c r="K35" s="72">
        <f t="shared" ref="K35:K66" si="18">N35/9</f>
        <v>59.555520779459584</v>
      </c>
      <c r="L35" s="72">
        <v>20</v>
      </c>
      <c r="M35" s="59">
        <f>Protein_Amt!$B$6</f>
        <v>119.32601853403956</v>
      </c>
      <c r="N35" s="72">
        <f t="shared" ref="N35:N66" si="19">MAX(0,I35-(O35+P35))</f>
        <v>535.99968701513626</v>
      </c>
      <c r="O35" s="72">
        <f t="shared" ref="O35:O66" si="20">4*L35</f>
        <v>80</v>
      </c>
      <c r="P35" s="72">
        <f t="shared" ref="P35:P66" si="21">4*M35</f>
        <v>477.30407413615825</v>
      </c>
      <c r="Q35" s="73">
        <f t="shared" ref="Q35:Q66" si="22">SUM(N35:P35)</f>
        <v>1093.3037611512946</v>
      </c>
      <c r="S35" s="75">
        <f>VLOOKUP($A35,FoodLog!$A$1:$Z$10007,12,0)</f>
        <v>0</v>
      </c>
      <c r="T35" s="75">
        <f>VLOOKUP($A35,FoodLog!$A$1:$Z$10007,13,0)</f>
        <v>0</v>
      </c>
      <c r="U35" s="75">
        <f>VLOOKUP($A35,FoodLog!$A$1:$Z$10007,14,0)</f>
        <v>0</v>
      </c>
      <c r="V35" s="75">
        <f>VLOOKUP($A35,FoodLog!$A$1:$Z$10007,15,0)</f>
        <v>0</v>
      </c>
      <c r="W35" s="75">
        <f>VLOOKUP($A35,FoodLog!$A$1:$Z$10007,16,0)</f>
        <v>535.99968701513626</v>
      </c>
      <c r="X35" s="75">
        <f>VLOOKUP($A35,FoodLog!$A$1:$Z$10007,17,0)</f>
        <v>80</v>
      </c>
      <c r="Y35" s="75">
        <f>VLOOKUP($A35,FoodLog!$A$1:$Z$10007,18,0)</f>
        <v>477.30407413615825</v>
      </c>
      <c r="Z35" s="75">
        <f>VLOOKUP($A35,FoodLog!$A$1:$Z$10007,19,0)</f>
        <v>1093.3037611512946</v>
      </c>
      <c r="AA35" s="67">
        <f t="shared" ref="AA35:AA66" si="23">MIN($H35,($H35+Z35))/3500</f>
        <v>0.36401480680982151</v>
      </c>
      <c r="AB35" s="68">
        <f>Scale!C35</f>
        <v>0</v>
      </c>
    </row>
    <row r="36" spans="1:28" x14ac:dyDescent="0.25">
      <c r="A36" s="70">
        <f t="shared" ref="A36:A67" si="24">A35+1</f>
        <v>43025</v>
      </c>
      <c r="B36" s="71">
        <f t="shared" ref="B36:B67" si="25">B35+1</f>
        <v>34</v>
      </c>
      <c r="C36" s="72">
        <f t="shared" ref="C36:C67" si="26">C35-AA35</f>
        <v>189.89195429088076</v>
      </c>
      <c r="D36" s="72">
        <f t="shared" ref="D36:D67" si="27">$D$3</f>
        <v>149.15752316754944</v>
      </c>
      <c r="E36" s="73">
        <f t="shared" si="16"/>
        <v>40.734431123331319</v>
      </c>
      <c r="F36" s="61"/>
      <c r="G36" s="74">
        <f>C36*TDEE!$B$5</f>
        <v>2362.8261476702173</v>
      </c>
      <c r="H36" s="72">
        <f t="shared" ref="H36:H67" si="28">$E36*31</f>
        <v>1262.7673648232708</v>
      </c>
      <c r="I36" s="72">
        <f t="shared" ref="I36:I67" si="29">$G36-$H36</f>
        <v>1100.0587828469465</v>
      </c>
      <c r="J36" s="63">
        <f t="shared" si="17"/>
        <v>0.36079067566379164</v>
      </c>
      <c r="K36" s="72">
        <f t="shared" si="18"/>
        <v>60.306078745643134</v>
      </c>
      <c r="L36" s="72">
        <v>20</v>
      </c>
      <c r="M36" s="59">
        <f>Protein_Amt!$B$6</f>
        <v>119.32601853403956</v>
      </c>
      <c r="N36" s="72">
        <f t="shared" si="19"/>
        <v>542.75470871078824</v>
      </c>
      <c r="O36" s="72">
        <f t="shared" si="20"/>
        <v>80</v>
      </c>
      <c r="P36" s="72">
        <f t="shared" si="21"/>
        <v>477.30407413615825</v>
      </c>
      <c r="Q36" s="73">
        <f t="shared" si="22"/>
        <v>1100.0587828469465</v>
      </c>
      <c r="S36" s="75">
        <f>VLOOKUP($A36,FoodLog!$A$1:$Z$10007,12,0)</f>
        <v>0</v>
      </c>
      <c r="T36" s="75">
        <f>VLOOKUP($A36,FoodLog!$A$1:$Z$10007,13,0)</f>
        <v>0</v>
      </c>
      <c r="U36" s="75">
        <f>VLOOKUP($A36,FoodLog!$A$1:$Z$10007,14,0)</f>
        <v>0</v>
      </c>
      <c r="V36" s="75">
        <f>VLOOKUP($A36,FoodLog!$A$1:$Z$10007,15,0)</f>
        <v>0</v>
      </c>
      <c r="W36" s="75">
        <f>VLOOKUP($A36,FoodLog!$A$1:$Z$10007,16,0)</f>
        <v>542.75470871078824</v>
      </c>
      <c r="X36" s="75">
        <f>VLOOKUP($A36,FoodLog!$A$1:$Z$10007,17,0)</f>
        <v>80</v>
      </c>
      <c r="Y36" s="75">
        <f>VLOOKUP($A36,FoodLog!$A$1:$Z$10007,18,0)</f>
        <v>477.30407413615825</v>
      </c>
      <c r="Z36" s="75">
        <f>VLOOKUP($A36,FoodLog!$A$1:$Z$10007,19,0)</f>
        <v>1100.0587828469465</v>
      </c>
      <c r="AA36" s="67">
        <f t="shared" si="23"/>
        <v>0.36079067566379164</v>
      </c>
      <c r="AB36" s="68">
        <f>Scale!C36</f>
        <v>0</v>
      </c>
    </row>
    <row r="37" spans="1:28" x14ac:dyDescent="0.25">
      <c r="A37" s="70">
        <f t="shared" si="24"/>
        <v>43026</v>
      </c>
      <c r="B37" s="71">
        <f t="shared" si="25"/>
        <v>35</v>
      </c>
      <c r="C37" s="72">
        <f t="shared" si="26"/>
        <v>189.53116361521697</v>
      </c>
      <c r="D37" s="72">
        <f t="shared" si="27"/>
        <v>149.15752316754944</v>
      </c>
      <c r="E37" s="73">
        <f t="shared" si="16"/>
        <v>40.373640447667526</v>
      </c>
      <c r="F37" s="61"/>
      <c r="G37" s="74">
        <f>C37*TDEE!$B$5</f>
        <v>2358.3368282281299</v>
      </c>
      <c r="H37" s="72">
        <f t="shared" si="28"/>
        <v>1251.5828538776932</v>
      </c>
      <c r="I37" s="72">
        <f t="shared" si="29"/>
        <v>1106.7539743504367</v>
      </c>
      <c r="J37" s="63">
        <f t="shared" si="17"/>
        <v>0.35759510110791232</v>
      </c>
      <c r="K37" s="72">
        <f t="shared" si="18"/>
        <v>61.0499889126976</v>
      </c>
      <c r="L37" s="72">
        <v>20</v>
      </c>
      <c r="M37" s="59">
        <f>Protein_Amt!$B$6</f>
        <v>119.32601853403956</v>
      </c>
      <c r="N37" s="72">
        <f t="shared" si="19"/>
        <v>549.44990021427839</v>
      </c>
      <c r="O37" s="72">
        <f t="shared" si="20"/>
        <v>80</v>
      </c>
      <c r="P37" s="72">
        <f t="shared" si="21"/>
        <v>477.30407413615825</v>
      </c>
      <c r="Q37" s="73">
        <f t="shared" si="22"/>
        <v>1106.7539743504367</v>
      </c>
      <c r="S37" s="75">
        <f>VLOOKUP($A37,FoodLog!$A$1:$Z$10007,12,0)</f>
        <v>0</v>
      </c>
      <c r="T37" s="75">
        <f>VLOOKUP($A37,FoodLog!$A$1:$Z$10007,13,0)</f>
        <v>0</v>
      </c>
      <c r="U37" s="75">
        <f>VLOOKUP($A37,FoodLog!$A$1:$Z$10007,14,0)</f>
        <v>0</v>
      </c>
      <c r="V37" s="75">
        <f>VLOOKUP($A37,FoodLog!$A$1:$Z$10007,15,0)</f>
        <v>0</v>
      </c>
      <c r="W37" s="75">
        <f>VLOOKUP($A37,FoodLog!$A$1:$Z$10007,16,0)</f>
        <v>549.44990021427839</v>
      </c>
      <c r="X37" s="75">
        <f>VLOOKUP($A37,FoodLog!$A$1:$Z$10007,17,0)</f>
        <v>80</v>
      </c>
      <c r="Y37" s="75">
        <f>VLOOKUP($A37,FoodLog!$A$1:$Z$10007,18,0)</f>
        <v>477.30407413615825</v>
      </c>
      <c r="Z37" s="75">
        <f>VLOOKUP($A37,FoodLog!$A$1:$Z$10007,19,0)</f>
        <v>1106.7539743504367</v>
      </c>
      <c r="AA37" s="67">
        <f t="shared" si="23"/>
        <v>0.35759510110791232</v>
      </c>
      <c r="AB37" s="68">
        <f>Scale!C37</f>
        <v>0</v>
      </c>
    </row>
    <row r="38" spans="1:28" x14ac:dyDescent="0.25">
      <c r="A38" s="70">
        <f t="shared" si="24"/>
        <v>43027</v>
      </c>
      <c r="B38" s="71">
        <f t="shared" si="25"/>
        <v>36</v>
      </c>
      <c r="C38" s="72">
        <f t="shared" si="26"/>
        <v>189.17356851410906</v>
      </c>
      <c r="D38" s="72">
        <f t="shared" si="27"/>
        <v>149.15752316754944</v>
      </c>
      <c r="E38" s="73">
        <f t="shared" si="16"/>
        <v>40.016045346559622</v>
      </c>
      <c r="F38" s="61"/>
      <c r="G38" s="74">
        <f>C38*TDEE!$B$5</f>
        <v>2353.8872713296728</v>
      </c>
      <c r="H38" s="72">
        <f t="shared" si="28"/>
        <v>1240.4974057433483</v>
      </c>
      <c r="I38" s="72">
        <f t="shared" si="29"/>
        <v>1113.3898655863245</v>
      </c>
      <c r="J38" s="63">
        <f t="shared" si="17"/>
        <v>0.35442783021238522</v>
      </c>
      <c r="K38" s="72">
        <f t="shared" si="18"/>
        <v>61.787310161129575</v>
      </c>
      <c r="L38" s="72">
        <v>20</v>
      </c>
      <c r="M38" s="59">
        <f>Protein_Amt!$B$6</f>
        <v>119.32601853403956</v>
      </c>
      <c r="N38" s="72">
        <f t="shared" si="19"/>
        <v>556.0857914501662</v>
      </c>
      <c r="O38" s="72">
        <f t="shared" si="20"/>
        <v>80</v>
      </c>
      <c r="P38" s="72">
        <f t="shared" si="21"/>
        <v>477.30407413615825</v>
      </c>
      <c r="Q38" s="73">
        <f t="shared" si="22"/>
        <v>1113.3898655863245</v>
      </c>
      <c r="S38" s="75">
        <f>VLOOKUP($A38,FoodLog!$A$1:$Z$10007,12,0)</f>
        <v>0</v>
      </c>
      <c r="T38" s="75">
        <f>VLOOKUP($A38,FoodLog!$A$1:$Z$10007,13,0)</f>
        <v>0</v>
      </c>
      <c r="U38" s="75">
        <f>VLOOKUP($A38,FoodLog!$A$1:$Z$10007,14,0)</f>
        <v>0</v>
      </c>
      <c r="V38" s="75">
        <f>VLOOKUP($A38,FoodLog!$A$1:$Z$10007,15,0)</f>
        <v>0</v>
      </c>
      <c r="W38" s="75">
        <f>VLOOKUP($A38,FoodLog!$A$1:$Z$10007,16,0)</f>
        <v>556.0857914501662</v>
      </c>
      <c r="X38" s="75">
        <f>VLOOKUP($A38,FoodLog!$A$1:$Z$10007,17,0)</f>
        <v>80</v>
      </c>
      <c r="Y38" s="75">
        <f>VLOOKUP($A38,FoodLog!$A$1:$Z$10007,18,0)</f>
        <v>477.30407413615825</v>
      </c>
      <c r="Z38" s="75">
        <f>VLOOKUP($A38,FoodLog!$A$1:$Z$10007,19,0)</f>
        <v>1113.3898655863245</v>
      </c>
      <c r="AA38" s="67">
        <f t="shared" si="23"/>
        <v>0.35442783021238522</v>
      </c>
      <c r="AB38" s="68">
        <f>Scale!C38</f>
        <v>0</v>
      </c>
    </row>
    <row r="39" spans="1:28" x14ac:dyDescent="0.25">
      <c r="A39" s="70">
        <f t="shared" si="24"/>
        <v>43028</v>
      </c>
      <c r="B39" s="71">
        <f t="shared" si="25"/>
        <v>37</v>
      </c>
      <c r="C39" s="72">
        <f t="shared" si="26"/>
        <v>188.81914068389668</v>
      </c>
      <c r="D39" s="72">
        <f t="shared" si="27"/>
        <v>149.15752316754944</v>
      </c>
      <c r="E39" s="73">
        <f t="shared" si="16"/>
        <v>39.661617516347235</v>
      </c>
      <c r="F39" s="61"/>
      <c r="G39" s="74">
        <f>C39*TDEE!$B$5</f>
        <v>2349.4771247923159</v>
      </c>
      <c r="H39" s="72">
        <f t="shared" si="28"/>
        <v>1229.5101430067643</v>
      </c>
      <c r="I39" s="72">
        <f t="shared" si="29"/>
        <v>1119.9669817855515</v>
      </c>
      <c r="J39" s="63">
        <f t="shared" si="17"/>
        <v>0.35128861228764696</v>
      </c>
      <c r="K39" s="72">
        <f t="shared" si="18"/>
        <v>62.51810084993258</v>
      </c>
      <c r="L39" s="72">
        <v>20</v>
      </c>
      <c r="M39" s="59">
        <f>Protein_Amt!$B$6</f>
        <v>119.32601853403956</v>
      </c>
      <c r="N39" s="72">
        <f t="shared" si="19"/>
        <v>562.66290764939322</v>
      </c>
      <c r="O39" s="72">
        <f t="shared" si="20"/>
        <v>80</v>
      </c>
      <c r="P39" s="72">
        <f t="shared" si="21"/>
        <v>477.30407413615825</v>
      </c>
      <c r="Q39" s="73">
        <f t="shared" si="22"/>
        <v>1119.9669817855515</v>
      </c>
      <c r="S39" s="75">
        <f>VLOOKUP($A39,FoodLog!$A$1:$Z$10007,12,0)</f>
        <v>0</v>
      </c>
      <c r="T39" s="75">
        <f>VLOOKUP($A39,FoodLog!$A$1:$Z$10007,13,0)</f>
        <v>0</v>
      </c>
      <c r="U39" s="75">
        <f>VLOOKUP($A39,FoodLog!$A$1:$Z$10007,14,0)</f>
        <v>0</v>
      </c>
      <c r="V39" s="75">
        <f>VLOOKUP($A39,FoodLog!$A$1:$Z$10007,15,0)</f>
        <v>0</v>
      </c>
      <c r="W39" s="75">
        <f>VLOOKUP($A39,FoodLog!$A$1:$Z$10007,16,0)</f>
        <v>562.66290764939322</v>
      </c>
      <c r="X39" s="75">
        <f>VLOOKUP($A39,FoodLog!$A$1:$Z$10007,17,0)</f>
        <v>80</v>
      </c>
      <c r="Y39" s="75">
        <f>VLOOKUP($A39,FoodLog!$A$1:$Z$10007,18,0)</f>
        <v>477.30407413615825</v>
      </c>
      <c r="Z39" s="75">
        <f>VLOOKUP($A39,FoodLog!$A$1:$Z$10007,19,0)</f>
        <v>1119.9669817855515</v>
      </c>
      <c r="AA39" s="67">
        <f t="shared" si="23"/>
        <v>0.35128861228764696</v>
      </c>
      <c r="AB39" s="68">
        <f>Scale!C39</f>
        <v>0</v>
      </c>
    </row>
    <row r="40" spans="1:28" x14ac:dyDescent="0.25">
      <c r="A40" s="70">
        <f t="shared" si="24"/>
        <v>43029</v>
      </c>
      <c r="B40" s="71">
        <f t="shared" si="25"/>
        <v>38</v>
      </c>
      <c r="C40" s="72">
        <f t="shared" si="26"/>
        <v>188.46785207160903</v>
      </c>
      <c r="D40" s="72">
        <f t="shared" si="27"/>
        <v>149.15752316754944</v>
      </c>
      <c r="E40" s="73">
        <f t="shared" si="16"/>
        <v>39.310328904059588</v>
      </c>
      <c r="F40" s="61"/>
      <c r="G40" s="74">
        <f>C40*TDEE!$B$5</f>
        <v>2345.1060395528611</v>
      </c>
      <c r="H40" s="72">
        <f t="shared" si="28"/>
        <v>1218.6201960258472</v>
      </c>
      <c r="I40" s="72">
        <f t="shared" si="29"/>
        <v>1126.4858435270139</v>
      </c>
      <c r="J40" s="63">
        <f t="shared" si="17"/>
        <v>0.3481771988645278</v>
      </c>
      <c r="K40" s="72">
        <f t="shared" si="18"/>
        <v>63.242418821206179</v>
      </c>
      <c r="L40" s="72">
        <v>20</v>
      </c>
      <c r="M40" s="59">
        <f>Protein_Amt!$B$6</f>
        <v>119.32601853403956</v>
      </c>
      <c r="N40" s="72">
        <f t="shared" si="19"/>
        <v>569.18176939085561</v>
      </c>
      <c r="O40" s="72">
        <f t="shared" si="20"/>
        <v>80</v>
      </c>
      <c r="P40" s="72">
        <f t="shared" si="21"/>
        <v>477.30407413615825</v>
      </c>
      <c r="Q40" s="73">
        <f t="shared" si="22"/>
        <v>1126.4858435270139</v>
      </c>
      <c r="S40" s="75">
        <f>VLOOKUP($A40,FoodLog!$A$1:$Z$10007,12,0)</f>
        <v>0</v>
      </c>
      <c r="T40" s="75">
        <f>VLOOKUP($A40,FoodLog!$A$1:$Z$10007,13,0)</f>
        <v>0</v>
      </c>
      <c r="U40" s="75">
        <f>VLOOKUP($A40,FoodLog!$A$1:$Z$10007,14,0)</f>
        <v>0</v>
      </c>
      <c r="V40" s="75">
        <f>VLOOKUP($A40,FoodLog!$A$1:$Z$10007,15,0)</f>
        <v>0</v>
      </c>
      <c r="W40" s="75">
        <f>VLOOKUP($A40,FoodLog!$A$1:$Z$10007,16,0)</f>
        <v>569.18176939085561</v>
      </c>
      <c r="X40" s="75">
        <f>VLOOKUP($A40,FoodLog!$A$1:$Z$10007,17,0)</f>
        <v>80</v>
      </c>
      <c r="Y40" s="75">
        <f>VLOOKUP($A40,FoodLog!$A$1:$Z$10007,18,0)</f>
        <v>477.30407413615825</v>
      </c>
      <c r="Z40" s="75">
        <f>VLOOKUP($A40,FoodLog!$A$1:$Z$10007,19,0)</f>
        <v>1126.4858435270139</v>
      </c>
      <c r="AA40" s="67">
        <f t="shared" si="23"/>
        <v>0.3481771988645278</v>
      </c>
      <c r="AB40" s="68">
        <f>Scale!C40</f>
        <v>0</v>
      </c>
    </row>
    <row r="41" spans="1:28" x14ac:dyDescent="0.25">
      <c r="A41" s="70">
        <f t="shared" si="24"/>
        <v>43030</v>
      </c>
      <c r="B41" s="71">
        <f t="shared" si="25"/>
        <v>39</v>
      </c>
      <c r="C41" s="72">
        <f t="shared" si="26"/>
        <v>188.1196748727445</v>
      </c>
      <c r="D41" s="72">
        <f t="shared" si="27"/>
        <v>149.15752316754944</v>
      </c>
      <c r="E41" s="73">
        <f t="shared" si="16"/>
        <v>38.962151705195055</v>
      </c>
      <c r="F41" s="61"/>
      <c r="G41" s="74">
        <f>C41*TDEE!$B$5</f>
        <v>2340.7736696398133</v>
      </c>
      <c r="H41" s="72">
        <f t="shared" si="28"/>
        <v>1207.8267028610467</v>
      </c>
      <c r="I41" s="72">
        <f t="shared" si="29"/>
        <v>1132.9469667787666</v>
      </c>
      <c r="J41" s="63">
        <f t="shared" si="17"/>
        <v>0.34509334367458477</v>
      </c>
      <c r="K41" s="72">
        <f t="shared" si="18"/>
        <v>63.960321404734259</v>
      </c>
      <c r="L41" s="72">
        <v>20</v>
      </c>
      <c r="M41" s="59">
        <f>Protein_Amt!$B$6</f>
        <v>119.32601853403956</v>
      </c>
      <c r="N41" s="72">
        <f t="shared" si="19"/>
        <v>575.64289264260833</v>
      </c>
      <c r="O41" s="72">
        <f t="shared" si="20"/>
        <v>80</v>
      </c>
      <c r="P41" s="72">
        <f t="shared" si="21"/>
        <v>477.30407413615825</v>
      </c>
      <c r="Q41" s="73">
        <f t="shared" si="22"/>
        <v>1132.9469667787666</v>
      </c>
      <c r="S41" s="75">
        <f>VLOOKUP($A41,FoodLog!$A$1:$Z$10007,12,0)</f>
        <v>0</v>
      </c>
      <c r="T41" s="75">
        <f>VLOOKUP($A41,FoodLog!$A$1:$Z$10007,13,0)</f>
        <v>0</v>
      </c>
      <c r="U41" s="75">
        <f>VLOOKUP($A41,FoodLog!$A$1:$Z$10007,14,0)</f>
        <v>0</v>
      </c>
      <c r="V41" s="75">
        <f>VLOOKUP($A41,FoodLog!$A$1:$Z$10007,15,0)</f>
        <v>0</v>
      </c>
      <c r="W41" s="75">
        <f>VLOOKUP($A41,FoodLog!$A$1:$Z$10007,16,0)</f>
        <v>575.64289264260833</v>
      </c>
      <c r="X41" s="75">
        <f>VLOOKUP($A41,FoodLog!$A$1:$Z$10007,17,0)</f>
        <v>80</v>
      </c>
      <c r="Y41" s="75">
        <f>VLOOKUP($A41,FoodLog!$A$1:$Z$10007,18,0)</f>
        <v>477.30407413615825</v>
      </c>
      <c r="Z41" s="75">
        <f>VLOOKUP($A41,FoodLog!$A$1:$Z$10007,19,0)</f>
        <v>1132.9469667787666</v>
      </c>
      <c r="AA41" s="67">
        <f t="shared" si="23"/>
        <v>0.34509334367458477</v>
      </c>
      <c r="AB41" s="68">
        <f>Scale!C41</f>
        <v>0</v>
      </c>
    </row>
    <row r="42" spans="1:28" x14ac:dyDescent="0.25">
      <c r="A42" s="70">
        <f t="shared" si="24"/>
        <v>43031</v>
      </c>
      <c r="B42" s="71">
        <f t="shared" si="25"/>
        <v>40</v>
      </c>
      <c r="C42" s="72">
        <f t="shared" si="26"/>
        <v>187.77458152906991</v>
      </c>
      <c r="D42" s="72">
        <f t="shared" si="27"/>
        <v>149.15752316754944</v>
      </c>
      <c r="E42" s="73">
        <f t="shared" si="16"/>
        <v>38.617058361520463</v>
      </c>
      <c r="F42" s="61"/>
      <c r="G42" s="74">
        <f>C42*TDEE!$B$5</f>
        <v>2336.4796721459952</v>
      </c>
      <c r="H42" s="72">
        <f t="shared" si="28"/>
        <v>1197.1288092071343</v>
      </c>
      <c r="I42" s="72">
        <f t="shared" si="29"/>
        <v>1139.3508629388609</v>
      </c>
      <c r="J42" s="63">
        <f t="shared" si="17"/>
        <v>0.34203680263060982</v>
      </c>
      <c r="K42" s="72">
        <f t="shared" si="18"/>
        <v>64.671865422522515</v>
      </c>
      <c r="L42" s="72">
        <v>20</v>
      </c>
      <c r="M42" s="59">
        <f>Protein_Amt!$B$6</f>
        <v>119.32601853403956</v>
      </c>
      <c r="N42" s="72">
        <f t="shared" si="19"/>
        <v>582.04678880270262</v>
      </c>
      <c r="O42" s="72">
        <f t="shared" si="20"/>
        <v>80</v>
      </c>
      <c r="P42" s="72">
        <f t="shared" si="21"/>
        <v>477.30407413615825</v>
      </c>
      <c r="Q42" s="73">
        <f t="shared" si="22"/>
        <v>1139.3508629388609</v>
      </c>
      <c r="S42" s="75">
        <f>VLOOKUP($A42,FoodLog!$A$1:$Z$10007,12,0)</f>
        <v>0</v>
      </c>
      <c r="T42" s="75">
        <f>VLOOKUP($A42,FoodLog!$A$1:$Z$10007,13,0)</f>
        <v>0</v>
      </c>
      <c r="U42" s="75">
        <f>VLOOKUP($A42,FoodLog!$A$1:$Z$10007,14,0)</f>
        <v>0</v>
      </c>
      <c r="V42" s="75">
        <f>VLOOKUP($A42,FoodLog!$A$1:$Z$10007,15,0)</f>
        <v>0</v>
      </c>
      <c r="W42" s="75">
        <f>VLOOKUP($A42,FoodLog!$A$1:$Z$10007,16,0)</f>
        <v>582.04678880270262</v>
      </c>
      <c r="X42" s="75">
        <f>VLOOKUP($A42,FoodLog!$A$1:$Z$10007,17,0)</f>
        <v>80</v>
      </c>
      <c r="Y42" s="75">
        <f>VLOOKUP($A42,FoodLog!$A$1:$Z$10007,18,0)</f>
        <v>477.30407413615825</v>
      </c>
      <c r="Z42" s="75">
        <f>VLOOKUP($A42,FoodLog!$A$1:$Z$10007,19,0)</f>
        <v>1139.3508629388609</v>
      </c>
      <c r="AA42" s="67">
        <f t="shared" si="23"/>
        <v>0.34203680263060982</v>
      </c>
      <c r="AB42" s="68">
        <f>Scale!C42</f>
        <v>0</v>
      </c>
    </row>
    <row r="43" spans="1:28" x14ac:dyDescent="0.25">
      <c r="A43" s="70">
        <f t="shared" si="24"/>
        <v>43032</v>
      </c>
      <c r="B43" s="71">
        <f t="shared" si="25"/>
        <v>41</v>
      </c>
      <c r="C43" s="72">
        <f t="shared" si="26"/>
        <v>187.43254472643929</v>
      </c>
      <c r="D43" s="72">
        <f t="shared" si="27"/>
        <v>149.15752316754944</v>
      </c>
      <c r="E43" s="73">
        <f t="shared" si="16"/>
        <v>38.275021558889847</v>
      </c>
      <c r="F43" s="61"/>
      <c r="G43" s="74">
        <f>C43*TDEE!$B$5</f>
        <v>2332.2237072014082</v>
      </c>
      <c r="H43" s="72">
        <f t="shared" si="28"/>
        <v>1186.5256683255852</v>
      </c>
      <c r="I43" s="72">
        <f t="shared" si="29"/>
        <v>1145.6980388758229</v>
      </c>
      <c r="J43" s="63">
        <f t="shared" si="17"/>
        <v>0.33900733380731007</v>
      </c>
      <c r="K43" s="72">
        <f t="shared" si="18"/>
        <v>65.377107193296069</v>
      </c>
      <c r="L43" s="72">
        <v>20</v>
      </c>
      <c r="M43" s="59">
        <f>Protein_Amt!$B$6</f>
        <v>119.32601853403956</v>
      </c>
      <c r="N43" s="72">
        <f t="shared" si="19"/>
        <v>588.39396473966463</v>
      </c>
      <c r="O43" s="72">
        <f t="shared" si="20"/>
        <v>80</v>
      </c>
      <c r="P43" s="72">
        <f t="shared" si="21"/>
        <v>477.30407413615825</v>
      </c>
      <c r="Q43" s="73">
        <f t="shared" si="22"/>
        <v>1145.6980388758229</v>
      </c>
      <c r="S43" s="75">
        <f>VLOOKUP($A43,FoodLog!$A$1:$Z$10007,12,0)</f>
        <v>0</v>
      </c>
      <c r="T43" s="75">
        <f>VLOOKUP($A43,FoodLog!$A$1:$Z$10007,13,0)</f>
        <v>0</v>
      </c>
      <c r="U43" s="75">
        <f>VLOOKUP($A43,FoodLog!$A$1:$Z$10007,14,0)</f>
        <v>0</v>
      </c>
      <c r="V43" s="75">
        <f>VLOOKUP($A43,FoodLog!$A$1:$Z$10007,15,0)</f>
        <v>0</v>
      </c>
      <c r="W43" s="75">
        <f>VLOOKUP($A43,FoodLog!$A$1:$Z$10007,16,0)</f>
        <v>588.39396473966463</v>
      </c>
      <c r="X43" s="75">
        <f>VLOOKUP($A43,FoodLog!$A$1:$Z$10007,17,0)</f>
        <v>80</v>
      </c>
      <c r="Y43" s="75">
        <f>VLOOKUP($A43,FoodLog!$A$1:$Z$10007,18,0)</f>
        <v>477.30407413615825</v>
      </c>
      <c r="Z43" s="75">
        <f>VLOOKUP($A43,FoodLog!$A$1:$Z$10007,19,0)</f>
        <v>1145.6980388758229</v>
      </c>
      <c r="AA43" s="67">
        <f t="shared" si="23"/>
        <v>0.33900733380731007</v>
      </c>
      <c r="AB43" s="68">
        <f>Scale!C43</f>
        <v>0</v>
      </c>
    </row>
    <row r="44" spans="1:28" x14ac:dyDescent="0.25">
      <c r="A44" s="70">
        <f t="shared" si="24"/>
        <v>43033</v>
      </c>
      <c r="B44" s="71">
        <f t="shared" si="25"/>
        <v>42</v>
      </c>
      <c r="C44" s="72">
        <f t="shared" si="26"/>
        <v>187.09353739263199</v>
      </c>
      <c r="D44" s="72">
        <f t="shared" si="27"/>
        <v>149.15752316754944</v>
      </c>
      <c r="E44" s="73">
        <f t="shared" si="16"/>
        <v>37.936014225082545</v>
      </c>
      <c r="F44" s="61"/>
      <c r="G44" s="74">
        <f>C44*TDEE!$B$5</f>
        <v>2328.0054379463304</v>
      </c>
      <c r="H44" s="72">
        <f t="shared" si="28"/>
        <v>1176.0164409775589</v>
      </c>
      <c r="I44" s="72">
        <f t="shared" si="29"/>
        <v>1151.9889969687715</v>
      </c>
      <c r="J44" s="63">
        <f t="shared" si="17"/>
        <v>0.33600469742215966</v>
      </c>
      <c r="K44" s="72">
        <f t="shared" si="18"/>
        <v>66.076102536957023</v>
      </c>
      <c r="L44" s="72">
        <v>20</v>
      </c>
      <c r="M44" s="59">
        <f>Protein_Amt!$B$6</f>
        <v>119.32601853403956</v>
      </c>
      <c r="N44" s="72">
        <f t="shared" si="19"/>
        <v>594.68492283261321</v>
      </c>
      <c r="O44" s="72">
        <f t="shared" si="20"/>
        <v>80</v>
      </c>
      <c r="P44" s="72">
        <f t="shared" si="21"/>
        <v>477.30407413615825</v>
      </c>
      <c r="Q44" s="73">
        <f t="shared" si="22"/>
        <v>1151.9889969687715</v>
      </c>
      <c r="S44" s="75">
        <f>VLOOKUP($A44,FoodLog!$A$1:$Z$10007,12,0)</f>
        <v>0</v>
      </c>
      <c r="T44" s="75">
        <f>VLOOKUP($A44,FoodLog!$A$1:$Z$10007,13,0)</f>
        <v>0</v>
      </c>
      <c r="U44" s="75">
        <f>VLOOKUP($A44,FoodLog!$A$1:$Z$10007,14,0)</f>
        <v>0</v>
      </c>
      <c r="V44" s="75">
        <f>VLOOKUP($A44,FoodLog!$A$1:$Z$10007,15,0)</f>
        <v>0</v>
      </c>
      <c r="W44" s="75">
        <f>VLOOKUP($A44,FoodLog!$A$1:$Z$10007,16,0)</f>
        <v>594.68492283261321</v>
      </c>
      <c r="X44" s="75">
        <f>VLOOKUP($A44,FoodLog!$A$1:$Z$10007,17,0)</f>
        <v>80</v>
      </c>
      <c r="Y44" s="75">
        <f>VLOOKUP($A44,FoodLog!$A$1:$Z$10007,18,0)</f>
        <v>477.30407413615825</v>
      </c>
      <c r="Z44" s="75">
        <f>VLOOKUP($A44,FoodLog!$A$1:$Z$10007,19,0)</f>
        <v>1151.9889969687715</v>
      </c>
      <c r="AA44" s="67">
        <f t="shared" si="23"/>
        <v>0.33600469742215966</v>
      </c>
      <c r="AB44" s="68">
        <f>Scale!C44</f>
        <v>0</v>
      </c>
    </row>
    <row r="45" spans="1:28" x14ac:dyDescent="0.25">
      <c r="A45" s="70">
        <f t="shared" si="24"/>
        <v>43034</v>
      </c>
      <c r="B45" s="71">
        <f t="shared" si="25"/>
        <v>43</v>
      </c>
      <c r="C45" s="72">
        <f t="shared" si="26"/>
        <v>186.75753269520982</v>
      </c>
      <c r="D45" s="72">
        <f t="shared" si="27"/>
        <v>149.15752316754944</v>
      </c>
      <c r="E45" s="73">
        <f t="shared" si="16"/>
        <v>37.600009527660376</v>
      </c>
      <c r="F45" s="61"/>
      <c r="G45" s="74">
        <f>C45*TDEE!$B$5</f>
        <v>2323.8245305046544</v>
      </c>
      <c r="H45" s="72">
        <f t="shared" si="28"/>
        <v>1165.6002953574716</v>
      </c>
      <c r="I45" s="72">
        <f t="shared" si="29"/>
        <v>1158.2242351471828</v>
      </c>
      <c r="J45" s="63">
        <f t="shared" si="17"/>
        <v>0.33302865581642044</v>
      </c>
      <c r="K45" s="72">
        <f t="shared" si="18"/>
        <v>66.76890677900272</v>
      </c>
      <c r="L45" s="72">
        <v>20</v>
      </c>
      <c r="M45" s="59">
        <f>Protein_Amt!$B$6</f>
        <v>119.32601853403956</v>
      </c>
      <c r="N45" s="72">
        <f t="shared" si="19"/>
        <v>600.92016101102445</v>
      </c>
      <c r="O45" s="72">
        <f t="shared" si="20"/>
        <v>80</v>
      </c>
      <c r="P45" s="72">
        <f t="shared" si="21"/>
        <v>477.30407413615825</v>
      </c>
      <c r="Q45" s="73">
        <f t="shared" si="22"/>
        <v>1158.2242351471828</v>
      </c>
      <c r="S45" s="75">
        <f>VLOOKUP($A45,FoodLog!$A$1:$Z$10007,12,0)</f>
        <v>0</v>
      </c>
      <c r="T45" s="75">
        <f>VLOOKUP($A45,FoodLog!$A$1:$Z$10007,13,0)</f>
        <v>0</v>
      </c>
      <c r="U45" s="75">
        <f>VLOOKUP($A45,FoodLog!$A$1:$Z$10007,14,0)</f>
        <v>0</v>
      </c>
      <c r="V45" s="75">
        <f>VLOOKUP($A45,FoodLog!$A$1:$Z$10007,15,0)</f>
        <v>0</v>
      </c>
      <c r="W45" s="75">
        <f>VLOOKUP($A45,FoodLog!$A$1:$Z$10007,16,0)</f>
        <v>600.92016101102445</v>
      </c>
      <c r="X45" s="75">
        <f>VLOOKUP($A45,FoodLog!$A$1:$Z$10007,17,0)</f>
        <v>80</v>
      </c>
      <c r="Y45" s="75">
        <f>VLOOKUP($A45,FoodLog!$A$1:$Z$10007,18,0)</f>
        <v>477.30407413615825</v>
      </c>
      <c r="Z45" s="75">
        <f>VLOOKUP($A45,FoodLog!$A$1:$Z$10007,19,0)</f>
        <v>1158.2242351471828</v>
      </c>
      <c r="AA45" s="67">
        <f t="shared" si="23"/>
        <v>0.33302865581642044</v>
      </c>
      <c r="AB45" s="68">
        <f>Scale!C45</f>
        <v>0</v>
      </c>
    </row>
    <row r="46" spans="1:28" x14ac:dyDescent="0.25">
      <c r="A46" s="70">
        <f t="shared" si="24"/>
        <v>43035</v>
      </c>
      <c r="B46" s="71">
        <f t="shared" si="25"/>
        <v>44</v>
      </c>
      <c r="C46" s="72">
        <f t="shared" si="26"/>
        <v>186.42450403939338</v>
      </c>
      <c r="D46" s="72">
        <f t="shared" si="27"/>
        <v>149.15752316754944</v>
      </c>
      <c r="E46" s="73">
        <f t="shared" si="16"/>
        <v>37.266980871843941</v>
      </c>
      <c r="F46" s="61"/>
      <c r="G46" s="74">
        <f>C46*TDEE!$B$5</f>
        <v>2319.6806539574618</v>
      </c>
      <c r="H46" s="72">
        <f t="shared" si="28"/>
        <v>1155.2764070271621</v>
      </c>
      <c r="I46" s="72">
        <f t="shared" si="29"/>
        <v>1164.4042469302997</v>
      </c>
      <c r="J46" s="63">
        <f t="shared" si="17"/>
        <v>0.33007897343633202</v>
      </c>
      <c r="K46" s="72">
        <f t="shared" si="18"/>
        <v>67.455574754904603</v>
      </c>
      <c r="L46" s="72">
        <v>20</v>
      </c>
      <c r="M46" s="59">
        <f>Protein_Amt!$B$6</f>
        <v>119.32601853403956</v>
      </c>
      <c r="N46" s="72">
        <f t="shared" si="19"/>
        <v>607.10017279414137</v>
      </c>
      <c r="O46" s="72">
        <f t="shared" si="20"/>
        <v>80</v>
      </c>
      <c r="P46" s="72">
        <f t="shared" si="21"/>
        <v>477.30407413615825</v>
      </c>
      <c r="Q46" s="73">
        <f t="shared" si="22"/>
        <v>1164.4042469302997</v>
      </c>
      <c r="S46" s="75">
        <f>VLOOKUP($A46,FoodLog!$A$1:$Z$10007,12,0)</f>
        <v>0</v>
      </c>
      <c r="T46" s="75">
        <f>VLOOKUP($A46,FoodLog!$A$1:$Z$10007,13,0)</f>
        <v>0</v>
      </c>
      <c r="U46" s="75">
        <f>VLOOKUP($A46,FoodLog!$A$1:$Z$10007,14,0)</f>
        <v>0</v>
      </c>
      <c r="V46" s="75">
        <f>VLOOKUP($A46,FoodLog!$A$1:$Z$10007,15,0)</f>
        <v>0</v>
      </c>
      <c r="W46" s="75">
        <f>VLOOKUP($A46,FoodLog!$A$1:$Z$10007,16,0)</f>
        <v>607.10017279414137</v>
      </c>
      <c r="X46" s="75">
        <f>VLOOKUP($A46,FoodLog!$A$1:$Z$10007,17,0)</f>
        <v>80</v>
      </c>
      <c r="Y46" s="75">
        <f>VLOOKUP($A46,FoodLog!$A$1:$Z$10007,18,0)</f>
        <v>477.30407413615825</v>
      </c>
      <c r="Z46" s="75">
        <f>VLOOKUP($A46,FoodLog!$A$1:$Z$10007,19,0)</f>
        <v>1164.4042469302997</v>
      </c>
      <c r="AA46" s="67">
        <f t="shared" si="23"/>
        <v>0.33007897343633202</v>
      </c>
      <c r="AB46" s="68">
        <f>Scale!C46</f>
        <v>0</v>
      </c>
    </row>
    <row r="47" spans="1:28" x14ac:dyDescent="0.25">
      <c r="A47" s="70">
        <f t="shared" si="24"/>
        <v>43036</v>
      </c>
      <c r="B47" s="71">
        <f t="shared" si="25"/>
        <v>45</v>
      </c>
      <c r="C47" s="72">
        <f t="shared" si="26"/>
        <v>186.09442506595704</v>
      </c>
      <c r="D47" s="72">
        <f t="shared" si="27"/>
        <v>149.15752316754944</v>
      </c>
      <c r="E47" s="73">
        <f t="shared" si="16"/>
        <v>36.936901898407598</v>
      </c>
      <c r="F47" s="61"/>
      <c r="G47" s="74">
        <f>C47*TDEE!$B$5</f>
        <v>2315.5734803168302</v>
      </c>
      <c r="H47" s="72">
        <f t="shared" si="28"/>
        <v>1145.0439588506356</v>
      </c>
      <c r="I47" s="72">
        <f t="shared" si="29"/>
        <v>1170.5295214661946</v>
      </c>
      <c r="J47" s="63">
        <f t="shared" si="17"/>
        <v>0.3271554168144673</v>
      </c>
      <c r="K47" s="72">
        <f t="shared" si="18"/>
        <v>68.136160814448488</v>
      </c>
      <c r="L47" s="72">
        <v>20</v>
      </c>
      <c r="M47" s="59">
        <f>Protein_Amt!$B$6</f>
        <v>119.32601853403956</v>
      </c>
      <c r="N47" s="72">
        <f t="shared" si="19"/>
        <v>613.22544733003633</v>
      </c>
      <c r="O47" s="72">
        <f t="shared" si="20"/>
        <v>80</v>
      </c>
      <c r="P47" s="72">
        <f t="shared" si="21"/>
        <v>477.30407413615825</v>
      </c>
      <c r="Q47" s="73">
        <f t="shared" si="22"/>
        <v>1170.5295214661946</v>
      </c>
      <c r="S47" s="75">
        <f>VLOOKUP($A47,FoodLog!$A$1:$Z$10007,12,0)</f>
        <v>0</v>
      </c>
      <c r="T47" s="75">
        <f>VLOOKUP($A47,FoodLog!$A$1:$Z$10007,13,0)</f>
        <v>0</v>
      </c>
      <c r="U47" s="75">
        <f>VLOOKUP($A47,FoodLog!$A$1:$Z$10007,14,0)</f>
        <v>0</v>
      </c>
      <c r="V47" s="75">
        <f>VLOOKUP($A47,FoodLog!$A$1:$Z$10007,15,0)</f>
        <v>0</v>
      </c>
      <c r="W47" s="75">
        <f>VLOOKUP($A47,FoodLog!$A$1:$Z$10007,16,0)</f>
        <v>613.22544733003633</v>
      </c>
      <c r="X47" s="75">
        <f>VLOOKUP($A47,FoodLog!$A$1:$Z$10007,17,0)</f>
        <v>80</v>
      </c>
      <c r="Y47" s="75">
        <f>VLOOKUP($A47,FoodLog!$A$1:$Z$10007,18,0)</f>
        <v>477.30407413615825</v>
      </c>
      <c r="Z47" s="75">
        <f>VLOOKUP($A47,FoodLog!$A$1:$Z$10007,19,0)</f>
        <v>1170.5295214661946</v>
      </c>
      <c r="AA47" s="67">
        <f t="shared" si="23"/>
        <v>0.3271554168144673</v>
      </c>
      <c r="AB47" s="68">
        <f>Scale!C47</f>
        <v>0</v>
      </c>
    </row>
    <row r="48" spans="1:28" x14ac:dyDescent="0.25">
      <c r="A48" s="70">
        <f t="shared" si="24"/>
        <v>43037</v>
      </c>
      <c r="B48" s="71">
        <f t="shared" si="25"/>
        <v>46</v>
      </c>
      <c r="C48" s="72">
        <f t="shared" si="26"/>
        <v>185.76726964914258</v>
      </c>
      <c r="D48" s="72">
        <f t="shared" si="27"/>
        <v>149.15752316754944</v>
      </c>
      <c r="E48" s="73">
        <f t="shared" si="16"/>
        <v>36.609746481593135</v>
      </c>
      <c r="F48" s="61"/>
      <c r="G48" s="74">
        <f>C48*TDEE!$B$5</f>
        <v>2311.5026844998729</v>
      </c>
      <c r="H48" s="72">
        <f t="shared" si="28"/>
        <v>1134.9021409293871</v>
      </c>
      <c r="I48" s="72">
        <f t="shared" si="29"/>
        <v>1176.6005435704858</v>
      </c>
      <c r="J48" s="63">
        <f t="shared" si="17"/>
        <v>0.32425775455125344</v>
      </c>
      <c r="K48" s="72">
        <f t="shared" si="18"/>
        <v>68.810718826036393</v>
      </c>
      <c r="L48" s="72">
        <v>20</v>
      </c>
      <c r="M48" s="59">
        <f>Protein_Amt!$B$6</f>
        <v>119.32601853403956</v>
      </c>
      <c r="N48" s="72">
        <f t="shared" si="19"/>
        <v>619.29646943432749</v>
      </c>
      <c r="O48" s="72">
        <f t="shared" si="20"/>
        <v>80</v>
      </c>
      <c r="P48" s="72">
        <f t="shared" si="21"/>
        <v>477.30407413615825</v>
      </c>
      <c r="Q48" s="73">
        <f t="shared" si="22"/>
        <v>1176.6005435704858</v>
      </c>
      <c r="S48" s="75">
        <f>VLOOKUP($A48,FoodLog!$A$1:$Z$10007,12,0)</f>
        <v>0</v>
      </c>
      <c r="T48" s="75">
        <f>VLOOKUP($A48,FoodLog!$A$1:$Z$10007,13,0)</f>
        <v>0</v>
      </c>
      <c r="U48" s="75">
        <f>VLOOKUP($A48,FoodLog!$A$1:$Z$10007,14,0)</f>
        <v>0</v>
      </c>
      <c r="V48" s="75">
        <f>VLOOKUP($A48,FoodLog!$A$1:$Z$10007,15,0)</f>
        <v>0</v>
      </c>
      <c r="W48" s="75">
        <f>VLOOKUP($A48,FoodLog!$A$1:$Z$10007,16,0)</f>
        <v>619.29646943432749</v>
      </c>
      <c r="X48" s="75">
        <f>VLOOKUP($A48,FoodLog!$A$1:$Z$10007,17,0)</f>
        <v>80</v>
      </c>
      <c r="Y48" s="75">
        <f>VLOOKUP($A48,FoodLog!$A$1:$Z$10007,18,0)</f>
        <v>477.30407413615825</v>
      </c>
      <c r="Z48" s="75">
        <f>VLOOKUP($A48,FoodLog!$A$1:$Z$10007,19,0)</f>
        <v>1176.6005435704858</v>
      </c>
      <c r="AA48" s="67">
        <f t="shared" si="23"/>
        <v>0.32425775455125344</v>
      </c>
      <c r="AB48" s="68">
        <f>Scale!C48</f>
        <v>0</v>
      </c>
    </row>
    <row r="49" spans="1:28" x14ac:dyDescent="0.25">
      <c r="A49" s="70">
        <f t="shared" si="24"/>
        <v>43038</v>
      </c>
      <c r="B49" s="71">
        <f t="shared" si="25"/>
        <v>47</v>
      </c>
      <c r="C49" s="72">
        <f t="shared" si="26"/>
        <v>185.44301189459134</v>
      </c>
      <c r="D49" s="72">
        <f t="shared" si="27"/>
        <v>149.15752316754944</v>
      </c>
      <c r="E49" s="73">
        <f t="shared" si="16"/>
        <v>36.285488727041894</v>
      </c>
      <c r="F49" s="61"/>
      <c r="G49" s="74">
        <f>C49*TDEE!$B$5</f>
        <v>2307.4679443030086</v>
      </c>
      <c r="H49" s="72">
        <f t="shared" si="28"/>
        <v>1124.8501505382987</v>
      </c>
      <c r="I49" s="72">
        <f t="shared" si="29"/>
        <v>1182.6177937647099</v>
      </c>
      <c r="J49" s="63">
        <f t="shared" si="17"/>
        <v>0.3213857572966568</v>
      </c>
      <c r="K49" s="72">
        <f t="shared" si="18"/>
        <v>69.479302180950171</v>
      </c>
      <c r="L49" s="72">
        <v>20</v>
      </c>
      <c r="M49" s="59">
        <f>Protein_Amt!$B$6</f>
        <v>119.32601853403956</v>
      </c>
      <c r="N49" s="72">
        <f t="shared" si="19"/>
        <v>625.31371962855155</v>
      </c>
      <c r="O49" s="72">
        <f t="shared" si="20"/>
        <v>80</v>
      </c>
      <c r="P49" s="72">
        <f t="shared" si="21"/>
        <v>477.30407413615825</v>
      </c>
      <c r="Q49" s="73">
        <f t="shared" si="22"/>
        <v>1182.6177937647099</v>
      </c>
      <c r="S49" s="75">
        <f>VLOOKUP($A49,FoodLog!$A$1:$Z$10007,12,0)</f>
        <v>0</v>
      </c>
      <c r="T49" s="75">
        <f>VLOOKUP($A49,FoodLog!$A$1:$Z$10007,13,0)</f>
        <v>0</v>
      </c>
      <c r="U49" s="75">
        <f>VLOOKUP($A49,FoodLog!$A$1:$Z$10007,14,0)</f>
        <v>0</v>
      </c>
      <c r="V49" s="75">
        <f>VLOOKUP($A49,FoodLog!$A$1:$Z$10007,15,0)</f>
        <v>0</v>
      </c>
      <c r="W49" s="75">
        <f>VLOOKUP($A49,FoodLog!$A$1:$Z$10007,16,0)</f>
        <v>625.31371962855155</v>
      </c>
      <c r="X49" s="75">
        <f>VLOOKUP($A49,FoodLog!$A$1:$Z$10007,17,0)</f>
        <v>80</v>
      </c>
      <c r="Y49" s="75">
        <f>VLOOKUP($A49,FoodLog!$A$1:$Z$10007,18,0)</f>
        <v>477.30407413615825</v>
      </c>
      <c r="Z49" s="75">
        <f>VLOOKUP($A49,FoodLog!$A$1:$Z$10007,19,0)</f>
        <v>1182.6177937647099</v>
      </c>
      <c r="AA49" s="67">
        <f t="shared" si="23"/>
        <v>0.3213857572966568</v>
      </c>
      <c r="AB49" s="68">
        <f>Scale!C49</f>
        <v>0</v>
      </c>
    </row>
    <row r="50" spans="1:28" x14ac:dyDescent="0.25">
      <c r="A50" s="70">
        <f t="shared" si="24"/>
        <v>43039</v>
      </c>
      <c r="B50" s="71">
        <f t="shared" si="25"/>
        <v>48</v>
      </c>
      <c r="C50" s="72">
        <f t="shared" si="26"/>
        <v>185.12162613729467</v>
      </c>
      <c r="D50" s="72">
        <f t="shared" si="27"/>
        <v>149.15752316754944</v>
      </c>
      <c r="E50" s="73">
        <f t="shared" si="16"/>
        <v>35.964102969745227</v>
      </c>
      <c r="F50" s="61"/>
      <c r="G50" s="74">
        <f>C50*TDEE!$B$5</f>
        <v>2303.4689403764592</v>
      </c>
      <c r="H50" s="72">
        <f t="shared" si="28"/>
        <v>1114.887192062102</v>
      </c>
      <c r="I50" s="72">
        <f t="shared" si="29"/>
        <v>1188.5817483143571</v>
      </c>
      <c r="J50" s="63">
        <f t="shared" si="17"/>
        <v>0.31853919773202916</v>
      </c>
      <c r="K50" s="72">
        <f t="shared" si="18"/>
        <v>70.141963797577645</v>
      </c>
      <c r="L50" s="72">
        <v>20</v>
      </c>
      <c r="M50" s="59">
        <f>Protein_Amt!$B$6</f>
        <v>119.32601853403956</v>
      </c>
      <c r="N50" s="72">
        <f t="shared" si="19"/>
        <v>631.27767417819882</v>
      </c>
      <c r="O50" s="72">
        <f t="shared" si="20"/>
        <v>80</v>
      </c>
      <c r="P50" s="72">
        <f t="shared" si="21"/>
        <v>477.30407413615825</v>
      </c>
      <c r="Q50" s="73">
        <f t="shared" si="22"/>
        <v>1188.5817483143571</v>
      </c>
      <c r="S50" s="75">
        <f>VLOOKUP($A50,FoodLog!$A$1:$Z$10007,12,0)</f>
        <v>0</v>
      </c>
      <c r="T50" s="75">
        <f>VLOOKUP($A50,FoodLog!$A$1:$Z$10007,13,0)</f>
        <v>0</v>
      </c>
      <c r="U50" s="75">
        <f>VLOOKUP($A50,FoodLog!$A$1:$Z$10007,14,0)</f>
        <v>0</v>
      </c>
      <c r="V50" s="75">
        <f>VLOOKUP($A50,FoodLog!$A$1:$Z$10007,15,0)</f>
        <v>0</v>
      </c>
      <c r="W50" s="75">
        <f>VLOOKUP($A50,FoodLog!$A$1:$Z$10007,16,0)</f>
        <v>631.27767417819882</v>
      </c>
      <c r="X50" s="75">
        <f>VLOOKUP($A50,FoodLog!$A$1:$Z$10007,17,0)</f>
        <v>80</v>
      </c>
      <c r="Y50" s="75">
        <f>VLOOKUP($A50,FoodLog!$A$1:$Z$10007,18,0)</f>
        <v>477.30407413615825</v>
      </c>
      <c r="Z50" s="75">
        <f>VLOOKUP($A50,FoodLog!$A$1:$Z$10007,19,0)</f>
        <v>1188.5817483143571</v>
      </c>
      <c r="AA50" s="67">
        <f t="shared" si="23"/>
        <v>0.31853919773202916</v>
      </c>
      <c r="AB50" s="68">
        <f>Scale!C50</f>
        <v>0</v>
      </c>
    </row>
    <row r="51" spans="1:28" x14ac:dyDescent="0.25">
      <c r="A51" s="70">
        <f t="shared" si="24"/>
        <v>43040</v>
      </c>
      <c r="B51" s="71">
        <f t="shared" si="25"/>
        <v>49</v>
      </c>
      <c r="C51" s="72">
        <f t="shared" si="26"/>
        <v>184.80308693956263</v>
      </c>
      <c r="D51" s="72">
        <f t="shared" si="27"/>
        <v>149.15752316754944</v>
      </c>
      <c r="E51" s="73">
        <f t="shared" si="16"/>
        <v>35.64556377201319</v>
      </c>
      <c r="F51" s="61"/>
      <c r="G51" s="74">
        <f>C51*TDEE!$B$5</f>
        <v>2299.5053561989739</v>
      </c>
      <c r="H51" s="72">
        <f t="shared" si="28"/>
        <v>1105.0124769324088</v>
      </c>
      <c r="I51" s="72">
        <f t="shared" si="29"/>
        <v>1194.4928792665651</v>
      </c>
      <c r="J51" s="63">
        <f t="shared" si="17"/>
        <v>0.31571785055211682</v>
      </c>
      <c r="K51" s="72">
        <f t="shared" si="18"/>
        <v>70.798756125600747</v>
      </c>
      <c r="L51" s="72">
        <v>20</v>
      </c>
      <c r="M51" s="59">
        <f>Protein_Amt!$B$6</f>
        <v>119.32601853403956</v>
      </c>
      <c r="N51" s="72">
        <f t="shared" si="19"/>
        <v>637.18880513040676</v>
      </c>
      <c r="O51" s="72">
        <f t="shared" si="20"/>
        <v>80</v>
      </c>
      <c r="P51" s="72">
        <f t="shared" si="21"/>
        <v>477.30407413615825</v>
      </c>
      <c r="Q51" s="73">
        <f t="shared" si="22"/>
        <v>1194.4928792665651</v>
      </c>
      <c r="S51" s="75">
        <f>VLOOKUP($A51,FoodLog!$A$1:$Z$10007,12,0)</f>
        <v>0</v>
      </c>
      <c r="T51" s="75">
        <f>VLOOKUP($A51,FoodLog!$A$1:$Z$10007,13,0)</f>
        <v>0</v>
      </c>
      <c r="U51" s="75">
        <f>VLOOKUP($A51,FoodLog!$A$1:$Z$10007,14,0)</f>
        <v>0</v>
      </c>
      <c r="V51" s="75">
        <f>VLOOKUP($A51,FoodLog!$A$1:$Z$10007,15,0)</f>
        <v>0</v>
      </c>
      <c r="W51" s="75">
        <f>VLOOKUP($A51,FoodLog!$A$1:$Z$10007,16,0)</f>
        <v>637.18880513040676</v>
      </c>
      <c r="X51" s="75">
        <f>VLOOKUP($A51,FoodLog!$A$1:$Z$10007,17,0)</f>
        <v>80</v>
      </c>
      <c r="Y51" s="75">
        <f>VLOOKUP($A51,FoodLog!$A$1:$Z$10007,18,0)</f>
        <v>477.30407413615825</v>
      </c>
      <c r="Z51" s="75">
        <f>VLOOKUP($A51,FoodLog!$A$1:$Z$10007,19,0)</f>
        <v>1194.4928792665651</v>
      </c>
      <c r="AA51" s="67">
        <f t="shared" si="23"/>
        <v>0.31571785055211682</v>
      </c>
      <c r="AB51" s="68">
        <f>Scale!C51</f>
        <v>0</v>
      </c>
    </row>
    <row r="52" spans="1:28" x14ac:dyDescent="0.25">
      <c r="A52" s="70">
        <f t="shared" si="24"/>
        <v>43041</v>
      </c>
      <c r="B52" s="71">
        <f t="shared" si="25"/>
        <v>50</v>
      </c>
      <c r="C52" s="72">
        <f t="shared" si="26"/>
        <v>184.48736908901051</v>
      </c>
      <c r="D52" s="72">
        <f t="shared" si="27"/>
        <v>149.15752316754944</v>
      </c>
      <c r="E52" s="73">
        <f t="shared" si="16"/>
        <v>35.329845921461072</v>
      </c>
      <c r="F52" s="61"/>
      <c r="G52" s="74">
        <f>C52*TDEE!$B$5</f>
        <v>2295.5768780527746</v>
      </c>
      <c r="H52" s="72">
        <f t="shared" si="28"/>
        <v>1095.2252235652932</v>
      </c>
      <c r="I52" s="72">
        <f t="shared" si="29"/>
        <v>1200.3516544874815</v>
      </c>
      <c r="J52" s="63">
        <f t="shared" si="17"/>
        <v>0.31292149244722661</v>
      </c>
      <c r="K52" s="72">
        <f t="shared" si="18"/>
        <v>71.449731150147016</v>
      </c>
      <c r="L52" s="72">
        <v>20</v>
      </c>
      <c r="M52" s="59">
        <f>Protein_Amt!$B$6</f>
        <v>119.32601853403956</v>
      </c>
      <c r="N52" s="72">
        <f t="shared" si="19"/>
        <v>643.04758035132318</v>
      </c>
      <c r="O52" s="72">
        <f t="shared" si="20"/>
        <v>80</v>
      </c>
      <c r="P52" s="72">
        <f t="shared" si="21"/>
        <v>477.30407413615825</v>
      </c>
      <c r="Q52" s="73">
        <f t="shared" si="22"/>
        <v>1200.3516544874815</v>
      </c>
      <c r="S52" s="75">
        <f>VLOOKUP($A52,FoodLog!$A$1:$Z$10007,12,0)</f>
        <v>0</v>
      </c>
      <c r="T52" s="75">
        <f>VLOOKUP($A52,FoodLog!$A$1:$Z$10007,13,0)</f>
        <v>0</v>
      </c>
      <c r="U52" s="75">
        <f>VLOOKUP($A52,FoodLog!$A$1:$Z$10007,14,0)</f>
        <v>0</v>
      </c>
      <c r="V52" s="75">
        <f>VLOOKUP($A52,FoodLog!$A$1:$Z$10007,15,0)</f>
        <v>0</v>
      </c>
      <c r="W52" s="75">
        <f>VLOOKUP($A52,FoodLog!$A$1:$Z$10007,16,0)</f>
        <v>643.04758035132318</v>
      </c>
      <c r="X52" s="75">
        <f>VLOOKUP($A52,FoodLog!$A$1:$Z$10007,17,0)</f>
        <v>80</v>
      </c>
      <c r="Y52" s="75">
        <f>VLOOKUP($A52,FoodLog!$A$1:$Z$10007,18,0)</f>
        <v>477.30407413615825</v>
      </c>
      <c r="Z52" s="75">
        <f>VLOOKUP($A52,FoodLog!$A$1:$Z$10007,19,0)</f>
        <v>1200.3516544874815</v>
      </c>
      <c r="AA52" s="67">
        <f t="shared" si="23"/>
        <v>0.31292149244722661</v>
      </c>
      <c r="AB52" s="68">
        <f>Scale!C52</f>
        <v>0</v>
      </c>
    </row>
    <row r="53" spans="1:28" x14ac:dyDescent="0.25">
      <c r="A53" s="70">
        <f t="shared" si="24"/>
        <v>43042</v>
      </c>
      <c r="B53" s="71">
        <f t="shared" si="25"/>
        <v>51</v>
      </c>
      <c r="C53" s="72">
        <f t="shared" si="26"/>
        <v>184.17444759656328</v>
      </c>
      <c r="D53" s="72">
        <f t="shared" si="27"/>
        <v>149.15752316754944</v>
      </c>
      <c r="E53" s="73">
        <f t="shared" si="16"/>
        <v>35.016924429013841</v>
      </c>
      <c r="F53" s="61"/>
      <c r="G53" s="74">
        <f>C53*TDEE!$B$5</f>
        <v>2291.6831949987272</v>
      </c>
      <c r="H53" s="72">
        <f t="shared" si="28"/>
        <v>1085.524657299429</v>
      </c>
      <c r="I53" s="72">
        <f t="shared" si="29"/>
        <v>1206.1585376992982</v>
      </c>
      <c r="J53" s="63">
        <f t="shared" si="17"/>
        <v>0.31014990208555115</v>
      </c>
      <c r="K53" s="72">
        <f t="shared" si="18"/>
        <v>72.09494039590443</v>
      </c>
      <c r="L53" s="72">
        <v>20</v>
      </c>
      <c r="M53" s="59">
        <f>Protein_Amt!$B$6</f>
        <v>119.32601853403956</v>
      </c>
      <c r="N53" s="72">
        <f t="shared" si="19"/>
        <v>648.85446356313992</v>
      </c>
      <c r="O53" s="72">
        <f t="shared" si="20"/>
        <v>80</v>
      </c>
      <c r="P53" s="72">
        <f t="shared" si="21"/>
        <v>477.30407413615825</v>
      </c>
      <c r="Q53" s="73">
        <f t="shared" si="22"/>
        <v>1206.1585376992982</v>
      </c>
      <c r="S53" s="75">
        <f>VLOOKUP($A53,FoodLog!$A$1:$Z$10007,12,0)</f>
        <v>0</v>
      </c>
      <c r="T53" s="75">
        <f>VLOOKUP($A53,FoodLog!$A$1:$Z$10007,13,0)</f>
        <v>0</v>
      </c>
      <c r="U53" s="75">
        <f>VLOOKUP($A53,FoodLog!$A$1:$Z$10007,14,0)</f>
        <v>0</v>
      </c>
      <c r="V53" s="75">
        <f>VLOOKUP($A53,FoodLog!$A$1:$Z$10007,15,0)</f>
        <v>0</v>
      </c>
      <c r="W53" s="75">
        <f>VLOOKUP($A53,FoodLog!$A$1:$Z$10007,16,0)</f>
        <v>648.85446356313992</v>
      </c>
      <c r="X53" s="75">
        <f>VLOOKUP($A53,FoodLog!$A$1:$Z$10007,17,0)</f>
        <v>80</v>
      </c>
      <c r="Y53" s="75">
        <f>VLOOKUP($A53,FoodLog!$A$1:$Z$10007,18,0)</f>
        <v>477.30407413615825</v>
      </c>
      <c r="Z53" s="75">
        <f>VLOOKUP($A53,FoodLog!$A$1:$Z$10007,19,0)</f>
        <v>1206.1585376992982</v>
      </c>
      <c r="AA53" s="67">
        <f t="shared" si="23"/>
        <v>0.31014990208555115</v>
      </c>
      <c r="AB53" s="68">
        <f>Scale!C53</f>
        <v>0</v>
      </c>
    </row>
    <row r="54" spans="1:28" x14ac:dyDescent="0.25">
      <c r="A54" s="70">
        <f t="shared" si="24"/>
        <v>43043</v>
      </c>
      <c r="B54" s="71">
        <f t="shared" si="25"/>
        <v>52</v>
      </c>
      <c r="C54" s="72">
        <f t="shared" si="26"/>
        <v>183.86429769447773</v>
      </c>
      <c r="D54" s="72">
        <f t="shared" si="27"/>
        <v>149.15752316754944</v>
      </c>
      <c r="E54" s="73">
        <f t="shared" si="16"/>
        <v>34.706774526928285</v>
      </c>
      <c r="F54" s="61"/>
      <c r="G54" s="74">
        <f>C54*TDEE!$B$5</f>
        <v>2287.8239988517303</v>
      </c>
      <c r="H54" s="72">
        <f t="shared" si="28"/>
        <v>1075.9100103347769</v>
      </c>
      <c r="I54" s="72">
        <f t="shared" si="29"/>
        <v>1211.9139885169534</v>
      </c>
      <c r="J54" s="63">
        <f t="shared" si="17"/>
        <v>0.30740286009565054</v>
      </c>
      <c r="K54" s="72">
        <f t="shared" si="18"/>
        <v>72.734434931199459</v>
      </c>
      <c r="L54" s="72">
        <v>20</v>
      </c>
      <c r="M54" s="59">
        <f>Protein_Amt!$B$6</f>
        <v>119.32601853403956</v>
      </c>
      <c r="N54" s="72">
        <f t="shared" si="19"/>
        <v>654.60991438079509</v>
      </c>
      <c r="O54" s="72">
        <f t="shared" si="20"/>
        <v>80</v>
      </c>
      <c r="P54" s="72">
        <f t="shared" si="21"/>
        <v>477.30407413615825</v>
      </c>
      <c r="Q54" s="73">
        <f t="shared" si="22"/>
        <v>1211.9139885169534</v>
      </c>
      <c r="S54" s="75">
        <f>VLOOKUP($A54,FoodLog!$A$1:$Z$10007,12,0)</f>
        <v>0</v>
      </c>
      <c r="T54" s="75">
        <f>VLOOKUP($A54,FoodLog!$A$1:$Z$10007,13,0)</f>
        <v>0</v>
      </c>
      <c r="U54" s="75">
        <f>VLOOKUP($A54,FoodLog!$A$1:$Z$10007,14,0)</f>
        <v>0</v>
      </c>
      <c r="V54" s="75">
        <f>VLOOKUP($A54,FoodLog!$A$1:$Z$10007,15,0)</f>
        <v>0</v>
      </c>
      <c r="W54" s="75">
        <f>VLOOKUP($A54,FoodLog!$A$1:$Z$10007,16,0)</f>
        <v>654.60991438079509</v>
      </c>
      <c r="X54" s="75">
        <f>VLOOKUP($A54,FoodLog!$A$1:$Z$10007,17,0)</f>
        <v>80</v>
      </c>
      <c r="Y54" s="75">
        <f>VLOOKUP($A54,FoodLog!$A$1:$Z$10007,18,0)</f>
        <v>477.30407413615825</v>
      </c>
      <c r="Z54" s="75">
        <f>VLOOKUP($A54,FoodLog!$A$1:$Z$10007,19,0)</f>
        <v>1211.9139885169534</v>
      </c>
      <c r="AA54" s="67">
        <f t="shared" si="23"/>
        <v>0.30740286009565054</v>
      </c>
      <c r="AB54" s="68">
        <f>Scale!C54</f>
        <v>0</v>
      </c>
    </row>
    <row r="55" spans="1:28" x14ac:dyDescent="0.25">
      <c r="A55" s="70">
        <f t="shared" si="24"/>
        <v>43044</v>
      </c>
      <c r="B55" s="71">
        <f t="shared" si="25"/>
        <v>53</v>
      </c>
      <c r="C55" s="72">
        <f t="shared" si="26"/>
        <v>183.55689483438206</v>
      </c>
      <c r="D55" s="72">
        <f t="shared" si="27"/>
        <v>149.15752316754944</v>
      </c>
      <c r="E55" s="73">
        <f t="shared" si="16"/>
        <v>34.399371666832621</v>
      </c>
      <c r="F55" s="61"/>
      <c r="G55" s="74">
        <f>C55*TDEE!$B$5</f>
        <v>2283.9989841563211</v>
      </c>
      <c r="H55" s="72">
        <f t="shared" si="28"/>
        <v>1066.3805216718113</v>
      </c>
      <c r="I55" s="72">
        <f t="shared" si="29"/>
        <v>1217.6184624845098</v>
      </c>
      <c r="J55" s="63">
        <f t="shared" si="17"/>
        <v>0.30468014904908891</v>
      </c>
      <c r="K55" s="72">
        <f t="shared" si="18"/>
        <v>73.368265372039048</v>
      </c>
      <c r="L55" s="72">
        <v>20</v>
      </c>
      <c r="M55" s="59">
        <f>Protein_Amt!$B$6</f>
        <v>119.32601853403956</v>
      </c>
      <c r="N55" s="72">
        <f t="shared" si="19"/>
        <v>660.31438834835149</v>
      </c>
      <c r="O55" s="72">
        <f t="shared" si="20"/>
        <v>80</v>
      </c>
      <c r="P55" s="72">
        <f t="shared" si="21"/>
        <v>477.30407413615825</v>
      </c>
      <c r="Q55" s="73">
        <f t="shared" si="22"/>
        <v>1217.6184624845098</v>
      </c>
      <c r="S55" s="75">
        <f>VLOOKUP($A55,FoodLog!$A$1:$Z$10007,12,0)</f>
        <v>0</v>
      </c>
      <c r="T55" s="75">
        <f>VLOOKUP($A55,FoodLog!$A$1:$Z$10007,13,0)</f>
        <v>0</v>
      </c>
      <c r="U55" s="75">
        <f>VLOOKUP($A55,FoodLog!$A$1:$Z$10007,14,0)</f>
        <v>0</v>
      </c>
      <c r="V55" s="75">
        <f>VLOOKUP($A55,FoodLog!$A$1:$Z$10007,15,0)</f>
        <v>0</v>
      </c>
      <c r="W55" s="75">
        <f>VLOOKUP($A55,FoodLog!$A$1:$Z$10007,16,0)</f>
        <v>660.31438834835149</v>
      </c>
      <c r="X55" s="75">
        <f>VLOOKUP($A55,FoodLog!$A$1:$Z$10007,17,0)</f>
        <v>80</v>
      </c>
      <c r="Y55" s="75">
        <f>VLOOKUP($A55,FoodLog!$A$1:$Z$10007,18,0)</f>
        <v>477.30407413615825</v>
      </c>
      <c r="Z55" s="75">
        <f>VLOOKUP($A55,FoodLog!$A$1:$Z$10007,19,0)</f>
        <v>1217.6184624845098</v>
      </c>
      <c r="AA55" s="67">
        <f t="shared" si="23"/>
        <v>0.30468014904908891</v>
      </c>
      <c r="AB55" s="68">
        <f>Scale!C55</f>
        <v>0</v>
      </c>
    </row>
    <row r="56" spans="1:28" x14ac:dyDescent="0.25">
      <c r="A56" s="70">
        <f t="shared" si="24"/>
        <v>43045</v>
      </c>
      <c r="B56" s="71">
        <f t="shared" si="25"/>
        <v>54</v>
      </c>
      <c r="C56" s="72">
        <f t="shared" si="26"/>
        <v>183.25221468533297</v>
      </c>
      <c r="D56" s="72">
        <f t="shared" si="27"/>
        <v>149.15752316754944</v>
      </c>
      <c r="E56" s="73">
        <f t="shared" si="16"/>
        <v>34.094691517783531</v>
      </c>
      <c r="F56" s="61"/>
      <c r="G56" s="74">
        <f>C56*TDEE!$B$5</f>
        <v>2280.2078481624994</v>
      </c>
      <c r="H56" s="72">
        <f t="shared" si="28"/>
        <v>1056.9354370512895</v>
      </c>
      <c r="I56" s="72">
        <f t="shared" si="29"/>
        <v>1223.27241111121</v>
      </c>
      <c r="J56" s="63">
        <f t="shared" si="17"/>
        <v>0.30198155344322558</v>
      </c>
      <c r="K56" s="72">
        <f t="shared" si="18"/>
        <v>73.996481886116854</v>
      </c>
      <c r="L56" s="72">
        <v>20</v>
      </c>
      <c r="M56" s="59">
        <f>Protein_Amt!$B$6</f>
        <v>119.32601853403956</v>
      </c>
      <c r="N56" s="72">
        <f t="shared" si="19"/>
        <v>665.96833697505167</v>
      </c>
      <c r="O56" s="72">
        <f t="shared" si="20"/>
        <v>80</v>
      </c>
      <c r="P56" s="72">
        <f t="shared" si="21"/>
        <v>477.30407413615825</v>
      </c>
      <c r="Q56" s="73">
        <f t="shared" si="22"/>
        <v>1223.27241111121</v>
      </c>
      <c r="S56" s="75">
        <f>VLOOKUP($A56,FoodLog!$A$1:$Z$10007,12,0)</f>
        <v>0</v>
      </c>
      <c r="T56" s="75">
        <f>VLOOKUP($A56,FoodLog!$A$1:$Z$10007,13,0)</f>
        <v>0</v>
      </c>
      <c r="U56" s="75">
        <f>VLOOKUP($A56,FoodLog!$A$1:$Z$10007,14,0)</f>
        <v>0</v>
      </c>
      <c r="V56" s="75">
        <f>VLOOKUP($A56,FoodLog!$A$1:$Z$10007,15,0)</f>
        <v>0</v>
      </c>
      <c r="W56" s="75">
        <f>VLOOKUP($A56,FoodLog!$A$1:$Z$10007,16,0)</f>
        <v>665.96833697505167</v>
      </c>
      <c r="X56" s="75">
        <f>VLOOKUP($A56,FoodLog!$A$1:$Z$10007,17,0)</f>
        <v>80</v>
      </c>
      <c r="Y56" s="75">
        <f>VLOOKUP($A56,FoodLog!$A$1:$Z$10007,18,0)</f>
        <v>477.30407413615825</v>
      </c>
      <c r="Z56" s="75">
        <f>VLOOKUP($A56,FoodLog!$A$1:$Z$10007,19,0)</f>
        <v>1223.27241111121</v>
      </c>
      <c r="AA56" s="67">
        <f t="shared" si="23"/>
        <v>0.30198155344322558</v>
      </c>
      <c r="AB56" s="68">
        <f>Scale!C56</f>
        <v>0</v>
      </c>
    </row>
    <row r="57" spans="1:28" x14ac:dyDescent="0.25">
      <c r="A57" s="70">
        <f t="shared" si="24"/>
        <v>43046</v>
      </c>
      <c r="B57" s="71">
        <f t="shared" si="25"/>
        <v>55</v>
      </c>
      <c r="C57" s="72">
        <f t="shared" si="26"/>
        <v>182.95023313188975</v>
      </c>
      <c r="D57" s="72">
        <f t="shared" si="27"/>
        <v>149.15752316754944</v>
      </c>
      <c r="E57" s="73">
        <f t="shared" si="16"/>
        <v>33.792709964340304</v>
      </c>
      <c r="F57" s="61"/>
      <c r="G57" s="74">
        <f>C57*TDEE!$B$5</f>
        <v>2276.4502908017662</v>
      </c>
      <c r="H57" s="72">
        <f t="shared" si="28"/>
        <v>1047.5740088945495</v>
      </c>
      <c r="I57" s="72">
        <f t="shared" si="29"/>
        <v>1228.8762819072167</v>
      </c>
      <c r="J57" s="63">
        <f t="shared" si="17"/>
        <v>0.29930685968415699</v>
      </c>
      <c r="K57" s="72">
        <f t="shared" si="18"/>
        <v>74.619134196784273</v>
      </c>
      <c r="L57" s="72">
        <v>20</v>
      </c>
      <c r="M57" s="59">
        <f>Protein_Amt!$B$6</f>
        <v>119.32601853403956</v>
      </c>
      <c r="N57" s="72">
        <f t="shared" si="19"/>
        <v>671.5722077710584</v>
      </c>
      <c r="O57" s="72">
        <f t="shared" si="20"/>
        <v>80</v>
      </c>
      <c r="P57" s="72">
        <f t="shared" si="21"/>
        <v>477.30407413615825</v>
      </c>
      <c r="Q57" s="73">
        <f t="shared" si="22"/>
        <v>1228.8762819072167</v>
      </c>
      <c r="S57" s="75">
        <f>VLOOKUP($A57,FoodLog!$A$1:$Z$10007,12,0)</f>
        <v>0</v>
      </c>
      <c r="T57" s="75">
        <f>VLOOKUP($A57,FoodLog!$A$1:$Z$10007,13,0)</f>
        <v>0</v>
      </c>
      <c r="U57" s="75">
        <f>VLOOKUP($A57,FoodLog!$A$1:$Z$10007,14,0)</f>
        <v>0</v>
      </c>
      <c r="V57" s="75">
        <f>VLOOKUP($A57,FoodLog!$A$1:$Z$10007,15,0)</f>
        <v>0</v>
      </c>
      <c r="W57" s="75">
        <f>VLOOKUP($A57,FoodLog!$A$1:$Z$10007,16,0)</f>
        <v>671.5722077710584</v>
      </c>
      <c r="X57" s="75">
        <f>VLOOKUP($A57,FoodLog!$A$1:$Z$10007,17,0)</f>
        <v>80</v>
      </c>
      <c r="Y57" s="75">
        <f>VLOOKUP($A57,FoodLog!$A$1:$Z$10007,18,0)</f>
        <v>477.30407413615825</v>
      </c>
      <c r="Z57" s="75">
        <f>VLOOKUP($A57,FoodLog!$A$1:$Z$10007,19,0)</f>
        <v>1228.8762819072167</v>
      </c>
      <c r="AA57" s="67">
        <f t="shared" si="23"/>
        <v>0.29930685968415699</v>
      </c>
      <c r="AB57" s="68">
        <f>Scale!C57</f>
        <v>0</v>
      </c>
    </row>
    <row r="58" spans="1:28" x14ac:dyDescent="0.25">
      <c r="A58" s="70">
        <f t="shared" si="24"/>
        <v>43047</v>
      </c>
      <c r="B58" s="71">
        <f t="shared" si="25"/>
        <v>56</v>
      </c>
      <c r="C58" s="72">
        <f t="shared" si="26"/>
        <v>182.6509262722056</v>
      </c>
      <c r="D58" s="72">
        <f t="shared" si="27"/>
        <v>149.15752316754944</v>
      </c>
      <c r="E58" s="73">
        <f t="shared" si="16"/>
        <v>33.493403104656153</v>
      </c>
      <c r="F58" s="61"/>
      <c r="G58" s="74">
        <f>C58*TDEE!$B$5</f>
        <v>2272.7260146633707</v>
      </c>
      <c r="H58" s="72">
        <f t="shared" si="28"/>
        <v>1038.2954962443407</v>
      </c>
      <c r="I58" s="72">
        <f t="shared" si="29"/>
        <v>1234.43051841903</v>
      </c>
      <c r="J58" s="63">
        <f t="shared" si="17"/>
        <v>0.29665585606981165</v>
      </c>
      <c r="K58" s="72">
        <f t="shared" si="18"/>
        <v>75.236271586985751</v>
      </c>
      <c r="L58" s="72">
        <v>20</v>
      </c>
      <c r="M58" s="59">
        <f>Protein_Amt!$B$6</f>
        <v>119.32601853403956</v>
      </c>
      <c r="N58" s="72">
        <f t="shared" si="19"/>
        <v>677.12644428287172</v>
      </c>
      <c r="O58" s="72">
        <f t="shared" si="20"/>
        <v>80</v>
      </c>
      <c r="P58" s="72">
        <f t="shared" si="21"/>
        <v>477.30407413615825</v>
      </c>
      <c r="Q58" s="73">
        <f t="shared" si="22"/>
        <v>1234.43051841903</v>
      </c>
      <c r="S58" s="75">
        <f>VLOOKUP($A58,FoodLog!$A$1:$Z$10007,12,0)</f>
        <v>0</v>
      </c>
      <c r="T58" s="75">
        <f>VLOOKUP($A58,FoodLog!$A$1:$Z$10007,13,0)</f>
        <v>0</v>
      </c>
      <c r="U58" s="75">
        <f>VLOOKUP($A58,FoodLog!$A$1:$Z$10007,14,0)</f>
        <v>0</v>
      </c>
      <c r="V58" s="75">
        <f>VLOOKUP($A58,FoodLog!$A$1:$Z$10007,15,0)</f>
        <v>0</v>
      </c>
      <c r="W58" s="75">
        <f>VLOOKUP($A58,FoodLog!$A$1:$Z$10007,16,0)</f>
        <v>677.12644428287172</v>
      </c>
      <c r="X58" s="75">
        <f>VLOOKUP($A58,FoodLog!$A$1:$Z$10007,17,0)</f>
        <v>80</v>
      </c>
      <c r="Y58" s="75">
        <f>VLOOKUP($A58,FoodLog!$A$1:$Z$10007,18,0)</f>
        <v>477.30407413615825</v>
      </c>
      <c r="Z58" s="75">
        <f>VLOOKUP($A58,FoodLog!$A$1:$Z$10007,19,0)</f>
        <v>1234.43051841903</v>
      </c>
      <c r="AA58" s="67">
        <f t="shared" si="23"/>
        <v>0.29665585606981165</v>
      </c>
      <c r="AB58" s="68">
        <f>Scale!C58</f>
        <v>0</v>
      </c>
    </row>
    <row r="59" spans="1:28" x14ac:dyDescent="0.25">
      <c r="A59" s="70">
        <f t="shared" si="24"/>
        <v>43048</v>
      </c>
      <c r="B59" s="71">
        <f t="shared" si="25"/>
        <v>57</v>
      </c>
      <c r="C59" s="72">
        <f t="shared" si="26"/>
        <v>182.35427041613579</v>
      </c>
      <c r="D59" s="72">
        <f t="shared" si="27"/>
        <v>149.15752316754944</v>
      </c>
      <c r="E59" s="73">
        <f t="shared" si="16"/>
        <v>33.196747248586348</v>
      </c>
      <c r="F59" s="61"/>
      <c r="G59" s="74">
        <f>C59*TDEE!$B$5</f>
        <v>2269.0347249707729</v>
      </c>
      <c r="H59" s="72">
        <f t="shared" si="28"/>
        <v>1029.0991647061769</v>
      </c>
      <c r="I59" s="72">
        <f t="shared" si="29"/>
        <v>1239.935560264596</v>
      </c>
      <c r="J59" s="63">
        <f t="shared" si="17"/>
        <v>0.2940283327731934</v>
      </c>
      <c r="K59" s="72">
        <f t="shared" si="18"/>
        <v>75.847942903159748</v>
      </c>
      <c r="L59" s="72">
        <v>20</v>
      </c>
      <c r="M59" s="59">
        <f>Protein_Amt!$B$6</f>
        <v>119.32601853403956</v>
      </c>
      <c r="N59" s="72">
        <f t="shared" si="19"/>
        <v>682.6314861284377</v>
      </c>
      <c r="O59" s="72">
        <f t="shared" si="20"/>
        <v>80</v>
      </c>
      <c r="P59" s="72">
        <f t="shared" si="21"/>
        <v>477.30407413615825</v>
      </c>
      <c r="Q59" s="73">
        <f t="shared" si="22"/>
        <v>1239.935560264596</v>
      </c>
      <c r="S59" s="75">
        <f>VLOOKUP($A59,FoodLog!$A$1:$Z$10007,12,0)</f>
        <v>0</v>
      </c>
      <c r="T59" s="75">
        <f>VLOOKUP($A59,FoodLog!$A$1:$Z$10007,13,0)</f>
        <v>0</v>
      </c>
      <c r="U59" s="75">
        <f>VLOOKUP($A59,FoodLog!$A$1:$Z$10007,14,0)</f>
        <v>0</v>
      </c>
      <c r="V59" s="75">
        <f>VLOOKUP($A59,FoodLog!$A$1:$Z$10007,15,0)</f>
        <v>0</v>
      </c>
      <c r="W59" s="75">
        <f>VLOOKUP($A59,FoodLog!$A$1:$Z$10007,16,0)</f>
        <v>682.6314861284377</v>
      </c>
      <c r="X59" s="75">
        <f>VLOOKUP($A59,FoodLog!$A$1:$Z$10007,17,0)</f>
        <v>80</v>
      </c>
      <c r="Y59" s="75">
        <f>VLOOKUP($A59,FoodLog!$A$1:$Z$10007,18,0)</f>
        <v>477.30407413615825</v>
      </c>
      <c r="Z59" s="75">
        <f>VLOOKUP($A59,FoodLog!$A$1:$Z$10007,19,0)</f>
        <v>1239.935560264596</v>
      </c>
      <c r="AA59" s="67">
        <f t="shared" si="23"/>
        <v>0.2940283327731934</v>
      </c>
      <c r="AB59" s="68">
        <f>Scale!C59</f>
        <v>0</v>
      </c>
    </row>
    <row r="60" spans="1:28" x14ac:dyDescent="0.25">
      <c r="A60" s="70">
        <f t="shared" si="24"/>
        <v>43049</v>
      </c>
      <c r="B60" s="71">
        <f t="shared" si="25"/>
        <v>58</v>
      </c>
      <c r="C60" s="72">
        <f t="shared" si="26"/>
        <v>182.0602420833626</v>
      </c>
      <c r="D60" s="72">
        <f t="shared" si="27"/>
        <v>149.15752316754944</v>
      </c>
      <c r="E60" s="73">
        <f t="shared" si="16"/>
        <v>32.902718915813153</v>
      </c>
      <c r="F60" s="61"/>
      <c r="G60" s="74">
        <f>C60*TDEE!$B$5</f>
        <v>2265.376129558309</v>
      </c>
      <c r="H60" s="72">
        <f t="shared" si="28"/>
        <v>1019.9842863902078</v>
      </c>
      <c r="I60" s="72">
        <f t="shared" si="29"/>
        <v>1245.3918431681013</v>
      </c>
      <c r="J60" s="63">
        <f t="shared" si="17"/>
        <v>0.29142408182577367</v>
      </c>
      <c r="K60" s="72">
        <f t="shared" si="18"/>
        <v>76.454196559104787</v>
      </c>
      <c r="L60" s="72">
        <v>20</v>
      </c>
      <c r="M60" s="59">
        <f>Protein_Amt!$B$6</f>
        <v>119.32601853403956</v>
      </c>
      <c r="N60" s="72">
        <f t="shared" si="19"/>
        <v>688.08776903194303</v>
      </c>
      <c r="O60" s="72">
        <f t="shared" si="20"/>
        <v>80</v>
      </c>
      <c r="P60" s="72">
        <f t="shared" si="21"/>
        <v>477.30407413615825</v>
      </c>
      <c r="Q60" s="73">
        <f t="shared" si="22"/>
        <v>1245.3918431681013</v>
      </c>
      <c r="S60" s="75">
        <f>VLOOKUP($A60,FoodLog!$A$1:$Z$10007,12,0)</f>
        <v>0</v>
      </c>
      <c r="T60" s="75">
        <f>VLOOKUP($A60,FoodLog!$A$1:$Z$10007,13,0)</f>
        <v>0</v>
      </c>
      <c r="U60" s="75">
        <f>VLOOKUP($A60,FoodLog!$A$1:$Z$10007,14,0)</f>
        <v>0</v>
      </c>
      <c r="V60" s="75">
        <f>VLOOKUP($A60,FoodLog!$A$1:$Z$10007,15,0)</f>
        <v>0</v>
      </c>
      <c r="W60" s="75">
        <f>VLOOKUP($A60,FoodLog!$A$1:$Z$10007,16,0)</f>
        <v>688.08776903194303</v>
      </c>
      <c r="X60" s="75">
        <f>VLOOKUP($A60,FoodLog!$A$1:$Z$10007,17,0)</f>
        <v>80</v>
      </c>
      <c r="Y60" s="75">
        <f>VLOOKUP($A60,FoodLog!$A$1:$Z$10007,18,0)</f>
        <v>477.30407413615825</v>
      </c>
      <c r="Z60" s="75">
        <f>VLOOKUP($A60,FoodLog!$A$1:$Z$10007,19,0)</f>
        <v>1245.3918431681013</v>
      </c>
      <c r="AA60" s="67">
        <f t="shared" si="23"/>
        <v>0.29142408182577367</v>
      </c>
      <c r="AB60" s="68">
        <f>Scale!C60</f>
        <v>0</v>
      </c>
    </row>
    <row r="61" spans="1:28" x14ac:dyDescent="0.25">
      <c r="A61" s="70">
        <f t="shared" si="24"/>
        <v>43050</v>
      </c>
      <c r="B61" s="71">
        <f t="shared" si="25"/>
        <v>59</v>
      </c>
      <c r="C61" s="72">
        <f t="shared" si="26"/>
        <v>181.76881800153683</v>
      </c>
      <c r="D61" s="72">
        <f t="shared" si="27"/>
        <v>149.15752316754944</v>
      </c>
      <c r="E61" s="73">
        <f t="shared" si="16"/>
        <v>32.611294833987387</v>
      </c>
      <c r="F61" s="61"/>
      <c r="G61" s="74">
        <f>C61*TDEE!$B$5</f>
        <v>2261.7499388480701</v>
      </c>
      <c r="H61" s="72">
        <f t="shared" si="28"/>
        <v>1010.950139853609</v>
      </c>
      <c r="I61" s="72">
        <f t="shared" si="29"/>
        <v>1250.7997989944611</v>
      </c>
      <c r="J61" s="63">
        <f t="shared" si="17"/>
        <v>0.28884289710103117</v>
      </c>
      <c r="K61" s="72">
        <f t="shared" si="18"/>
        <v>77.055080539811414</v>
      </c>
      <c r="L61" s="72">
        <v>20</v>
      </c>
      <c r="M61" s="59">
        <f>Protein_Amt!$B$6</f>
        <v>119.32601853403956</v>
      </c>
      <c r="N61" s="72">
        <f t="shared" si="19"/>
        <v>693.49572485830276</v>
      </c>
      <c r="O61" s="72">
        <f t="shared" si="20"/>
        <v>80</v>
      </c>
      <c r="P61" s="72">
        <f t="shared" si="21"/>
        <v>477.30407413615825</v>
      </c>
      <c r="Q61" s="73">
        <f t="shared" si="22"/>
        <v>1250.7997989944611</v>
      </c>
      <c r="S61" s="75">
        <f>VLOOKUP($A61,FoodLog!$A$1:$Z$10007,12,0)</f>
        <v>0</v>
      </c>
      <c r="T61" s="75">
        <f>VLOOKUP($A61,FoodLog!$A$1:$Z$10007,13,0)</f>
        <v>0</v>
      </c>
      <c r="U61" s="75">
        <f>VLOOKUP($A61,FoodLog!$A$1:$Z$10007,14,0)</f>
        <v>0</v>
      </c>
      <c r="V61" s="75">
        <f>VLOOKUP($A61,FoodLog!$A$1:$Z$10007,15,0)</f>
        <v>0</v>
      </c>
      <c r="W61" s="75">
        <f>VLOOKUP($A61,FoodLog!$A$1:$Z$10007,16,0)</f>
        <v>693.49572485830276</v>
      </c>
      <c r="X61" s="75">
        <f>VLOOKUP($A61,FoodLog!$A$1:$Z$10007,17,0)</f>
        <v>80</v>
      </c>
      <c r="Y61" s="75">
        <f>VLOOKUP($A61,FoodLog!$A$1:$Z$10007,18,0)</f>
        <v>477.30407413615825</v>
      </c>
      <c r="Z61" s="75">
        <f>VLOOKUP($A61,FoodLog!$A$1:$Z$10007,19,0)</f>
        <v>1250.7997989944611</v>
      </c>
      <c r="AA61" s="67">
        <f t="shared" si="23"/>
        <v>0.28884289710103117</v>
      </c>
      <c r="AB61" s="68">
        <f>Scale!C61</f>
        <v>0</v>
      </c>
    </row>
    <row r="62" spans="1:28" x14ac:dyDescent="0.25">
      <c r="A62" s="70">
        <f t="shared" si="24"/>
        <v>43051</v>
      </c>
      <c r="B62" s="71">
        <f t="shared" si="25"/>
        <v>60</v>
      </c>
      <c r="C62" s="72">
        <f t="shared" si="26"/>
        <v>181.47997510443579</v>
      </c>
      <c r="D62" s="72">
        <f t="shared" si="27"/>
        <v>149.15752316754944</v>
      </c>
      <c r="E62" s="73">
        <f t="shared" si="16"/>
        <v>32.322451936886353</v>
      </c>
      <c r="F62" s="61"/>
      <c r="G62" s="74">
        <f>C62*TDEE!$B$5</f>
        <v>2258.1558658269792</v>
      </c>
      <c r="H62" s="72">
        <f t="shared" si="28"/>
        <v>1001.9960100434769</v>
      </c>
      <c r="I62" s="72">
        <f t="shared" si="29"/>
        <v>1256.1598557835023</v>
      </c>
      <c r="J62" s="63">
        <f t="shared" si="17"/>
        <v>0.28628457429813625</v>
      </c>
      <c r="K62" s="72">
        <f t="shared" si="18"/>
        <v>77.650642405260442</v>
      </c>
      <c r="L62" s="72">
        <v>20</v>
      </c>
      <c r="M62" s="59">
        <f>Protein_Amt!$B$6</f>
        <v>119.32601853403956</v>
      </c>
      <c r="N62" s="72">
        <f t="shared" si="19"/>
        <v>698.85578164734397</v>
      </c>
      <c r="O62" s="72">
        <f t="shared" si="20"/>
        <v>80</v>
      </c>
      <c r="P62" s="72">
        <f t="shared" si="21"/>
        <v>477.30407413615825</v>
      </c>
      <c r="Q62" s="73">
        <f t="shared" si="22"/>
        <v>1256.1598557835023</v>
      </c>
      <c r="S62" s="75">
        <f>VLOOKUP($A62,FoodLog!$A$1:$Z$10007,12,0)</f>
        <v>0</v>
      </c>
      <c r="T62" s="75">
        <f>VLOOKUP($A62,FoodLog!$A$1:$Z$10007,13,0)</f>
        <v>0</v>
      </c>
      <c r="U62" s="75">
        <f>VLOOKUP($A62,FoodLog!$A$1:$Z$10007,14,0)</f>
        <v>0</v>
      </c>
      <c r="V62" s="75">
        <f>VLOOKUP($A62,FoodLog!$A$1:$Z$10007,15,0)</f>
        <v>0</v>
      </c>
      <c r="W62" s="75">
        <f>VLOOKUP($A62,FoodLog!$A$1:$Z$10007,16,0)</f>
        <v>698.85578164734397</v>
      </c>
      <c r="X62" s="75">
        <f>VLOOKUP($A62,FoodLog!$A$1:$Z$10007,17,0)</f>
        <v>80</v>
      </c>
      <c r="Y62" s="75">
        <f>VLOOKUP($A62,FoodLog!$A$1:$Z$10007,18,0)</f>
        <v>477.30407413615825</v>
      </c>
      <c r="Z62" s="75">
        <f>VLOOKUP($A62,FoodLog!$A$1:$Z$10007,19,0)</f>
        <v>1256.1598557835023</v>
      </c>
      <c r="AA62" s="67">
        <f t="shared" si="23"/>
        <v>0.28628457429813625</v>
      </c>
      <c r="AB62" s="68">
        <f>Scale!C62</f>
        <v>0</v>
      </c>
    </row>
    <row r="63" spans="1:28" x14ac:dyDescent="0.25">
      <c r="A63" s="70">
        <f t="shared" si="24"/>
        <v>43052</v>
      </c>
      <c r="B63" s="71">
        <f t="shared" si="25"/>
        <v>61</v>
      </c>
      <c r="C63" s="72">
        <f t="shared" si="26"/>
        <v>181.19369053013767</v>
      </c>
      <c r="D63" s="72">
        <f t="shared" si="27"/>
        <v>149.15752316754944</v>
      </c>
      <c r="E63" s="73">
        <f t="shared" si="16"/>
        <v>32.03616736258823</v>
      </c>
      <c r="F63" s="61"/>
      <c r="G63" s="74">
        <f>C63*TDEE!$B$5</f>
        <v>2254.5936260240746</v>
      </c>
      <c r="H63" s="72">
        <f t="shared" si="28"/>
        <v>993.12118824023514</v>
      </c>
      <c r="I63" s="72">
        <f t="shared" si="29"/>
        <v>1261.4724377838395</v>
      </c>
      <c r="J63" s="63">
        <f t="shared" si="17"/>
        <v>0.28374891092578147</v>
      </c>
      <c r="K63" s="72">
        <f t="shared" si="18"/>
        <v>78.240929294186799</v>
      </c>
      <c r="L63" s="72">
        <v>20</v>
      </c>
      <c r="M63" s="59">
        <f>Protein_Amt!$B$6</f>
        <v>119.32601853403956</v>
      </c>
      <c r="N63" s="72">
        <f t="shared" si="19"/>
        <v>704.16836364768119</v>
      </c>
      <c r="O63" s="72">
        <f t="shared" si="20"/>
        <v>80</v>
      </c>
      <c r="P63" s="72">
        <f t="shared" si="21"/>
        <v>477.30407413615825</v>
      </c>
      <c r="Q63" s="73">
        <f t="shared" si="22"/>
        <v>1261.4724377838395</v>
      </c>
      <c r="S63" s="75">
        <f>VLOOKUP($A63,FoodLog!$A$1:$Z$10007,12,0)</f>
        <v>0</v>
      </c>
      <c r="T63" s="75">
        <f>VLOOKUP($A63,FoodLog!$A$1:$Z$10007,13,0)</f>
        <v>0</v>
      </c>
      <c r="U63" s="75">
        <f>VLOOKUP($A63,FoodLog!$A$1:$Z$10007,14,0)</f>
        <v>0</v>
      </c>
      <c r="V63" s="75">
        <f>VLOOKUP($A63,FoodLog!$A$1:$Z$10007,15,0)</f>
        <v>0</v>
      </c>
      <c r="W63" s="75">
        <f>VLOOKUP($A63,FoodLog!$A$1:$Z$10007,16,0)</f>
        <v>704.16836364768119</v>
      </c>
      <c r="X63" s="75">
        <f>VLOOKUP($A63,FoodLog!$A$1:$Z$10007,17,0)</f>
        <v>80</v>
      </c>
      <c r="Y63" s="75">
        <f>VLOOKUP($A63,FoodLog!$A$1:$Z$10007,18,0)</f>
        <v>477.30407413615825</v>
      </c>
      <c r="Z63" s="75">
        <f>VLOOKUP($A63,FoodLog!$A$1:$Z$10007,19,0)</f>
        <v>1261.4724377838395</v>
      </c>
      <c r="AA63" s="67">
        <f t="shared" si="23"/>
        <v>0.28374891092578147</v>
      </c>
      <c r="AB63" s="68">
        <f>Scale!C63</f>
        <v>0</v>
      </c>
    </row>
    <row r="64" spans="1:28" x14ac:dyDescent="0.25">
      <c r="A64" s="70">
        <f t="shared" si="24"/>
        <v>43053</v>
      </c>
      <c r="B64" s="71">
        <f t="shared" si="25"/>
        <v>62</v>
      </c>
      <c r="C64" s="72">
        <f t="shared" si="26"/>
        <v>180.90994161921188</v>
      </c>
      <c r="D64" s="72">
        <f t="shared" si="27"/>
        <v>149.15752316754944</v>
      </c>
      <c r="E64" s="73">
        <f t="shared" si="16"/>
        <v>31.752418451662436</v>
      </c>
      <c r="F64" s="61"/>
      <c r="G64" s="74">
        <f>C64*TDEE!$B$5</f>
        <v>2251.0629374879959</v>
      </c>
      <c r="H64" s="72">
        <f t="shared" si="28"/>
        <v>984.32497200153557</v>
      </c>
      <c r="I64" s="72">
        <f t="shared" si="29"/>
        <v>1266.7379654864603</v>
      </c>
      <c r="J64" s="63">
        <f t="shared" si="17"/>
        <v>0.28123570628615302</v>
      </c>
      <c r="K64" s="72">
        <f t="shared" si="18"/>
        <v>78.82598792781134</v>
      </c>
      <c r="L64" s="72">
        <v>20</v>
      </c>
      <c r="M64" s="59">
        <f>Protein_Amt!$B$6</f>
        <v>119.32601853403956</v>
      </c>
      <c r="N64" s="72">
        <f t="shared" si="19"/>
        <v>709.43389135030202</v>
      </c>
      <c r="O64" s="72">
        <f t="shared" si="20"/>
        <v>80</v>
      </c>
      <c r="P64" s="72">
        <f t="shared" si="21"/>
        <v>477.30407413615825</v>
      </c>
      <c r="Q64" s="73">
        <f t="shared" si="22"/>
        <v>1266.7379654864603</v>
      </c>
      <c r="S64" s="75">
        <f>VLOOKUP($A64,FoodLog!$A$1:$Z$10007,12,0)</f>
        <v>0</v>
      </c>
      <c r="T64" s="75">
        <f>VLOOKUP($A64,FoodLog!$A$1:$Z$10007,13,0)</f>
        <v>0</v>
      </c>
      <c r="U64" s="75">
        <f>VLOOKUP($A64,FoodLog!$A$1:$Z$10007,14,0)</f>
        <v>0</v>
      </c>
      <c r="V64" s="75">
        <f>VLOOKUP($A64,FoodLog!$A$1:$Z$10007,15,0)</f>
        <v>0</v>
      </c>
      <c r="W64" s="75">
        <f>VLOOKUP($A64,FoodLog!$A$1:$Z$10007,16,0)</f>
        <v>709.43389135030202</v>
      </c>
      <c r="X64" s="75">
        <f>VLOOKUP($A64,FoodLog!$A$1:$Z$10007,17,0)</f>
        <v>80</v>
      </c>
      <c r="Y64" s="75">
        <f>VLOOKUP($A64,FoodLog!$A$1:$Z$10007,18,0)</f>
        <v>477.30407413615825</v>
      </c>
      <c r="Z64" s="75">
        <f>VLOOKUP($A64,FoodLog!$A$1:$Z$10007,19,0)</f>
        <v>1266.7379654864603</v>
      </c>
      <c r="AA64" s="67">
        <f t="shared" si="23"/>
        <v>0.28123570628615302</v>
      </c>
      <c r="AB64" s="68">
        <f>Scale!C64</f>
        <v>0</v>
      </c>
    </row>
    <row r="65" spans="1:28" x14ac:dyDescent="0.25">
      <c r="A65" s="70">
        <f t="shared" si="24"/>
        <v>43054</v>
      </c>
      <c r="B65" s="71">
        <f t="shared" si="25"/>
        <v>63</v>
      </c>
      <c r="C65" s="72">
        <f t="shared" si="26"/>
        <v>180.62870591292574</v>
      </c>
      <c r="D65" s="72">
        <f t="shared" si="27"/>
        <v>149.15752316754944</v>
      </c>
      <c r="E65" s="73">
        <f t="shared" si="16"/>
        <v>31.471182745376296</v>
      </c>
      <c r="F65" s="61"/>
      <c r="G65" s="74">
        <f>C65*TDEE!$B$5</f>
        <v>2247.5635207646656</v>
      </c>
      <c r="H65" s="72">
        <f t="shared" si="28"/>
        <v>975.60666510666522</v>
      </c>
      <c r="I65" s="72">
        <f t="shared" si="29"/>
        <v>1271.9568556580002</v>
      </c>
      <c r="J65" s="63">
        <f t="shared" si="17"/>
        <v>0.2787447614590472</v>
      </c>
      <c r="K65" s="72">
        <f t="shared" si="18"/>
        <v>79.405864613537986</v>
      </c>
      <c r="L65" s="72">
        <v>20</v>
      </c>
      <c r="M65" s="59">
        <f>Protein_Amt!$B$6</f>
        <v>119.32601853403956</v>
      </c>
      <c r="N65" s="72">
        <f t="shared" si="19"/>
        <v>714.65278152184192</v>
      </c>
      <c r="O65" s="72">
        <f t="shared" si="20"/>
        <v>80</v>
      </c>
      <c r="P65" s="72">
        <f t="shared" si="21"/>
        <v>477.30407413615825</v>
      </c>
      <c r="Q65" s="73">
        <f t="shared" si="22"/>
        <v>1271.9568556580002</v>
      </c>
      <c r="S65" s="75">
        <f>VLOOKUP($A65,FoodLog!$A$1:$Z$10007,12,0)</f>
        <v>0</v>
      </c>
      <c r="T65" s="75">
        <f>VLOOKUP($A65,FoodLog!$A$1:$Z$10007,13,0)</f>
        <v>0</v>
      </c>
      <c r="U65" s="75">
        <f>VLOOKUP($A65,FoodLog!$A$1:$Z$10007,14,0)</f>
        <v>0</v>
      </c>
      <c r="V65" s="75">
        <f>VLOOKUP($A65,FoodLog!$A$1:$Z$10007,15,0)</f>
        <v>0</v>
      </c>
      <c r="W65" s="75">
        <f>VLOOKUP($A65,FoodLog!$A$1:$Z$10007,16,0)</f>
        <v>714.65278152184192</v>
      </c>
      <c r="X65" s="75">
        <f>VLOOKUP($A65,FoodLog!$A$1:$Z$10007,17,0)</f>
        <v>80</v>
      </c>
      <c r="Y65" s="75">
        <f>VLOOKUP($A65,FoodLog!$A$1:$Z$10007,18,0)</f>
        <v>477.30407413615825</v>
      </c>
      <c r="Z65" s="75">
        <f>VLOOKUP($A65,FoodLog!$A$1:$Z$10007,19,0)</f>
        <v>1271.9568556580002</v>
      </c>
      <c r="AA65" s="67">
        <f t="shared" si="23"/>
        <v>0.2787447614590472</v>
      </c>
      <c r="AB65" s="68">
        <f>Scale!C65</f>
        <v>0</v>
      </c>
    </row>
    <row r="66" spans="1:28" x14ac:dyDescent="0.25">
      <c r="A66" s="70">
        <f t="shared" si="24"/>
        <v>43055</v>
      </c>
      <c r="B66" s="71">
        <f t="shared" si="25"/>
        <v>64</v>
      </c>
      <c r="C66" s="72">
        <f t="shared" si="26"/>
        <v>180.34996115146669</v>
      </c>
      <c r="D66" s="72">
        <f t="shared" si="27"/>
        <v>149.15752316754944</v>
      </c>
      <c r="E66" s="73">
        <f t="shared" si="16"/>
        <v>31.192437983917245</v>
      </c>
      <c r="F66" s="61"/>
      <c r="G66" s="74">
        <f>C66*TDEE!$B$5</f>
        <v>2244.0950988751702</v>
      </c>
      <c r="H66" s="72">
        <f t="shared" si="28"/>
        <v>966.96557750143461</v>
      </c>
      <c r="I66" s="72">
        <f t="shared" si="29"/>
        <v>1277.1295213737355</v>
      </c>
      <c r="J66" s="63">
        <f t="shared" si="17"/>
        <v>0.27627587928612418</v>
      </c>
      <c r="K66" s="72">
        <f t="shared" si="18"/>
        <v>79.980605248619696</v>
      </c>
      <c r="L66" s="72">
        <v>20</v>
      </c>
      <c r="M66" s="59">
        <f>Protein_Amt!$B$6</f>
        <v>119.32601853403956</v>
      </c>
      <c r="N66" s="72">
        <f t="shared" si="19"/>
        <v>719.82544723757724</v>
      </c>
      <c r="O66" s="72">
        <f t="shared" si="20"/>
        <v>80</v>
      </c>
      <c r="P66" s="72">
        <f t="shared" si="21"/>
        <v>477.30407413615825</v>
      </c>
      <c r="Q66" s="73">
        <f t="shared" si="22"/>
        <v>1277.1295213737355</v>
      </c>
      <c r="S66" s="75">
        <f>VLOOKUP($A66,FoodLog!$A$1:$Z$10007,12,0)</f>
        <v>0</v>
      </c>
      <c r="T66" s="75">
        <f>VLOOKUP($A66,FoodLog!$A$1:$Z$10007,13,0)</f>
        <v>0</v>
      </c>
      <c r="U66" s="75">
        <f>VLOOKUP($A66,FoodLog!$A$1:$Z$10007,14,0)</f>
        <v>0</v>
      </c>
      <c r="V66" s="75">
        <f>VLOOKUP($A66,FoodLog!$A$1:$Z$10007,15,0)</f>
        <v>0</v>
      </c>
      <c r="W66" s="75">
        <f>VLOOKUP($A66,FoodLog!$A$1:$Z$10007,16,0)</f>
        <v>719.82544723757724</v>
      </c>
      <c r="X66" s="75">
        <f>VLOOKUP($A66,FoodLog!$A$1:$Z$10007,17,0)</f>
        <v>80</v>
      </c>
      <c r="Y66" s="75">
        <f>VLOOKUP($A66,FoodLog!$A$1:$Z$10007,18,0)</f>
        <v>477.30407413615825</v>
      </c>
      <c r="Z66" s="75">
        <f>VLOOKUP($A66,FoodLog!$A$1:$Z$10007,19,0)</f>
        <v>1277.1295213737355</v>
      </c>
      <c r="AA66" s="67">
        <f t="shared" si="23"/>
        <v>0.27627587928612418</v>
      </c>
      <c r="AB66" s="68">
        <f>Scale!C66</f>
        <v>0</v>
      </c>
    </row>
    <row r="67" spans="1:28" x14ac:dyDescent="0.25">
      <c r="A67" s="70">
        <f t="shared" si="24"/>
        <v>43056</v>
      </c>
      <c r="B67" s="71">
        <f t="shared" si="25"/>
        <v>65</v>
      </c>
      <c r="C67" s="72">
        <f t="shared" si="26"/>
        <v>180.07368527218057</v>
      </c>
      <c r="D67" s="72">
        <f t="shared" si="27"/>
        <v>149.15752316754944</v>
      </c>
      <c r="E67" s="73">
        <f t="shared" ref="E67:E98" si="30">C67-D67</f>
        <v>30.916162104631127</v>
      </c>
      <c r="F67" s="61"/>
      <c r="G67" s="74">
        <f>C67*TDEE!$B$5</f>
        <v>2240.657397293839</v>
      </c>
      <c r="H67" s="72">
        <f t="shared" si="28"/>
        <v>958.40102524356496</v>
      </c>
      <c r="I67" s="72">
        <f t="shared" si="29"/>
        <v>1282.256372050274</v>
      </c>
      <c r="J67" s="63">
        <f t="shared" ref="J67:J98" si="31">H67/3500</f>
        <v>0.27382886435530429</v>
      </c>
      <c r="K67" s="72">
        <f t="shared" ref="K67:K98" si="32">N67/9</f>
        <v>80.550255323790623</v>
      </c>
      <c r="L67" s="72">
        <v>20</v>
      </c>
      <c r="M67" s="59">
        <f>Protein_Amt!$B$6</f>
        <v>119.32601853403956</v>
      </c>
      <c r="N67" s="72">
        <f t="shared" ref="N67:N98" si="33">MAX(0,I67-(O67+P67))</f>
        <v>724.95229791411566</v>
      </c>
      <c r="O67" s="72">
        <f t="shared" ref="O67:O98" si="34">4*L67</f>
        <v>80</v>
      </c>
      <c r="P67" s="72">
        <f t="shared" ref="P67:P98" si="35">4*M67</f>
        <v>477.30407413615825</v>
      </c>
      <c r="Q67" s="73">
        <f t="shared" ref="Q67:Q98" si="36">SUM(N67:P67)</f>
        <v>1282.256372050274</v>
      </c>
      <c r="S67" s="75">
        <f>VLOOKUP($A67,FoodLog!$A$1:$Z$10007,12,0)</f>
        <v>0</v>
      </c>
      <c r="T67" s="75">
        <f>VLOOKUP($A67,FoodLog!$A$1:$Z$10007,13,0)</f>
        <v>0</v>
      </c>
      <c r="U67" s="75">
        <f>VLOOKUP($A67,FoodLog!$A$1:$Z$10007,14,0)</f>
        <v>0</v>
      </c>
      <c r="V67" s="75">
        <f>VLOOKUP($A67,FoodLog!$A$1:$Z$10007,15,0)</f>
        <v>0</v>
      </c>
      <c r="W67" s="75">
        <f>VLOOKUP($A67,FoodLog!$A$1:$Z$10007,16,0)</f>
        <v>724.95229791411566</v>
      </c>
      <c r="X67" s="75">
        <f>VLOOKUP($A67,FoodLog!$A$1:$Z$10007,17,0)</f>
        <v>80</v>
      </c>
      <c r="Y67" s="75">
        <f>VLOOKUP($A67,FoodLog!$A$1:$Z$10007,18,0)</f>
        <v>477.30407413615825</v>
      </c>
      <c r="Z67" s="75">
        <f>VLOOKUP($A67,FoodLog!$A$1:$Z$10007,19,0)</f>
        <v>1282.256372050274</v>
      </c>
      <c r="AA67" s="67">
        <f t="shared" ref="AA67:AA98" si="37">MIN($H67,($H67+Z67))/3500</f>
        <v>0.27382886435530429</v>
      </c>
      <c r="AB67" s="68">
        <f>Scale!C67</f>
        <v>0</v>
      </c>
    </row>
    <row r="68" spans="1:28" x14ac:dyDescent="0.25">
      <c r="A68" s="70">
        <f t="shared" ref="A68:A99" si="38">A67+1</f>
        <v>43057</v>
      </c>
      <c r="B68" s="71">
        <f t="shared" ref="B68:B99" si="39">B67+1</f>
        <v>66</v>
      </c>
      <c r="C68" s="72">
        <f t="shared" ref="C68:C99" si="40">C67-AA67</f>
        <v>179.79985640782527</v>
      </c>
      <c r="D68" s="72">
        <f t="shared" ref="D68:D99" si="41">$D$3</f>
        <v>149.15752316754944</v>
      </c>
      <c r="E68" s="73">
        <f t="shared" si="30"/>
        <v>30.642333240275832</v>
      </c>
      <c r="F68" s="61"/>
      <c r="G68" s="74">
        <f>C68*TDEE!$B$5</f>
        <v>2237.2501439265143</v>
      </c>
      <c r="H68" s="72">
        <f t="shared" ref="H68:H104" si="42">$E68*31</f>
        <v>949.91233044855085</v>
      </c>
      <c r="I68" s="72">
        <f t="shared" ref="I68:I104" si="43">$G68-$H68</f>
        <v>1287.3378134779634</v>
      </c>
      <c r="J68" s="63">
        <f t="shared" si="31"/>
        <v>0.27140352298530024</v>
      </c>
      <c r="K68" s="72">
        <f t="shared" si="32"/>
        <v>81.11485992686724</v>
      </c>
      <c r="L68" s="72">
        <v>20</v>
      </c>
      <c r="M68" s="59">
        <f>Protein_Amt!$B$6</f>
        <v>119.32601853403956</v>
      </c>
      <c r="N68" s="72">
        <f t="shared" si="33"/>
        <v>730.03373934180513</v>
      </c>
      <c r="O68" s="72">
        <f t="shared" si="34"/>
        <v>80</v>
      </c>
      <c r="P68" s="72">
        <f t="shared" si="35"/>
        <v>477.30407413615825</v>
      </c>
      <c r="Q68" s="73">
        <f t="shared" si="36"/>
        <v>1287.3378134779634</v>
      </c>
      <c r="S68" s="75">
        <f>VLOOKUP($A68,FoodLog!$A$1:$Z$10007,12,0)</f>
        <v>0</v>
      </c>
      <c r="T68" s="75">
        <f>VLOOKUP($A68,FoodLog!$A$1:$Z$10007,13,0)</f>
        <v>0</v>
      </c>
      <c r="U68" s="75">
        <f>VLOOKUP($A68,FoodLog!$A$1:$Z$10007,14,0)</f>
        <v>0</v>
      </c>
      <c r="V68" s="75">
        <f>VLOOKUP($A68,FoodLog!$A$1:$Z$10007,15,0)</f>
        <v>0</v>
      </c>
      <c r="W68" s="75">
        <f>VLOOKUP($A68,FoodLog!$A$1:$Z$10007,16,0)</f>
        <v>730.03373934180513</v>
      </c>
      <c r="X68" s="75">
        <f>VLOOKUP($A68,FoodLog!$A$1:$Z$10007,17,0)</f>
        <v>80</v>
      </c>
      <c r="Y68" s="75">
        <f>VLOOKUP($A68,FoodLog!$A$1:$Z$10007,18,0)</f>
        <v>477.30407413615825</v>
      </c>
      <c r="Z68" s="75">
        <f>VLOOKUP($A68,FoodLog!$A$1:$Z$10007,19,0)</f>
        <v>1287.3378134779634</v>
      </c>
      <c r="AA68" s="67">
        <f t="shared" si="37"/>
        <v>0.27140352298530024</v>
      </c>
      <c r="AB68" s="68">
        <f>Scale!C68</f>
        <v>0</v>
      </c>
    </row>
    <row r="69" spans="1:28" x14ac:dyDescent="0.25">
      <c r="A69" s="70">
        <f t="shared" si="38"/>
        <v>43058</v>
      </c>
      <c r="B69" s="71">
        <f t="shared" si="39"/>
        <v>67</v>
      </c>
      <c r="C69" s="72">
        <f t="shared" si="40"/>
        <v>179.52845288483996</v>
      </c>
      <c r="D69" s="72">
        <f t="shared" si="41"/>
        <v>149.15752316754944</v>
      </c>
      <c r="E69" s="73">
        <f t="shared" si="30"/>
        <v>30.370929717290522</v>
      </c>
      <c r="F69" s="61"/>
      <c r="G69" s="74">
        <f>C69*TDEE!$B$5</f>
        <v>2233.8730690890138</v>
      </c>
      <c r="H69" s="72">
        <f t="shared" si="42"/>
        <v>941.49882123600617</v>
      </c>
      <c r="I69" s="72">
        <f t="shared" si="43"/>
        <v>1292.3742478530075</v>
      </c>
      <c r="J69" s="63">
        <f t="shared" si="31"/>
        <v>0.26899966321028745</v>
      </c>
      <c r="K69" s="72">
        <f t="shared" si="32"/>
        <v>81.674463746316576</v>
      </c>
      <c r="L69" s="72">
        <v>20</v>
      </c>
      <c r="M69" s="59">
        <f>Protein_Amt!$B$6</f>
        <v>119.32601853403956</v>
      </c>
      <c r="N69" s="72">
        <f t="shared" si="33"/>
        <v>735.07017371684924</v>
      </c>
      <c r="O69" s="72">
        <f t="shared" si="34"/>
        <v>80</v>
      </c>
      <c r="P69" s="72">
        <f t="shared" si="35"/>
        <v>477.30407413615825</v>
      </c>
      <c r="Q69" s="73">
        <f t="shared" si="36"/>
        <v>1292.3742478530075</v>
      </c>
      <c r="S69" s="75">
        <f>VLOOKUP($A69,FoodLog!$A$1:$Z$10007,12,0)</f>
        <v>0</v>
      </c>
      <c r="T69" s="75">
        <f>VLOOKUP($A69,FoodLog!$A$1:$Z$10007,13,0)</f>
        <v>0</v>
      </c>
      <c r="U69" s="75">
        <f>VLOOKUP($A69,FoodLog!$A$1:$Z$10007,14,0)</f>
        <v>0</v>
      </c>
      <c r="V69" s="75">
        <f>VLOOKUP($A69,FoodLog!$A$1:$Z$10007,15,0)</f>
        <v>0</v>
      </c>
      <c r="W69" s="75">
        <f>VLOOKUP($A69,FoodLog!$A$1:$Z$10007,16,0)</f>
        <v>735.07017371684924</v>
      </c>
      <c r="X69" s="75">
        <f>VLOOKUP($A69,FoodLog!$A$1:$Z$10007,17,0)</f>
        <v>80</v>
      </c>
      <c r="Y69" s="75">
        <f>VLOOKUP($A69,FoodLog!$A$1:$Z$10007,18,0)</f>
        <v>477.30407413615825</v>
      </c>
      <c r="Z69" s="75">
        <f>VLOOKUP($A69,FoodLog!$A$1:$Z$10007,19,0)</f>
        <v>1292.3742478530075</v>
      </c>
      <c r="AA69" s="67">
        <f t="shared" si="37"/>
        <v>0.26899966321028745</v>
      </c>
      <c r="AB69" s="68">
        <f>Scale!C69</f>
        <v>0</v>
      </c>
    </row>
    <row r="70" spans="1:28" x14ac:dyDescent="0.25">
      <c r="A70" s="70">
        <f t="shared" si="38"/>
        <v>43059</v>
      </c>
      <c r="B70" s="71">
        <f t="shared" si="39"/>
        <v>68</v>
      </c>
      <c r="C70" s="72">
        <f t="shared" si="40"/>
        <v>179.25945322162968</v>
      </c>
      <c r="D70" s="72">
        <f t="shared" si="41"/>
        <v>149.15752316754944</v>
      </c>
      <c r="E70" s="73">
        <f t="shared" si="30"/>
        <v>30.101930054080242</v>
      </c>
      <c r="F70" s="61"/>
      <c r="G70" s="74">
        <f>C70*TDEE!$B$5</f>
        <v>2230.5259054857884</v>
      </c>
      <c r="H70" s="72">
        <f t="shared" si="42"/>
        <v>933.15983167648756</v>
      </c>
      <c r="I70" s="72">
        <f t="shared" si="43"/>
        <v>1297.3660738093008</v>
      </c>
      <c r="J70" s="63">
        <f t="shared" si="31"/>
        <v>0.26661709476471074</v>
      </c>
      <c r="K70" s="72">
        <f t="shared" si="32"/>
        <v>82.229111074793607</v>
      </c>
      <c r="L70" s="72">
        <v>20</v>
      </c>
      <c r="M70" s="59">
        <f>Protein_Amt!$B$6</f>
        <v>119.32601853403956</v>
      </c>
      <c r="N70" s="72">
        <f t="shared" si="33"/>
        <v>740.06199967314251</v>
      </c>
      <c r="O70" s="72">
        <f t="shared" si="34"/>
        <v>80</v>
      </c>
      <c r="P70" s="72">
        <f t="shared" si="35"/>
        <v>477.30407413615825</v>
      </c>
      <c r="Q70" s="73">
        <f t="shared" si="36"/>
        <v>1297.3660738093008</v>
      </c>
      <c r="S70" s="75">
        <f>VLOOKUP($A70,FoodLog!$A$1:$Z$10007,12,0)</f>
        <v>0</v>
      </c>
      <c r="T70" s="75">
        <f>VLOOKUP($A70,FoodLog!$A$1:$Z$10007,13,0)</f>
        <v>0</v>
      </c>
      <c r="U70" s="75">
        <f>VLOOKUP($A70,FoodLog!$A$1:$Z$10007,14,0)</f>
        <v>0</v>
      </c>
      <c r="V70" s="75">
        <f>VLOOKUP($A70,FoodLog!$A$1:$Z$10007,15,0)</f>
        <v>0</v>
      </c>
      <c r="W70" s="75">
        <f>VLOOKUP($A70,FoodLog!$A$1:$Z$10007,16,0)</f>
        <v>740.06199967314251</v>
      </c>
      <c r="X70" s="75">
        <f>VLOOKUP($A70,FoodLog!$A$1:$Z$10007,17,0)</f>
        <v>80</v>
      </c>
      <c r="Y70" s="75">
        <f>VLOOKUP($A70,FoodLog!$A$1:$Z$10007,18,0)</f>
        <v>477.30407413615825</v>
      </c>
      <c r="Z70" s="75">
        <f>VLOOKUP($A70,FoodLog!$A$1:$Z$10007,19,0)</f>
        <v>1297.3660738093008</v>
      </c>
      <c r="AA70" s="67">
        <f t="shared" si="37"/>
        <v>0.26661709476471074</v>
      </c>
      <c r="AB70" s="68">
        <f>Scale!C70</f>
        <v>0</v>
      </c>
    </row>
    <row r="71" spans="1:28" x14ac:dyDescent="0.25">
      <c r="A71" s="70">
        <f t="shared" si="38"/>
        <v>43060</v>
      </c>
      <c r="B71" s="71">
        <f t="shared" si="39"/>
        <v>69</v>
      </c>
      <c r="C71" s="72">
        <f t="shared" si="40"/>
        <v>178.99283612686497</v>
      </c>
      <c r="D71" s="72">
        <f t="shared" si="41"/>
        <v>149.15752316754944</v>
      </c>
      <c r="E71" s="73">
        <f t="shared" si="30"/>
        <v>29.83531295931553</v>
      </c>
      <c r="F71" s="61"/>
      <c r="G71" s="74">
        <f>C71*TDEE!$B$5</f>
        <v>2227.2083881887634</v>
      </c>
      <c r="H71" s="72">
        <f t="shared" si="42"/>
        <v>924.89470173878146</v>
      </c>
      <c r="I71" s="72">
        <f t="shared" si="43"/>
        <v>1302.313686449982</v>
      </c>
      <c r="J71" s="63">
        <f t="shared" si="31"/>
        <v>0.26425562906822325</v>
      </c>
      <c r="K71" s="72">
        <f t="shared" si="32"/>
        <v>82.778845812647077</v>
      </c>
      <c r="L71" s="72">
        <v>20</v>
      </c>
      <c r="M71" s="59">
        <f>Protein_Amt!$B$6</f>
        <v>119.32601853403956</v>
      </c>
      <c r="N71" s="72">
        <f t="shared" si="33"/>
        <v>745.00961231382371</v>
      </c>
      <c r="O71" s="72">
        <f t="shared" si="34"/>
        <v>80</v>
      </c>
      <c r="P71" s="72">
        <f t="shared" si="35"/>
        <v>477.30407413615825</v>
      </c>
      <c r="Q71" s="73">
        <f t="shared" si="36"/>
        <v>1302.313686449982</v>
      </c>
      <c r="S71" s="75">
        <f>VLOOKUP($A71,FoodLog!$A$1:$Z$10007,12,0)</f>
        <v>0</v>
      </c>
      <c r="T71" s="75">
        <f>VLOOKUP($A71,FoodLog!$A$1:$Z$10007,13,0)</f>
        <v>0</v>
      </c>
      <c r="U71" s="75">
        <f>VLOOKUP($A71,FoodLog!$A$1:$Z$10007,14,0)</f>
        <v>0</v>
      </c>
      <c r="V71" s="75">
        <f>VLOOKUP($A71,FoodLog!$A$1:$Z$10007,15,0)</f>
        <v>0</v>
      </c>
      <c r="W71" s="75">
        <f>VLOOKUP($A71,FoodLog!$A$1:$Z$10007,16,0)</f>
        <v>745.00961231382371</v>
      </c>
      <c r="X71" s="75">
        <f>VLOOKUP($A71,FoodLog!$A$1:$Z$10007,17,0)</f>
        <v>80</v>
      </c>
      <c r="Y71" s="75">
        <f>VLOOKUP($A71,FoodLog!$A$1:$Z$10007,18,0)</f>
        <v>477.30407413615825</v>
      </c>
      <c r="Z71" s="75">
        <f>VLOOKUP($A71,FoodLog!$A$1:$Z$10007,19,0)</f>
        <v>1302.313686449982</v>
      </c>
      <c r="AA71" s="67">
        <f t="shared" si="37"/>
        <v>0.26425562906822325</v>
      </c>
      <c r="AB71" s="68">
        <f>Scale!C71</f>
        <v>0</v>
      </c>
    </row>
    <row r="72" spans="1:28" x14ac:dyDescent="0.25">
      <c r="A72" s="70">
        <f t="shared" si="38"/>
        <v>43061</v>
      </c>
      <c r="B72" s="71">
        <f t="shared" si="39"/>
        <v>70</v>
      </c>
      <c r="C72" s="72">
        <f t="shared" si="40"/>
        <v>178.72858049779674</v>
      </c>
      <c r="D72" s="72">
        <f t="shared" si="41"/>
        <v>149.15752316754944</v>
      </c>
      <c r="E72" s="73">
        <f t="shared" si="30"/>
        <v>29.571057330247299</v>
      </c>
      <c r="F72" s="61"/>
      <c r="G72" s="74">
        <f>C72*TDEE!$B$5</f>
        <v>2223.9202546163688</v>
      </c>
      <c r="H72" s="72">
        <f t="shared" si="42"/>
        <v>916.70277723766628</v>
      </c>
      <c r="I72" s="72">
        <f t="shared" si="43"/>
        <v>1307.2174773787024</v>
      </c>
      <c r="J72" s="63">
        <f t="shared" si="31"/>
        <v>0.26191507921076179</v>
      </c>
      <c r="K72" s="72">
        <f t="shared" si="32"/>
        <v>83.323711471393779</v>
      </c>
      <c r="L72" s="72">
        <v>20</v>
      </c>
      <c r="M72" s="59">
        <f>Protein_Amt!$B$6</f>
        <v>119.32601853403956</v>
      </c>
      <c r="N72" s="72">
        <f t="shared" si="33"/>
        <v>749.91340324254406</v>
      </c>
      <c r="O72" s="72">
        <f t="shared" si="34"/>
        <v>80</v>
      </c>
      <c r="P72" s="72">
        <f t="shared" si="35"/>
        <v>477.30407413615825</v>
      </c>
      <c r="Q72" s="73">
        <f t="shared" si="36"/>
        <v>1307.2174773787024</v>
      </c>
      <c r="S72" s="75">
        <f>VLOOKUP($A72,FoodLog!$A$1:$Z$10007,12,0)</f>
        <v>0</v>
      </c>
      <c r="T72" s="75">
        <f>VLOOKUP($A72,FoodLog!$A$1:$Z$10007,13,0)</f>
        <v>0</v>
      </c>
      <c r="U72" s="75">
        <f>VLOOKUP($A72,FoodLog!$A$1:$Z$10007,14,0)</f>
        <v>0</v>
      </c>
      <c r="V72" s="75">
        <f>VLOOKUP($A72,FoodLog!$A$1:$Z$10007,15,0)</f>
        <v>0</v>
      </c>
      <c r="W72" s="75">
        <f>VLOOKUP($A72,FoodLog!$A$1:$Z$10007,16,0)</f>
        <v>749.91340324254406</v>
      </c>
      <c r="X72" s="75">
        <f>VLOOKUP($A72,FoodLog!$A$1:$Z$10007,17,0)</f>
        <v>80</v>
      </c>
      <c r="Y72" s="75">
        <f>VLOOKUP($A72,FoodLog!$A$1:$Z$10007,18,0)</f>
        <v>477.30407413615825</v>
      </c>
      <c r="Z72" s="75">
        <f>VLOOKUP($A72,FoodLog!$A$1:$Z$10007,19,0)</f>
        <v>1307.2174773787024</v>
      </c>
      <c r="AA72" s="67">
        <f t="shared" si="37"/>
        <v>0.26191507921076179</v>
      </c>
      <c r="AB72" s="68">
        <f>Scale!C72</f>
        <v>0</v>
      </c>
    </row>
    <row r="73" spans="1:28" x14ac:dyDescent="0.25">
      <c r="A73" s="70">
        <f t="shared" si="38"/>
        <v>43062</v>
      </c>
      <c r="B73" s="71">
        <f t="shared" si="39"/>
        <v>71</v>
      </c>
      <c r="C73" s="72">
        <f t="shared" si="40"/>
        <v>178.46666541858599</v>
      </c>
      <c r="D73" s="72">
        <f t="shared" si="41"/>
        <v>149.15752316754944</v>
      </c>
      <c r="E73" s="73">
        <f t="shared" si="30"/>
        <v>29.309142251036548</v>
      </c>
      <c r="F73" s="61"/>
      <c r="G73" s="74">
        <f>C73*TDEE!$B$5</f>
        <v>2220.6612445127585</v>
      </c>
      <c r="H73" s="72">
        <f t="shared" si="42"/>
        <v>908.583409782133</v>
      </c>
      <c r="I73" s="72">
        <f t="shared" si="43"/>
        <v>1312.0778347306255</v>
      </c>
      <c r="J73" s="63">
        <f t="shared" si="31"/>
        <v>0.25959525993775229</v>
      </c>
      <c r="K73" s="72">
        <f t="shared" si="32"/>
        <v>83.86375117716301</v>
      </c>
      <c r="L73" s="72">
        <v>20</v>
      </c>
      <c r="M73" s="59">
        <f>Protein_Amt!$B$6</f>
        <v>119.32601853403956</v>
      </c>
      <c r="N73" s="72">
        <f t="shared" si="33"/>
        <v>754.77376059446715</v>
      </c>
      <c r="O73" s="72">
        <f t="shared" si="34"/>
        <v>80</v>
      </c>
      <c r="P73" s="72">
        <f t="shared" si="35"/>
        <v>477.30407413615825</v>
      </c>
      <c r="Q73" s="73">
        <f t="shared" si="36"/>
        <v>1312.0778347306255</v>
      </c>
      <c r="S73" s="75">
        <f>VLOOKUP($A73,FoodLog!$A$1:$Z$10007,12,0)</f>
        <v>0</v>
      </c>
      <c r="T73" s="75">
        <f>VLOOKUP($A73,FoodLog!$A$1:$Z$10007,13,0)</f>
        <v>0</v>
      </c>
      <c r="U73" s="75">
        <f>VLOOKUP($A73,FoodLog!$A$1:$Z$10007,14,0)</f>
        <v>0</v>
      </c>
      <c r="V73" s="75">
        <f>VLOOKUP($A73,FoodLog!$A$1:$Z$10007,15,0)</f>
        <v>0</v>
      </c>
      <c r="W73" s="75">
        <f>VLOOKUP($A73,FoodLog!$A$1:$Z$10007,16,0)</f>
        <v>754.77376059446715</v>
      </c>
      <c r="X73" s="75">
        <f>VLOOKUP($A73,FoodLog!$A$1:$Z$10007,17,0)</f>
        <v>80</v>
      </c>
      <c r="Y73" s="75">
        <f>VLOOKUP($A73,FoodLog!$A$1:$Z$10007,18,0)</f>
        <v>477.30407413615825</v>
      </c>
      <c r="Z73" s="75">
        <f>VLOOKUP($A73,FoodLog!$A$1:$Z$10007,19,0)</f>
        <v>1312.0778347306255</v>
      </c>
      <c r="AA73" s="67">
        <f t="shared" si="37"/>
        <v>0.25959525993775229</v>
      </c>
      <c r="AB73" s="68">
        <f>Scale!C73</f>
        <v>0</v>
      </c>
    </row>
    <row r="74" spans="1:28" x14ac:dyDescent="0.25">
      <c r="A74" s="70">
        <f t="shared" si="38"/>
        <v>43063</v>
      </c>
      <c r="B74" s="71">
        <f t="shared" si="39"/>
        <v>72</v>
      </c>
      <c r="C74" s="72">
        <f t="shared" si="40"/>
        <v>178.20707015864824</v>
      </c>
      <c r="D74" s="72">
        <f t="shared" si="41"/>
        <v>149.15752316754944</v>
      </c>
      <c r="E74" s="73">
        <f t="shared" si="30"/>
        <v>29.049546991098794</v>
      </c>
      <c r="F74" s="61"/>
      <c r="G74" s="74">
        <f>C74*TDEE!$B$5</f>
        <v>2217.4310999272084</v>
      </c>
      <c r="H74" s="72">
        <f t="shared" si="42"/>
        <v>900.53595672406254</v>
      </c>
      <c r="I74" s="72">
        <f t="shared" si="43"/>
        <v>1316.8951432031458</v>
      </c>
      <c r="J74" s="63">
        <f t="shared" si="31"/>
        <v>0.25729598763544642</v>
      </c>
      <c r="K74" s="72">
        <f t="shared" si="32"/>
        <v>84.399007674109725</v>
      </c>
      <c r="L74" s="72">
        <v>20</v>
      </c>
      <c r="M74" s="59">
        <f>Protein_Amt!$B$6</f>
        <v>119.32601853403956</v>
      </c>
      <c r="N74" s="72">
        <f t="shared" si="33"/>
        <v>759.59106906698753</v>
      </c>
      <c r="O74" s="72">
        <f t="shared" si="34"/>
        <v>80</v>
      </c>
      <c r="P74" s="72">
        <f t="shared" si="35"/>
        <v>477.30407413615825</v>
      </c>
      <c r="Q74" s="73">
        <f t="shared" si="36"/>
        <v>1316.8951432031458</v>
      </c>
      <c r="S74" s="75">
        <f>VLOOKUP($A74,FoodLog!$A$1:$Z$10007,12,0)</f>
        <v>0</v>
      </c>
      <c r="T74" s="75">
        <f>VLOOKUP($A74,FoodLog!$A$1:$Z$10007,13,0)</f>
        <v>0</v>
      </c>
      <c r="U74" s="75">
        <f>VLOOKUP($A74,FoodLog!$A$1:$Z$10007,14,0)</f>
        <v>0</v>
      </c>
      <c r="V74" s="75">
        <f>VLOOKUP($A74,FoodLog!$A$1:$Z$10007,15,0)</f>
        <v>0</v>
      </c>
      <c r="W74" s="75">
        <f>VLOOKUP($A74,FoodLog!$A$1:$Z$10007,16,0)</f>
        <v>759.59106906698753</v>
      </c>
      <c r="X74" s="75">
        <f>VLOOKUP($A74,FoodLog!$A$1:$Z$10007,17,0)</f>
        <v>80</v>
      </c>
      <c r="Y74" s="75">
        <f>VLOOKUP($A74,FoodLog!$A$1:$Z$10007,18,0)</f>
        <v>477.30407413615825</v>
      </c>
      <c r="Z74" s="75">
        <f>VLOOKUP($A74,FoodLog!$A$1:$Z$10007,19,0)</f>
        <v>1316.8951432031458</v>
      </c>
      <c r="AA74" s="67">
        <f t="shared" si="37"/>
        <v>0.25729598763544642</v>
      </c>
      <c r="AB74" s="68">
        <f>Scale!C74</f>
        <v>0</v>
      </c>
    </row>
    <row r="75" spans="1:28" x14ac:dyDescent="0.25">
      <c r="A75" s="70">
        <f t="shared" si="38"/>
        <v>43064</v>
      </c>
      <c r="B75" s="71">
        <f t="shared" si="39"/>
        <v>73</v>
      </c>
      <c r="C75" s="72">
        <f t="shared" si="40"/>
        <v>177.94977417101279</v>
      </c>
      <c r="D75" s="72">
        <f t="shared" si="41"/>
        <v>149.15752316754944</v>
      </c>
      <c r="E75" s="73">
        <f t="shared" si="30"/>
        <v>28.792251003463349</v>
      </c>
      <c r="F75" s="61"/>
      <c r="G75" s="74">
        <f>C75*TDEE!$B$5</f>
        <v>2214.229565193702</v>
      </c>
      <c r="H75" s="72">
        <f t="shared" si="42"/>
        <v>892.55978110736385</v>
      </c>
      <c r="I75" s="72">
        <f t="shared" si="43"/>
        <v>1321.669784086338</v>
      </c>
      <c r="J75" s="63">
        <f t="shared" si="31"/>
        <v>0.25501708031638964</v>
      </c>
      <c r="K75" s="72">
        <f t="shared" si="32"/>
        <v>84.929523327797753</v>
      </c>
      <c r="L75" s="72">
        <v>20</v>
      </c>
      <c r="M75" s="59">
        <f>Protein_Amt!$B$6</f>
        <v>119.32601853403956</v>
      </c>
      <c r="N75" s="72">
        <f t="shared" si="33"/>
        <v>764.36570995017973</v>
      </c>
      <c r="O75" s="72">
        <f t="shared" si="34"/>
        <v>80</v>
      </c>
      <c r="P75" s="72">
        <f t="shared" si="35"/>
        <v>477.30407413615825</v>
      </c>
      <c r="Q75" s="73">
        <f t="shared" si="36"/>
        <v>1321.669784086338</v>
      </c>
      <c r="S75" s="75">
        <f>VLOOKUP($A75,FoodLog!$A$1:$Z$10007,12,0)</f>
        <v>0</v>
      </c>
      <c r="T75" s="75">
        <f>VLOOKUP($A75,FoodLog!$A$1:$Z$10007,13,0)</f>
        <v>0</v>
      </c>
      <c r="U75" s="75">
        <f>VLOOKUP($A75,FoodLog!$A$1:$Z$10007,14,0)</f>
        <v>0</v>
      </c>
      <c r="V75" s="75">
        <f>VLOOKUP($A75,FoodLog!$A$1:$Z$10007,15,0)</f>
        <v>0</v>
      </c>
      <c r="W75" s="75">
        <f>VLOOKUP($A75,FoodLog!$A$1:$Z$10007,16,0)</f>
        <v>764.36570995017973</v>
      </c>
      <c r="X75" s="75">
        <f>VLOOKUP($A75,FoodLog!$A$1:$Z$10007,17,0)</f>
        <v>80</v>
      </c>
      <c r="Y75" s="75">
        <f>VLOOKUP($A75,FoodLog!$A$1:$Z$10007,18,0)</f>
        <v>477.30407413615825</v>
      </c>
      <c r="Z75" s="75">
        <f>VLOOKUP($A75,FoodLog!$A$1:$Z$10007,19,0)</f>
        <v>1321.669784086338</v>
      </c>
      <c r="AA75" s="67">
        <f t="shared" si="37"/>
        <v>0.25501708031638964</v>
      </c>
      <c r="AB75" s="68">
        <f>Scale!C75</f>
        <v>0</v>
      </c>
    </row>
    <row r="76" spans="1:28" x14ac:dyDescent="0.25">
      <c r="A76" s="70">
        <f t="shared" si="38"/>
        <v>43065</v>
      </c>
      <c r="B76" s="71">
        <f t="shared" si="39"/>
        <v>74</v>
      </c>
      <c r="C76" s="72">
        <f t="shared" si="40"/>
        <v>177.69475709069641</v>
      </c>
      <c r="D76" s="72">
        <f t="shared" si="41"/>
        <v>149.15752316754944</v>
      </c>
      <c r="E76" s="73">
        <f t="shared" si="30"/>
        <v>28.537233923146971</v>
      </c>
      <c r="F76" s="61"/>
      <c r="G76" s="74">
        <f>C76*TDEE!$B$5</f>
        <v>2211.0563869106927</v>
      </c>
      <c r="H76" s="72">
        <f t="shared" si="42"/>
        <v>884.65425161755616</v>
      </c>
      <c r="I76" s="72">
        <f t="shared" si="43"/>
        <v>1326.4021352931366</v>
      </c>
      <c r="J76" s="63">
        <f t="shared" si="31"/>
        <v>0.25275835760501603</v>
      </c>
      <c r="K76" s="72">
        <f t="shared" si="32"/>
        <v>85.455340128553132</v>
      </c>
      <c r="L76" s="72">
        <v>20</v>
      </c>
      <c r="M76" s="59">
        <f>Protein_Amt!$B$6</f>
        <v>119.32601853403956</v>
      </c>
      <c r="N76" s="72">
        <f t="shared" si="33"/>
        <v>769.09806115697825</v>
      </c>
      <c r="O76" s="72">
        <f t="shared" si="34"/>
        <v>80</v>
      </c>
      <c r="P76" s="72">
        <f t="shared" si="35"/>
        <v>477.30407413615825</v>
      </c>
      <c r="Q76" s="73">
        <f t="shared" si="36"/>
        <v>1326.4021352931366</v>
      </c>
      <c r="S76" s="75">
        <f>VLOOKUP($A76,FoodLog!$A$1:$Z$10007,12,0)</f>
        <v>0</v>
      </c>
      <c r="T76" s="75">
        <f>VLOOKUP($A76,FoodLog!$A$1:$Z$10007,13,0)</f>
        <v>0</v>
      </c>
      <c r="U76" s="75">
        <f>VLOOKUP($A76,FoodLog!$A$1:$Z$10007,14,0)</f>
        <v>0</v>
      </c>
      <c r="V76" s="75">
        <f>VLOOKUP($A76,FoodLog!$A$1:$Z$10007,15,0)</f>
        <v>0</v>
      </c>
      <c r="W76" s="75">
        <f>VLOOKUP($A76,FoodLog!$A$1:$Z$10007,16,0)</f>
        <v>769.09806115697825</v>
      </c>
      <c r="X76" s="75">
        <f>VLOOKUP($A76,FoodLog!$A$1:$Z$10007,17,0)</f>
        <v>80</v>
      </c>
      <c r="Y76" s="75">
        <f>VLOOKUP($A76,FoodLog!$A$1:$Z$10007,18,0)</f>
        <v>477.30407413615825</v>
      </c>
      <c r="Z76" s="75">
        <f>VLOOKUP($A76,FoodLog!$A$1:$Z$10007,19,0)</f>
        <v>1326.4021352931366</v>
      </c>
      <c r="AA76" s="67">
        <f t="shared" si="37"/>
        <v>0.25275835760501603</v>
      </c>
      <c r="AB76" s="68">
        <f>Scale!C76</f>
        <v>0</v>
      </c>
    </row>
    <row r="77" spans="1:28" x14ac:dyDescent="0.25">
      <c r="A77" s="70">
        <f t="shared" si="38"/>
        <v>43066</v>
      </c>
      <c r="B77" s="71">
        <f t="shared" si="39"/>
        <v>75</v>
      </c>
      <c r="C77" s="72">
        <f t="shared" si="40"/>
        <v>177.4419987330914</v>
      </c>
      <c r="D77" s="72">
        <f t="shared" si="41"/>
        <v>149.15752316754944</v>
      </c>
      <c r="E77" s="73">
        <f t="shared" si="30"/>
        <v>28.284475565541953</v>
      </c>
      <c r="F77" s="61"/>
      <c r="G77" s="74">
        <f>C77*TDEE!$B$5</f>
        <v>2207.9113139210467</v>
      </c>
      <c r="H77" s="72">
        <f t="shared" si="42"/>
        <v>876.81874253180058</v>
      </c>
      <c r="I77" s="72">
        <f t="shared" si="43"/>
        <v>1331.0925713892461</v>
      </c>
      <c r="J77" s="63">
        <f t="shared" si="31"/>
        <v>0.25051964072337157</v>
      </c>
      <c r="K77" s="72">
        <f t="shared" si="32"/>
        <v>85.976499694787535</v>
      </c>
      <c r="L77" s="72">
        <v>20</v>
      </c>
      <c r="M77" s="59">
        <f>Protein_Amt!$B$6</f>
        <v>119.32601853403956</v>
      </c>
      <c r="N77" s="72">
        <f t="shared" si="33"/>
        <v>773.78849725308783</v>
      </c>
      <c r="O77" s="72">
        <f t="shared" si="34"/>
        <v>80</v>
      </c>
      <c r="P77" s="72">
        <f t="shared" si="35"/>
        <v>477.30407413615825</v>
      </c>
      <c r="Q77" s="73">
        <f t="shared" si="36"/>
        <v>1331.0925713892461</v>
      </c>
      <c r="S77" s="75">
        <f>VLOOKUP($A77,FoodLog!$A$1:$Z$10007,12,0)</f>
        <v>0</v>
      </c>
      <c r="T77" s="75">
        <f>VLOOKUP($A77,FoodLog!$A$1:$Z$10007,13,0)</f>
        <v>0</v>
      </c>
      <c r="U77" s="75">
        <f>VLOOKUP($A77,FoodLog!$A$1:$Z$10007,14,0)</f>
        <v>0</v>
      </c>
      <c r="V77" s="75">
        <f>VLOOKUP($A77,FoodLog!$A$1:$Z$10007,15,0)</f>
        <v>0</v>
      </c>
      <c r="W77" s="75">
        <f>VLOOKUP($A77,FoodLog!$A$1:$Z$10007,16,0)</f>
        <v>773.78849725308783</v>
      </c>
      <c r="X77" s="75">
        <f>VLOOKUP($A77,FoodLog!$A$1:$Z$10007,17,0)</f>
        <v>80</v>
      </c>
      <c r="Y77" s="75">
        <f>VLOOKUP($A77,FoodLog!$A$1:$Z$10007,18,0)</f>
        <v>477.30407413615825</v>
      </c>
      <c r="Z77" s="75">
        <f>VLOOKUP($A77,FoodLog!$A$1:$Z$10007,19,0)</f>
        <v>1331.0925713892461</v>
      </c>
      <c r="AA77" s="67">
        <f t="shared" si="37"/>
        <v>0.25051964072337157</v>
      </c>
      <c r="AB77" s="68">
        <f>Scale!C77</f>
        <v>0</v>
      </c>
    </row>
    <row r="78" spans="1:28" x14ac:dyDescent="0.25">
      <c r="A78" s="70">
        <f t="shared" si="38"/>
        <v>43067</v>
      </c>
      <c r="B78" s="71">
        <f t="shared" si="39"/>
        <v>76</v>
      </c>
      <c r="C78" s="72">
        <f t="shared" si="40"/>
        <v>177.19147909236801</v>
      </c>
      <c r="D78" s="72">
        <f t="shared" si="41"/>
        <v>149.15752316754944</v>
      </c>
      <c r="E78" s="73">
        <f t="shared" si="30"/>
        <v>28.033955924818571</v>
      </c>
      <c r="F78" s="61"/>
      <c r="G78" s="74">
        <f>C78*TDEE!$B$5</f>
        <v>2204.7940972921665</v>
      </c>
      <c r="H78" s="72">
        <f t="shared" si="42"/>
        <v>869.05263366937572</v>
      </c>
      <c r="I78" s="72">
        <f t="shared" si="43"/>
        <v>1335.7414636227909</v>
      </c>
      <c r="J78" s="63">
        <f t="shared" si="31"/>
        <v>0.24830075247696448</v>
      </c>
      <c r="K78" s="72">
        <f t="shared" si="32"/>
        <v>86.493043276292511</v>
      </c>
      <c r="L78" s="72">
        <v>20</v>
      </c>
      <c r="M78" s="59">
        <f>Protein_Amt!$B$6</f>
        <v>119.32601853403956</v>
      </c>
      <c r="N78" s="72">
        <f t="shared" si="33"/>
        <v>778.43738948663258</v>
      </c>
      <c r="O78" s="72">
        <f t="shared" si="34"/>
        <v>80</v>
      </c>
      <c r="P78" s="72">
        <f t="shared" si="35"/>
        <v>477.30407413615825</v>
      </c>
      <c r="Q78" s="73">
        <f t="shared" si="36"/>
        <v>1335.7414636227909</v>
      </c>
      <c r="S78" s="75">
        <f>VLOOKUP($A78,FoodLog!$A$1:$Z$10007,12,0)</f>
        <v>0</v>
      </c>
      <c r="T78" s="75">
        <f>VLOOKUP($A78,FoodLog!$A$1:$Z$10007,13,0)</f>
        <v>0</v>
      </c>
      <c r="U78" s="75">
        <f>VLOOKUP($A78,FoodLog!$A$1:$Z$10007,14,0)</f>
        <v>0</v>
      </c>
      <c r="V78" s="75">
        <f>VLOOKUP($A78,FoodLog!$A$1:$Z$10007,15,0)</f>
        <v>0</v>
      </c>
      <c r="W78" s="75">
        <f>VLOOKUP($A78,FoodLog!$A$1:$Z$10007,16,0)</f>
        <v>778.43738948663258</v>
      </c>
      <c r="X78" s="75">
        <f>VLOOKUP($A78,FoodLog!$A$1:$Z$10007,17,0)</f>
        <v>80</v>
      </c>
      <c r="Y78" s="75">
        <f>VLOOKUP($A78,FoodLog!$A$1:$Z$10007,18,0)</f>
        <v>477.30407413615825</v>
      </c>
      <c r="Z78" s="75">
        <f>VLOOKUP($A78,FoodLog!$A$1:$Z$10007,19,0)</f>
        <v>1335.7414636227909</v>
      </c>
      <c r="AA78" s="67">
        <f t="shared" si="37"/>
        <v>0.24830075247696448</v>
      </c>
      <c r="AB78" s="68">
        <f>Scale!C78</f>
        <v>0</v>
      </c>
    </row>
    <row r="79" spans="1:28" x14ac:dyDescent="0.25">
      <c r="A79" s="70">
        <f t="shared" si="38"/>
        <v>43068</v>
      </c>
      <c r="B79" s="71">
        <f t="shared" si="39"/>
        <v>77</v>
      </c>
      <c r="C79" s="72">
        <f t="shared" si="40"/>
        <v>176.94317833989106</v>
      </c>
      <c r="D79" s="72">
        <f t="shared" si="41"/>
        <v>149.15752316754944</v>
      </c>
      <c r="E79" s="73">
        <f t="shared" si="30"/>
        <v>27.78565517234162</v>
      </c>
      <c r="F79" s="61"/>
      <c r="G79" s="74">
        <f>C79*TDEE!$B$5</f>
        <v>2201.7044902962848</v>
      </c>
      <c r="H79" s="72">
        <f t="shared" si="42"/>
        <v>861.3553103425902</v>
      </c>
      <c r="I79" s="72">
        <f t="shared" si="43"/>
        <v>1340.3491799536946</v>
      </c>
      <c r="J79" s="63">
        <f t="shared" si="31"/>
        <v>0.24610151724074006</v>
      </c>
      <c r="K79" s="72">
        <f t="shared" si="32"/>
        <v>87.005011757504036</v>
      </c>
      <c r="L79" s="72">
        <v>20</v>
      </c>
      <c r="M79" s="59">
        <f>Protein_Amt!$B$6</f>
        <v>119.32601853403956</v>
      </c>
      <c r="N79" s="72">
        <f t="shared" si="33"/>
        <v>783.0451058175363</v>
      </c>
      <c r="O79" s="72">
        <f t="shared" si="34"/>
        <v>80</v>
      </c>
      <c r="P79" s="72">
        <f t="shared" si="35"/>
        <v>477.30407413615825</v>
      </c>
      <c r="Q79" s="73">
        <f t="shared" si="36"/>
        <v>1340.3491799536946</v>
      </c>
      <c r="S79" s="75">
        <f>VLOOKUP($A79,FoodLog!$A$1:$Z$10007,12,0)</f>
        <v>0</v>
      </c>
      <c r="T79" s="75">
        <f>VLOOKUP($A79,FoodLog!$A$1:$Z$10007,13,0)</f>
        <v>0</v>
      </c>
      <c r="U79" s="75">
        <f>VLOOKUP($A79,FoodLog!$A$1:$Z$10007,14,0)</f>
        <v>0</v>
      </c>
      <c r="V79" s="75">
        <f>VLOOKUP($A79,FoodLog!$A$1:$Z$10007,15,0)</f>
        <v>0</v>
      </c>
      <c r="W79" s="75">
        <f>VLOOKUP($A79,FoodLog!$A$1:$Z$10007,16,0)</f>
        <v>783.0451058175363</v>
      </c>
      <c r="X79" s="75">
        <f>VLOOKUP($A79,FoodLog!$A$1:$Z$10007,17,0)</f>
        <v>80</v>
      </c>
      <c r="Y79" s="75">
        <f>VLOOKUP($A79,FoodLog!$A$1:$Z$10007,18,0)</f>
        <v>477.30407413615825</v>
      </c>
      <c r="Z79" s="75">
        <f>VLOOKUP($A79,FoodLog!$A$1:$Z$10007,19,0)</f>
        <v>1340.3491799536946</v>
      </c>
      <c r="AA79" s="67">
        <f t="shared" si="37"/>
        <v>0.24610151724074006</v>
      </c>
      <c r="AB79" s="68">
        <f>Scale!C79</f>
        <v>0</v>
      </c>
    </row>
    <row r="80" spans="1:28" x14ac:dyDescent="0.25">
      <c r="A80" s="70">
        <f t="shared" si="38"/>
        <v>43069</v>
      </c>
      <c r="B80" s="71">
        <f t="shared" si="39"/>
        <v>78</v>
      </c>
      <c r="C80" s="72">
        <f t="shared" si="40"/>
        <v>176.69707682265033</v>
      </c>
      <c r="D80" s="72">
        <f t="shared" si="41"/>
        <v>149.15752316754944</v>
      </c>
      <c r="E80" s="73">
        <f t="shared" si="30"/>
        <v>27.539553655100889</v>
      </c>
      <c r="F80" s="61"/>
      <c r="G80" s="74">
        <f>C80*TDEE!$B$5</f>
        <v>2198.6422483909382</v>
      </c>
      <c r="H80" s="72">
        <f t="shared" si="42"/>
        <v>853.72616330812752</v>
      </c>
      <c r="I80" s="72">
        <f t="shared" si="43"/>
        <v>1344.9160850828107</v>
      </c>
      <c r="J80" s="63">
        <f t="shared" si="31"/>
        <v>0.24392176094517928</v>
      </c>
      <c r="K80" s="72">
        <f t="shared" si="32"/>
        <v>87.512445660739161</v>
      </c>
      <c r="L80" s="72">
        <v>20</v>
      </c>
      <c r="M80" s="59">
        <f>Protein_Amt!$B$6</f>
        <v>119.32601853403956</v>
      </c>
      <c r="N80" s="72">
        <f t="shared" si="33"/>
        <v>787.61201094665239</v>
      </c>
      <c r="O80" s="72">
        <f t="shared" si="34"/>
        <v>80</v>
      </c>
      <c r="P80" s="72">
        <f t="shared" si="35"/>
        <v>477.30407413615825</v>
      </c>
      <c r="Q80" s="73">
        <f t="shared" si="36"/>
        <v>1344.9160850828107</v>
      </c>
      <c r="S80" s="75">
        <f>VLOOKUP($A80,FoodLog!$A$1:$Z$10007,12,0)</f>
        <v>0</v>
      </c>
      <c r="T80" s="75">
        <f>VLOOKUP($A80,FoodLog!$A$1:$Z$10007,13,0)</f>
        <v>0</v>
      </c>
      <c r="U80" s="75">
        <f>VLOOKUP($A80,FoodLog!$A$1:$Z$10007,14,0)</f>
        <v>0</v>
      </c>
      <c r="V80" s="75">
        <f>VLOOKUP($A80,FoodLog!$A$1:$Z$10007,15,0)</f>
        <v>0</v>
      </c>
      <c r="W80" s="75">
        <f>VLOOKUP($A80,FoodLog!$A$1:$Z$10007,16,0)</f>
        <v>787.61201094665239</v>
      </c>
      <c r="X80" s="75">
        <f>VLOOKUP($A80,FoodLog!$A$1:$Z$10007,17,0)</f>
        <v>80</v>
      </c>
      <c r="Y80" s="75">
        <f>VLOOKUP($A80,FoodLog!$A$1:$Z$10007,18,0)</f>
        <v>477.30407413615825</v>
      </c>
      <c r="Z80" s="75">
        <f>VLOOKUP($A80,FoodLog!$A$1:$Z$10007,19,0)</f>
        <v>1344.9160850828107</v>
      </c>
      <c r="AA80" s="67">
        <f t="shared" si="37"/>
        <v>0.24392176094517928</v>
      </c>
      <c r="AB80" s="68">
        <f>Scale!C80</f>
        <v>0</v>
      </c>
    </row>
    <row r="81" spans="1:28" x14ac:dyDescent="0.25">
      <c r="A81" s="70">
        <f t="shared" si="38"/>
        <v>43070</v>
      </c>
      <c r="B81" s="71">
        <f t="shared" si="39"/>
        <v>79</v>
      </c>
      <c r="C81" s="72">
        <f t="shared" si="40"/>
        <v>176.45315506170516</v>
      </c>
      <c r="D81" s="72">
        <f t="shared" si="41"/>
        <v>149.15752316754944</v>
      </c>
      <c r="E81" s="73">
        <f t="shared" si="30"/>
        <v>27.295631894155719</v>
      </c>
      <c r="F81" s="61"/>
      <c r="G81" s="74">
        <f>C81*TDEE!$B$5</f>
        <v>2195.60712919961</v>
      </c>
      <c r="H81" s="72">
        <f t="shared" si="42"/>
        <v>846.1645887188273</v>
      </c>
      <c r="I81" s="72">
        <f t="shared" si="43"/>
        <v>1349.4425404807826</v>
      </c>
      <c r="J81" s="63">
        <f t="shared" si="31"/>
        <v>0.24176131106252208</v>
      </c>
      <c r="K81" s="72">
        <f t="shared" si="32"/>
        <v>88.01538514940269</v>
      </c>
      <c r="L81" s="72">
        <v>20</v>
      </c>
      <c r="M81" s="59">
        <f>Protein_Amt!$B$6</f>
        <v>119.32601853403956</v>
      </c>
      <c r="N81" s="72">
        <f t="shared" si="33"/>
        <v>792.13846634462425</v>
      </c>
      <c r="O81" s="72">
        <f t="shared" si="34"/>
        <v>80</v>
      </c>
      <c r="P81" s="72">
        <f t="shared" si="35"/>
        <v>477.30407413615825</v>
      </c>
      <c r="Q81" s="73">
        <f t="shared" si="36"/>
        <v>1349.4425404807826</v>
      </c>
      <c r="S81" s="75">
        <f>VLOOKUP($A81,FoodLog!$A$1:$Z$10007,12,0)</f>
        <v>0</v>
      </c>
      <c r="T81" s="75">
        <f>VLOOKUP($A81,FoodLog!$A$1:$Z$10007,13,0)</f>
        <v>0</v>
      </c>
      <c r="U81" s="75">
        <f>VLOOKUP($A81,FoodLog!$A$1:$Z$10007,14,0)</f>
        <v>0</v>
      </c>
      <c r="V81" s="75">
        <f>VLOOKUP($A81,FoodLog!$A$1:$Z$10007,15,0)</f>
        <v>0</v>
      </c>
      <c r="W81" s="75">
        <f>VLOOKUP($A81,FoodLog!$A$1:$Z$10007,16,0)</f>
        <v>792.13846634462425</v>
      </c>
      <c r="X81" s="75">
        <f>VLOOKUP($A81,FoodLog!$A$1:$Z$10007,17,0)</f>
        <v>80</v>
      </c>
      <c r="Y81" s="75">
        <f>VLOOKUP($A81,FoodLog!$A$1:$Z$10007,18,0)</f>
        <v>477.30407413615825</v>
      </c>
      <c r="Z81" s="75">
        <f>VLOOKUP($A81,FoodLog!$A$1:$Z$10007,19,0)</f>
        <v>1349.4425404807826</v>
      </c>
      <c r="AA81" s="67">
        <f t="shared" si="37"/>
        <v>0.24176131106252208</v>
      </c>
      <c r="AB81" s="68">
        <f>Scale!C81</f>
        <v>0</v>
      </c>
    </row>
    <row r="82" spans="1:28" x14ac:dyDescent="0.25">
      <c r="A82" s="70">
        <f t="shared" si="38"/>
        <v>43071</v>
      </c>
      <c r="B82" s="71">
        <f t="shared" si="39"/>
        <v>80</v>
      </c>
      <c r="C82" s="72">
        <f t="shared" si="40"/>
        <v>176.21139375064263</v>
      </c>
      <c r="D82" s="72">
        <f t="shared" si="41"/>
        <v>149.15752316754944</v>
      </c>
      <c r="E82" s="73">
        <f t="shared" si="30"/>
        <v>27.053870583093186</v>
      </c>
      <c r="F82" s="61"/>
      <c r="G82" s="74">
        <f>C82*TDEE!$B$5</f>
        <v>2192.5988924925482</v>
      </c>
      <c r="H82" s="72">
        <f t="shared" si="42"/>
        <v>838.6699880758888</v>
      </c>
      <c r="I82" s="72">
        <f t="shared" si="43"/>
        <v>1353.9289044166594</v>
      </c>
      <c r="J82" s="63">
        <f t="shared" si="31"/>
        <v>0.23961999659311109</v>
      </c>
      <c r="K82" s="72">
        <f t="shared" si="32"/>
        <v>88.513870031166789</v>
      </c>
      <c r="L82" s="72">
        <v>20</v>
      </c>
      <c r="M82" s="59">
        <f>Protein_Amt!$B$6</f>
        <v>119.32601853403956</v>
      </c>
      <c r="N82" s="72">
        <f t="shared" si="33"/>
        <v>796.6248302805011</v>
      </c>
      <c r="O82" s="72">
        <f t="shared" si="34"/>
        <v>80</v>
      </c>
      <c r="P82" s="72">
        <f t="shared" si="35"/>
        <v>477.30407413615825</v>
      </c>
      <c r="Q82" s="73">
        <f t="shared" si="36"/>
        <v>1353.9289044166594</v>
      </c>
      <c r="S82" s="75">
        <f>VLOOKUP($A82,FoodLog!$A$1:$Z$10007,12,0)</f>
        <v>0</v>
      </c>
      <c r="T82" s="75">
        <f>VLOOKUP($A82,FoodLog!$A$1:$Z$10007,13,0)</f>
        <v>0</v>
      </c>
      <c r="U82" s="75">
        <f>VLOOKUP($A82,FoodLog!$A$1:$Z$10007,14,0)</f>
        <v>0</v>
      </c>
      <c r="V82" s="75">
        <f>VLOOKUP($A82,FoodLog!$A$1:$Z$10007,15,0)</f>
        <v>0</v>
      </c>
      <c r="W82" s="75">
        <f>VLOOKUP($A82,FoodLog!$A$1:$Z$10007,16,0)</f>
        <v>796.6248302805011</v>
      </c>
      <c r="X82" s="75">
        <f>VLOOKUP($A82,FoodLog!$A$1:$Z$10007,17,0)</f>
        <v>80</v>
      </c>
      <c r="Y82" s="75">
        <f>VLOOKUP($A82,FoodLog!$A$1:$Z$10007,18,0)</f>
        <v>477.30407413615825</v>
      </c>
      <c r="Z82" s="75">
        <f>VLOOKUP($A82,FoodLog!$A$1:$Z$10007,19,0)</f>
        <v>1353.9289044166594</v>
      </c>
      <c r="AA82" s="67">
        <f t="shared" si="37"/>
        <v>0.23961999659311109</v>
      </c>
      <c r="AB82" s="68">
        <f>Scale!C82</f>
        <v>0</v>
      </c>
    </row>
    <row r="83" spans="1:28" x14ac:dyDescent="0.25">
      <c r="A83" s="70">
        <f t="shared" si="38"/>
        <v>43072</v>
      </c>
      <c r="B83" s="71">
        <f t="shared" si="39"/>
        <v>81</v>
      </c>
      <c r="C83" s="72">
        <f t="shared" si="40"/>
        <v>175.97177375404951</v>
      </c>
      <c r="D83" s="72">
        <f t="shared" si="41"/>
        <v>149.15752316754944</v>
      </c>
      <c r="E83" s="73">
        <f t="shared" si="30"/>
        <v>26.814250586500066</v>
      </c>
      <c r="F83" s="61"/>
      <c r="G83" s="74">
        <f>C83*TDEE!$B$5</f>
        <v>2189.6173001677485</v>
      </c>
      <c r="H83" s="72">
        <f t="shared" si="42"/>
        <v>831.24176818150204</v>
      </c>
      <c r="I83" s="72">
        <f t="shared" si="43"/>
        <v>1358.3755319862464</v>
      </c>
      <c r="J83" s="63">
        <f t="shared" si="31"/>
        <v>0.23749764805185772</v>
      </c>
      <c r="K83" s="72">
        <f t="shared" si="32"/>
        <v>89.007939761120895</v>
      </c>
      <c r="L83" s="72">
        <v>20</v>
      </c>
      <c r="M83" s="59">
        <f>Protein_Amt!$B$6</f>
        <v>119.32601853403956</v>
      </c>
      <c r="N83" s="72">
        <f t="shared" si="33"/>
        <v>801.07145785008811</v>
      </c>
      <c r="O83" s="72">
        <f t="shared" si="34"/>
        <v>80</v>
      </c>
      <c r="P83" s="72">
        <f t="shared" si="35"/>
        <v>477.30407413615825</v>
      </c>
      <c r="Q83" s="73">
        <f t="shared" si="36"/>
        <v>1358.3755319862464</v>
      </c>
      <c r="S83" s="75">
        <f>VLOOKUP($A83,FoodLog!$A$1:$Z$10007,12,0)</f>
        <v>0</v>
      </c>
      <c r="T83" s="75">
        <f>VLOOKUP($A83,FoodLog!$A$1:$Z$10007,13,0)</f>
        <v>0</v>
      </c>
      <c r="U83" s="75">
        <f>VLOOKUP($A83,FoodLog!$A$1:$Z$10007,14,0)</f>
        <v>0</v>
      </c>
      <c r="V83" s="75">
        <f>VLOOKUP($A83,FoodLog!$A$1:$Z$10007,15,0)</f>
        <v>0</v>
      </c>
      <c r="W83" s="75">
        <f>VLOOKUP($A83,FoodLog!$A$1:$Z$10007,16,0)</f>
        <v>801.07145785008811</v>
      </c>
      <c r="X83" s="75">
        <f>VLOOKUP($A83,FoodLog!$A$1:$Z$10007,17,0)</f>
        <v>80</v>
      </c>
      <c r="Y83" s="75">
        <f>VLOOKUP($A83,FoodLog!$A$1:$Z$10007,18,0)</f>
        <v>477.30407413615825</v>
      </c>
      <c r="Z83" s="75">
        <f>VLOOKUP($A83,FoodLog!$A$1:$Z$10007,19,0)</f>
        <v>1358.3755319862464</v>
      </c>
      <c r="AA83" s="67">
        <f t="shared" si="37"/>
        <v>0.23749764805185772</v>
      </c>
      <c r="AB83" s="68">
        <f>Scale!C83</f>
        <v>0</v>
      </c>
    </row>
    <row r="84" spans="1:28" x14ac:dyDescent="0.25">
      <c r="A84" s="70">
        <f t="shared" si="38"/>
        <v>43073</v>
      </c>
      <c r="B84" s="71">
        <f t="shared" si="39"/>
        <v>82</v>
      </c>
      <c r="C84" s="72">
        <f t="shared" si="40"/>
        <v>175.73427610599765</v>
      </c>
      <c r="D84" s="72">
        <f t="shared" si="41"/>
        <v>149.15752316754944</v>
      </c>
      <c r="E84" s="73">
        <f t="shared" si="30"/>
        <v>26.576752938448209</v>
      </c>
      <c r="F84" s="61"/>
      <c r="G84" s="74">
        <f>C84*TDEE!$B$5</f>
        <v>2186.6621162321117</v>
      </c>
      <c r="H84" s="72">
        <f t="shared" si="42"/>
        <v>823.8793410918945</v>
      </c>
      <c r="I84" s="72">
        <f t="shared" si="43"/>
        <v>1362.7827751402172</v>
      </c>
      <c r="J84" s="63">
        <f t="shared" si="31"/>
        <v>0.23539409745482701</v>
      </c>
      <c r="K84" s="72">
        <f t="shared" si="32"/>
        <v>89.497633444895428</v>
      </c>
      <c r="L84" s="72">
        <v>20</v>
      </c>
      <c r="M84" s="59">
        <f>Protein_Amt!$B$6</f>
        <v>119.32601853403956</v>
      </c>
      <c r="N84" s="72">
        <f t="shared" si="33"/>
        <v>805.47870100405885</v>
      </c>
      <c r="O84" s="72">
        <f t="shared" si="34"/>
        <v>80</v>
      </c>
      <c r="P84" s="72">
        <f t="shared" si="35"/>
        <v>477.30407413615825</v>
      </c>
      <c r="Q84" s="73">
        <f t="shared" si="36"/>
        <v>1362.7827751402172</v>
      </c>
      <c r="S84" s="75">
        <f>VLOOKUP($A84,FoodLog!$A$1:$Z$10007,12,0)</f>
        <v>0</v>
      </c>
      <c r="T84" s="75">
        <f>VLOOKUP($A84,FoodLog!$A$1:$Z$10007,13,0)</f>
        <v>0</v>
      </c>
      <c r="U84" s="75">
        <f>VLOOKUP($A84,FoodLog!$A$1:$Z$10007,14,0)</f>
        <v>0</v>
      </c>
      <c r="V84" s="75">
        <f>VLOOKUP($A84,FoodLog!$A$1:$Z$10007,15,0)</f>
        <v>0</v>
      </c>
      <c r="W84" s="75">
        <f>VLOOKUP($A84,FoodLog!$A$1:$Z$10007,16,0)</f>
        <v>805.47870100405885</v>
      </c>
      <c r="X84" s="75">
        <f>VLOOKUP($A84,FoodLog!$A$1:$Z$10007,17,0)</f>
        <v>80</v>
      </c>
      <c r="Y84" s="75">
        <f>VLOOKUP($A84,FoodLog!$A$1:$Z$10007,18,0)</f>
        <v>477.30407413615825</v>
      </c>
      <c r="Z84" s="75">
        <f>VLOOKUP($A84,FoodLog!$A$1:$Z$10007,19,0)</f>
        <v>1362.7827751402172</v>
      </c>
      <c r="AA84" s="67">
        <f t="shared" si="37"/>
        <v>0.23539409745482701</v>
      </c>
      <c r="AB84" s="68">
        <f>Scale!C84</f>
        <v>0</v>
      </c>
    </row>
    <row r="85" spans="1:28" x14ac:dyDescent="0.25">
      <c r="A85" s="70">
        <f t="shared" si="38"/>
        <v>43074</v>
      </c>
      <c r="B85" s="71">
        <f t="shared" si="39"/>
        <v>83</v>
      </c>
      <c r="C85" s="72">
        <f t="shared" si="40"/>
        <v>175.49888200854284</v>
      </c>
      <c r="D85" s="72">
        <f t="shared" si="41"/>
        <v>149.15752316754944</v>
      </c>
      <c r="E85" s="73">
        <f t="shared" si="30"/>
        <v>26.341358840993394</v>
      </c>
      <c r="F85" s="61"/>
      <c r="G85" s="74">
        <f>C85*TDEE!$B$5</f>
        <v>2183.7331067827618</v>
      </c>
      <c r="H85" s="72">
        <f t="shared" si="42"/>
        <v>816.5821240707952</v>
      </c>
      <c r="I85" s="72">
        <f t="shared" si="43"/>
        <v>1367.1509827119667</v>
      </c>
      <c r="J85" s="63">
        <f t="shared" si="31"/>
        <v>0.2333091783059415</v>
      </c>
      <c r="K85" s="72">
        <f t="shared" si="32"/>
        <v>89.982989841756478</v>
      </c>
      <c r="L85" s="72">
        <v>20</v>
      </c>
      <c r="M85" s="59">
        <f>Protein_Amt!$B$6</f>
        <v>119.32601853403956</v>
      </c>
      <c r="N85" s="72">
        <f t="shared" si="33"/>
        <v>809.84690857580836</v>
      </c>
      <c r="O85" s="72">
        <f t="shared" si="34"/>
        <v>80</v>
      </c>
      <c r="P85" s="72">
        <f t="shared" si="35"/>
        <v>477.30407413615825</v>
      </c>
      <c r="Q85" s="73">
        <f t="shared" si="36"/>
        <v>1367.1509827119667</v>
      </c>
      <c r="S85" s="75">
        <f>VLOOKUP($A85,FoodLog!$A$1:$Z$10007,12,0)</f>
        <v>0</v>
      </c>
      <c r="T85" s="75">
        <f>VLOOKUP($A85,FoodLog!$A$1:$Z$10007,13,0)</f>
        <v>0</v>
      </c>
      <c r="U85" s="75">
        <f>VLOOKUP($A85,FoodLog!$A$1:$Z$10007,14,0)</f>
        <v>0</v>
      </c>
      <c r="V85" s="75">
        <f>VLOOKUP($A85,FoodLog!$A$1:$Z$10007,15,0)</f>
        <v>0</v>
      </c>
      <c r="W85" s="75">
        <f>VLOOKUP($A85,FoodLog!$A$1:$Z$10007,16,0)</f>
        <v>809.84690857580836</v>
      </c>
      <c r="X85" s="75">
        <f>VLOOKUP($A85,FoodLog!$A$1:$Z$10007,17,0)</f>
        <v>80</v>
      </c>
      <c r="Y85" s="75">
        <f>VLOOKUP($A85,FoodLog!$A$1:$Z$10007,18,0)</f>
        <v>477.30407413615825</v>
      </c>
      <c r="Z85" s="75">
        <f>VLOOKUP($A85,FoodLog!$A$1:$Z$10007,19,0)</f>
        <v>1367.1509827119667</v>
      </c>
      <c r="AA85" s="67">
        <f t="shared" si="37"/>
        <v>0.2333091783059415</v>
      </c>
      <c r="AB85" s="68">
        <f>Scale!C85</f>
        <v>0</v>
      </c>
    </row>
    <row r="86" spans="1:28" x14ac:dyDescent="0.25">
      <c r="A86" s="70">
        <f t="shared" si="38"/>
        <v>43075</v>
      </c>
      <c r="B86" s="71">
        <f t="shared" si="39"/>
        <v>84</v>
      </c>
      <c r="C86" s="72">
        <f t="shared" si="40"/>
        <v>175.26557283023689</v>
      </c>
      <c r="D86" s="80">
        <f t="shared" si="41"/>
        <v>149.15752316754944</v>
      </c>
      <c r="E86" s="81">
        <f t="shared" si="30"/>
        <v>26.108049662687449</v>
      </c>
      <c r="F86" s="82"/>
      <c r="G86" s="83">
        <f>C86*TDEE!$B$5</f>
        <v>2180.8300399885347</v>
      </c>
      <c r="H86" s="72">
        <f t="shared" si="42"/>
        <v>809.34953954331093</v>
      </c>
      <c r="I86" s="72">
        <f t="shared" si="43"/>
        <v>1371.4805004452237</v>
      </c>
      <c r="J86" s="63">
        <f t="shared" si="31"/>
        <v>0.23124272558380313</v>
      </c>
      <c r="K86" s="80">
        <f t="shared" si="32"/>
        <v>90.464047367673928</v>
      </c>
      <c r="L86" s="80">
        <v>20</v>
      </c>
      <c r="M86" s="59">
        <f>Protein_Amt!$B$6</f>
        <v>119.32601853403956</v>
      </c>
      <c r="N86" s="72">
        <f t="shared" si="33"/>
        <v>814.17642630906539</v>
      </c>
      <c r="O86" s="80">
        <f t="shared" si="34"/>
        <v>80</v>
      </c>
      <c r="P86" s="80">
        <f t="shared" si="35"/>
        <v>477.30407413615825</v>
      </c>
      <c r="Q86" s="73">
        <f t="shared" si="36"/>
        <v>1371.4805004452237</v>
      </c>
      <c r="S86" s="75">
        <f>VLOOKUP($A86,FoodLog!$A$1:$Z$10007,12,0)</f>
        <v>0</v>
      </c>
      <c r="T86" s="75">
        <f>VLOOKUP($A86,FoodLog!$A$1:$Z$10007,13,0)</f>
        <v>0</v>
      </c>
      <c r="U86" s="75">
        <f>VLOOKUP($A86,FoodLog!$A$1:$Z$10007,14,0)</f>
        <v>0</v>
      </c>
      <c r="V86" s="75">
        <f>VLOOKUP($A86,FoodLog!$A$1:$Z$10007,15,0)</f>
        <v>0</v>
      </c>
      <c r="W86" s="75">
        <f>VLOOKUP($A86,FoodLog!$A$1:$Z$10007,16,0)</f>
        <v>814.17642630906539</v>
      </c>
      <c r="X86" s="75">
        <f>VLOOKUP($A86,FoodLog!$A$1:$Z$10007,17,0)</f>
        <v>80</v>
      </c>
      <c r="Y86" s="75">
        <f>VLOOKUP($A86,FoodLog!$A$1:$Z$10007,18,0)</f>
        <v>477.30407413615825</v>
      </c>
      <c r="Z86" s="75">
        <f>VLOOKUP($A86,FoodLog!$A$1:$Z$10007,19,0)</f>
        <v>1371.4805004452237</v>
      </c>
      <c r="AA86" s="67">
        <f t="shared" si="37"/>
        <v>0.23124272558380313</v>
      </c>
      <c r="AB86" s="68">
        <f>Scale!C86</f>
        <v>0</v>
      </c>
    </row>
    <row r="87" spans="1:28" x14ac:dyDescent="0.25">
      <c r="A87" s="70">
        <f t="shared" si="38"/>
        <v>43076</v>
      </c>
      <c r="B87" s="71">
        <f t="shared" si="39"/>
        <v>85</v>
      </c>
      <c r="C87" s="72">
        <f t="shared" si="40"/>
        <v>175.03433010465309</v>
      </c>
      <c r="D87" s="80">
        <f t="shared" si="41"/>
        <v>149.15752316754944</v>
      </c>
      <c r="E87" s="81">
        <f t="shared" si="30"/>
        <v>25.876806937103652</v>
      </c>
      <c r="F87" s="82"/>
      <c r="G87" s="83">
        <f>C87*TDEE!$B$5</f>
        <v>2177.9526860716282</v>
      </c>
      <c r="H87" s="72">
        <f t="shared" si="42"/>
        <v>802.1810150502132</v>
      </c>
      <c r="I87" s="72">
        <f t="shared" si="43"/>
        <v>1375.7716710214149</v>
      </c>
      <c r="J87" s="63">
        <f t="shared" si="31"/>
        <v>0.22919457572863233</v>
      </c>
      <c r="K87" s="80">
        <f t="shared" si="32"/>
        <v>90.496399653917408</v>
      </c>
      <c r="L87" s="80">
        <v>21</v>
      </c>
      <c r="M87" s="59">
        <f>Protein_Amt!$B$6</f>
        <v>119.32601853403956</v>
      </c>
      <c r="N87" s="72">
        <f t="shared" si="33"/>
        <v>814.46759688525663</v>
      </c>
      <c r="O87" s="80">
        <f t="shared" si="34"/>
        <v>84</v>
      </c>
      <c r="P87" s="80">
        <f t="shared" si="35"/>
        <v>477.30407413615825</v>
      </c>
      <c r="Q87" s="73">
        <f t="shared" si="36"/>
        <v>1375.7716710214149</v>
      </c>
      <c r="S87" s="75">
        <f>VLOOKUP($A87,FoodLog!$A$1:$Z$10007,12,0)</f>
        <v>0</v>
      </c>
      <c r="T87" s="75">
        <f>VLOOKUP($A87,FoodLog!$A$1:$Z$10007,13,0)</f>
        <v>0</v>
      </c>
      <c r="U87" s="75">
        <f>VLOOKUP($A87,FoodLog!$A$1:$Z$10007,14,0)</f>
        <v>0</v>
      </c>
      <c r="V87" s="75">
        <f>VLOOKUP($A87,FoodLog!$A$1:$Z$10007,15,0)</f>
        <v>0</v>
      </c>
      <c r="W87" s="75">
        <f>VLOOKUP($A87,FoodLog!$A$1:$Z$10007,16,0)</f>
        <v>814.46759688525663</v>
      </c>
      <c r="X87" s="75">
        <f>VLOOKUP($A87,FoodLog!$A$1:$Z$10007,17,0)</f>
        <v>84</v>
      </c>
      <c r="Y87" s="75">
        <f>VLOOKUP($A87,FoodLog!$A$1:$Z$10007,18,0)</f>
        <v>477.30407413615825</v>
      </c>
      <c r="Z87" s="75">
        <f>VLOOKUP($A87,FoodLog!$A$1:$Z$10007,19,0)</f>
        <v>1375.7716710214149</v>
      </c>
      <c r="AA87" s="67">
        <f t="shared" si="37"/>
        <v>0.22919457572863233</v>
      </c>
      <c r="AB87" s="68">
        <f>Scale!C87</f>
        <v>0</v>
      </c>
    </row>
    <row r="88" spans="1:28" x14ac:dyDescent="0.25">
      <c r="A88" s="70">
        <f t="shared" si="38"/>
        <v>43077</v>
      </c>
      <c r="B88" s="71">
        <f t="shared" si="39"/>
        <v>86</v>
      </c>
      <c r="C88" s="72">
        <f t="shared" si="40"/>
        <v>174.80513552892447</v>
      </c>
      <c r="D88" s="80">
        <f t="shared" si="41"/>
        <v>149.15752316754944</v>
      </c>
      <c r="E88" s="81">
        <f t="shared" si="30"/>
        <v>25.647612361375025</v>
      </c>
      <c r="F88" s="82"/>
      <c r="G88" s="83">
        <f>C88*TDEE!$B$5</f>
        <v>2175.100817289414</v>
      </c>
      <c r="H88" s="72">
        <f t="shared" si="42"/>
        <v>795.07598320262582</v>
      </c>
      <c r="I88" s="72">
        <f t="shared" si="43"/>
        <v>1380.0248340867881</v>
      </c>
      <c r="J88" s="63">
        <f t="shared" si="31"/>
        <v>0.22716456662932166</v>
      </c>
      <c r="K88" s="80">
        <f t="shared" si="32"/>
        <v>90.52452888340332</v>
      </c>
      <c r="L88" s="80">
        <v>22</v>
      </c>
      <c r="M88" s="59">
        <f>Protein_Amt!$B$6</f>
        <v>119.32601853403956</v>
      </c>
      <c r="N88" s="72">
        <f t="shared" si="33"/>
        <v>814.72075995062983</v>
      </c>
      <c r="O88" s="80">
        <f t="shared" si="34"/>
        <v>88</v>
      </c>
      <c r="P88" s="80">
        <f t="shared" si="35"/>
        <v>477.30407413615825</v>
      </c>
      <c r="Q88" s="73">
        <f t="shared" si="36"/>
        <v>1380.0248340867881</v>
      </c>
      <c r="S88" s="75">
        <f>VLOOKUP($A88,FoodLog!$A$1:$Z$10007,12,0)</f>
        <v>0</v>
      </c>
      <c r="T88" s="75">
        <f>VLOOKUP($A88,FoodLog!$A$1:$Z$10007,13,0)</f>
        <v>0</v>
      </c>
      <c r="U88" s="75">
        <f>VLOOKUP($A88,FoodLog!$A$1:$Z$10007,14,0)</f>
        <v>0</v>
      </c>
      <c r="V88" s="75">
        <f>VLOOKUP($A88,FoodLog!$A$1:$Z$10007,15,0)</f>
        <v>0</v>
      </c>
      <c r="W88" s="75">
        <f>VLOOKUP($A88,FoodLog!$A$1:$Z$10007,16,0)</f>
        <v>814.72075995062983</v>
      </c>
      <c r="X88" s="75">
        <f>VLOOKUP($A88,FoodLog!$A$1:$Z$10007,17,0)</f>
        <v>88</v>
      </c>
      <c r="Y88" s="75">
        <f>VLOOKUP($A88,FoodLog!$A$1:$Z$10007,18,0)</f>
        <v>477.30407413615825</v>
      </c>
      <c r="Z88" s="75">
        <f>VLOOKUP($A88,FoodLog!$A$1:$Z$10007,19,0)</f>
        <v>1380.0248340867881</v>
      </c>
      <c r="AA88" s="67">
        <f t="shared" si="37"/>
        <v>0.22716456662932166</v>
      </c>
      <c r="AB88" s="68">
        <f>Scale!C88</f>
        <v>0</v>
      </c>
    </row>
    <row r="89" spans="1:28" x14ac:dyDescent="0.25">
      <c r="A89" s="70">
        <f t="shared" si="38"/>
        <v>43078</v>
      </c>
      <c r="B89" s="71">
        <f t="shared" si="39"/>
        <v>87</v>
      </c>
      <c r="C89" s="72">
        <f t="shared" si="40"/>
        <v>174.57797096229515</v>
      </c>
      <c r="D89" s="80">
        <f t="shared" si="41"/>
        <v>149.15752316754944</v>
      </c>
      <c r="E89" s="81">
        <f t="shared" si="30"/>
        <v>25.420447794745712</v>
      </c>
      <c r="F89" s="82"/>
      <c r="G89" s="83">
        <f>C89*TDEE!$B$5</f>
        <v>2172.2742079164141</v>
      </c>
      <c r="H89" s="72">
        <f t="shared" si="42"/>
        <v>788.03388163711702</v>
      </c>
      <c r="I89" s="72">
        <f t="shared" si="43"/>
        <v>1384.2403262792971</v>
      </c>
      <c r="J89" s="63">
        <f t="shared" si="31"/>
        <v>0.22515253761060486</v>
      </c>
      <c r="K89" s="80">
        <f t="shared" si="32"/>
        <v>90.548472460348748</v>
      </c>
      <c r="L89" s="80">
        <v>23</v>
      </c>
      <c r="M89" s="59">
        <f>Protein_Amt!$B$6</f>
        <v>119.32601853403956</v>
      </c>
      <c r="N89" s="72">
        <f t="shared" si="33"/>
        <v>814.93625214313874</v>
      </c>
      <c r="O89" s="80">
        <f t="shared" si="34"/>
        <v>92</v>
      </c>
      <c r="P89" s="80">
        <f t="shared" si="35"/>
        <v>477.30407413615825</v>
      </c>
      <c r="Q89" s="73">
        <f t="shared" si="36"/>
        <v>1384.2403262792971</v>
      </c>
      <c r="S89" s="75">
        <f>VLOOKUP($A89,FoodLog!$A$1:$Z$10007,12,0)</f>
        <v>0</v>
      </c>
      <c r="T89" s="75">
        <f>VLOOKUP($A89,FoodLog!$A$1:$Z$10007,13,0)</f>
        <v>0</v>
      </c>
      <c r="U89" s="75">
        <f>VLOOKUP($A89,FoodLog!$A$1:$Z$10007,14,0)</f>
        <v>0</v>
      </c>
      <c r="V89" s="75">
        <f>VLOOKUP($A89,FoodLog!$A$1:$Z$10007,15,0)</f>
        <v>0</v>
      </c>
      <c r="W89" s="75">
        <f>VLOOKUP($A89,FoodLog!$A$1:$Z$10007,16,0)</f>
        <v>814.93625214313874</v>
      </c>
      <c r="X89" s="75">
        <f>VLOOKUP($A89,FoodLog!$A$1:$Z$10007,17,0)</f>
        <v>92</v>
      </c>
      <c r="Y89" s="75">
        <f>VLOOKUP($A89,FoodLog!$A$1:$Z$10007,18,0)</f>
        <v>477.30407413615825</v>
      </c>
      <c r="Z89" s="75">
        <f>VLOOKUP($A89,FoodLog!$A$1:$Z$10007,19,0)</f>
        <v>1384.2403262792971</v>
      </c>
      <c r="AA89" s="67">
        <f t="shared" si="37"/>
        <v>0.22515253761060486</v>
      </c>
      <c r="AB89" s="68">
        <f>Scale!C89</f>
        <v>0</v>
      </c>
    </row>
    <row r="90" spans="1:28" x14ac:dyDescent="0.25">
      <c r="A90" s="70">
        <f t="shared" si="38"/>
        <v>43079</v>
      </c>
      <c r="B90" s="71">
        <f t="shared" si="39"/>
        <v>88</v>
      </c>
      <c r="C90" s="72">
        <f t="shared" si="40"/>
        <v>174.35281842468456</v>
      </c>
      <c r="D90" s="80">
        <f t="shared" si="41"/>
        <v>149.15752316754944</v>
      </c>
      <c r="E90" s="81">
        <f t="shared" si="30"/>
        <v>25.195295257135115</v>
      </c>
      <c r="F90" s="82"/>
      <c r="G90" s="83">
        <f>C90*TDEE!$B$5</f>
        <v>2169.4726342264321</v>
      </c>
      <c r="H90" s="72">
        <f t="shared" si="42"/>
        <v>781.05415297118861</v>
      </c>
      <c r="I90" s="72">
        <f t="shared" si="43"/>
        <v>1388.4184812552435</v>
      </c>
      <c r="J90" s="63">
        <f t="shared" si="31"/>
        <v>0.22315832942033961</v>
      </c>
      <c r="K90" s="80">
        <f t="shared" si="32"/>
        <v>90.568267457676129</v>
      </c>
      <c r="L90" s="80">
        <v>24</v>
      </c>
      <c r="M90" s="59">
        <f>Protein_Amt!$B$6</f>
        <v>119.32601853403956</v>
      </c>
      <c r="N90" s="72">
        <f t="shared" si="33"/>
        <v>815.11440711908517</v>
      </c>
      <c r="O90" s="80">
        <f t="shared" si="34"/>
        <v>96</v>
      </c>
      <c r="P90" s="80">
        <f t="shared" si="35"/>
        <v>477.30407413615825</v>
      </c>
      <c r="Q90" s="73">
        <f t="shared" si="36"/>
        <v>1388.4184812552435</v>
      </c>
      <c r="S90" s="75">
        <f>VLOOKUP($A90,FoodLog!$A$1:$Z$10007,12,0)</f>
        <v>0</v>
      </c>
      <c r="T90" s="75">
        <f>VLOOKUP($A90,FoodLog!$A$1:$Z$10007,13,0)</f>
        <v>0</v>
      </c>
      <c r="U90" s="75">
        <f>VLOOKUP($A90,FoodLog!$A$1:$Z$10007,14,0)</f>
        <v>0</v>
      </c>
      <c r="V90" s="75">
        <f>VLOOKUP($A90,FoodLog!$A$1:$Z$10007,15,0)</f>
        <v>0</v>
      </c>
      <c r="W90" s="75">
        <f>VLOOKUP($A90,FoodLog!$A$1:$Z$10007,16,0)</f>
        <v>815.11440711908517</v>
      </c>
      <c r="X90" s="75">
        <f>VLOOKUP($A90,FoodLog!$A$1:$Z$10007,17,0)</f>
        <v>96</v>
      </c>
      <c r="Y90" s="75">
        <f>VLOOKUP($A90,FoodLog!$A$1:$Z$10007,18,0)</f>
        <v>477.30407413615825</v>
      </c>
      <c r="Z90" s="75">
        <f>VLOOKUP($A90,FoodLog!$A$1:$Z$10007,19,0)</f>
        <v>1388.4184812552435</v>
      </c>
      <c r="AA90" s="67">
        <f t="shared" si="37"/>
        <v>0.22315832942033961</v>
      </c>
      <c r="AB90" s="68">
        <f>Scale!C90</f>
        <v>0</v>
      </c>
    </row>
    <row r="91" spans="1:28" x14ac:dyDescent="0.25">
      <c r="A91" s="70">
        <f t="shared" si="38"/>
        <v>43080</v>
      </c>
      <c r="B91" s="71">
        <f t="shared" si="39"/>
        <v>89</v>
      </c>
      <c r="C91" s="72">
        <f t="shared" si="40"/>
        <v>174.12966009526423</v>
      </c>
      <c r="D91" s="80">
        <f t="shared" si="41"/>
        <v>149.15752316754944</v>
      </c>
      <c r="E91" s="81">
        <f t="shared" si="30"/>
        <v>24.972136927714786</v>
      </c>
      <c r="F91" s="82"/>
      <c r="G91" s="83">
        <f>C91*TDEE!$B$5</f>
        <v>2166.6958744748467</v>
      </c>
      <c r="H91" s="72">
        <f t="shared" si="42"/>
        <v>774.13624475915833</v>
      </c>
      <c r="I91" s="72">
        <f t="shared" si="43"/>
        <v>1392.5596297156885</v>
      </c>
      <c r="J91" s="63">
        <f t="shared" si="31"/>
        <v>0.22118178421690238</v>
      </c>
      <c r="K91" s="80">
        <f t="shared" si="32"/>
        <v>90.5839506199478</v>
      </c>
      <c r="L91" s="80">
        <v>25</v>
      </c>
      <c r="M91" s="59">
        <f>Protein_Amt!$B$6</f>
        <v>119.32601853403956</v>
      </c>
      <c r="N91" s="72">
        <f t="shared" si="33"/>
        <v>815.25555557953021</v>
      </c>
      <c r="O91" s="80">
        <f t="shared" si="34"/>
        <v>100</v>
      </c>
      <c r="P91" s="80">
        <f t="shared" si="35"/>
        <v>477.30407413615825</v>
      </c>
      <c r="Q91" s="73">
        <f t="shared" si="36"/>
        <v>1392.5596297156885</v>
      </c>
      <c r="S91" s="75">
        <f>VLOOKUP($A91,FoodLog!$A$1:$Z$10007,12,0)</f>
        <v>0</v>
      </c>
      <c r="T91" s="75">
        <f>VLOOKUP($A91,FoodLog!$A$1:$Z$10007,13,0)</f>
        <v>0</v>
      </c>
      <c r="U91" s="75">
        <f>VLOOKUP($A91,FoodLog!$A$1:$Z$10007,14,0)</f>
        <v>0</v>
      </c>
      <c r="V91" s="75">
        <f>VLOOKUP($A91,FoodLog!$A$1:$Z$10007,15,0)</f>
        <v>0</v>
      </c>
      <c r="W91" s="75">
        <f>VLOOKUP($A91,FoodLog!$A$1:$Z$10007,16,0)</f>
        <v>815.25555557953021</v>
      </c>
      <c r="X91" s="75">
        <f>VLOOKUP($A91,FoodLog!$A$1:$Z$10007,17,0)</f>
        <v>100</v>
      </c>
      <c r="Y91" s="75">
        <f>VLOOKUP($A91,FoodLog!$A$1:$Z$10007,18,0)</f>
        <v>477.30407413615825</v>
      </c>
      <c r="Z91" s="75">
        <f>VLOOKUP($A91,FoodLog!$A$1:$Z$10007,19,0)</f>
        <v>1392.5596297156885</v>
      </c>
      <c r="AA91" s="67">
        <f t="shared" si="37"/>
        <v>0.22118178421690238</v>
      </c>
      <c r="AB91" s="68">
        <f>Scale!C91</f>
        <v>0</v>
      </c>
    </row>
    <row r="92" spans="1:28" x14ac:dyDescent="0.25">
      <c r="A92" s="70">
        <f t="shared" si="38"/>
        <v>43081</v>
      </c>
      <c r="B92" s="71">
        <f t="shared" si="39"/>
        <v>90</v>
      </c>
      <c r="C92" s="72">
        <f t="shared" si="40"/>
        <v>173.90847831104733</v>
      </c>
      <c r="D92" s="80">
        <f t="shared" si="41"/>
        <v>149.15752316754944</v>
      </c>
      <c r="E92" s="81">
        <f t="shared" si="30"/>
        <v>24.75095514349789</v>
      </c>
      <c r="F92" s="82"/>
      <c r="G92" s="83">
        <f>C92*TDEE!$B$5</f>
        <v>2163.9437088810614</v>
      </c>
      <c r="H92" s="72">
        <f t="shared" si="42"/>
        <v>767.2796094484346</v>
      </c>
      <c r="I92" s="72">
        <f t="shared" si="43"/>
        <v>1396.6640994326267</v>
      </c>
      <c r="J92" s="63">
        <f t="shared" si="31"/>
        <v>0.2192227455566956</v>
      </c>
      <c r="K92" s="80">
        <f t="shared" si="32"/>
        <v>90.595558366274261</v>
      </c>
      <c r="L92" s="80">
        <v>26</v>
      </c>
      <c r="M92" s="59">
        <f>Protein_Amt!$B$6</f>
        <v>119.32601853403956</v>
      </c>
      <c r="N92" s="72">
        <f t="shared" si="33"/>
        <v>815.36002529646839</v>
      </c>
      <c r="O92" s="80">
        <f t="shared" si="34"/>
        <v>104</v>
      </c>
      <c r="P92" s="80">
        <f t="shared" si="35"/>
        <v>477.30407413615825</v>
      </c>
      <c r="Q92" s="73">
        <f t="shared" si="36"/>
        <v>1396.6640994326267</v>
      </c>
      <c r="S92" s="75">
        <f>VLOOKUP($A92,FoodLog!$A$1:$Z$10007,12,0)</f>
        <v>0</v>
      </c>
      <c r="T92" s="75">
        <f>VLOOKUP($A92,FoodLog!$A$1:$Z$10007,13,0)</f>
        <v>0</v>
      </c>
      <c r="U92" s="75">
        <f>VLOOKUP($A92,FoodLog!$A$1:$Z$10007,14,0)</f>
        <v>0</v>
      </c>
      <c r="V92" s="75">
        <f>VLOOKUP($A92,FoodLog!$A$1:$Z$10007,15,0)</f>
        <v>0</v>
      </c>
      <c r="W92" s="75">
        <f>VLOOKUP($A92,FoodLog!$A$1:$Z$10007,16,0)</f>
        <v>815.36002529646839</v>
      </c>
      <c r="X92" s="75">
        <f>VLOOKUP($A92,FoodLog!$A$1:$Z$10007,17,0)</f>
        <v>104</v>
      </c>
      <c r="Y92" s="75">
        <f>VLOOKUP($A92,FoodLog!$A$1:$Z$10007,18,0)</f>
        <v>477.30407413615825</v>
      </c>
      <c r="Z92" s="75">
        <f>VLOOKUP($A92,FoodLog!$A$1:$Z$10007,19,0)</f>
        <v>1396.6640994326267</v>
      </c>
      <c r="AA92" s="67">
        <f t="shared" si="37"/>
        <v>0.2192227455566956</v>
      </c>
      <c r="AB92" s="68">
        <f>Scale!C92</f>
        <v>0</v>
      </c>
    </row>
    <row r="93" spans="1:28" x14ac:dyDescent="0.25">
      <c r="A93" s="70">
        <f t="shared" si="38"/>
        <v>43082</v>
      </c>
      <c r="B93" s="71">
        <f t="shared" si="39"/>
        <v>91</v>
      </c>
      <c r="C93" s="72">
        <f t="shared" si="40"/>
        <v>173.68925556549064</v>
      </c>
      <c r="D93" s="80">
        <f t="shared" si="41"/>
        <v>149.15752316754944</v>
      </c>
      <c r="E93" s="81">
        <f t="shared" si="30"/>
        <v>24.531732397941198</v>
      </c>
      <c r="F93" s="82"/>
      <c r="G93" s="83">
        <f>C93*TDEE!$B$5</f>
        <v>2161.2159196111065</v>
      </c>
      <c r="H93" s="72">
        <f t="shared" si="42"/>
        <v>760.4837043361772</v>
      </c>
      <c r="I93" s="72">
        <f t="shared" si="43"/>
        <v>1400.7322152749293</v>
      </c>
      <c r="J93" s="63">
        <f t="shared" si="31"/>
        <v>0.21728105838176492</v>
      </c>
      <c r="K93" s="80">
        <f t="shared" si="32"/>
        <v>90.603126793196779</v>
      </c>
      <c r="L93" s="80">
        <v>27</v>
      </c>
      <c r="M93" s="59">
        <f>Protein_Amt!$B$6</f>
        <v>119.32601853403956</v>
      </c>
      <c r="N93" s="72">
        <f t="shared" si="33"/>
        <v>815.42814113877102</v>
      </c>
      <c r="O93" s="80">
        <f t="shared" si="34"/>
        <v>108</v>
      </c>
      <c r="P93" s="80">
        <f t="shared" si="35"/>
        <v>477.30407413615825</v>
      </c>
      <c r="Q93" s="73">
        <f t="shared" si="36"/>
        <v>1400.7322152749293</v>
      </c>
      <c r="S93" s="75">
        <f>VLOOKUP($A93,FoodLog!$A$1:$Z$10007,12,0)</f>
        <v>0</v>
      </c>
      <c r="T93" s="75">
        <f>VLOOKUP($A93,FoodLog!$A$1:$Z$10007,13,0)</f>
        <v>0</v>
      </c>
      <c r="U93" s="75">
        <f>VLOOKUP($A93,FoodLog!$A$1:$Z$10007,14,0)</f>
        <v>0</v>
      </c>
      <c r="V93" s="75">
        <f>VLOOKUP($A93,FoodLog!$A$1:$Z$10007,15,0)</f>
        <v>0</v>
      </c>
      <c r="W93" s="75">
        <f>VLOOKUP($A93,FoodLog!$A$1:$Z$10007,16,0)</f>
        <v>815.42814113877102</v>
      </c>
      <c r="X93" s="75">
        <f>VLOOKUP($A93,FoodLog!$A$1:$Z$10007,17,0)</f>
        <v>108</v>
      </c>
      <c r="Y93" s="75">
        <f>VLOOKUP($A93,FoodLog!$A$1:$Z$10007,18,0)</f>
        <v>477.30407413615825</v>
      </c>
      <c r="Z93" s="75">
        <f>VLOOKUP($A93,FoodLog!$A$1:$Z$10007,19,0)</f>
        <v>1400.7322152749293</v>
      </c>
      <c r="AA93" s="67">
        <f t="shared" si="37"/>
        <v>0.21728105838176492</v>
      </c>
      <c r="AB93" s="68">
        <f>Scale!C93</f>
        <v>0</v>
      </c>
    </row>
    <row r="94" spans="1:28" x14ac:dyDescent="0.25">
      <c r="A94" s="70">
        <f t="shared" si="38"/>
        <v>43083</v>
      </c>
      <c r="B94" s="71">
        <f t="shared" si="39"/>
        <v>92</v>
      </c>
      <c r="C94" s="72">
        <f t="shared" si="40"/>
        <v>173.47197450710888</v>
      </c>
      <c r="D94" s="80">
        <f t="shared" si="41"/>
        <v>149.15752316754944</v>
      </c>
      <c r="E94" s="81">
        <f t="shared" si="30"/>
        <v>24.31445133955944</v>
      </c>
      <c r="F94" s="82"/>
      <c r="G94" s="83">
        <f>C94*TDEE!$B$5</f>
        <v>2158.5122907604</v>
      </c>
      <c r="H94" s="72">
        <f t="shared" si="42"/>
        <v>753.74799152634262</v>
      </c>
      <c r="I94" s="72">
        <f t="shared" si="43"/>
        <v>1404.7642992340575</v>
      </c>
      <c r="J94" s="63">
        <f t="shared" si="31"/>
        <v>0.21535656900752645</v>
      </c>
      <c r="K94" s="80">
        <f t="shared" si="32"/>
        <v>90.606691677544347</v>
      </c>
      <c r="L94" s="80">
        <v>28</v>
      </c>
      <c r="M94" s="59">
        <f>Protein_Amt!$B$6</f>
        <v>119.32601853403956</v>
      </c>
      <c r="N94" s="72">
        <f t="shared" si="33"/>
        <v>815.46022509789918</v>
      </c>
      <c r="O94" s="80">
        <f t="shared" si="34"/>
        <v>112</v>
      </c>
      <c r="P94" s="80">
        <f t="shared" si="35"/>
        <v>477.30407413615825</v>
      </c>
      <c r="Q94" s="73">
        <f t="shared" si="36"/>
        <v>1404.7642992340575</v>
      </c>
      <c r="S94" s="75">
        <f>VLOOKUP($A94,FoodLog!$A$1:$Z$10007,12,0)</f>
        <v>0</v>
      </c>
      <c r="T94" s="75">
        <f>VLOOKUP($A94,FoodLog!$A$1:$Z$10007,13,0)</f>
        <v>0</v>
      </c>
      <c r="U94" s="75">
        <f>VLOOKUP($A94,FoodLog!$A$1:$Z$10007,14,0)</f>
        <v>0</v>
      </c>
      <c r="V94" s="75">
        <f>VLOOKUP($A94,FoodLog!$A$1:$Z$10007,15,0)</f>
        <v>0</v>
      </c>
      <c r="W94" s="75">
        <f>VLOOKUP($A94,FoodLog!$A$1:$Z$10007,16,0)</f>
        <v>815.46022509789918</v>
      </c>
      <c r="X94" s="75">
        <f>VLOOKUP($A94,FoodLog!$A$1:$Z$10007,17,0)</f>
        <v>112</v>
      </c>
      <c r="Y94" s="75">
        <f>VLOOKUP($A94,FoodLog!$A$1:$Z$10007,18,0)</f>
        <v>477.30407413615825</v>
      </c>
      <c r="Z94" s="75">
        <f>VLOOKUP($A94,FoodLog!$A$1:$Z$10007,19,0)</f>
        <v>1404.7642992340575</v>
      </c>
      <c r="AA94" s="67">
        <f t="shared" si="37"/>
        <v>0.21535656900752645</v>
      </c>
      <c r="AB94" s="68">
        <f>Scale!C94</f>
        <v>0</v>
      </c>
    </row>
    <row r="95" spans="1:28" x14ac:dyDescent="0.25">
      <c r="A95" s="70">
        <f t="shared" si="38"/>
        <v>43084</v>
      </c>
      <c r="B95" s="71">
        <f t="shared" si="39"/>
        <v>93</v>
      </c>
      <c r="C95" s="72">
        <f t="shared" si="40"/>
        <v>173.25661793810136</v>
      </c>
      <c r="D95" s="80">
        <f t="shared" si="41"/>
        <v>149.15752316754944</v>
      </c>
      <c r="E95" s="81">
        <f t="shared" si="30"/>
        <v>24.099094770551915</v>
      </c>
      <c r="F95" s="82"/>
      <c r="G95" s="83">
        <f>C95*TDEE!$B$5</f>
        <v>2155.8326083366569</v>
      </c>
      <c r="H95" s="72">
        <f t="shared" si="42"/>
        <v>747.07193788710936</v>
      </c>
      <c r="I95" s="72">
        <f t="shared" si="43"/>
        <v>1408.7606704495474</v>
      </c>
      <c r="J95" s="63">
        <f t="shared" si="31"/>
        <v>0.21344912511060268</v>
      </c>
      <c r="K95" s="80">
        <f t="shared" si="32"/>
        <v>90.606288479265459</v>
      </c>
      <c r="L95" s="80">
        <v>29</v>
      </c>
      <c r="M95" s="59">
        <f>Protein_Amt!$B$6</f>
        <v>119.32601853403956</v>
      </c>
      <c r="N95" s="72">
        <f t="shared" si="33"/>
        <v>815.45659631338913</v>
      </c>
      <c r="O95" s="80">
        <f t="shared" si="34"/>
        <v>116</v>
      </c>
      <c r="P95" s="80">
        <f t="shared" si="35"/>
        <v>477.30407413615825</v>
      </c>
      <c r="Q95" s="73">
        <f t="shared" si="36"/>
        <v>1408.7606704495474</v>
      </c>
      <c r="S95" s="75">
        <f>VLOOKUP($A95,FoodLog!$A$1:$Z$10007,12,0)</f>
        <v>0</v>
      </c>
      <c r="T95" s="75">
        <f>VLOOKUP($A95,FoodLog!$A$1:$Z$10007,13,0)</f>
        <v>0</v>
      </c>
      <c r="U95" s="75">
        <f>VLOOKUP($A95,FoodLog!$A$1:$Z$10007,14,0)</f>
        <v>0</v>
      </c>
      <c r="V95" s="75">
        <f>VLOOKUP($A95,FoodLog!$A$1:$Z$10007,15,0)</f>
        <v>0</v>
      </c>
      <c r="W95" s="75">
        <f>VLOOKUP($A95,FoodLog!$A$1:$Z$10007,16,0)</f>
        <v>815.45659631338913</v>
      </c>
      <c r="X95" s="75">
        <f>VLOOKUP($A95,FoodLog!$A$1:$Z$10007,17,0)</f>
        <v>116</v>
      </c>
      <c r="Y95" s="75">
        <f>VLOOKUP($A95,FoodLog!$A$1:$Z$10007,18,0)</f>
        <v>477.30407413615825</v>
      </c>
      <c r="Z95" s="75">
        <f>VLOOKUP($A95,FoodLog!$A$1:$Z$10007,19,0)</f>
        <v>1408.7606704495474</v>
      </c>
      <c r="AA95" s="67">
        <f t="shared" si="37"/>
        <v>0.21344912511060268</v>
      </c>
      <c r="AB95" s="68">
        <f>Scale!C95</f>
        <v>0</v>
      </c>
    </row>
    <row r="96" spans="1:28" x14ac:dyDescent="0.25">
      <c r="A96" s="70">
        <f t="shared" si="38"/>
        <v>43085</v>
      </c>
      <c r="B96" s="71">
        <f t="shared" si="39"/>
        <v>94</v>
      </c>
      <c r="C96" s="72">
        <f t="shared" si="40"/>
        <v>173.04316881299076</v>
      </c>
      <c r="D96" s="80">
        <f t="shared" si="41"/>
        <v>149.15752316754944</v>
      </c>
      <c r="E96" s="81">
        <f t="shared" si="30"/>
        <v>23.885645645441315</v>
      </c>
      <c r="F96" s="82"/>
      <c r="G96" s="83">
        <f>C96*TDEE!$B$5</f>
        <v>2153.1766602429525</v>
      </c>
      <c r="H96" s="72">
        <f t="shared" si="42"/>
        <v>740.45501500868079</v>
      </c>
      <c r="I96" s="72">
        <f t="shared" si="43"/>
        <v>1412.7216452342718</v>
      </c>
      <c r="J96" s="63">
        <f t="shared" si="31"/>
        <v>0.21155857571676595</v>
      </c>
      <c r="K96" s="80">
        <f t="shared" si="32"/>
        <v>91.046396788679274</v>
      </c>
      <c r="L96" s="80">
        <v>29</v>
      </c>
      <c r="M96" s="59">
        <f>Protein_Amt!$B$6</f>
        <v>119.32601853403956</v>
      </c>
      <c r="N96" s="72">
        <f t="shared" si="33"/>
        <v>819.41757109811351</v>
      </c>
      <c r="O96" s="80">
        <f t="shared" si="34"/>
        <v>116</v>
      </c>
      <c r="P96" s="80">
        <f t="shared" si="35"/>
        <v>477.30407413615825</v>
      </c>
      <c r="Q96" s="73">
        <f t="shared" si="36"/>
        <v>1412.7216452342718</v>
      </c>
      <c r="S96" s="75">
        <f>VLOOKUP($A96,FoodLog!$A$1:$Z$10007,12,0)</f>
        <v>0</v>
      </c>
      <c r="T96" s="75">
        <f>VLOOKUP($A96,FoodLog!$A$1:$Z$10007,13,0)</f>
        <v>0</v>
      </c>
      <c r="U96" s="75">
        <f>VLOOKUP($A96,FoodLog!$A$1:$Z$10007,14,0)</f>
        <v>0</v>
      </c>
      <c r="V96" s="75">
        <f>VLOOKUP($A96,FoodLog!$A$1:$Z$10007,15,0)</f>
        <v>0</v>
      </c>
      <c r="W96" s="75">
        <f>VLOOKUP($A96,FoodLog!$A$1:$Z$10007,16,0)</f>
        <v>819.41757109811351</v>
      </c>
      <c r="X96" s="75">
        <f>VLOOKUP($A96,FoodLog!$A$1:$Z$10007,17,0)</f>
        <v>116</v>
      </c>
      <c r="Y96" s="75">
        <f>VLOOKUP($A96,FoodLog!$A$1:$Z$10007,18,0)</f>
        <v>477.30407413615825</v>
      </c>
      <c r="Z96" s="75">
        <f>VLOOKUP($A96,FoodLog!$A$1:$Z$10007,19,0)</f>
        <v>1412.7216452342718</v>
      </c>
      <c r="AA96" s="67">
        <f t="shared" si="37"/>
        <v>0.21155857571676595</v>
      </c>
      <c r="AB96" s="68">
        <f>Scale!C96</f>
        <v>0</v>
      </c>
    </row>
    <row r="97" spans="1:28" x14ac:dyDescent="0.25">
      <c r="A97" s="70">
        <f t="shared" si="38"/>
        <v>43086</v>
      </c>
      <c r="B97" s="71">
        <f t="shared" si="39"/>
        <v>95</v>
      </c>
      <c r="C97" s="72">
        <f t="shared" si="40"/>
        <v>172.83161023727399</v>
      </c>
      <c r="D97" s="80">
        <f t="shared" si="41"/>
        <v>149.15752316754944</v>
      </c>
      <c r="E97" s="81">
        <f t="shared" si="30"/>
        <v>23.67408706972455</v>
      </c>
      <c r="F97" s="82"/>
      <c r="G97" s="83">
        <f>C97*TDEE!$B$5</f>
        <v>2150.5442362609351</v>
      </c>
      <c r="H97" s="72">
        <f t="shared" si="42"/>
        <v>733.89669916146102</v>
      </c>
      <c r="I97" s="72">
        <f t="shared" si="43"/>
        <v>1416.647537099474</v>
      </c>
      <c r="J97" s="63">
        <f t="shared" si="31"/>
        <v>0.20968477118898887</v>
      </c>
      <c r="K97" s="80">
        <f t="shared" si="32"/>
        <v>91.482606995923959</v>
      </c>
      <c r="L97" s="80">
        <v>29</v>
      </c>
      <c r="M97" s="59">
        <f>Protein_Amt!$B$6</f>
        <v>119.32601853403956</v>
      </c>
      <c r="N97" s="72">
        <f t="shared" si="33"/>
        <v>823.34346296331569</v>
      </c>
      <c r="O97" s="80">
        <f t="shared" si="34"/>
        <v>116</v>
      </c>
      <c r="P97" s="80">
        <f t="shared" si="35"/>
        <v>477.30407413615825</v>
      </c>
      <c r="Q97" s="73">
        <f t="shared" si="36"/>
        <v>1416.647537099474</v>
      </c>
      <c r="S97" s="75">
        <f>VLOOKUP($A97,FoodLog!$A$1:$Z$10007,12,0)</f>
        <v>0</v>
      </c>
      <c r="T97" s="75">
        <f>VLOOKUP($A97,FoodLog!$A$1:$Z$10007,13,0)</f>
        <v>0</v>
      </c>
      <c r="U97" s="75">
        <f>VLOOKUP($A97,FoodLog!$A$1:$Z$10007,14,0)</f>
        <v>0</v>
      </c>
      <c r="V97" s="75">
        <f>VLOOKUP($A97,FoodLog!$A$1:$Z$10007,15,0)</f>
        <v>0</v>
      </c>
      <c r="W97" s="75">
        <f>VLOOKUP($A97,FoodLog!$A$1:$Z$10007,16,0)</f>
        <v>823.34346296331569</v>
      </c>
      <c r="X97" s="75">
        <f>VLOOKUP($A97,FoodLog!$A$1:$Z$10007,17,0)</f>
        <v>116</v>
      </c>
      <c r="Y97" s="75">
        <f>VLOOKUP($A97,FoodLog!$A$1:$Z$10007,18,0)</f>
        <v>477.30407413615825</v>
      </c>
      <c r="Z97" s="75">
        <f>VLOOKUP($A97,FoodLog!$A$1:$Z$10007,19,0)</f>
        <v>1416.647537099474</v>
      </c>
      <c r="AA97" s="67">
        <f t="shared" si="37"/>
        <v>0.20968477118898887</v>
      </c>
      <c r="AB97" s="68">
        <f>Scale!C97</f>
        <v>0</v>
      </c>
    </row>
    <row r="98" spans="1:28" x14ac:dyDescent="0.25">
      <c r="A98" s="70">
        <f t="shared" si="38"/>
        <v>43087</v>
      </c>
      <c r="B98" s="71">
        <f t="shared" si="39"/>
        <v>96</v>
      </c>
      <c r="C98" s="72">
        <f t="shared" si="40"/>
        <v>172.621925466085</v>
      </c>
      <c r="D98" s="80">
        <f t="shared" si="41"/>
        <v>149.15752316754944</v>
      </c>
      <c r="E98" s="81">
        <f t="shared" si="30"/>
        <v>23.46440229853556</v>
      </c>
      <c r="F98" s="82"/>
      <c r="G98" s="83">
        <f>C98*TDEE!$B$5</f>
        <v>2147.9351280341871</v>
      </c>
      <c r="H98" s="72">
        <f t="shared" si="42"/>
        <v>727.39647125460237</v>
      </c>
      <c r="I98" s="72">
        <f t="shared" si="43"/>
        <v>1420.5386567795847</v>
      </c>
      <c r="J98" s="63">
        <f t="shared" si="31"/>
        <v>0.20782756321560067</v>
      </c>
      <c r="K98" s="80">
        <f t="shared" si="32"/>
        <v>91.914953627047382</v>
      </c>
      <c r="L98" s="80">
        <v>29</v>
      </c>
      <c r="M98" s="59">
        <f>Protein_Amt!$B$6</f>
        <v>119.32601853403956</v>
      </c>
      <c r="N98" s="72">
        <f t="shared" si="33"/>
        <v>827.23458264342639</v>
      </c>
      <c r="O98" s="80">
        <f t="shared" si="34"/>
        <v>116</v>
      </c>
      <c r="P98" s="80">
        <f t="shared" si="35"/>
        <v>477.30407413615825</v>
      </c>
      <c r="Q98" s="73">
        <f t="shared" si="36"/>
        <v>1420.5386567795847</v>
      </c>
      <c r="S98" s="75">
        <f>VLOOKUP($A98,FoodLog!$A$1:$Z$10007,12,0)</f>
        <v>0</v>
      </c>
      <c r="T98" s="75">
        <f>VLOOKUP($A98,FoodLog!$A$1:$Z$10007,13,0)</f>
        <v>0</v>
      </c>
      <c r="U98" s="75">
        <f>VLOOKUP($A98,FoodLog!$A$1:$Z$10007,14,0)</f>
        <v>0</v>
      </c>
      <c r="V98" s="75">
        <f>VLOOKUP($A98,FoodLog!$A$1:$Z$10007,15,0)</f>
        <v>0</v>
      </c>
      <c r="W98" s="75">
        <f>VLOOKUP($A98,FoodLog!$A$1:$Z$10007,16,0)</f>
        <v>827.23458264342639</v>
      </c>
      <c r="X98" s="75">
        <f>VLOOKUP($A98,FoodLog!$A$1:$Z$10007,17,0)</f>
        <v>116</v>
      </c>
      <c r="Y98" s="75">
        <f>VLOOKUP($A98,FoodLog!$A$1:$Z$10007,18,0)</f>
        <v>477.30407413615825</v>
      </c>
      <c r="Z98" s="75">
        <f>VLOOKUP($A98,FoodLog!$A$1:$Z$10007,19,0)</f>
        <v>1420.5386567795847</v>
      </c>
      <c r="AA98" s="67">
        <f t="shared" si="37"/>
        <v>0.20782756321560067</v>
      </c>
      <c r="AB98" s="68">
        <f>Scale!C98</f>
        <v>0</v>
      </c>
    </row>
    <row r="99" spans="1:28" x14ac:dyDescent="0.25">
      <c r="A99" s="70">
        <f t="shared" si="38"/>
        <v>43088</v>
      </c>
      <c r="B99" s="71">
        <f t="shared" si="39"/>
        <v>97</v>
      </c>
      <c r="C99" s="72">
        <f t="shared" si="40"/>
        <v>172.4140979028694</v>
      </c>
      <c r="D99" s="80">
        <f t="shared" si="41"/>
        <v>149.15752316754944</v>
      </c>
      <c r="E99" s="81">
        <f t="shared" ref="E99:E130" si="44">C99-D99</f>
        <v>23.256574735319958</v>
      </c>
      <c r="F99" s="82"/>
      <c r="G99" s="83">
        <f>C99*TDEE!$B$5</f>
        <v>2145.3491290517331</v>
      </c>
      <c r="H99" s="72">
        <f t="shared" si="42"/>
        <v>720.95381679491868</v>
      </c>
      <c r="I99" s="72">
        <f t="shared" si="43"/>
        <v>1424.3953122568146</v>
      </c>
      <c r="J99" s="63">
        <f t="shared" ref="J99:J111" si="45">H99/3500</f>
        <v>0.2059868047985482</v>
      </c>
      <c r="K99" s="80">
        <f t="shared" ref="K99:K111" si="46">N99/9</f>
        <v>92.343470902295138</v>
      </c>
      <c r="L99" s="80">
        <v>29</v>
      </c>
      <c r="M99" s="59">
        <f>Protein_Amt!$B$6</f>
        <v>119.32601853403956</v>
      </c>
      <c r="N99" s="72">
        <f t="shared" ref="N99:N130" si="47">MAX(0,I99-(O99+P99))</f>
        <v>831.09123812065627</v>
      </c>
      <c r="O99" s="80">
        <f t="shared" ref="O99:O111" si="48">4*L99</f>
        <v>116</v>
      </c>
      <c r="P99" s="80">
        <f t="shared" ref="P99:P111" si="49">4*M99</f>
        <v>477.30407413615825</v>
      </c>
      <c r="Q99" s="73">
        <f t="shared" ref="Q99:Q130" si="50">SUM(N99:P99)</f>
        <v>1424.3953122568146</v>
      </c>
      <c r="S99" s="75">
        <f>VLOOKUP($A99,FoodLog!$A$1:$Z$10007,12,0)</f>
        <v>0</v>
      </c>
      <c r="T99" s="75">
        <f>VLOOKUP($A99,FoodLog!$A$1:$Z$10007,13,0)</f>
        <v>0</v>
      </c>
      <c r="U99" s="75">
        <f>VLOOKUP($A99,FoodLog!$A$1:$Z$10007,14,0)</f>
        <v>0</v>
      </c>
      <c r="V99" s="75">
        <f>VLOOKUP($A99,FoodLog!$A$1:$Z$10007,15,0)</f>
        <v>0</v>
      </c>
      <c r="W99" s="75">
        <f>VLOOKUP($A99,FoodLog!$A$1:$Z$10007,16,0)</f>
        <v>831.09123812065627</v>
      </c>
      <c r="X99" s="75">
        <f>VLOOKUP($A99,FoodLog!$A$1:$Z$10007,17,0)</f>
        <v>116</v>
      </c>
      <c r="Y99" s="75">
        <f>VLOOKUP($A99,FoodLog!$A$1:$Z$10007,18,0)</f>
        <v>477.30407413615825</v>
      </c>
      <c r="Z99" s="75">
        <f>VLOOKUP($A99,FoodLog!$A$1:$Z$10007,19,0)</f>
        <v>1424.3953122568146</v>
      </c>
      <c r="AA99" s="67">
        <f t="shared" ref="AA99:AA130" si="51">MIN($H99,($H99+Z99))/3500</f>
        <v>0.2059868047985482</v>
      </c>
      <c r="AB99" s="68">
        <f>Scale!C99</f>
        <v>0</v>
      </c>
    </row>
    <row r="100" spans="1:28" x14ac:dyDescent="0.25">
      <c r="A100" s="70">
        <f t="shared" ref="A100:A111" si="52">A99+1</f>
        <v>43089</v>
      </c>
      <c r="B100" s="71">
        <f t="shared" ref="B100:B111" si="53">B99+1</f>
        <v>98</v>
      </c>
      <c r="C100" s="72">
        <f t="shared" ref="C100:C111" si="54">C99-AA99</f>
        <v>172.20811109807084</v>
      </c>
      <c r="D100" s="80">
        <f t="shared" ref="D100:D111" si="55">$D$3</f>
        <v>149.15752316754944</v>
      </c>
      <c r="E100" s="81">
        <f t="shared" si="44"/>
        <v>23.050587930521402</v>
      </c>
      <c r="F100" s="82"/>
      <c r="G100" s="83">
        <f>C100*TDEE!$B$5</f>
        <v>2142.7860346316952</v>
      </c>
      <c r="H100" s="72">
        <f t="shared" si="42"/>
        <v>714.5682258461635</v>
      </c>
      <c r="I100" s="72">
        <f t="shared" si="43"/>
        <v>1428.2178087855318</v>
      </c>
      <c r="J100" s="63">
        <f t="shared" si="45"/>
        <v>0.20416235024176099</v>
      </c>
      <c r="K100" s="80">
        <f t="shared" si="46"/>
        <v>92.76819273881928</v>
      </c>
      <c r="L100" s="80">
        <v>29</v>
      </c>
      <c r="M100" s="59">
        <f>Protein_Amt!$B$6</f>
        <v>119.32601853403956</v>
      </c>
      <c r="N100" s="72">
        <f t="shared" si="47"/>
        <v>834.91373464937351</v>
      </c>
      <c r="O100" s="80">
        <f t="shared" si="48"/>
        <v>116</v>
      </c>
      <c r="P100" s="80">
        <f t="shared" si="49"/>
        <v>477.30407413615825</v>
      </c>
      <c r="Q100" s="73">
        <f t="shared" si="50"/>
        <v>1428.2178087855318</v>
      </c>
      <c r="S100" s="75">
        <f>VLOOKUP($A100,FoodLog!$A$1:$Z$10007,12,0)</f>
        <v>0</v>
      </c>
      <c r="T100" s="75">
        <f>VLOOKUP($A100,FoodLog!$A$1:$Z$10007,13,0)</f>
        <v>0</v>
      </c>
      <c r="U100" s="75">
        <f>VLOOKUP($A100,FoodLog!$A$1:$Z$10007,14,0)</f>
        <v>0</v>
      </c>
      <c r="V100" s="75">
        <f>VLOOKUP($A100,FoodLog!$A$1:$Z$10007,15,0)</f>
        <v>0</v>
      </c>
      <c r="W100" s="75">
        <f>VLOOKUP($A100,FoodLog!$A$1:$Z$10007,16,0)</f>
        <v>834.91373464937351</v>
      </c>
      <c r="X100" s="75">
        <f>VLOOKUP($A100,FoodLog!$A$1:$Z$10007,17,0)</f>
        <v>116</v>
      </c>
      <c r="Y100" s="75">
        <f>VLOOKUP($A100,FoodLog!$A$1:$Z$10007,18,0)</f>
        <v>477.30407413615825</v>
      </c>
      <c r="Z100" s="75">
        <f>VLOOKUP($A100,FoodLog!$A$1:$Z$10007,19,0)</f>
        <v>1428.2178087855318</v>
      </c>
      <c r="AA100" s="67">
        <f t="shared" si="51"/>
        <v>0.20416235024176099</v>
      </c>
      <c r="AB100" s="68">
        <f>Scale!C100</f>
        <v>0</v>
      </c>
    </row>
    <row r="101" spans="1:28" x14ac:dyDescent="0.25">
      <c r="A101" s="70">
        <f t="shared" si="52"/>
        <v>43090</v>
      </c>
      <c r="B101" s="71">
        <f t="shared" si="53"/>
        <v>99</v>
      </c>
      <c r="C101" s="72">
        <f t="shared" si="54"/>
        <v>172.00394874782907</v>
      </c>
      <c r="D101" s="80">
        <f t="shared" si="55"/>
        <v>149.15752316754944</v>
      </c>
      <c r="E101" s="81">
        <f t="shared" si="44"/>
        <v>22.846425580279629</v>
      </c>
      <c r="F101" s="82"/>
      <c r="G101" s="83">
        <f>C101*TDEE!$B$5</f>
        <v>2140.2456419050918</v>
      </c>
      <c r="H101" s="72">
        <f t="shared" si="42"/>
        <v>708.23919298866849</v>
      </c>
      <c r="I101" s="72">
        <f t="shared" si="43"/>
        <v>1432.0064489164233</v>
      </c>
      <c r="J101" s="63">
        <f t="shared" si="45"/>
        <v>0.20235405513961957</v>
      </c>
      <c r="K101" s="80">
        <f t="shared" si="46"/>
        <v>93.189152753362777</v>
      </c>
      <c r="L101" s="80">
        <v>29</v>
      </c>
      <c r="M101" s="59">
        <f>Protein_Amt!$B$6</f>
        <v>119.32601853403956</v>
      </c>
      <c r="N101" s="72">
        <f t="shared" si="47"/>
        <v>838.70237478026502</v>
      </c>
      <c r="O101" s="80">
        <f t="shared" si="48"/>
        <v>116</v>
      </c>
      <c r="P101" s="80">
        <f t="shared" si="49"/>
        <v>477.30407413615825</v>
      </c>
      <c r="Q101" s="73">
        <f t="shared" si="50"/>
        <v>1432.0064489164233</v>
      </c>
      <c r="S101" s="75">
        <f>VLOOKUP($A101,FoodLog!$A$1:$Z$10007,12,0)</f>
        <v>0</v>
      </c>
      <c r="T101" s="75">
        <f>VLOOKUP($A101,FoodLog!$A$1:$Z$10007,13,0)</f>
        <v>0</v>
      </c>
      <c r="U101" s="75">
        <f>VLOOKUP($A101,FoodLog!$A$1:$Z$10007,14,0)</f>
        <v>0</v>
      </c>
      <c r="V101" s="75">
        <f>VLOOKUP($A101,FoodLog!$A$1:$Z$10007,15,0)</f>
        <v>0</v>
      </c>
      <c r="W101" s="75">
        <f>VLOOKUP($A101,FoodLog!$A$1:$Z$10007,16,0)</f>
        <v>838.70237478026502</v>
      </c>
      <c r="X101" s="75">
        <f>VLOOKUP($A101,FoodLog!$A$1:$Z$10007,17,0)</f>
        <v>116</v>
      </c>
      <c r="Y101" s="75">
        <f>VLOOKUP($A101,FoodLog!$A$1:$Z$10007,18,0)</f>
        <v>477.30407413615825</v>
      </c>
      <c r="Z101" s="75">
        <f>VLOOKUP($A101,FoodLog!$A$1:$Z$10007,19,0)</f>
        <v>1432.0064489164233</v>
      </c>
      <c r="AA101" s="67">
        <f t="shared" si="51"/>
        <v>0.20235405513961957</v>
      </c>
      <c r="AB101" s="68">
        <f>Scale!C101</f>
        <v>0</v>
      </c>
    </row>
    <row r="102" spans="1:28" x14ac:dyDescent="0.25">
      <c r="A102" s="70">
        <f t="shared" si="52"/>
        <v>43091</v>
      </c>
      <c r="B102" s="71">
        <f t="shared" si="53"/>
        <v>100</v>
      </c>
      <c r="C102" s="72">
        <f t="shared" si="54"/>
        <v>171.80159469268946</v>
      </c>
      <c r="D102" s="80">
        <f t="shared" si="55"/>
        <v>149.15752316754944</v>
      </c>
      <c r="E102" s="81">
        <f t="shared" si="44"/>
        <v>22.644071525140021</v>
      </c>
      <c r="F102" s="82"/>
      <c r="G102" s="83">
        <f>C102*TDEE!$B$5</f>
        <v>2137.7277497997816</v>
      </c>
      <c r="H102" s="72">
        <f t="shared" si="42"/>
        <v>701.96621727934064</v>
      </c>
      <c r="I102" s="72">
        <f t="shared" si="43"/>
        <v>1435.7615325204411</v>
      </c>
      <c r="J102" s="63">
        <f t="shared" si="45"/>
        <v>0.20056177636552588</v>
      </c>
      <c r="K102" s="80">
        <f t="shared" si="46"/>
        <v>93.606384264920308</v>
      </c>
      <c r="L102" s="80">
        <v>29</v>
      </c>
      <c r="M102" s="59">
        <f>Protein_Amt!$B$6</f>
        <v>119.32601853403956</v>
      </c>
      <c r="N102" s="72">
        <f t="shared" si="47"/>
        <v>842.45745838428275</v>
      </c>
      <c r="O102" s="80">
        <f t="shared" si="48"/>
        <v>116</v>
      </c>
      <c r="P102" s="80">
        <f t="shared" si="49"/>
        <v>477.30407413615825</v>
      </c>
      <c r="Q102" s="73">
        <f t="shared" si="50"/>
        <v>1435.7615325204411</v>
      </c>
      <c r="S102" s="75">
        <f>VLOOKUP($A102,FoodLog!$A$1:$Z$10007,12,0)</f>
        <v>0</v>
      </c>
      <c r="T102" s="75">
        <f>VLOOKUP($A102,FoodLog!$A$1:$Z$10007,13,0)</f>
        <v>0</v>
      </c>
      <c r="U102" s="75">
        <f>VLOOKUP($A102,FoodLog!$A$1:$Z$10007,14,0)</f>
        <v>0</v>
      </c>
      <c r="V102" s="75">
        <f>VLOOKUP($A102,FoodLog!$A$1:$Z$10007,15,0)</f>
        <v>0</v>
      </c>
      <c r="W102" s="75">
        <f>VLOOKUP($A102,FoodLog!$A$1:$Z$10007,16,0)</f>
        <v>842.45745838428275</v>
      </c>
      <c r="X102" s="75">
        <f>VLOOKUP($A102,FoodLog!$A$1:$Z$10007,17,0)</f>
        <v>116</v>
      </c>
      <c r="Y102" s="75">
        <f>VLOOKUP($A102,FoodLog!$A$1:$Z$10007,18,0)</f>
        <v>477.30407413615825</v>
      </c>
      <c r="Z102" s="75">
        <f>VLOOKUP($A102,FoodLog!$A$1:$Z$10007,19,0)</f>
        <v>1435.7615325204411</v>
      </c>
      <c r="AA102" s="67">
        <f t="shared" si="51"/>
        <v>0.20056177636552588</v>
      </c>
      <c r="AB102" s="68">
        <f>Scale!C102</f>
        <v>0</v>
      </c>
    </row>
    <row r="103" spans="1:28" x14ac:dyDescent="0.25">
      <c r="A103" s="70">
        <f t="shared" si="52"/>
        <v>43092</v>
      </c>
      <c r="B103" s="71">
        <f t="shared" si="53"/>
        <v>101</v>
      </c>
      <c r="C103" s="72">
        <f t="shared" si="54"/>
        <v>171.60103291632393</v>
      </c>
      <c r="D103" s="80">
        <f t="shared" si="55"/>
        <v>149.15752316754944</v>
      </c>
      <c r="E103" s="81">
        <f t="shared" si="44"/>
        <v>22.443509748774488</v>
      </c>
      <c r="F103" s="82"/>
      <c r="G103" s="83">
        <f>C103*TDEE!$B$5</f>
        <v>2135.2321590245465</v>
      </c>
      <c r="H103" s="72">
        <f t="shared" si="42"/>
        <v>695.7488022120092</v>
      </c>
      <c r="I103" s="72">
        <f t="shared" si="43"/>
        <v>1439.4833568125373</v>
      </c>
      <c r="J103" s="63">
        <f t="shared" si="45"/>
        <v>0.19878537206057406</v>
      </c>
      <c r="K103" s="80">
        <f t="shared" si="46"/>
        <v>94.01992029737545</v>
      </c>
      <c r="L103" s="80">
        <v>29</v>
      </c>
      <c r="M103" s="59">
        <f>Protein_Amt!$B$6</f>
        <v>119.32601853403956</v>
      </c>
      <c r="N103" s="72">
        <f t="shared" si="47"/>
        <v>846.17928267637899</v>
      </c>
      <c r="O103" s="80">
        <f t="shared" si="48"/>
        <v>116</v>
      </c>
      <c r="P103" s="80">
        <f t="shared" si="49"/>
        <v>477.30407413615825</v>
      </c>
      <c r="Q103" s="73">
        <f t="shared" si="50"/>
        <v>1439.4833568125373</v>
      </c>
      <c r="S103" s="75">
        <f>VLOOKUP($A103,FoodLog!$A$1:$Z$10007,12,0)</f>
        <v>0</v>
      </c>
      <c r="T103" s="75">
        <f>VLOOKUP($A103,FoodLog!$A$1:$Z$10007,13,0)</f>
        <v>0</v>
      </c>
      <c r="U103" s="75">
        <f>VLOOKUP($A103,FoodLog!$A$1:$Z$10007,14,0)</f>
        <v>0</v>
      </c>
      <c r="V103" s="75">
        <f>VLOOKUP($A103,FoodLog!$A$1:$Z$10007,15,0)</f>
        <v>0</v>
      </c>
      <c r="W103" s="75">
        <f>VLOOKUP($A103,FoodLog!$A$1:$Z$10007,16,0)</f>
        <v>846.17928267637899</v>
      </c>
      <c r="X103" s="75">
        <f>VLOOKUP($A103,FoodLog!$A$1:$Z$10007,17,0)</f>
        <v>116</v>
      </c>
      <c r="Y103" s="75">
        <f>VLOOKUP($A103,FoodLog!$A$1:$Z$10007,18,0)</f>
        <v>477.30407413615825</v>
      </c>
      <c r="Z103" s="75">
        <f>VLOOKUP($A103,FoodLog!$A$1:$Z$10007,19,0)</f>
        <v>1439.4833568125373</v>
      </c>
      <c r="AA103" s="67">
        <f t="shared" si="51"/>
        <v>0.19878537206057406</v>
      </c>
      <c r="AB103" s="68">
        <f>Scale!C103</f>
        <v>0</v>
      </c>
    </row>
    <row r="104" spans="1:28" x14ac:dyDescent="0.25">
      <c r="A104" s="70">
        <f t="shared" si="52"/>
        <v>43093</v>
      </c>
      <c r="B104" s="71">
        <f t="shared" si="53"/>
        <v>102</v>
      </c>
      <c r="C104" s="72">
        <f t="shared" si="54"/>
        <v>171.40224754426336</v>
      </c>
      <c r="D104" s="80">
        <f t="shared" si="55"/>
        <v>149.15752316754944</v>
      </c>
      <c r="E104" s="81">
        <f t="shared" si="44"/>
        <v>22.244724376713918</v>
      </c>
      <c r="F104" s="82"/>
      <c r="G104" s="83">
        <f>C104*TDEE!$B$5</f>
        <v>2132.7586720533209</v>
      </c>
      <c r="H104" s="72">
        <f t="shared" si="42"/>
        <v>689.58645567813141</v>
      </c>
      <c r="I104" s="72">
        <f t="shared" si="43"/>
        <v>1443.1722163751895</v>
      </c>
      <c r="J104" s="63">
        <f t="shared" si="45"/>
        <v>0.19702470162232327</v>
      </c>
      <c r="K104" s="80">
        <f t="shared" si="46"/>
        <v>94.42979358211457</v>
      </c>
      <c r="L104" s="80">
        <v>29</v>
      </c>
      <c r="M104" s="59">
        <f>Protein_Amt!$B$6</f>
        <v>119.32601853403956</v>
      </c>
      <c r="N104" s="72">
        <f t="shared" si="47"/>
        <v>849.86814223903116</v>
      </c>
      <c r="O104" s="80">
        <f t="shared" si="48"/>
        <v>116</v>
      </c>
      <c r="P104" s="80">
        <f t="shared" si="49"/>
        <v>477.30407413615825</v>
      </c>
      <c r="Q104" s="73">
        <f t="shared" si="50"/>
        <v>1443.1722163751895</v>
      </c>
      <c r="S104" s="75">
        <f>VLOOKUP($A104,FoodLog!$A$1:$Z$10007,12,0)</f>
        <v>0</v>
      </c>
      <c r="T104" s="75">
        <f>VLOOKUP($A104,FoodLog!$A$1:$Z$10007,13,0)</f>
        <v>0</v>
      </c>
      <c r="U104" s="75">
        <f>VLOOKUP($A104,FoodLog!$A$1:$Z$10007,14,0)</f>
        <v>0</v>
      </c>
      <c r="V104" s="75">
        <f>VLOOKUP($A104,FoodLog!$A$1:$Z$10007,15,0)</f>
        <v>0</v>
      </c>
      <c r="W104" s="75">
        <f>VLOOKUP($A104,FoodLog!$A$1:$Z$10007,16,0)</f>
        <v>849.86814223903116</v>
      </c>
      <c r="X104" s="75">
        <f>VLOOKUP($A104,FoodLog!$A$1:$Z$10007,17,0)</f>
        <v>116</v>
      </c>
      <c r="Y104" s="75">
        <f>VLOOKUP($A104,FoodLog!$A$1:$Z$10007,18,0)</f>
        <v>477.30407413615825</v>
      </c>
      <c r="Z104" s="75">
        <f>VLOOKUP($A104,FoodLog!$A$1:$Z$10007,19,0)</f>
        <v>1443.1722163751895</v>
      </c>
      <c r="AA104" s="67">
        <f t="shared" si="51"/>
        <v>0.19702470162232327</v>
      </c>
      <c r="AB104" s="68">
        <f>Scale!C104</f>
        <v>0</v>
      </c>
    </row>
    <row r="105" spans="1:28" x14ac:dyDescent="0.25">
      <c r="A105" s="70">
        <f t="shared" si="52"/>
        <v>43094</v>
      </c>
      <c r="B105" s="84">
        <f t="shared" si="53"/>
        <v>103</v>
      </c>
      <c r="C105" s="85">
        <f t="shared" si="54"/>
        <v>171.20522284264104</v>
      </c>
      <c r="D105" s="86">
        <f t="shared" si="55"/>
        <v>149.15752316754944</v>
      </c>
      <c r="E105" s="87">
        <f t="shared" si="44"/>
        <v>22.047699675091593</v>
      </c>
      <c r="F105" s="82"/>
      <c r="G105" s="88">
        <f>C105*TDEE!$B$5</f>
        <v>2130.3070931095544</v>
      </c>
      <c r="H105" s="86">
        <f t="shared" ref="H105:H111" si="56">E105*31</f>
        <v>683.47868992783935</v>
      </c>
      <c r="I105" s="86">
        <f t="shared" ref="I105:I111" si="57">G105-H105</f>
        <v>1446.8284031817152</v>
      </c>
      <c r="J105" s="63">
        <f t="shared" si="45"/>
        <v>0.19527962569366838</v>
      </c>
      <c r="K105" s="86">
        <f t="shared" si="46"/>
        <v>94.83603656061743</v>
      </c>
      <c r="L105" s="86">
        <v>29</v>
      </c>
      <c r="M105" s="59">
        <f>Protein_Amt!$B$6</f>
        <v>119.32601853403956</v>
      </c>
      <c r="N105" s="85">
        <f t="shared" si="47"/>
        <v>853.5243290455569</v>
      </c>
      <c r="O105" s="86">
        <f t="shared" si="48"/>
        <v>116</v>
      </c>
      <c r="P105" s="86">
        <f t="shared" si="49"/>
        <v>477.30407413615825</v>
      </c>
      <c r="Q105" s="89">
        <f t="shared" si="50"/>
        <v>1446.8284031817152</v>
      </c>
      <c r="S105" s="75">
        <f>VLOOKUP($A105,FoodLog!$A$1:$Z$10007,12,0)</f>
        <v>0</v>
      </c>
      <c r="T105" s="75">
        <f>VLOOKUP($A105,FoodLog!$A$1:$Z$10007,13,0)</f>
        <v>0</v>
      </c>
      <c r="U105" s="75">
        <f>VLOOKUP($A105,FoodLog!$A$1:$Z$10007,14,0)</f>
        <v>0</v>
      </c>
      <c r="V105" s="75">
        <f>VLOOKUP($A105,FoodLog!$A$1:$Z$10007,15,0)</f>
        <v>0</v>
      </c>
      <c r="W105" s="75">
        <f>VLOOKUP($A105,FoodLog!$A$1:$Z$10007,16,0)</f>
        <v>853.5243290455569</v>
      </c>
      <c r="X105" s="75">
        <f>VLOOKUP($A105,FoodLog!$A$1:$Z$10007,17,0)</f>
        <v>116</v>
      </c>
      <c r="Y105" s="75">
        <f>VLOOKUP($A105,FoodLog!$A$1:$Z$10007,18,0)</f>
        <v>477.30407413615825</v>
      </c>
      <c r="Z105" s="75">
        <f>VLOOKUP($A105,FoodLog!$A$1:$Z$10007,19,0)</f>
        <v>1446.8284031817152</v>
      </c>
      <c r="AA105" s="67">
        <f t="shared" si="51"/>
        <v>0.19527962569366838</v>
      </c>
      <c r="AB105" s="68">
        <f>Scale!C105</f>
        <v>0</v>
      </c>
    </row>
    <row r="106" spans="1:28" x14ac:dyDescent="0.25">
      <c r="A106" s="70">
        <f t="shared" si="52"/>
        <v>43095</v>
      </c>
      <c r="B106" s="84">
        <f t="shared" si="53"/>
        <v>104</v>
      </c>
      <c r="C106" s="85">
        <f t="shared" si="54"/>
        <v>171.00994321694736</v>
      </c>
      <c r="D106" s="86">
        <f t="shared" si="55"/>
        <v>149.15752316754944</v>
      </c>
      <c r="E106" s="87">
        <f t="shared" si="44"/>
        <v>21.852420049397921</v>
      </c>
      <c r="F106" s="82"/>
      <c r="G106" s="88">
        <f>C106*TDEE!$B$5</f>
        <v>2127.8772281507186</v>
      </c>
      <c r="H106" s="86">
        <f t="shared" si="56"/>
        <v>677.42502153133557</v>
      </c>
      <c r="I106" s="86">
        <f t="shared" si="57"/>
        <v>1450.4522066193831</v>
      </c>
      <c r="J106" s="63">
        <f t="shared" si="45"/>
        <v>0.19355000615181017</v>
      </c>
      <c r="K106" s="86">
        <f t="shared" si="46"/>
        <v>95.238681387024982</v>
      </c>
      <c r="L106" s="86">
        <v>29</v>
      </c>
      <c r="M106" s="59">
        <f>Protein_Amt!$B$6</f>
        <v>119.32601853403956</v>
      </c>
      <c r="N106" s="85">
        <f t="shared" si="47"/>
        <v>857.1481324832248</v>
      </c>
      <c r="O106" s="86">
        <f t="shared" si="48"/>
        <v>116</v>
      </c>
      <c r="P106" s="86">
        <f t="shared" si="49"/>
        <v>477.30407413615825</v>
      </c>
      <c r="Q106" s="89">
        <f t="shared" si="50"/>
        <v>1450.4522066193831</v>
      </c>
      <c r="S106" s="75">
        <f>VLOOKUP($A106,FoodLog!$A$1:$Z$10007,12,0)</f>
        <v>0</v>
      </c>
      <c r="T106" s="75">
        <f>VLOOKUP($A106,FoodLog!$A$1:$Z$10007,13,0)</f>
        <v>0</v>
      </c>
      <c r="U106" s="75">
        <f>VLOOKUP($A106,FoodLog!$A$1:$Z$10007,14,0)</f>
        <v>0</v>
      </c>
      <c r="V106" s="75">
        <f>VLOOKUP($A106,FoodLog!$A$1:$Z$10007,15,0)</f>
        <v>0</v>
      </c>
      <c r="W106" s="75">
        <f>VLOOKUP($A106,FoodLog!$A$1:$Z$10007,16,0)</f>
        <v>857.1481324832248</v>
      </c>
      <c r="X106" s="75">
        <f>VLOOKUP($A106,FoodLog!$A$1:$Z$10007,17,0)</f>
        <v>116</v>
      </c>
      <c r="Y106" s="75">
        <f>VLOOKUP($A106,FoodLog!$A$1:$Z$10007,18,0)</f>
        <v>477.30407413615825</v>
      </c>
      <c r="Z106" s="75">
        <f>VLOOKUP($A106,FoodLog!$A$1:$Z$10007,19,0)</f>
        <v>1450.4522066193831</v>
      </c>
      <c r="AA106" s="67">
        <f t="shared" si="51"/>
        <v>0.19355000615181017</v>
      </c>
      <c r="AB106" s="68">
        <f>Scale!C106</f>
        <v>0</v>
      </c>
    </row>
    <row r="107" spans="1:28" x14ac:dyDescent="0.25">
      <c r="A107" s="70">
        <f t="shared" si="52"/>
        <v>43096</v>
      </c>
      <c r="B107" s="84">
        <f t="shared" si="53"/>
        <v>105</v>
      </c>
      <c r="C107" s="85">
        <f t="shared" si="54"/>
        <v>170.81639321079555</v>
      </c>
      <c r="D107" s="86">
        <f t="shared" si="55"/>
        <v>149.15752316754944</v>
      </c>
      <c r="E107" s="87">
        <f t="shared" si="44"/>
        <v>21.658870043246111</v>
      </c>
      <c r="F107" s="82"/>
      <c r="G107" s="88">
        <f>C107*TDEE!$B$5</f>
        <v>2125.4688848529468</v>
      </c>
      <c r="H107" s="86">
        <f t="shared" si="56"/>
        <v>671.42497134062944</v>
      </c>
      <c r="I107" s="86">
        <f t="shared" si="57"/>
        <v>1454.0439135123174</v>
      </c>
      <c r="J107" s="63">
        <f t="shared" si="45"/>
        <v>0.1918357060973227</v>
      </c>
      <c r="K107" s="86">
        <f t="shared" si="46"/>
        <v>95.637759930684354</v>
      </c>
      <c r="L107" s="86">
        <v>29</v>
      </c>
      <c r="M107" s="59">
        <f>Protein_Amt!$B$6</f>
        <v>119.32601853403956</v>
      </c>
      <c r="N107" s="85">
        <f t="shared" si="47"/>
        <v>860.73983937615913</v>
      </c>
      <c r="O107" s="86">
        <f t="shared" si="48"/>
        <v>116</v>
      </c>
      <c r="P107" s="86">
        <f t="shared" si="49"/>
        <v>477.30407413615825</v>
      </c>
      <c r="Q107" s="89">
        <f t="shared" si="50"/>
        <v>1454.0439135123174</v>
      </c>
      <c r="S107" s="75">
        <f>VLOOKUP($A107,FoodLog!$A$1:$Z$10007,12,0)</f>
        <v>0</v>
      </c>
      <c r="T107" s="75">
        <f>VLOOKUP($A107,FoodLog!$A$1:$Z$10007,13,0)</f>
        <v>0</v>
      </c>
      <c r="U107" s="75">
        <f>VLOOKUP($A107,FoodLog!$A$1:$Z$10007,14,0)</f>
        <v>0</v>
      </c>
      <c r="V107" s="75">
        <f>VLOOKUP($A107,FoodLog!$A$1:$Z$10007,15,0)</f>
        <v>0</v>
      </c>
      <c r="W107" s="75">
        <f>VLOOKUP($A107,FoodLog!$A$1:$Z$10007,16,0)</f>
        <v>860.73983937615913</v>
      </c>
      <c r="X107" s="75">
        <f>VLOOKUP($A107,FoodLog!$A$1:$Z$10007,17,0)</f>
        <v>116</v>
      </c>
      <c r="Y107" s="75">
        <f>VLOOKUP($A107,FoodLog!$A$1:$Z$10007,18,0)</f>
        <v>477.30407413615825</v>
      </c>
      <c r="Z107" s="75">
        <f>VLOOKUP($A107,FoodLog!$A$1:$Z$10007,19,0)</f>
        <v>1454.0439135123174</v>
      </c>
      <c r="AA107" s="67">
        <f t="shared" si="51"/>
        <v>0.1918357060973227</v>
      </c>
      <c r="AB107" s="68">
        <f>Scale!C107</f>
        <v>0</v>
      </c>
    </row>
    <row r="108" spans="1:28" x14ac:dyDescent="0.25">
      <c r="A108" s="70">
        <f t="shared" si="52"/>
        <v>43097</v>
      </c>
      <c r="B108" s="84">
        <f t="shared" si="53"/>
        <v>106</v>
      </c>
      <c r="C108" s="85">
        <f t="shared" si="54"/>
        <v>170.62455750469823</v>
      </c>
      <c r="D108" s="86">
        <f t="shared" si="55"/>
        <v>149.15752316754944</v>
      </c>
      <c r="E108" s="87">
        <f t="shared" si="44"/>
        <v>21.467034337148789</v>
      </c>
      <c r="F108" s="82"/>
      <c r="G108" s="88">
        <f>C108*TDEE!$B$5</f>
        <v>2123.0818725958125</v>
      </c>
      <c r="H108" s="86">
        <f t="shared" si="56"/>
        <v>665.47806445161245</v>
      </c>
      <c r="I108" s="86">
        <f t="shared" si="57"/>
        <v>1457.6038081442</v>
      </c>
      <c r="J108" s="63">
        <f t="shared" si="45"/>
        <v>0.19013658984331785</v>
      </c>
      <c r="K108" s="86">
        <f t="shared" si="46"/>
        <v>96.033303778671296</v>
      </c>
      <c r="L108" s="86">
        <v>29</v>
      </c>
      <c r="M108" s="59">
        <f>Protein_Amt!$B$6</f>
        <v>119.32601853403956</v>
      </c>
      <c r="N108" s="85">
        <f t="shared" si="47"/>
        <v>864.2997340080417</v>
      </c>
      <c r="O108" s="86">
        <f t="shared" si="48"/>
        <v>116</v>
      </c>
      <c r="P108" s="86">
        <f t="shared" si="49"/>
        <v>477.30407413615825</v>
      </c>
      <c r="Q108" s="89">
        <f t="shared" si="50"/>
        <v>1457.6038081442</v>
      </c>
      <c r="S108" s="75">
        <f>VLOOKUP($A108,FoodLog!$A$1:$Z$10007,12,0)</f>
        <v>0</v>
      </c>
      <c r="T108" s="75">
        <f>VLOOKUP($A108,FoodLog!$A$1:$Z$10007,13,0)</f>
        <v>0</v>
      </c>
      <c r="U108" s="75">
        <f>VLOOKUP($A108,FoodLog!$A$1:$Z$10007,14,0)</f>
        <v>0</v>
      </c>
      <c r="V108" s="75">
        <f>VLOOKUP($A108,FoodLog!$A$1:$Z$10007,15,0)</f>
        <v>0</v>
      </c>
      <c r="W108" s="75">
        <f>VLOOKUP($A108,FoodLog!$A$1:$Z$10007,16,0)</f>
        <v>864.2997340080417</v>
      </c>
      <c r="X108" s="75">
        <f>VLOOKUP($A108,FoodLog!$A$1:$Z$10007,17,0)</f>
        <v>116</v>
      </c>
      <c r="Y108" s="75">
        <f>VLOOKUP($A108,FoodLog!$A$1:$Z$10007,18,0)</f>
        <v>477.30407413615825</v>
      </c>
      <c r="Z108" s="75">
        <f>VLOOKUP($A108,FoodLog!$A$1:$Z$10007,19,0)</f>
        <v>1457.6038081442</v>
      </c>
      <c r="AA108" s="67">
        <f t="shared" si="51"/>
        <v>0.19013658984331785</v>
      </c>
      <c r="AB108" s="68">
        <f>Scale!C108</f>
        <v>0</v>
      </c>
    </row>
    <row r="109" spans="1:28" x14ac:dyDescent="0.25">
      <c r="A109" s="70">
        <f t="shared" si="52"/>
        <v>43098</v>
      </c>
      <c r="B109" s="84">
        <f t="shared" si="53"/>
        <v>107</v>
      </c>
      <c r="C109" s="85">
        <f t="shared" si="54"/>
        <v>170.43442091485491</v>
      </c>
      <c r="D109" s="86">
        <f t="shared" si="55"/>
        <v>149.15752316754944</v>
      </c>
      <c r="E109" s="87">
        <f t="shared" si="44"/>
        <v>21.276897747305469</v>
      </c>
      <c r="F109" s="82"/>
      <c r="G109" s="88">
        <f>C109*TDEE!$B$5</f>
        <v>2120.7160024472414</v>
      </c>
      <c r="H109" s="86">
        <f t="shared" si="56"/>
        <v>659.58383016646951</v>
      </c>
      <c r="I109" s="86">
        <f t="shared" si="57"/>
        <v>1461.132172280772</v>
      </c>
      <c r="J109" s="63">
        <f t="shared" si="45"/>
        <v>0.18845252290470557</v>
      </c>
      <c r="K109" s="86">
        <f t="shared" si="46"/>
        <v>96.425344238290407</v>
      </c>
      <c r="L109" s="86">
        <v>29</v>
      </c>
      <c r="M109" s="59">
        <f>Protein_Amt!$B$6</f>
        <v>119.32601853403956</v>
      </c>
      <c r="N109" s="85">
        <f t="shared" si="47"/>
        <v>867.8280981446137</v>
      </c>
      <c r="O109" s="86">
        <f t="shared" si="48"/>
        <v>116</v>
      </c>
      <c r="P109" s="86">
        <f t="shared" si="49"/>
        <v>477.30407413615825</v>
      </c>
      <c r="Q109" s="89">
        <f t="shared" si="50"/>
        <v>1461.132172280772</v>
      </c>
      <c r="S109" s="75">
        <f>VLOOKUP($A109,FoodLog!$A$1:$Z$10007,12,0)</f>
        <v>0</v>
      </c>
      <c r="T109" s="75">
        <f>VLOOKUP($A109,FoodLog!$A$1:$Z$10007,13,0)</f>
        <v>0</v>
      </c>
      <c r="U109" s="75">
        <f>VLOOKUP($A109,FoodLog!$A$1:$Z$10007,14,0)</f>
        <v>0</v>
      </c>
      <c r="V109" s="75">
        <f>VLOOKUP($A109,FoodLog!$A$1:$Z$10007,15,0)</f>
        <v>0</v>
      </c>
      <c r="W109" s="75">
        <f>VLOOKUP($A109,FoodLog!$A$1:$Z$10007,16,0)</f>
        <v>867.8280981446137</v>
      </c>
      <c r="X109" s="75">
        <f>VLOOKUP($A109,FoodLog!$A$1:$Z$10007,17,0)</f>
        <v>116</v>
      </c>
      <c r="Y109" s="75">
        <f>VLOOKUP($A109,FoodLog!$A$1:$Z$10007,18,0)</f>
        <v>477.30407413615825</v>
      </c>
      <c r="Z109" s="75">
        <f>VLOOKUP($A109,FoodLog!$A$1:$Z$10007,19,0)</f>
        <v>1461.132172280772</v>
      </c>
      <c r="AA109" s="67">
        <f t="shared" si="51"/>
        <v>0.18845252290470557</v>
      </c>
      <c r="AB109" s="68">
        <f>Scale!C109</f>
        <v>0</v>
      </c>
    </row>
    <row r="110" spans="1:28" x14ac:dyDescent="0.25">
      <c r="A110" s="70">
        <f t="shared" si="52"/>
        <v>43099</v>
      </c>
      <c r="B110" s="84">
        <f t="shared" si="53"/>
        <v>108</v>
      </c>
      <c r="C110" s="85">
        <f t="shared" si="54"/>
        <v>170.24596839195021</v>
      </c>
      <c r="D110" s="86">
        <f t="shared" si="55"/>
        <v>149.15752316754944</v>
      </c>
      <c r="E110" s="87">
        <f t="shared" si="44"/>
        <v>21.088445224400772</v>
      </c>
      <c r="F110" s="82"/>
      <c r="G110" s="88">
        <f>C110*TDEE!$B$5</f>
        <v>2118.3710871485578</v>
      </c>
      <c r="H110" s="86">
        <f t="shared" si="56"/>
        <v>653.74180195642396</v>
      </c>
      <c r="I110" s="86">
        <f t="shared" si="57"/>
        <v>1464.6292851921339</v>
      </c>
      <c r="J110" s="63">
        <f t="shared" si="45"/>
        <v>0.18678337198754971</v>
      </c>
      <c r="K110" s="86">
        <f t="shared" si="46"/>
        <v>96.813912339552843</v>
      </c>
      <c r="L110" s="86">
        <v>29</v>
      </c>
      <c r="M110" s="59">
        <f>Protein_Amt!$B$6</f>
        <v>119.32601853403956</v>
      </c>
      <c r="N110" s="85">
        <f t="shared" si="47"/>
        <v>871.32521105597561</v>
      </c>
      <c r="O110" s="86">
        <f t="shared" si="48"/>
        <v>116</v>
      </c>
      <c r="P110" s="86">
        <f t="shared" si="49"/>
        <v>477.30407413615825</v>
      </c>
      <c r="Q110" s="89">
        <f t="shared" si="50"/>
        <v>1464.6292851921339</v>
      </c>
      <c r="S110" s="75">
        <f>VLOOKUP($A110,FoodLog!$A$1:$Z$10007,12,0)</f>
        <v>0</v>
      </c>
      <c r="T110" s="75">
        <f>VLOOKUP($A110,FoodLog!$A$1:$Z$10007,13,0)</f>
        <v>0</v>
      </c>
      <c r="U110" s="75">
        <f>VLOOKUP($A110,FoodLog!$A$1:$Z$10007,14,0)</f>
        <v>0</v>
      </c>
      <c r="V110" s="75">
        <f>VLOOKUP($A110,FoodLog!$A$1:$Z$10007,15,0)</f>
        <v>0</v>
      </c>
      <c r="W110" s="75">
        <f>VLOOKUP($A110,FoodLog!$A$1:$Z$10007,16,0)</f>
        <v>871.32521105597561</v>
      </c>
      <c r="X110" s="75">
        <f>VLOOKUP($A110,FoodLog!$A$1:$Z$10007,17,0)</f>
        <v>116</v>
      </c>
      <c r="Y110" s="75">
        <f>VLOOKUP($A110,FoodLog!$A$1:$Z$10007,18,0)</f>
        <v>477.30407413615825</v>
      </c>
      <c r="Z110" s="75">
        <f>VLOOKUP($A110,FoodLog!$A$1:$Z$10007,19,0)</f>
        <v>1464.6292851921339</v>
      </c>
      <c r="AA110" s="67">
        <f t="shared" si="51"/>
        <v>0.18678337198754971</v>
      </c>
      <c r="AB110" s="68">
        <f>Scale!C110</f>
        <v>0</v>
      </c>
    </row>
    <row r="111" spans="1:28" x14ac:dyDescent="0.25">
      <c r="A111" s="70">
        <f t="shared" si="52"/>
        <v>43100</v>
      </c>
      <c r="B111" s="84">
        <f t="shared" si="53"/>
        <v>109</v>
      </c>
      <c r="C111" s="85">
        <f t="shared" si="54"/>
        <v>170.05918501996265</v>
      </c>
      <c r="D111" s="86">
        <f t="shared" si="55"/>
        <v>149.15752316754944</v>
      </c>
      <c r="E111" s="87">
        <f t="shared" si="44"/>
        <v>20.901661852413213</v>
      </c>
      <c r="F111" s="82"/>
      <c r="G111" s="88">
        <f>C111*TDEE!$B$5</f>
        <v>2116.046941099662</v>
      </c>
      <c r="H111" s="86">
        <f t="shared" si="56"/>
        <v>647.95151742480959</v>
      </c>
      <c r="I111" s="86">
        <f t="shared" si="57"/>
        <v>1468.0954236748526</v>
      </c>
      <c r="J111" s="63">
        <f t="shared" si="45"/>
        <v>0.18512900497851703</v>
      </c>
      <c r="K111" s="86">
        <f t="shared" si="46"/>
        <v>97.199038837632699</v>
      </c>
      <c r="L111" s="86">
        <v>29</v>
      </c>
      <c r="M111" s="59">
        <f>Protein_Amt!$B$6</f>
        <v>119.32601853403956</v>
      </c>
      <c r="N111" s="85">
        <f t="shared" si="47"/>
        <v>874.79134953869425</v>
      </c>
      <c r="O111" s="86">
        <f t="shared" si="48"/>
        <v>116</v>
      </c>
      <c r="P111" s="86">
        <f t="shared" si="49"/>
        <v>477.30407413615825</v>
      </c>
      <c r="Q111" s="89">
        <f t="shared" si="50"/>
        <v>1468.0954236748526</v>
      </c>
      <c r="S111" s="75">
        <f>VLOOKUP($A111,FoodLog!$A$1:$Z$10007,12,0)</f>
        <v>0</v>
      </c>
      <c r="T111" s="75">
        <f>VLOOKUP($A111,FoodLog!$A$1:$Z$10007,13,0)</f>
        <v>0</v>
      </c>
      <c r="U111" s="75">
        <f>VLOOKUP($A111,FoodLog!$A$1:$Z$10007,14,0)</f>
        <v>0</v>
      </c>
      <c r="V111" s="75">
        <f>VLOOKUP($A111,FoodLog!$A$1:$Z$10007,15,0)</f>
        <v>0</v>
      </c>
      <c r="W111" s="75">
        <f>VLOOKUP($A111,FoodLog!$A$1:$Z$10007,16,0)</f>
        <v>874.79134953869425</v>
      </c>
      <c r="X111" s="75">
        <f>VLOOKUP($A111,FoodLog!$A$1:$Z$10007,17,0)</f>
        <v>116</v>
      </c>
      <c r="Y111" s="75">
        <f>VLOOKUP($A111,FoodLog!$A$1:$Z$10007,18,0)</f>
        <v>477.30407413615825</v>
      </c>
      <c r="Z111" s="75">
        <f>VLOOKUP($A111,FoodLog!$A$1:$Z$10007,19,0)</f>
        <v>1468.0954236748526</v>
      </c>
      <c r="AA111" s="67">
        <f t="shared" si="51"/>
        <v>0.18512900497851703</v>
      </c>
      <c r="AB111" s="68">
        <f>Scale!C111</f>
        <v>0</v>
      </c>
    </row>
  </sheetData>
  <mergeCells count="3">
    <mergeCell ref="G1:Q1"/>
    <mergeCell ref="S1:V1"/>
    <mergeCell ref="W1:Z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1"/>
  <sheetViews>
    <sheetView topLeftCell="A4" zoomScale="160" zoomScaleNormal="160" workbookViewId="0">
      <selection activeCell="A23" sqref="A23"/>
    </sheetView>
  </sheetViews>
  <sheetFormatPr defaultRowHeight="15" x14ac:dyDescent="0.25"/>
  <cols>
    <col min="1" max="1" width="10.7109375" style="90" customWidth="1"/>
    <col min="2" max="2" width="4.5703125" style="90" customWidth="1"/>
    <col min="3" max="3" width="7.28515625" style="90" customWidth="1"/>
    <col min="4" max="4" width="4.85546875" style="90" customWidth="1"/>
    <col min="5" max="5" width="5.42578125" style="90" customWidth="1"/>
    <col min="6" max="6" width="6.42578125" style="90" customWidth="1"/>
    <col min="7" max="7" width="7.28515625" style="90" customWidth="1"/>
    <col min="8" max="8" width="6.85546875" style="90" customWidth="1"/>
    <col min="9" max="9" width="11.28515625" style="90" customWidth="1"/>
    <col min="10" max="10" width="6.7109375" style="90" customWidth="1"/>
    <col min="11" max="11" width="7.85546875" style="90" customWidth="1"/>
    <col min="12" max="12" width="7.28515625" style="90" customWidth="1"/>
    <col min="13" max="13" width="6.5703125" style="90" customWidth="1"/>
    <col min="14" max="14" width="5.85546875" style="90" customWidth="1"/>
    <col min="15" max="15" width="7.28515625" style="90" customWidth="1"/>
    <col min="16" max="1025" width="11.5703125" style="90" customWidth="1"/>
  </cols>
  <sheetData>
    <row r="1" spans="1:15" ht="13.9" customHeight="1" x14ac:dyDescent="0.25">
      <c r="A1" s="2" t="s">
        <v>79</v>
      </c>
      <c r="B1" s="2"/>
      <c r="C1" s="2"/>
      <c r="D1" s="2"/>
    </row>
    <row r="2" spans="1:15" ht="45" x14ac:dyDescent="0.25">
      <c r="A2" s="92" t="str">
        <f>LossChart!A2</f>
        <v>Date</v>
      </c>
      <c r="B2" s="92" t="str">
        <f>LossChart!B2</f>
        <v>Day</v>
      </c>
      <c r="C2" s="92" t="s">
        <v>5</v>
      </c>
      <c r="D2" s="92" t="s">
        <v>80</v>
      </c>
      <c r="E2" s="92" t="s">
        <v>81</v>
      </c>
      <c r="F2" s="92" t="s">
        <v>82</v>
      </c>
      <c r="G2" s="92" t="s">
        <v>83</v>
      </c>
      <c r="H2" s="92" t="s">
        <v>84</v>
      </c>
      <c r="I2" s="92" t="s">
        <v>85</v>
      </c>
      <c r="J2" s="92" t="s">
        <v>86</v>
      </c>
      <c r="K2" s="92" t="s">
        <v>87</v>
      </c>
      <c r="L2" s="92" t="s">
        <v>88</v>
      </c>
      <c r="M2" s="92" t="s">
        <v>89</v>
      </c>
      <c r="N2" s="92" t="s">
        <v>90</v>
      </c>
      <c r="O2" s="92" t="s">
        <v>91</v>
      </c>
    </row>
    <row r="3" spans="1:15" x14ac:dyDescent="0.25">
      <c r="A3" s="93">
        <f>LossChart!A3</f>
        <v>42992</v>
      </c>
      <c r="B3" s="90">
        <f>LossChart!B3</f>
        <v>1</v>
      </c>
      <c r="C3" s="94">
        <v>202.8</v>
      </c>
      <c r="D3" s="94">
        <v>27.8</v>
      </c>
      <c r="E3" s="94">
        <v>32</v>
      </c>
      <c r="F3" s="94">
        <v>36.9</v>
      </c>
      <c r="G3" s="94">
        <v>27.6</v>
      </c>
      <c r="H3" s="94">
        <v>2238</v>
      </c>
      <c r="I3" s="94">
        <v>0</v>
      </c>
      <c r="J3" s="95">
        <f>E3*$C3/100</f>
        <v>64.896000000000001</v>
      </c>
      <c r="K3" s="95">
        <f>F3*$C3/100</f>
        <v>74.833199999999991</v>
      </c>
      <c r="L3" s="95">
        <f>G3*$C3/100</f>
        <v>55.972800000000007</v>
      </c>
      <c r="M3" s="95">
        <v>0</v>
      </c>
      <c r="N3" s="95">
        <v>0</v>
      </c>
      <c r="O3" s="95">
        <v>0</v>
      </c>
    </row>
    <row r="4" spans="1:15" x14ac:dyDescent="0.25">
      <c r="A4" s="93">
        <f>LossChart!A4</f>
        <v>42993</v>
      </c>
      <c r="B4" s="90">
        <f>LossChart!B4</f>
        <v>2</v>
      </c>
      <c r="C4" s="94">
        <v>200.2</v>
      </c>
      <c r="D4" s="94"/>
      <c r="E4" s="94"/>
      <c r="F4" s="94"/>
      <c r="G4" s="94"/>
      <c r="H4" s="94"/>
      <c r="I4" s="94">
        <f t="shared" ref="I4:I35" si="0">C4-$C$3</f>
        <v>-2.6000000000000227</v>
      </c>
      <c r="J4" s="95"/>
      <c r="K4" s="95"/>
      <c r="L4" s="95"/>
      <c r="M4" s="95"/>
      <c r="N4" s="95"/>
      <c r="O4" s="95"/>
    </row>
    <row r="5" spans="1:15" x14ac:dyDescent="0.25">
      <c r="A5" s="93">
        <f>LossChart!A5</f>
        <v>42994</v>
      </c>
      <c r="B5" s="90">
        <f>LossChart!B5</f>
        <v>3</v>
      </c>
      <c r="C5" s="94">
        <v>198.4</v>
      </c>
      <c r="D5" s="94"/>
      <c r="E5" s="94"/>
      <c r="F5" s="94"/>
      <c r="G5" s="94"/>
      <c r="H5" s="94"/>
      <c r="I5" s="94">
        <f t="shared" si="0"/>
        <v>-4.4000000000000057</v>
      </c>
      <c r="J5" s="95"/>
      <c r="K5" s="95"/>
      <c r="L5" s="95"/>
      <c r="M5" s="95"/>
      <c r="N5" s="95"/>
      <c r="O5" s="95"/>
    </row>
    <row r="6" spans="1:15" x14ac:dyDescent="0.25">
      <c r="A6" s="93">
        <f>LossChart!A6</f>
        <v>42995</v>
      </c>
      <c r="B6" s="90">
        <f>LossChart!B6</f>
        <v>4</v>
      </c>
      <c r="C6" s="94">
        <v>199.4</v>
      </c>
      <c r="D6" s="94"/>
      <c r="E6" s="94"/>
      <c r="F6" s="94"/>
      <c r="G6" s="94"/>
      <c r="H6" s="94"/>
      <c r="I6" s="94">
        <f t="shared" si="0"/>
        <v>-3.4000000000000057</v>
      </c>
      <c r="J6" s="95"/>
      <c r="K6" s="95"/>
      <c r="L6" s="95"/>
      <c r="M6" s="95"/>
      <c r="N6" s="95"/>
      <c r="O6" s="95"/>
    </row>
    <row r="7" spans="1:15" x14ac:dyDescent="0.25">
      <c r="A7" s="93">
        <f>LossChart!A7</f>
        <v>42996</v>
      </c>
      <c r="B7" s="90">
        <f>LossChart!B7</f>
        <v>5</v>
      </c>
      <c r="C7" s="94">
        <v>200.3</v>
      </c>
      <c r="D7" s="94"/>
      <c r="E7" s="94"/>
      <c r="F7" s="94"/>
      <c r="G7" s="94"/>
      <c r="H7" s="94"/>
      <c r="I7" s="94">
        <f t="shared" si="0"/>
        <v>-2.5</v>
      </c>
      <c r="J7" s="95"/>
      <c r="K7" s="95"/>
      <c r="L7" s="95"/>
      <c r="M7" s="95"/>
      <c r="N7" s="95"/>
      <c r="O7" s="95"/>
    </row>
    <row r="8" spans="1:15" x14ac:dyDescent="0.25">
      <c r="A8" s="93">
        <f>LossChart!A8</f>
        <v>42997</v>
      </c>
      <c r="B8" s="90">
        <f>LossChart!B8</f>
        <v>6</v>
      </c>
      <c r="C8" s="94">
        <v>200.4</v>
      </c>
      <c r="D8" s="94"/>
      <c r="E8" s="94"/>
      <c r="F8" s="94"/>
      <c r="G8" s="94"/>
      <c r="H8" s="94"/>
      <c r="I8" s="94">
        <f t="shared" si="0"/>
        <v>-2.4000000000000057</v>
      </c>
      <c r="J8" s="95"/>
      <c r="K8" s="95"/>
      <c r="L8" s="95"/>
      <c r="M8" s="95"/>
      <c r="N8" s="95"/>
      <c r="O8" s="95"/>
    </row>
    <row r="9" spans="1:15" x14ac:dyDescent="0.25">
      <c r="A9" s="93">
        <f>LossChart!A9</f>
        <v>42998</v>
      </c>
      <c r="B9" s="90">
        <f>LossChart!B9</f>
        <v>7</v>
      </c>
      <c r="C9" s="94">
        <v>199.8</v>
      </c>
      <c r="D9" s="94">
        <v>27.4</v>
      </c>
      <c r="E9" s="94"/>
      <c r="F9" s="94"/>
      <c r="G9" s="94"/>
      <c r="H9" s="94"/>
      <c r="I9" s="94">
        <f t="shared" si="0"/>
        <v>-3</v>
      </c>
      <c r="J9" s="95"/>
      <c r="K9" s="95"/>
      <c r="L9" s="95"/>
      <c r="M9" s="95"/>
      <c r="N9" s="95"/>
      <c r="O9" s="95"/>
    </row>
    <row r="10" spans="1:15" x14ac:dyDescent="0.25">
      <c r="A10" s="93">
        <f>LossChart!A10</f>
        <v>42999</v>
      </c>
      <c r="B10" s="90">
        <f>LossChart!B10</f>
        <v>8</v>
      </c>
      <c r="C10" s="94">
        <v>199.8</v>
      </c>
      <c r="D10" s="94"/>
      <c r="E10" s="94"/>
      <c r="F10" s="94"/>
      <c r="G10" s="94"/>
      <c r="H10" s="94"/>
      <c r="I10" s="94">
        <f t="shared" si="0"/>
        <v>-3</v>
      </c>
      <c r="J10" s="95"/>
      <c r="K10" s="95"/>
      <c r="L10" s="95"/>
      <c r="M10" s="95"/>
      <c r="N10" s="95"/>
      <c r="O10" s="95"/>
    </row>
    <row r="11" spans="1:15" x14ac:dyDescent="0.25">
      <c r="A11" s="93">
        <f>LossChart!A11</f>
        <v>43000</v>
      </c>
      <c r="B11" s="90">
        <f>LossChart!B11</f>
        <v>9</v>
      </c>
      <c r="C11" s="94">
        <v>198.4</v>
      </c>
      <c r="D11" s="94"/>
      <c r="E11" s="94"/>
      <c r="F11" s="94"/>
      <c r="G11" s="94"/>
      <c r="H11" s="94"/>
      <c r="I11" s="94">
        <f t="shared" si="0"/>
        <v>-4.4000000000000057</v>
      </c>
      <c r="J11" s="95"/>
      <c r="K11" s="95"/>
      <c r="L11" s="95"/>
      <c r="M11" s="95"/>
      <c r="N11" s="95"/>
      <c r="O11" s="95"/>
    </row>
    <row r="12" spans="1:15" x14ac:dyDescent="0.25">
      <c r="A12" s="93">
        <f>LossChart!A12</f>
        <v>43001</v>
      </c>
      <c r="B12" s="90">
        <f>LossChart!B12</f>
        <v>10</v>
      </c>
      <c r="C12" s="96">
        <v>197.6</v>
      </c>
      <c r="D12" s="94"/>
      <c r="E12" s="94"/>
      <c r="F12" s="94"/>
      <c r="G12" s="94"/>
      <c r="H12" s="94"/>
      <c r="I12" s="94">
        <f t="shared" si="0"/>
        <v>-5.2000000000000171</v>
      </c>
      <c r="J12" s="95"/>
      <c r="K12" s="95"/>
      <c r="L12" s="95"/>
      <c r="M12" s="95"/>
      <c r="N12" s="95"/>
      <c r="O12" s="95"/>
    </row>
    <row r="13" spans="1:15" x14ac:dyDescent="0.25">
      <c r="A13" s="93">
        <f>LossChart!A13</f>
        <v>43002</v>
      </c>
      <c r="B13" s="90">
        <f>LossChart!B13</f>
        <v>11</v>
      </c>
      <c r="C13" s="96">
        <v>198</v>
      </c>
      <c r="D13" s="94"/>
      <c r="E13" s="94"/>
      <c r="F13" s="94"/>
      <c r="G13" s="94"/>
      <c r="H13" s="94"/>
      <c r="I13" s="94">
        <f t="shared" si="0"/>
        <v>-4.8000000000000114</v>
      </c>
      <c r="J13" s="95"/>
      <c r="K13" s="95"/>
      <c r="L13" s="95"/>
      <c r="M13" s="95"/>
      <c r="N13" s="95"/>
      <c r="O13" s="95"/>
    </row>
    <row r="14" spans="1:15" x14ac:dyDescent="0.25">
      <c r="A14" s="93">
        <f>LossChart!A14</f>
        <v>43003</v>
      </c>
      <c r="B14" s="90">
        <f>LossChart!B14</f>
        <v>12</v>
      </c>
      <c r="C14" s="96">
        <v>198</v>
      </c>
      <c r="D14" s="94"/>
      <c r="E14" s="94"/>
      <c r="F14" s="94"/>
      <c r="G14" s="94"/>
      <c r="H14" s="94"/>
      <c r="I14" s="94">
        <f t="shared" si="0"/>
        <v>-4.8000000000000114</v>
      </c>
      <c r="J14" s="95"/>
      <c r="K14" s="95"/>
      <c r="L14" s="95"/>
      <c r="M14" s="95"/>
      <c r="N14" s="95"/>
      <c r="O14" s="95"/>
    </row>
    <row r="15" spans="1:15" x14ac:dyDescent="0.25">
      <c r="A15" s="93">
        <f>LossChart!A15</f>
        <v>43004</v>
      </c>
      <c r="B15" s="90">
        <f>LossChart!B15</f>
        <v>13</v>
      </c>
      <c r="C15" s="96">
        <v>198.8</v>
      </c>
      <c r="D15" s="94">
        <v>27.2</v>
      </c>
      <c r="E15" s="94">
        <v>31.2</v>
      </c>
      <c r="F15" s="94">
        <v>37.700000000000003</v>
      </c>
      <c r="G15" s="94">
        <v>28.2</v>
      </c>
      <c r="H15" s="94">
        <v>2207</v>
      </c>
      <c r="I15" s="94">
        <f t="shared" si="0"/>
        <v>-4</v>
      </c>
      <c r="J15" s="95">
        <f>E15*$C15/100</f>
        <v>62.025600000000004</v>
      </c>
      <c r="K15" s="95">
        <f>F15*$C15/100</f>
        <v>74.947600000000008</v>
      </c>
      <c r="L15" s="95">
        <f>G15*$C15/100</f>
        <v>56.061599999999999</v>
      </c>
      <c r="M15" s="95">
        <f>J15-J$3</f>
        <v>-2.8703999999999965</v>
      </c>
      <c r="N15" s="95">
        <f>K15-K$3</f>
        <v>0.1144000000000176</v>
      </c>
      <c r="O15" s="95">
        <f>L15-L$3</f>
        <v>8.8799999999991996E-2</v>
      </c>
    </row>
    <row r="16" spans="1:15" x14ac:dyDescent="0.25">
      <c r="A16" s="93">
        <f>LossChart!A16</f>
        <v>43005</v>
      </c>
      <c r="B16" s="90">
        <f>LossChart!B16</f>
        <v>14</v>
      </c>
      <c r="C16" s="96">
        <v>198.6</v>
      </c>
      <c r="D16" s="94"/>
      <c r="E16" s="94"/>
      <c r="F16" s="94"/>
      <c r="G16" s="94"/>
      <c r="H16" s="94"/>
      <c r="I16" s="94">
        <f t="shared" si="0"/>
        <v>-4.2000000000000171</v>
      </c>
      <c r="J16" s="95"/>
      <c r="K16" s="95"/>
      <c r="L16" s="95"/>
      <c r="M16" s="95"/>
      <c r="N16" s="95"/>
      <c r="O16" s="95"/>
    </row>
    <row r="17" spans="1:15" x14ac:dyDescent="0.25">
      <c r="A17" s="93">
        <f>LossChart!A17</f>
        <v>43006</v>
      </c>
      <c r="B17" s="90">
        <f>LossChart!B17</f>
        <v>15</v>
      </c>
      <c r="C17" s="96">
        <v>198.2</v>
      </c>
      <c r="D17" s="94"/>
      <c r="E17" s="94"/>
      <c r="F17" s="94"/>
      <c r="G17" s="94"/>
      <c r="H17" s="94"/>
      <c r="I17" s="94">
        <f t="shared" si="0"/>
        <v>-4.6000000000000227</v>
      </c>
      <c r="J17" s="95"/>
      <c r="K17" s="95"/>
      <c r="L17" s="95"/>
      <c r="M17" s="95"/>
      <c r="N17" s="95"/>
      <c r="O17" s="95"/>
    </row>
    <row r="18" spans="1:15" x14ac:dyDescent="0.25">
      <c r="A18" s="93">
        <f>LossChart!A18</f>
        <v>43007</v>
      </c>
      <c r="B18" s="90">
        <f>LossChart!B18</f>
        <v>16</v>
      </c>
      <c r="C18" s="94">
        <v>197.2</v>
      </c>
      <c r="D18" s="94">
        <v>27</v>
      </c>
      <c r="E18" s="94">
        <v>30.9</v>
      </c>
      <c r="F18" s="94">
        <v>38</v>
      </c>
      <c r="G18" s="94">
        <v>28.4</v>
      </c>
      <c r="H18" s="94">
        <v>2195</v>
      </c>
      <c r="I18" s="94">
        <f t="shared" si="0"/>
        <v>-5.6000000000000227</v>
      </c>
      <c r="J18" s="95">
        <f>E18*$C18/100</f>
        <v>60.934799999999996</v>
      </c>
      <c r="K18" s="95">
        <f>F18*$C18/100</f>
        <v>74.935999999999993</v>
      </c>
      <c r="L18" s="95">
        <f>G18*$C18/100</f>
        <v>56.004799999999996</v>
      </c>
      <c r="M18" s="95">
        <f>J18-J$3</f>
        <v>-3.9612000000000052</v>
      </c>
      <c r="N18" s="95">
        <f>K18-K$3</f>
        <v>0.102800000000002</v>
      </c>
      <c r="O18" s="95">
        <f>L18-L$3</f>
        <v>3.199999999998937E-2</v>
      </c>
    </row>
    <row r="19" spans="1:15" x14ac:dyDescent="0.25">
      <c r="A19" s="93">
        <f>LossChart!A19</f>
        <v>43008</v>
      </c>
      <c r="B19" s="90">
        <f>LossChart!B19</f>
        <v>17</v>
      </c>
      <c r="C19" s="90">
        <v>197.8</v>
      </c>
      <c r="I19" s="94">
        <f t="shared" si="0"/>
        <v>-5</v>
      </c>
    </row>
    <row r="20" spans="1:15" x14ac:dyDescent="0.25">
      <c r="A20" s="93">
        <f>LossChart!A20</f>
        <v>43009</v>
      </c>
      <c r="B20" s="90">
        <f>LossChart!B20</f>
        <v>18</v>
      </c>
      <c r="C20" s="90">
        <v>197.8</v>
      </c>
      <c r="I20" s="94">
        <f t="shared" si="0"/>
        <v>-5</v>
      </c>
    </row>
    <row r="21" spans="1:15" x14ac:dyDescent="0.25">
      <c r="A21" s="93">
        <f>LossChart!A21</f>
        <v>43010</v>
      </c>
      <c r="B21" s="90">
        <f>LossChart!B21</f>
        <v>19</v>
      </c>
      <c r="C21" s="90">
        <v>197</v>
      </c>
      <c r="D21" s="90">
        <v>26.9</v>
      </c>
      <c r="G21" s="90">
        <v>28.5</v>
      </c>
      <c r="I21" s="94">
        <f t="shared" si="0"/>
        <v>-5.8000000000000114</v>
      </c>
      <c r="J21" s="95">
        <f>E21*$C21/100</f>
        <v>0</v>
      </c>
      <c r="K21" s="95">
        <f>F21*$C21/100</f>
        <v>0</v>
      </c>
      <c r="L21" s="95">
        <f>G21*$C21/100</f>
        <v>56.145000000000003</v>
      </c>
      <c r="M21" s="95">
        <f>J21-J$3</f>
        <v>-64.896000000000001</v>
      </c>
      <c r="N21" s="95">
        <f>K21-K$3</f>
        <v>-74.833199999999991</v>
      </c>
      <c r="O21" s="95">
        <f>L21-L$3</f>
        <v>0.17219999999999658</v>
      </c>
    </row>
    <row r="22" spans="1:15" x14ac:dyDescent="0.25">
      <c r="A22" s="93">
        <f>LossChart!A22</f>
        <v>43011</v>
      </c>
      <c r="B22" s="90">
        <f>LossChart!B22</f>
        <v>20</v>
      </c>
      <c r="C22" s="90">
        <v>197.2</v>
      </c>
      <c r="I22" s="94">
        <f t="shared" si="0"/>
        <v>-5.6000000000000227</v>
      </c>
    </row>
    <row r="23" spans="1:15" x14ac:dyDescent="0.25">
      <c r="A23" s="93">
        <f>LossChart!A23</f>
        <v>43012</v>
      </c>
      <c r="B23" s="90">
        <f>LossChart!B23</f>
        <v>21</v>
      </c>
      <c r="C23" s="90">
        <v>197.2</v>
      </c>
      <c r="I23" s="94">
        <f t="shared" si="0"/>
        <v>-5.6000000000000227</v>
      </c>
    </row>
    <row r="24" spans="1:15" x14ac:dyDescent="0.25">
      <c r="A24" s="93">
        <f>LossChart!A24</f>
        <v>43013</v>
      </c>
      <c r="B24" s="90">
        <f>LossChart!B24</f>
        <v>22</v>
      </c>
      <c r="I24" s="94">
        <f t="shared" si="0"/>
        <v>-202.8</v>
      </c>
    </row>
    <row r="25" spans="1:15" x14ac:dyDescent="0.25">
      <c r="A25" s="93">
        <f>LossChart!A25</f>
        <v>43014</v>
      </c>
      <c r="B25" s="90">
        <f>LossChart!B25</f>
        <v>23</v>
      </c>
      <c r="I25" s="94">
        <f t="shared" si="0"/>
        <v>-202.8</v>
      </c>
    </row>
    <row r="26" spans="1:15" x14ac:dyDescent="0.25">
      <c r="A26" s="93">
        <f>LossChart!A26</f>
        <v>43015</v>
      </c>
      <c r="B26" s="90">
        <f>LossChart!B26</f>
        <v>24</v>
      </c>
      <c r="I26" s="94">
        <f t="shared" si="0"/>
        <v>-202.8</v>
      </c>
    </row>
    <row r="27" spans="1:15" x14ac:dyDescent="0.25">
      <c r="A27" s="93">
        <f>LossChart!A27</f>
        <v>43016</v>
      </c>
      <c r="B27" s="90">
        <f>LossChart!B27</f>
        <v>25</v>
      </c>
      <c r="I27" s="94">
        <f t="shared" si="0"/>
        <v>-202.8</v>
      </c>
    </row>
    <row r="28" spans="1:15" x14ac:dyDescent="0.25">
      <c r="A28" s="93">
        <f>LossChart!A28</f>
        <v>43017</v>
      </c>
      <c r="B28" s="90">
        <f>LossChart!B28</f>
        <v>26</v>
      </c>
      <c r="I28" s="94">
        <f t="shared" si="0"/>
        <v>-202.8</v>
      </c>
    </row>
    <row r="29" spans="1:15" x14ac:dyDescent="0.25">
      <c r="A29" s="93">
        <f>LossChart!A29</f>
        <v>43018</v>
      </c>
      <c r="B29" s="90">
        <f>LossChart!B29</f>
        <v>27</v>
      </c>
      <c r="I29" s="94">
        <f t="shared" si="0"/>
        <v>-202.8</v>
      </c>
    </row>
    <row r="30" spans="1:15" x14ac:dyDescent="0.25">
      <c r="A30" s="93">
        <f>LossChart!A30</f>
        <v>43019</v>
      </c>
      <c r="B30" s="90">
        <f>LossChart!B30</f>
        <v>28</v>
      </c>
      <c r="I30" s="94">
        <f t="shared" si="0"/>
        <v>-202.8</v>
      </c>
    </row>
    <row r="31" spans="1:15" x14ac:dyDescent="0.25">
      <c r="A31" s="93">
        <f>LossChart!A31</f>
        <v>43020</v>
      </c>
      <c r="B31" s="90">
        <f>LossChart!B31</f>
        <v>29</v>
      </c>
      <c r="I31" s="94">
        <f t="shared" si="0"/>
        <v>-202.8</v>
      </c>
    </row>
    <row r="32" spans="1:15" x14ac:dyDescent="0.25">
      <c r="A32" s="93">
        <f>LossChart!A32</f>
        <v>43021</v>
      </c>
      <c r="B32" s="90">
        <f>LossChart!B32</f>
        <v>30</v>
      </c>
      <c r="I32" s="94">
        <f t="shared" si="0"/>
        <v>-202.8</v>
      </c>
    </row>
    <row r="33" spans="1:9" x14ac:dyDescent="0.25">
      <c r="A33" s="93">
        <f>LossChart!A33</f>
        <v>43022</v>
      </c>
      <c r="B33" s="90">
        <f>LossChart!B33</f>
        <v>31</v>
      </c>
      <c r="I33" s="94">
        <f t="shared" si="0"/>
        <v>-202.8</v>
      </c>
    </row>
    <row r="34" spans="1:9" x14ac:dyDescent="0.25">
      <c r="A34" s="93">
        <f>LossChart!A34</f>
        <v>43023</v>
      </c>
      <c r="B34" s="90">
        <f>LossChart!B34</f>
        <v>32</v>
      </c>
      <c r="I34" s="94">
        <f t="shared" si="0"/>
        <v>-202.8</v>
      </c>
    </row>
    <row r="35" spans="1:9" x14ac:dyDescent="0.25">
      <c r="A35" s="93">
        <f>LossChart!A35</f>
        <v>43024</v>
      </c>
      <c r="B35" s="90">
        <f>LossChart!B35</f>
        <v>33</v>
      </c>
      <c r="I35" s="94">
        <f t="shared" si="0"/>
        <v>-202.8</v>
      </c>
    </row>
    <row r="36" spans="1:9" x14ac:dyDescent="0.25">
      <c r="A36" s="93">
        <f>LossChart!A36</f>
        <v>43025</v>
      </c>
      <c r="B36" s="90">
        <f>LossChart!B36</f>
        <v>34</v>
      </c>
      <c r="I36" s="94">
        <f t="shared" ref="I36:I67" si="1">C36-$C$3</f>
        <v>-202.8</v>
      </c>
    </row>
    <row r="37" spans="1:9" x14ac:dyDescent="0.25">
      <c r="A37" s="93">
        <f>LossChart!A37</f>
        <v>43026</v>
      </c>
      <c r="B37" s="90">
        <f>LossChart!B37</f>
        <v>35</v>
      </c>
      <c r="I37" s="94">
        <f t="shared" si="1"/>
        <v>-202.8</v>
      </c>
    </row>
    <row r="38" spans="1:9" x14ac:dyDescent="0.25">
      <c r="A38" s="93">
        <f>LossChart!A38</f>
        <v>43027</v>
      </c>
      <c r="B38" s="90">
        <f>LossChart!B38</f>
        <v>36</v>
      </c>
      <c r="I38" s="94">
        <f t="shared" si="1"/>
        <v>-202.8</v>
      </c>
    </row>
    <row r="39" spans="1:9" x14ac:dyDescent="0.25">
      <c r="A39" s="93">
        <f>LossChart!A39</f>
        <v>43028</v>
      </c>
      <c r="B39" s="90">
        <f>LossChart!B39</f>
        <v>37</v>
      </c>
      <c r="I39" s="94">
        <f t="shared" si="1"/>
        <v>-202.8</v>
      </c>
    </row>
    <row r="40" spans="1:9" x14ac:dyDescent="0.25">
      <c r="A40" s="93">
        <f>LossChart!A40</f>
        <v>43029</v>
      </c>
      <c r="B40" s="90">
        <f>LossChart!B40</f>
        <v>38</v>
      </c>
      <c r="I40" s="94">
        <f t="shared" si="1"/>
        <v>-202.8</v>
      </c>
    </row>
    <row r="41" spans="1:9" x14ac:dyDescent="0.25">
      <c r="A41" s="93">
        <f>LossChart!A41</f>
        <v>43030</v>
      </c>
      <c r="B41" s="90">
        <f>LossChart!B41</f>
        <v>39</v>
      </c>
      <c r="I41" s="94">
        <f t="shared" si="1"/>
        <v>-202.8</v>
      </c>
    </row>
    <row r="42" spans="1:9" x14ac:dyDescent="0.25">
      <c r="A42" s="93">
        <f>LossChart!A42</f>
        <v>43031</v>
      </c>
      <c r="B42" s="90">
        <f>LossChart!B42</f>
        <v>40</v>
      </c>
      <c r="I42" s="94">
        <f t="shared" si="1"/>
        <v>-202.8</v>
      </c>
    </row>
    <row r="43" spans="1:9" x14ac:dyDescent="0.25">
      <c r="A43" s="93">
        <f>LossChart!A43</f>
        <v>43032</v>
      </c>
      <c r="B43" s="90">
        <f>LossChart!B43</f>
        <v>41</v>
      </c>
      <c r="I43" s="94">
        <f t="shared" si="1"/>
        <v>-202.8</v>
      </c>
    </row>
    <row r="44" spans="1:9" x14ac:dyDescent="0.25">
      <c r="A44" s="93">
        <f>LossChart!A44</f>
        <v>43033</v>
      </c>
      <c r="B44" s="90">
        <f>LossChart!B44</f>
        <v>42</v>
      </c>
      <c r="I44" s="94">
        <f t="shared" si="1"/>
        <v>-202.8</v>
      </c>
    </row>
    <row r="45" spans="1:9" x14ac:dyDescent="0.25">
      <c r="A45" s="93">
        <f>LossChart!A45</f>
        <v>43034</v>
      </c>
      <c r="B45" s="90">
        <f>LossChart!B45</f>
        <v>43</v>
      </c>
      <c r="I45" s="94">
        <f t="shared" si="1"/>
        <v>-202.8</v>
      </c>
    </row>
    <row r="46" spans="1:9" x14ac:dyDescent="0.25">
      <c r="A46" s="93">
        <f>LossChart!A46</f>
        <v>43035</v>
      </c>
      <c r="B46" s="90">
        <f>LossChart!B46</f>
        <v>44</v>
      </c>
      <c r="I46" s="94">
        <f t="shared" si="1"/>
        <v>-202.8</v>
      </c>
    </row>
    <row r="47" spans="1:9" x14ac:dyDescent="0.25">
      <c r="A47" s="93">
        <f>LossChart!A47</f>
        <v>43036</v>
      </c>
      <c r="B47" s="90">
        <f>LossChart!B47</f>
        <v>45</v>
      </c>
      <c r="I47" s="94">
        <f t="shared" si="1"/>
        <v>-202.8</v>
      </c>
    </row>
    <row r="48" spans="1:9" x14ac:dyDescent="0.25">
      <c r="A48" s="93">
        <f>LossChart!A48</f>
        <v>43037</v>
      </c>
      <c r="B48" s="90">
        <f>LossChart!B48</f>
        <v>46</v>
      </c>
      <c r="I48" s="94">
        <f t="shared" si="1"/>
        <v>-202.8</v>
      </c>
    </row>
    <row r="49" spans="1:9" x14ac:dyDescent="0.25">
      <c r="A49" s="93">
        <f>LossChart!A49</f>
        <v>43038</v>
      </c>
      <c r="B49" s="90">
        <f>LossChart!B49</f>
        <v>47</v>
      </c>
      <c r="I49" s="94">
        <f t="shared" si="1"/>
        <v>-202.8</v>
      </c>
    </row>
    <row r="50" spans="1:9" x14ac:dyDescent="0.25">
      <c r="A50" s="93">
        <f>LossChart!A50</f>
        <v>43039</v>
      </c>
      <c r="B50" s="90">
        <f>LossChart!B50</f>
        <v>48</v>
      </c>
      <c r="I50" s="94">
        <f t="shared" si="1"/>
        <v>-202.8</v>
      </c>
    </row>
    <row r="51" spans="1:9" x14ac:dyDescent="0.25">
      <c r="A51" s="93">
        <f>LossChart!A51</f>
        <v>43040</v>
      </c>
      <c r="B51" s="90">
        <f>LossChart!B51</f>
        <v>49</v>
      </c>
      <c r="I51" s="94">
        <f t="shared" si="1"/>
        <v>-202.8</v>
      </c>
    </row>
    <row r="52" spans="1:9" x14ac:dyDescent="0.25">
      <c r="A52" s="93">
        <f>LossChart!A52</f>
        <v>43041</v>
      </c>
      <c r="B52" s="90">
        <f>LossChart!B52</f>
        <v>50</v>
      </c>
      <c r="I52" s="94">
        <f t="shared" si="1"/>
        <v>-202.8</v>
      </c>
    </row>
    <row r="53" spans="1:9" x14ac:dyDescent="0.25">
      <c r="A53" s="93">
        <f>LossChart!A53</f>
        <v>43042</v>
      </c>
      <c r="B53" s="90">
        <f>LossChart!B53</f>
        <v>51</v>
      </c>
      <c r="I53" s="94">
        <f t="shared" si="1"/>
        <v>-202.8</v>
      </c>
    </row>
    <row r="54" spans="1:9" x14ac:dyDescent="0.25">
      <c r="A54" s="93">
        <f>LossChart!A54</f>
        <v>43043</v>
      </c>
      <c r="B54" s="90">
        <f>LossChart!B54</f>
        <v>52</v>
      </c>
      <c r="I54" s="94">
        <f t="shared" si="1"/>
        <v>-202.8</v>
      </c>
    </row>
    <row r="55" spans="1:9" x14ac:dyDescent="0.25">
      <c r="A55" s="93">
        <f>LossChart!A55</f>
        <v>43044</v>
      </c>
      <c r="B55" s="90">
        <f>LossChart!B55</f>
        <v>53</v>
      </c>
      <c r="I55" s="94">
        <f t="shared" si="1"/>
        <v>-202.8</v>
      </c>
    </row>
    <row r="56" spans="1:9" x14ac:dyDescent="0.25">
      <c r="A56" s="93">
        <f>LossChart!A56</f>
        <v>43045</v>
      </c>
      <c r="B56" s="90">
        <f>LossChart!B56</f>
        <v>54</v>
      </c>
      <c r="I56" s="94">
        <f t="shared" si="1"/>
        <v>-202.8</v>
      </c>
    </row>
    <row r="57" spans="1:9" x14ac:dyDescent="0.25">
      <c r="A57" s="93">
        <f>LossChart!A57</f>
        <v>43046</v>
      </c>
      <c r="B57" s="90">
        <f>LossChart!B57</f>
        <v>55</v>
      </c>
      <c r="I57" s="94">
        <f t="shared" si="1"/>
        <v>-202.8</v>
      </c>
    </row>
    <row r="58" spans="1:9" x14ac:dyDescent="0.25">
      <c r="A58" s="93">
        <f>LossChart!A58</f>
        <v>43047</v>
      </c>
      <c r="B58" s="90">
        <f>LossChart!B58</f>
        <v>56</v>
      </c>
      <c r="I58" s="94">
        <f t="shared" si="1"/>
        <v>-202.8</v>
      </c>
    </row>
    <row r="59" spans="1:9" x14ac:dyDescent="0.25">
      <c r="A59" s="93">
        <f>LossChart!A59</f>
        <v>43048</v>
      </c>
      <c r="B59" s="90">
        <f>LossChart!B59</f>
        <v>57</v>
      </c>
      <c r="I59" s="94">
        <f t="shared" si="1"/>
        <v>-202.8</v>
      </c>
    </row>
    <row r="60" spans="1:9" x14ac:dyDescent="0.25">
      <c r="A60" s="93">
        <f>LossChart!A60</f>
        <v>43049</v>
      </c>
      <c r="B60" s="90">
        <f>LossChart!B60</f>
        <v>58</v>
      </c>
      <c r="I60" s="94">
        <f t="shared" si="1"/>
        <v>-202.8</v>
      </c>
    </row>
    <row r="61" spans="1:9" x14ac:dyDescent="0.25">
      <c r="A61" s="93">
        <f>LossChart!A61</f>
        <v>43050</v>
      </c>
      <c r="B61" s="90">
        <f>LossChart!B61</f>
        <v>59</v>
      </c>
      <c r="I61" s="94">
        <f t="shared" si="1"/>
        <v>-202.8</v>
      </c>
    </row>
    <row r="62" spans="1:9" x14ac:dyDescent="0.25">
      <c r="A62" s="93">
        <f>LossChart!A62</f>
        <v>43051</v>
      </c>
      <c r="B62" s="90">
        <f>LossChart!B62</f>
        <v>60</v>
      </c>
      <c r="I62" s="94">
        <f t="shared" si="1"/>
        <v>-202.8</v>
      </c>
    </row>
    <row r="63" spans="1:9" x14ac:dyDescent="0.25">
      <c r="A63" s="93">
        <f>LossChart!A63</f>
        <v>43052</v>
      </c>
      <c r="B63" s="90">
        <f>LossChart!B63</f>
        <v>61</v>
      </c>
      <c r="I63" s="94">
        <f t="shared" si="1"/>
        <v>-202.8</v>
      </c>
    </row>
    <row r="64" spans="1:9" x14ac:dyDescent="0.25">
      <c r="A64" s="93">
        <f>LossChart!A64</f>
        <v>43053</v>
      </c>
      <c r="B64" s="90">
        <f>LossChart!B64</f>
        <v>62</v>
      </c>
      <c r="I64" s="94">
        <f t="shared" si="1"/>
        <v>-202.8</v>
      </c>
    </row>
    <row r="65" spans="1:9" x14ac:dyDescent="0.25">
      <c r="A65" s="93">
        <f>LossChart!A65</f>
        <v>43054</v>
      </c>
      <c r="B65" s="90">
        <f>LossChart!B65</f>
        <v>63</v>
      </c>
      <c r="I65" s="94">
        <f t="shared" si="1"/>
        <v>-202.8</v>
      </c>
    </row>
    <row r="66" spans="1:9" x14ac:dyDescent="0.25">
      <c r="A66" s="93">
        <f>LossChart!A66</f>
        <v>43055</v>
      </c>
      <c r="B66" s="90">
        <f>LossChart!B66</f>
        <v>64</v>
      </c>
      <c r="I66" s="94">
        <f t="shared" si="1"/>
        <v>-202.8</v>
      </c>
    </row>
    <row r="67" spans="1:9" x14ac:dyDescent="0.25">
      <c r="A67" s="93">
        <f>LossChart!A67</f>
        <v>43056</v>
      </c>
      <c r="B67" s="90">
        <f>LossChart!B67</f>
        <v>65</v>
      </c>
      <c r="I67" s="94">
        <f t="shared" si="1"/>
        <v>-202.8</v>
      </c>
    </row>
    <row r="68" spans="1:9" x14ac:dyDescent="0.25">
      <c r="A68" s="93">
        <f>LossChart!A68</f>
        <v>43057</v>
      </c>
      <c r="B68" s="90">
        <f>LossChart!B68</f>
        <v>66</v>
      </c>
      <c r="I68" s="94">
        <f t="shared" ref="I68:I99" si="2">C68-$C$3</f>
        <v>-202.8</v>
      </c>
    </row>
    <row r="69" spans="1:9" x14ac:dyDescent="0.25">
      <c r="A69" s="93">
        <f>LossChart!A69</f>
        <v>43058</v>
      </c>
      <c r="B69" s="90">
        <f>LossChart!B69</f>
        <v>67</v>
      </c>
      <c r="I69" s="94">
        <f t="shared" si="2"/>
        <v>-202.8</v>
      </c>
    </row>
    <row r="70" spans="1:9" x14ac:dyDescent="0.25">
      <c r="A70" s="93">
        <f>LossChart!A70</f>
        <v>43059</v>
      </c>
      <c r="B70" s="90">
        <f>LossChart!B70</f>
        <v>68</v>
      </c>
      <c r="I70" s="94">
        <f t="shared" si="2"/>
        <v>-202.8</v>
      </c>
    </row>
    <row r="71" spans="1:9" x14ac:dyDescent="0.25">
      <c r="A71" s="93">
        <f>LossChart!A71</f>
        <v>43060</v>
      </c>
      <c r="B71" s="90">
        <f>LossChart!B71</f>
        <v>69</v>
      </c>
      <c r="I71" s="94">
        <f t="shared" si="2"/>
        <v>-202.8</v>
      </c>
    </row>
    <row r="72" spans="1:9" x14ac:dyDescent="0.25">
      <c r="A72" s="93">
        <f>LossChart!A72</f>
        <v>43061</v>
      </c>
      <c r="B72" s="90">
        <f>LossChart!B72</f>
        <v>70</v>
      </c>
      <c r="I72" s="94">
        <f t="shared" si="2"/>
        <v>-202.8</v>
      </c>
    </row>
    <row r="73" spans="1:9" x14ac:dyDescent="0.25">
      <c r="A73" s="93">
        <f>LossChart!A73</f>
        <v>43062</v>
      </c>
      <c r="B73" s="90">
        <f>LossChart!B73</f>
        <v>71</v>
      </c>
      <c r="I73" s="94">
        <f t="shared" si="2"/>
        <v>-202.8</v>
      </c>
    </row>
    <row r="74" spans="1:9" x14ac:dyDescent="0.25">
      <c r="A74" s="93">
        <f>LossChart!A74</f>
        <v>43063</v>
      </c>
      <c r="B74" s="90">
        <f>LossChart!B74</f>
        <v>72</v>
      </c>
      <c r="I74" s="94">
        <f t="shared" si="2"/>
        <v>-202.8</v>
      </c>
    </row>
    <row r="75" spans="1:9" x14ac:dyDescent="0.25">
      <c r="A75" s="93">
        <f>LossChart!A75</f>
        <v>43064</v>
      </c>
      <c r="B75" s="90">
        <f>LossChart!B75</f>
        <v>73</v>
      </c>
      <c r="I75" s="94">
        <f t="shared" si="2"/>
        <v>-202.8</v>
      </c>
    </row>
    <row r="76" spans="1:9" x14ac:dyDescent="0.25">
      <c r="A76" s="93">
        <f>LossChart!A76</f>
        <v>43065</v>
      </c>
      <c r="B76" s="90">
        <f>LossChart!B76</f>
        <v>74</v>
      </c>
      <c r="I76" s="94">
        <f t="shared" si="2"/>
        <v>-202.8</v>
      </c>
    </row>
    <row r="77" spans="1:9" x14ac:dyDescent="0.25">
      <c r="A77" s="93">
        <f>LossChart!A77</f>
        <v>43066</v>
      </c>
      <c r="B77" s="90">
        <f>LossChart!B77</f>
        <v>75</v>
      </c>
      <c r="I77" s="94">
        <f t="shared" si="2"/>
        <v>-202.8</v>
      </c>
    </row>
    <row r="78" spans="1:9" x14ac:dyDescent="0.25">
      <c r="A78" s="93">
        <f>LossChart!A78</f>
        <v>43067</v>
      </c>
      <c r="B78" s="90">
        <f>LossChart!B78</f>
        <v>76</v>
      </c>
      <c r="I78" s="94">
        <f t="shared" si="2"/>
        <v>-202.8</v>
      </c>
    </row>
    <row r="79" spans="1:9" x14ac:dyDescent="0.25">
      <c r="A79" s="93">
        <f>LossChart!A79</f>
        <v>43068</v>
      </c>
      <c r="B79" s="90">
        <f>LossChart!B79</f>
        <v>77</v>
      </c>
      <c r="I79" s="94">
        <f t="shared" si="2"/>
        <v>-202.8</v>
      </c>
    </row>
    <row r="80" spans="1:9" x14ac:dyDescent="0.25">
      <c r="A80" s="93">
        <f>LossChart!A80</f>
        <v>43069</v>
      </c>
      <c r="B80" s="90">
        <f>LossChart!B80</f>
        <v>78</v>
      </c>
      <c r="I80" s="94">
        <f t="shared" si="2"/>
        <v>-202.8</v>
      </c>
    </row>
    <row r="81" spans="1:9" x14ac:dyDescent="0.25">
      <c r="A81" s="93">
        <f>LossChart!A81</f>
        <v>43070</v>
      </c>
      <c r="B81" s="90">
        <f>LossChart!B81</f>
        <v>79</v>
      </c>
      <c r="I81" s="94">
        <f t="shared" si="2"/>
        <v>-202.8</v>
      </c>
    </row>
    <row r="82" spans="1:9" x14ac:dyDescent="0.25">
      <c r="A82" s="93">
        <f>LossChart!A82</f>
        <v>43071</v>
      </c>
      <c r="B82" s="90">
        <f>LossChart!B82</f>
        <v>80</v>
      </c>
      <c r="I82" s="94">
        <f t="shared" si="2"/>
        <v>-202.8</v>
      </c>
    </row>
    <row r="83" spans="1:9" x14ac:dyDescent="0.25">
      <c r="A83" s="93">
        <f>LossChart!A83</f>
        <v>43072</v>
      </c>
      <c r="B83" s="90">
        <f>LossChart!B83</f>
        <v>81</v>
      </c>
      <c r="I83" s="94">
        <f t="shared" si="2"/>
        <v>-202.8</v>
      </c>
    </row>
    <row r="84" spans="1:9" x14ac:dyDescent="0.25">
      <c r="A84" s="93">
        <f>LossChart!A84</f>
        <v>43073</v>
      </c>
      <c r="B84" s="90">
        <f>LossChart!B84</f>
        <v>82</v>
      </c>
      <c r="I84" s="94">
        <f t="shared" si="2"/>
        <v>-202.8</v>
      </c>
    </row>
    <row r="85" spans="1:9" x14ac:dyDescent="0.25">
      <c r="A85" s="93">
        <f>LossChart!A85</f>
        <v>43074</v>
      </c>
      <c r="B85" s="90">
        <f>LossChart!B85</f>
        <v>83</v>
      </c>
      <c r="I85" s="94">
        <f t="shared" si="2"/>
        <v>-202.8</v>
      </c>
    </row>
    <row r="86" spans="1:9" x14ac:dyDescent="0.25">
      <c r="A86" s="93">
        <f>LossChart!A86</f>
        <v>43075</v>
      </c>
      <c r="B86" s="90">
        <f>LossChart!B86</f>
        <v>84</v>
      </c>
      <c r="I86" s="94">
        <f t="shared" si="2"/>
        <v>-202.8</v>
      </c>
    </row>
    <row r="87" spans="1:9" x14ac:dyDescent="0.25">
      <c r="A87" s="93">
        <f>LossChart!A87</f>
        <v>43076</v>
      </c>
      <c r="B87" s="90">
        <f>LossChart!B87</f>
        <v>85</v>
      </c>
      <c r="I87" s="94">
        <f t="shared" si="2"/>
        <v>-202.8</v>
      </c>
    </row>
    <row r="88" spans="1:9" x14ac:dyDescent="0.25">
      <c r="A88" s="93">
        <f>LossChart!A88</f>
        <v>43077</v>
      </c>
      <c r="B88" s="90">
        <f>LossChart!B88</f>
        <v>86</v>
      </c>
      <c r="I88" s="94">
        <f t="shared" si="2"/>
        <v>-202.8</v>
      </c>
    </row>
    <row r="89" spans="1:9" x14ac:dyDescent="0.25">
      <c r="A89" s="93">
        <f>LossChart!A89</f>
        <v>43078</v>
      </c>
      <c r="B89" s="90">
        <f>LossChart!B89</f>
        <v>87</v>
      </c>
      <c r="I89" s="94">
        <f t="shared" si="2"/>
        <v>-202.8</v>
      </c>
    </row>
    <row r="90" spans="1:9" x14ac:dyDescent="0.25">
      <c r="A90" s="93">
        <f>LossChart!A90</f>
        <v>43079</v>
      </c>
      <c r="B90" s="90">
        <f>LossChart!B90</f>
        <v>88</v>
      </c>
      <c r="I90" s="94">
        <f t="shared" si="2"/>
        <v>-202.8</v>
      </c>
    </row>
    <row r="91" spans="1:9" x14ac:dyDescent="0.25">
      <c r="A91" s="93">
        <f>LossChart!A91</f>
        <v>43080</v>
      </c>
      <c r="B91" s="90">
        <f>LossChart!B91</f>
        <v>89</v>
      </c>
      <c r="I91" s="94">
        <f t="shared" si="2"/>
        <v>-202.8</v>
      </c>
    </row>
    <row r="92" spans="1:9" x14ac:dyDescent="0.25">
      <c r="A92" s="93">
        <f>LossChart!A92</f>
        <v>43081</v>
      </c>
      <c r="B92" s="90">
        <f>LossChart!B92</f>
        <v>90</v>
      </c>
      <c r="I92" s="94">
        <f t="shared" si="2"/>
        <v>-202.8</v>
      </c>
    </row>
    <row r="93" spans="1:9" x14ac:dyDescent="0.25">
      <c r="A93" s="93">
        <f>LossChart!A93</f>
        <v>43082</v>
      </c>
      <c r="B93" s="90">
        <f>LossChart!B93</f>
        <v>91</v>
      </c>
      <c r="I93" s="94">
        <f t="shared" si="2"/>
        <v>-202.8</v>
      </c>
    </row>
    <row r="94" spans="1:9" x14ac:dyDescent="0.25">
      <c r="A94" s="93">
        <f>LossChart!A94</f>
        <v>43083</v>
      </c>
      <c r="B94" s="90">
        <f>LossChart!B94</f>
        <v>92</v>
      </c>
      <c r="I94" s="94">
        <f t="shared" si="2"/>
        <v>-202.8</v>
      </c>
    </row>
    <row r="95" spans="1:9" x14ac:dyDescent="0.25">
      <c r="A95" s="93">
        <f>LossChart!A95</f>
        <v>43084</v>
      </c>
      <c r="B95" s="90">
        <f>LossChart!B95</f>
        <v>93</v>
      </c>
      <c r="I95" s="94">
        <f t="shared" si="2"/>
        <v>-202.8</v>
      </c>
    </row>
    <row r="96" spans="1:9" x14ac:dyDescent="0.25">
      <c r="A96" s="93">
        <f>LossChart!A96</f>
        <v>43085</v>
      </c>
      <c r="B96" s="90">
        <f>LossChart!B96</f>
        <v>94</v>
      </c>
      <c r="I96" s="94">
        <f t="shared" si="2"/>
        <v>-202.8</v>
      </c>
    </row>
    <row r="97" spans="1:9" x14ac:dyDescent="0.25">
      <c r="A97" s="93">
        <f>LossChart!A97</f>
        <v>43086</v>
      </c>
      <c r="B97" s="90">
        <f>LossChart!B97</f>
        <v>95</v>
      </c>
      <c r="I97" s="94">
        <f t="shared" si="2"/>
        <v>-202.8</v>
      </c>
    </row>
    <row r="98" spans="1:9" x14ac:dyDescent="0.25">
      <c r="A98" s="93">
        <f>LossChart!A98</f>
        <v>43087</v>
      </c>
      <c r="B98" s="90">
        <f>LossChart!B98</f>
        <v>96</v>
      </c>
      <c r="I98" s="94">
        <f t="shared" si="2"/>
        <v>-202.8</v>
      </c>
    </row>
    <row r="99" spans="1:9" x14ac:dyDescent="0.25">
      <c r="A99" s="93">
        <f>LossChart!A99</f>
        <v>43088</v>
      </c>
      <c r="B99" s="90">
        <f>LossChart!B99</f>
        <v>97</v>
      </c>
      <c r="I99" s="94">
        <f t="shared" si="2"/>
        <v>-202.8</v>
      </c>
    </row>
    <row r="100" spans="1:9" x14ac:dyDescent="0.25">
      <c r="A100" s="93">
        <f>LossChart!A100</f>
        <v>43089</v>
      </c>
      <c r="B100" s="90">
        <f>LossChart!B100</f>
        <v>98</v>
      </c>
      <c r="I100" s="94">
        <f t="shared" ref="I100:I111" si="3">C100-$C$3</f>
        <v>-202.8</v>
      </c>
    </row>
    <row r="101" spans="1:9" x14ac:dyDescent="0.25">
      <c r="A101" s="93">
        <f>LossChart!A101</f>
        <v>43090</v>
      </c>
      <c r="B101" s="90">
        <f>LossChart!B101</f>
        <v>99</v>
      </c>
      <c r="I101" s="94">
        <f t="shared" si="3"/>
        <v>-202.8</v>
      </c>
    </row>
    <row r="102" spans="1:9" x14ac:dyDescent="0.25">
      <c r="A102" s="93">
        <f>LossChart!A102</f>
        <v>43091</v>
      </c>
      <c r="B102" s="90">
        <f>LossChart!B102</f>
        <v>100</v>
      </c>
      <c r="I102" s="94">
        <f t="shared" si="3"/>
        <v>-202.8</v>
      </c>
    </row>
    <row r="103" spans="1:9" x14ac:dyDescent="0.25">
      <c r="A103" s="93">
        <f>LossChart!A103</f>
        <v>43092</v>
      </c>
      <c r="B103" s="90">
        <f>LossChart!B103</f>
        <v>101</v>
      </c>
      <c r="I103" s="94">
        <f t="shared" si="3"/>
        <v>-202.8</v>
      </c>
    </row>
    <row r="104" spans="1:9" x14ac:dyDescent="0.25">
      <c r="A104" s="93">
        <f>LossChart!A104</f>
        <v>43093</v>
      </c>
      <c r="B104" s="90">
        <f>LossChart!B104</f>
        <v>102</v>
      </c>
      <c r="I104" s="94">
        <f t="shared" si="3"/>
        <v>-202.8</v>
      </c>
    </row>
    <row r="105" spans="1:9" x14ac:dyDescent="0.25">
      <c r="A105" s="93">
        <f>LossChart!A105</f>
        <v>43094</v>
      </c>
      <c r="B105" s="90">
        <f>LossChart!B105</f>
        <v>103</v>
      </c>
      <c r="I105" s="94">
        <f t="shared" si="3"/>
        <v>-202.8</v>
      </c>
    </row>
    <row r="106" spans="1:9" x14ac:dyDescent="0.25">
      <c r="A106" s="93">
        <f>LossChart!A106</f>
        <v>43095</v>
      </c>
      <c r="B106" s="90">
        <f>LossChart!B106</f>
        <v>104</v>
      </c>
      <c r="I106" s="94">
        <f t="shared" si="3"/>
        <v>-202.8</v>
      </c>
    </row>
    <row r="107" spans="1:9" x14ac:dyDescent="0.25">
      <c r="A107" s="93">
        <f>LossChart!A107</f>
        <v>43096</v>
      </c>
      <c r="B107" s="90">
        <f>LossChart!B107</f>
        <v>105</v>
      </c>
      <c r="I107" s="94">
        <f t="shared" si="3"/>
        <v>-202.8</v>
      </c>
    </row>
    <row r="108" spans="1:9" x14ac:dyDescent="0.25">
      <c r="A108" s="93">
        <f>LossChart!A108</f>
        <v>43097</v>
      </c>
      <c r="B108" s="90">
        <f>LossChart!B108</f>
        <v>106</v>
      </c>
      <c r="I108" s="94">
        <f t="shared" si="3"/>
        <v>-202.8</v>
      </c>
    </row>
    <row r="109" spans="1:9" x14ac:dyDescent="0.25">
      <c r="A109" s="93">
        <f>LossChart!A109</f>
        <v>43098</v>
      </c>
      <c r="B109" s="90">
        <f>LossChart!B109</f>
        <v>107</v>
      </c>
      <c r="I109" s="94">
        <f t="shared" si="3"/>
        <v>-202.8</v>
      </c>
    </row>
    <row r="110" spans="1:9" x14ac:dyDescent="0.25">
      <c r="A110" s="93">
        <f>LossChart!A110</f>
        <v>43099</v>
      </c>
      <c r="B110" s="90">
        <f>LossChart!B110</f>
        <v>108</v>
      </c>
      <c r="I110" s="94">
        <f t="shared" si="3"/>
        <v>-202.8</v>
      </c>
    </row>
    <row r="111" spans="1:9" x14ac:dyDescent="0.25">
      <c r="A111" s="93">
        <f>LossChart!A111</f>
        <v>43100</v>
      </c>
      <c r="B111" s="90">
        <f>LossChart!B111</f>
        <v>109</v>
      </c>
      <c r="I111" s="94">
        <f t="shared" si="3"/>
        <v>-202.8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9"/>
  <sheetViews>
    <sheetView tabSelected="1" topLeftCell="A208" zoomScale="130" zoomScaleNormal="130" workbookViewId="0">
      <selection activeCell="G25" sqref="G25"/>
    </sheetView>
  </sheetViews>
  <sheetFormatPr defaultRowHeight="15" x14ac:dyDescent="0.25"/>
  <cols>
    <col min="1" max="1" width="11.140625" customWidth="1"/>
    <col min="2" max="2" width="21.28515625" customWidth="1"/>
    <col min="3" max="3" width="8.28515625" customWidth="1"/>
    <col min="4" max="4" width="6" customWidth="1"/>
    <col min="5" max="5" width="6.5703125" customWidth="1"/>
    <col min="6" max="6" width="7.5703125" customWidth="1"/>
    <col min="7" max="7" width="8.42578125" customWidth="1"/>
    <col min="8" max="8" width="5.28515625" customWidth="1"/>
    <col min="9" max="9" width="7.5703125" customWidth="1"/>
    <col min="10" max="10" width="8" customWidth="1"/>
    <col min="11" max="11" width="1.28515625" customWidth="1"/>
    <col min="12" max="12" width="6.28515625" customWidth="1"/>
    <col min="13" max="13" width="6" customWidth="1"/>
    <col min="14" max="15" width="5.140625" customWidth="1"/>
    <col min="16" max="16" width="7" customWidth="1"/>
    <col min="17" max="17" width="7.140625" customWidth="1"/>
    <col min="18" max="19" width="7.5703125" customWidth="1"/>
    <col min="20" max="23" width="7.7109375" customWidth="1"/>
    <col min="24" max="1025" width="8.7109375" customWidth="1"/>
  </cols>
  <sheetData>
    <row r="1" spans="1:17" ht="45" x14ac:dyDescent="0.25">
      <c r="A1" s="26" t="s">
        <v>63</v>
      </c>
      <c r="B1" s="26" t="s">
        <v>92</v>
      </c>
      <c r="C1" s="26" t="s">
        <v>93</v>
      </c>
      <c r="D1" s="97" t="str">
        <f>FoodDB!$C$1</f>
        <v>Fat
(g)</v>
      </c>
      <c r="E1" s="97" t="str">
        <f>FoodDB!$D$1</f>
        <v xml:space="preserve"> Carbs
(g)</v>
      </c>
      <c r="F1" s="97" t="str">
        <f>FoodDB!$E$1</f>
        <v>Protein
(g)</v>
      </c>
      <c r="G1" s="97" t="str">
        <f>FoodDB!$F$1</f>
        <v>Fat
(Cal)</v>
      </c>
      <c r="H1" s="97" t="str">
        <f>FoodDB!$G$1</f>
        <v>Carb
(Cal)</v>
      </c>
      <c r="I1" s="97" t="str">
        <f>FoodDB!$H$1</f>
        <v>Protein
(Cal)</v>
      </c>
      <c r="J1" s="97" t="str">
        <f>FoodDB!$I$1</f>
        <v>Total
Calories</v>
      </c>
      <c r="K1" s="97"/>
      <c r="L1" s="26"/>
      <c r="M1" s="26"/>
      <c r="N1" s="26"/>
      <c r="O1" s="26"/>
      <c r="Q1" s="26"/>
    </row>
    <row r="2" spans="1:17" x14ac:dyDescent="0.25">
      <c r="A2" s="98">
        <v>42992</v>
      </c>
      <c r="B2" s="99" t="s">
        <v>94</v>
      </c>
      <c r="C2" s="100">
        <v>1</v>
      </c>
      <c r="D2">
        <f>$C2*VLOOKUP($B2,FoodDB!$A$2:$I$1014,3,0)</f>
        <v>0.5</v>
      </c>
      <c r="E2">
        <f>$C2*VLOOKUP($B2,FoodDB!$A$2:$I$1014,4,0)</f>
        <v>0</v>
      </c>
      <c r="F2">
        <f>$C2*VLOOKUP($B2,FoodDB!$A$2:$I$1014,5,0)</f>
        <v>50</v>
      </c>
      <c r="G2">
        <f>$C2*VLOOKUP($B2,FoodDB!$A$2:$I$1014,6,0)</f>
        <v>4.5</v>
      </c>
      <c r="H2">
        <f>$C2*VLOOKUP($B2,FoodDB!$A$2:$I$1014,7,0)</f>
        <v>0</v>
      </c>
      <c r="I2">
        <f>$C2*VLOOKUP($B2,FoodDB!$A$2:$I$1014,8,0)</f>
        <v>200</v>
      </c>
      <c r="J2">
        <f>$C2*VLOOKUP($B2,FoodDB!$A$2:$I$1014,9,0)</f>
        <v>204.5</v>
      </c>
      <c r="L2" s="101"/>
      <c r="M2" s="101"/>
      <c r="N2" s="101"/>
      <c r="O2" s="101"/>
    </row>
    <row r="3" spans="1:17" x14ac:dyDescent="0.25">
      <c r="B3" s="99" t="s">
        <v>95</v>
      </c>
      <c r="C3" s="100">
        <v>14</v>
      </c>
      <c r="D3">
        <f>$C3*VLOOKUP($B3,FoodDB!$A$2:$I$1014,3,0)</f>
        <v>0</v>
      </c>
      <c r="E3">
        <f>$C3*VLOOKUP($B3,FoodDB!$A$2:$I$1014,4,0)</f>
        <v>9</v>
      </c>
      <c r="F3">
        <f>$C3*VLOOKUP($B3,FoodDB!$A$2:$I$1014,5,0)</f>
        <v>4.5</v>
      </c>
      <c r="G3">
        <f>$C3*VLOOKUP($B3,FoodDB!$A$2:$I$1014,6,0)</f>
        <v>0</v>
      </c>
      <c r="H3">
        <f>$C3*VLOOKUP($B3,FoodDB!$A$2:$I$1014,7,0)</f>
        <v>36</v>
      </c>
      <c r="I3">
        <f>$C3*VLOOKUP($B3,FoodDB!$A$2:$I$1014,8,0)</f>
        <v>18</v>
      </c>
      <c r="J3">
        <f>$C3*VLOOKUP($B3,FoodDB!$A$2:$I$1014,9,0)</f>
        <v>54.000000000000007</v>
      </c>
      <c r="L3" s="101"/>
      <c r="M3" s="101"/>
      <c r="N3" s="101"/>
      <c r="O3" s="101"/>
    </row>
    <row r="4" spans="1:17" x14ac:dyDescent="0.25">
      <c r="B4" s="99" t="s">
        <v>94</v>
      </c>
      <c r="C4" s="100">
        <v>1</v>
      </c>
      <c r="D4">
        <f>$C4*VLOOKUP($B4,FoodDB!$A$2:$I$1014,3,0)</f>
        <v>0.5</v>
      </c>
      <c r="E4">
        <f>$C4*VLOOKUP($B4,FoodDB!$A$2:$I$1014,4,0)</f>
        <v>0</v>
      </c>
      <c r="F4">
        <f>$C4*VLOOKUP($B4,FoodDB!$A$2:$I$1014,5,0)</f>
        <v>50</v>
      </c>
      <c r="G4">
        <f>$C4*VLOOKUP($B4,FoodDB!$A$2:$I$1014,6,0)</f>
        <v>4.5</v>
      </c>
      <c r="H4">
        <f>$C4*VLOOKUP($B4,FoodDB!$A$2:$I$1014,7,0)</f>
        <v>0</v>
      </c>
      <c r="I4">
        <f>$C4*VLOOKUP($B4,FoodDB!$A$2:$I$1014,8,0)</f>
        <v>200</v>
      </c>
      <c r="J4">
        <f>$C4*VLOOKUP($B4,FoodDB!$A$2:$I$1014,9,0)</f>
        <v>204.5</v>
      </c>
      <c r="L4" s="101"/>
      <c r="M4" s="101"/>
      <c r="N4" s="101"/>
      <c r="O4" s="101"/>
    </row>
    <row r="5" spans="1:17" x14ac:dyDescent="0.25">
      <c r="B5" s="99" t="s">
        <v>96</v>
      </c>
      <c r="C5" s="100">
        <v>2</v>
      </c>
      <c r="D5">
        <f>$C5*VLOOKUP($B5,FoodDB!$A$2:$I$1014,3,0)</f>
        <v>18</v>
      </c>
      <c r="E5">
        <f>$C5*VLOOKUP($B5,FoodDB!$A$2:$I$1014,4,0)</f>
        <v>4</v>
      </c>
      <c r="F5">
        <f>$C5*VLOOKUP($B5,FoodDB!$A$2:$I$1014,5,0)</f>
        <v>9.4</v>
      </c>
      <c r="G5">
        <f>$C5*VLOOKUP($B5,FoodDB!$A$2:$I$1014,6,0)</f>
        <v>162</v>
      </c>
      <c r="H5">
        <f>$C5*VLOOKUP($B5,FoodDB!$A$2:$I$1014,7,0)</f>
        <v>16</v>
      </c>
      <c r="I5">
        <f>$C5*VLOOKUP($B5,FoodDB!$A$2:$I$1014,8,0)</f>
        <v>37.6</v>
      </c>
      <c r="J5">
        <f>$C5*VLOOKUP($B5,FoodDB!$A$2:$I$1014,9,0)</f>
        <v>215.6</v>
      </c>
      <c r="L5" s="101"/>
      <c r="M5" s="101"/>
      <c r="N5" s="101"/>
      <c r="O5" s="101"/>
    </row>
    <row r="6" spans="1:17" x14ac:dyDescent="0.25">
      <c r="A6" t="s">
        <v>97</v>
      </c>
      <c r="G6">
        <f>SUM(G2:G5)</f>
        <v>171</v>
      </c>
      <c r="H6">
        <f>SUM(H2:H5)</f>
        <v>52</v>
      </c>
      <c r="I6">
        <f>SUM(I2:I5)</f>
        <v>455.6</v>
      </c>
      <c r="J6">
        <f>SUM(J2:J5)</f>
        <v>678.6</v>
      </c>
      <c r="L6" s="102"/>
      <c r="M6" s="102"/>
      <c r="N6" s="102"/>
      <c r="O6" s="102"/>
    </row>
    <row r="8" spans="1:17" ht="45" x14ac:dyDescent="0.25">
      <c r="A8" s="26" t="s">
        <v>63</v>
      </c>
      <c r="B8" s="26" t="s">
        <v>92</v>
      </c>
      <c r="C8" s="26" t="s">
        <v>93</v>
      </c>
      <c r="D8" s="97" t="str">
        <f>FoodDB!$C$1</f>
        <v>Fat
(g)</v>
      </c>
      <c r="E8" s="97" t="str">
        <f>FoodDB!$D$1</f>
        <v xml:space="preserve"> Carbs
(g)</v>
      </c>
      <c r="F8" s="97" t="str">
        <f>FoodDB!$E$1</f>
        <v>Protein
(g)</v>
      </c>
      <c r="G8" s="97" t="str">
        <f>FoodDB!$F$1</f>
        <v>Fat
(Cal)</v>
      </c>
      <c r="H8" s="97" t="str">
        <f>FoodDB!$G$1</f>
        <v>Carb
(Cal)</v>
      </c>
      <c r="I8" s="97" t="str">
        <f>FoodDB!$H$1</f>
        <v>Protein
(Cal)</v>
      </c>
      <c r="J8" s="97" t="str">
        <f>FoodDB!$I$1</f>
        <v>Total
Calories</v>
      </c>
      <c r="K8" s="97"/>
      <c r="L8" s="26"/>
      <c r="M8" s="26"/>
      <c r="N8" s="26"/>
      <c r="O8" s="26"/>
      <c r="Q8" s="26"/>
    </row>
    <row r="9" spans="1:17" x14ac:dyDescent="0.25">
      <c r="A9" s="98">
        <v>42993</v>
      </c>
      <c r="B9" s="99" t="s">
        <v>94</v>
      </c>
      <c r="C9" s="100">
        <v>1.5</v>
      </c>
      <c r="D9">
        <f>$C9*VLOOKUP($B9,FoodDB!$A$2:$I$1014,3,0)</f>
        <v>0.75</v>
      </c>
      <c r="E9">
        <f>$C9*VLOOKUP($B9,FoodDB!$A$2:$I$1014,4,0)</f>
        <v>0</v>
      </c>
      <c r="F9">
        <f>$C9*VLOOKUP($B9,FoodDB!$A$2:$I$1014,5,0)</f>
        <v>75</v>
      </c>
      <c r="G9">
        <f>$C9*VLOOKUP($B9,FoodDB!$A$2:$I$1014,6,0)</f>
        <v>6.75</v>
      </c>
      <c r="H9">
        <f>$C9*VLOOKUP($B9,FoodDB!$A$2:$I$1014,7,0)</f>
        <v>0</v>
      </c>
      <c r="I9">
        <f>$C9*VLOOKUP($B9,FoodDB!$A$2:$I$1014,8,0)</f>
        <v>300</v>
      </c>
      <c r="J9">
        <f>$C9*VLOOKUP($B9,FoodDB!$A$2:$I$1014,9,0)</f>
        <v>306.75</v>
      </c>
    </row>
    <row r="10" spans="1:17" x14ac:dyDescent="0.25">
      <c r="B10" s="99" t="s">
        <v>98</v>
      </c>
      <c r="C10" s="100">
        <v>3</v>
      </c>
      <c r="D10">
        <f>$C10*VLOOKUP($B10,FoodDB!$A$2:$I$1014,3,0)</f>
        <v>18.54</v>
      </c>
      <c r="E10">
        <f>$C10*VLOOKUP($B10,FoodDB!$A$2:$I$1014,4,0)</f>
        <v>0</v>
      </c>
      <c r="F10">
        <f>$C10*VLOOKUP($B10,FoodDB!$A$2:$I$1014,5,0)</f>
        <v>25.56</v>
      </c>
      <c r="G10">
        <f>$C10*VLOOKUP($B10,FoodDB!$A$2:$I$1014,6,0)</f>
        <v>166.85999999999999</v>
      </c>
      <c r="H10">
        <f>$C10*VLOOKUP($B10,FoodDB!$A$2:$I$1014,7,0)</f>
        <v>0</v>
      </c>
      <c r="I10">
        <f>$C10*VLOOKUP($B10,FoodDB!$A$2:$I$1014,8,0)</f>
        <v>102.24</v>
      </c>
      <c r="J10">
        <f>$C10*VLOOKUP($B10,FoodDB!$A$2:$I$1014,9,0)</f>
        <v>269.09999999999997</v>
      </c>
    </row>
    <row r="11" spans="1:17" x14ac:dyDescent="0.25">
      <c r="A11" t="s">
        <v>97</v>
      </c>
      <c r="G11">
        <f>SUM(G9:G10)</f>
        <v>173.60999999999999</v>
      </c>
      <c r="H11">
        <f>SUM(H9:H10)</f>
        <v>0</v>
      </c>
      <c r="I11">
        <f>SUM(I9:I10)</f>
        <v>402.24</v>
      </c>
      <c r="J11">
        <f>SUM(J9:J10)</f>
        <v>575.84999999999991</v>
      </c>
      <c r="L11" s="102"/>
      <c r="M11" s="102"/>
      <c r="N11" s="102"/>
      <c r="O11" s="102"/>
    </row>
    <row r="13" spans="1:17" ht="45" x14ac:dyDescent="0.25">
      <c r="A13" s="26" t="s">
        <v>63</v>
      </c>
      <c r="B13" s="26" t="s">
        <v>92</v>
      </c>
      <c r="C13" s="26" t="s">
        <v>93</v>
      </c>
      <c r="D13" s="97" t="str">
        <f>FoodDB!$C$1</f>
        <v>Fat
(g)</v>
      </c>
      <c r="E13" s="97" t="str">
        <f>FoodDB!$D$1</f>
        <v xml:space="preserve"> Carbs
(g)</v>
      </c>
      <c r="F13" s="97" t="str">
        <f>FoodDB!$E$1</f>
        <v>Protein
(g)</v>
      </c>
      <c r="G13" s="97" t="str">
        <f>FoodDB!$F$1</f>
        <v>Fat
(Cal)</v>
      </c>
      <c r="H13" s="97" t="str">
        <f>FoodDB!$G$1</f>
        <v>Carb
(Cal)</v>
      </c>
      <c r="I13" s="97" t="str">
        <f>FoodDB!$H$1</f>
        <v>Protein
(Cal)</v>
      </c>
      <c r="J13" s="97" t="str">
        <f>FoodDB!$I$1</f>
        <v>Total
Calories</v>
      </c>
      <c r="K13" s="97"/>
      <c r="L13" s="26"/>
      <c r="M13" s="26"/>
      <c r="N13" s="26"/>
      <c r="O13" s="26"/>
    </row>
    <row r="14" spans="1:17" x14ac:dyDescent="0.25">
      <c r="A14" s="98">
        <v>42994</v>
      </c>
      <c r="B14" s="99" t="s">
        <v>94</v>
      </c>
      <c r="C14" s="100">
        <v>1</v>
      </c>
      <c r="D14">
        <f>$C14*VLOOKUP($B14,FoodDB!$A$2:$I$1014,3,0)</f>
        <v>0.5</v>
      </c>
      <c r="E14">
        <f>$C14*VLOOKUP($B14,FoodDB!$A$2:$I$1014,4,0)</f>
        <v>0</v>
      </c>
      <c r="F14">
        <f>$C14*VLOOKUP($B14,FoodDB!$A$2:$I$1014,5,0)</f>
        <v>50</v>
      </c>
      <c r="G14">
        <f>$C14*VLOOKUP($B14,FoodDB!$A$2:$I$1014,6,0)</f>
        <v>4.5</v>
      </c>
      <c r="H14">
        <f>$C14*VLOOKUP($B14,FoodDB!$A$2:$I$1014,7,0)</f>
        <v>0</v>
      </c>
      <c r="I14">
        <f>$C14*VLOOKUP($B14,FoodDB!$A$2:$I$1014,8,0)</f>
        <v>200</v>
      </c>
      <c r="J14">
        <f>$C14*VLOOKUP($B14,FoodDB!$A$2:$I$1014,9,0)</f>
        <v>204.5</v>
      </c>
    </row>
    <row r="15" spans="1:17" x14ac:dyDescent="0.25">
      <c r="B15" s="99" t="s">
        <v>99</v>
      </c>
      <c r="C15" s="100">
        <v>7</v>
      </c>
      <c r="D15">
        <f>$C15*VLOOKUP($B15,FoodDB!$A$2:$I$1014,3,0)</f>
        <v>0</v>
      </c>
      <c r="E15">
        <f>$C15*VLOOKUP($B15,FoodDB!$A$2:$I$1014,4,0)</f>
        <v>7</v>
      </c>
      <c r="F15">
        <f>$C15*VLOOKUP($B15,FoodDB!$A$2:$I$1014,5,0)</f>
        <v>4.2</v>
      </c>
      <c r="G15">
        <f>$C15*VLOOKUP($B15,FoodDB!$A$2:$I$1014,6,0)</f>
        <v>0</v>
      </c>
      <c r="H15">
        <f>$C15*VLOOKUP($B15,FoodDB!$A$2:$I$1014,7,0)</f>
        <v>28</v>
      </c>
      <c r="I15">
        <f>$C15*VLOOKUP($B15,FoodDB!$A$2:$I$1014,8,0)</f>
        <v>16.8</v>
      </c>
      <c r="J15">
        <f>$C15*VLOOKUP($B15,FoodDB!$A$2:$I$1014,9,0)</f>
        <v>44.800000000000004</v>
      </c>
    </row>
    <row r="16" spans="1:17" x14ac:dyDescent="0.25">
      <c r="B16" s="99" t="s">
        <v>98</v>
      </c>
      <c r="C16">
        <v>5</v>
      </c>
      <c r="D16">
        <f>$C16*VLOOKUP($B16,FoodDB!$A$2:$I$1014,3,0)</f>
        <v>30.9</v>
      </c>
      <c r="E16">
        <f>$C16*VLOOKUP($B16,FoodDB!$A$2:$I$1014,4,0)</f>
        <v>0</v>
      </c>
      <c r="F16">
        <f>$C16*VLOOKUP($B16,FoodDB!$A$2:$I$1014,5,0)</f>
        <v>42.599999999999994</v>
      </c>
      <c r="G16">
        <f>$C16*VLOOKUP($B16,FoodDB!$A$2:$I$1014,6,0)</f>
        <v>278.09999999999997</v>
      </c>
      <c r="H16">
        <f>$C16*VLOOKUP($B16,FoodDB!$A$2:$I$1014,7,0)</f>
        <v>0</v>
      </c>
      <c r="I16">
        <f>$C16*VLOOKUP($B16,FoodDB!$A$2:$I$1014,8,0)</f>
        <v>170.39999999999998</v>
      </c>
      <c r="J16">
        <f>$C16*VLOOKUP($B16,FoodDB!$A$2:$I$1014,9,0)</f>
        <v>448.49999999999994</v>
      </c>
    </row>
    <row r="17" spans="1:15" x14ac:dyDescent="0.25">
      <c r="A17" t="s">
        <v>97</v>
      </c>
      <c r="G17">
        <f>SUM(G14:G16)</f>
        <v>282.59999999999997</v>
      </c>
      <c r="H17">
        <f>SUM(H14:H16)</f>
        <v>28</v>
      </c>
      <c r="I17">
        <f>SUM(I14:I16)</f>
        <v>387.2</v>
      </c>
      <c r="J17">
        <f>SUM(J14:J16)</f>
        <v>697.8</v>
      </c>
      <c r="L17" s="102"/>
      <c r="M17" s="102"/>
      <c r="N17" s="102"/>
      <c r="O17" s="102"/>
    </row>
    <row r="19" spans="1:15" ht="45" x14ac:dyDescent="0.25">
      <c r="A19" s="26" t="s">
        <v>63</v>
      </c>
      <c r="B19" s="26" t="s">
        <v>92</v>
      </c>
      <c r="C19" s="26" t="s">
        <v>93</v>
      </c>
      <c r="D19" s="97" t="str">
        <f>FoodDB!$C$1</f>
        <v>Fat
(g)</v>
      </c>
      <c r="E19" s="97" t="str">
        <f>FoodDB!$D$1</f>
        <v xml:space="preserve"> Carbs
(g)</v>
      </c>
      <c r="F19" s="97" t="str">
        <f>FoodDB!$E$1</f>
        <v>Protein
(g)</v>
      </c>
      <c r="G19" s="97" t="str">
        <f>FoodDB!$F$1</f>
        <v>Fat
(Cal)</v>
      </c>
      <c r="H19" s="97" t="str">
        <f>FoodDB!$G$1</f>
        <v>Carb
(Cal)</v>
      </c>
      <c r="I19" s="97" t="str">
        <f>FoodDB!$H$1</f>
        <v>Protein
(Cal)</v>
      </c>
      <c r="J19" s="97" t="str">
        <f>FoodDB!$I$1</f>
        <v>Total
Calories</v>
      </c>
      <c r="K19" s="97"/>
    </row>
    <row r="20" spans="1:15" x14ac:dyDescent="0.25">
      <c r="A20" s="98">
        <f>A14+1</f>
        <v>42995</v>
      </c>
      <c r="B20" s="99" t="s">
        <v>94</v>
      </c>
      <c r="C20" s="100">
        <v>2</v>
      </c>
      <c r="D20">
        <f>$C20*VLOOKUP($B20,FoodDB!$A$2:$I$1014,3,0)</f>
        <v>1</v>
      </c>
      <c r="E20">
        <f>$C20*VLOOKUP($B20,FoodDB!$A$2:$I$1014,4,0)</f>
        <v>0</v>
      </c>
      <c r="F20">
        <f>$C20*VLOOKUP($B20,FoodDB!$A$2:$I$1014,5,0)</f>
        <v>100</v>
      </c>
      <c r="G20">
        <f>$C20*VLOOKUP($B20,FoodDB!$A$2:$I$1014,6,0)</f>
        <v>9</v>
      </c>
      <c r="H20">
        <f>$C20*VLOOKUP($B20,FoodDB!$A$2:$I$1014,7,0)</f>
        <v>0</v>
      </c>
      <c r="I20">
        <f>$C20*VLOOKUP($B20,FoodDB!$A$2:$I$1014,8,0)</f>
        <v>400</v>
      </c>
      <c r="J20">
        <f>$C20*VLOOKUP($B20,FoodDB!$A$2:$I$1014,9,0)</f>
        <v>409</v>
      </c>
    </row>
    <row r="21" spans="1:15" x14ac:dyDescent="0.25">
      <c r="B21" s="99" t="s">
        <v>99</v>
      </c>
      <c r="C21" s="100">
        <v>14</v>
      </c>
      <c r="D21">
        <f>$C21*VLOOKUP($B21,FoodDB!$A$2:$I$1014,3,0)</f>
        <v>0</v>
      </c>
      <c r="E21">
        <f>$C21*VLOOKUP($B21,FoodDB!$A$2:$I$1014,4,0)</f>
        <v>14</v>
      </c>
      <c r="F21">
        <f>$C21*VLOOKUP($B21,FoodDB!$A$2:$I$1014,5,0)</f>
        <v>8.4</v>
      </c>
      <c r="G21">
        <f>$C21*VLOOKUP($B21,FoodDB!$A$2:$I$1014,6,0)</f>
        <v>0</v>
      </c>
      <c r="H21">
        <f>$C21*VLOOKUP($B21,FoodDB!$A$2:$I$1014,7,0)</f>
        <v>56</v>
      </c>
      <c r="I21">
        <f>$C21*VLOOKUP($B21,FoodDB!$A$2:$I$1014,8,0)</f>
        <v>33.6</v>
      </c>
      <c r="J21">
        <f>$C21*VLOOKUP($B21,FoodDB!$A$2:$I$1014,9,0)</f>
        <v>89.600000000000009</v>
      </c>
    </row>
    <row r="22" spans="1:15" x14ac:dyDescent="0.25">
      <c r="B22" s="99" t="s">
        <v>100</v>
      </c>
      <c r="C22" s="100">
        <v>0</v>
      </c>
      <c r="D22">
        <f>$C22*VLOOKUP($B22,FoodDB!$A$2:$I$1014,3,0)</f>
        <v>0</v>
      </c>
      <c r="E22">
        <f>$C22*VLOOKUP($B22,FoodDB!$A$2:$I$1014,4,0)</f>
        <v>0</v>
      </c>
      <c r="F22">
        <f>$C22*VLOOKUP($B22,FoodDB!$A$2:$I$1014,5,0)</f>
        <v>0</v>
      </c>
      <c r="G22">
        <f>$C22*VLOOKUP($B22,FoodDB!$A$2:$I$1014,6,0)</f>
        <v>0</v>
      </c>
      <c r="H22">
        <f>$C22*VLOOKUP($B22,FoodDB!$A$2:$I$1014,7,0)</f>
        <v>0</v>
      </c>
      <c r="I22">
        <f>$C22*VLOOKUP($B22,FoodDB!$A$2:$I$1014,8,0)</f>
        <v>0</v>
      </c>
      <c r="J22">
        <f>$C22*VLOOKUP($B22,FoodDB!$A$2:$I$1014,9,0)</f>
        <v>0</v>
      </c>
    </row>
    <row r="23" spans="1:15" x14ac:dyDescent="0.25">
      <c r="B23" s="99" t="s">
        <v>98</v>
      </c>
      <c r="C23">
        <v>3</v>
      </c>
      <c r="D23">
        <f>$C23*VLOOKUP($B23,FoodDB!$A$2:$I$1014,3,0)</f>
        <v>18.54</v>
      </c>
      <c r="E23">
        <f>$C23*VLOOKUP($B23,FoodDB!$A$2:$I$1014,4,0)</f>
        <v>0</v>
      </c>
      <c r="F23">
        <f>$C23*VLOOKUP($B23,FoodDB!$A$2:$I$1014,5,0)</f>
        <v>25.56</v>
      </c>
      <c r="G23">
        <f>$C23*VLOOKUP($B23,FoodDB!$A$2:$I$1014,6,0)</f>
        <v>166.85999999999999</v>
      </c>
      <c r="H23">
        <f>$C23*VLOOKUP($B23,FoodDB!$A$2:$I$1014,7,0)</f>
        <v>0</v>
      </c>
      <c r="I23">
        <f>$C23*VLOOKUP($B23,FoodDB!$A$2:$I$1014,8,0)</f>
        <v>102.24</v>
      </c>
      <c r="J23">
        <f>$C23*VLOOKUP($B23,FoodDB!$A$2:$I$1014,9,0)</f>
        <v>269.09999999999997</v>
      </c>
    </row>
    <row r="24" spans="1:15" x14ac:dyDescent="0.25">
      <c r="A24" t="s">
        <v>97</v>
      </c>
      <c r="G24">
        <f>SUM(G20:G23)</f>
        <v>175.85999999999999</v>
      </c>
      <c r="H24">
        <f>SUM(H20:H23)</f>
        <v>56</v>
      </c>
      <c r="I24">
        <f>SUM(I20:I23)</f>
        <v>535.84</v>
      </c>
      <c r="J24">
        <f>SUM(G24:I24)</f>
        <v>767.7</v>
      </c>
    </row>
    <row r="25" spans="1:15" x14ac:dyDescent="0.25">
      <c r="A25" t="s">
        <v>101</v>
      </c>
      <c r="B25" t="s">
        <v>102</v>
      </c>
      <c r="E25" s="103"/>
      <c r="F25" s="103"/>
      <c r="G25" s="103">
        <f>LossChart!N5</f>
        <v>309.25101658121139</v>
      </c>
      <c r="H25" s="103">
        <f>LossChart!O5</f>
        <v>80</v>
      </c>
      <c r="I25" s="103">
        <f>LossChart!P5</f>
        <v>477.30407413615825</v>
      </c>
      <c r="J25" s="103">
        <f>LossChart!Q5</f>
        <v>866.55509071736969</v>
      </c>
      <c r="K25" s="103"/>
    </row>
    <row r="26" spans="1:15" x14ac:dyDescent="0.25">
      <c r="A26" t="s">
        <v>103</v>
      </c>
      <c r="G26">
        <f>G25-G24</f>
        <v>133.3910165812114</v>
      </c>
      <c r="H26">
        <f>H25-H24</f>
        <v>24</v>
      </c>
      <c r="I26">
        <f>I25-I24</f>
        <v>-58.535925863841783</v>
      </c>
      <c r="J26">
        <f>J25-J24</f>
        <v>98.855090717369649</v>
      </c>
    </row>
    <row r="28" spans="1:15" ht="45" x14ac:dyDescent="0.25">
      <c r="A28" s="26" t="s">
        <v>63</v>
      </c>
      <c r="B28" s="26" t="s">
        <v>92</v>
      </c>
      <c r="C28" s="26" t="s">
        <v>93</v>
      </c>
      <c r="D28" s="97" t="str">
        <f>FoodDB!$C$1</f>
        <v>Fat
(g)</v>
      </c>
      <c r="E28" s="97" t="str">
        <f>FoodDB!$D$1</f>
        <v xml:space="preserve"> Carbs
(g)</v>
      </c>
      <c r="F28" s="97" t="str">
        <f>FoodDB!$E$1</f>
        <v>Protein
(g)</v>
      </c>
      <c r="G28" s="97" t="str">
        <f>FoodDB!$F$1</f>
        <v>Fat
(Cal)</v>
      </c>
      <c r="H28" s="97" t="str">
        <f>FoodDB!$G$1</f>
        <v>Carb
(Cal)</v>
      </c>
      <c r="I28" s="97" t="str">
        <f>FoodDB!$H$1</f>
        <v>Protein
(Cal)</v>
      </c>
      <c r="J28" s="97" t="str">
        <f>FoodDB!$I$1</f>
        <v>Total
Calories</v>
      </c>
      <c r="K28" s="97"/>
    </row>
    <row r="29" spans="1:15" x14ac:dyDescent="0.25">
      <c r="A29" s="98">
        <f>A20+1</f>
        <v>42996</v>
      </c>
      <c r="B29" s="99" t="s">
        <v>104</v>
      </c>
      <c r="C29" s="100">
        <v>1.2</v>
      </c>
      <c r="D29">
        <f>$C29*VLOOKUP($B29,FoodDB!$A$2:$I$1014,3,0)</f>
        <v>0.96</v>
      </c>
      <c r="E29">
        <f>$C29*VLOOKUP($B29,FoodDB!$A$2:$I$1014,4,0)</f>
        <v>0</v>
      </c>
      <c r="F29">
        <f>$C29*VLOOKUP($B29,FoodDB!$A$2:$I$1014,5,0)</f>
        <v>40.799999999999997</v>
      </c>
      <c r="G29">
        <f>$C29*VLOOKUP($B29,FoodDB!$A$2:$I$1014,6,0)</f>
        <v>8.64</v>
      </c>
      <c r="H29">
        <f>$C29*VLOOKUP($B29,FoodDB!$A$2:$I$1014,7,0)</f>
        <v>0</v>
      </c>
      <c r="I29">
        <f>$C29*VLOOKUP($B29,FoodDB!$A$2:$I$1014,8,0)</f>
        <v>163.19999999999999</v>
      </c>
      <c r="J29">
        <f>$C29*VLOOKUP($B29,FoodDB!$A$2:$I$1014,9,0)</f>
        <v>171.83999999999997</v>
      </c>
    </row>
    <row r="30" spans="1:15" x14ac:dyDescent="0.25">
      <c r="B30" s="99" t="s">
        <v>94</v>
      </c>
      <c r="C30" s="100">
        <v>1</v>
      </c>
      <c r="D30">
        <f>$C30*VLOOKUP($B30,FoodDB!$A$2:$I$1014,3,0)</f>
        <v>0.5</v>
      </c>
      <c r="E30">
        <f>$C30*VLOOKUP($B30,FoodDB!$A$2:$I$1014,4,0)</f>
        <v>0</v>
      </c>
      <c r="F30">
        <f>$C30*VLOOKUP($B30,FoodDB!$A$2:$I$1014,5,0)</f>
        <v>50</v>
      </c>
      <c r="G30">
        <f>$C30*VLOOKUP($B30,FoodDB!$A$2:$I$1014,6,0)</f>
        <v>4.5</v>
      </c>
      <c r="H30">
        <f>$C30*VLOOKUP($B30,FoodDB!$A$2:$I$1014,7,0)</f>
        <v>0</v>
      </c>
      <c r="I30">
        <f>$C30*VLOOKUP($B30,FoodDB!$A$2:$I$1014,8,0)</f>
        <v>200</v>
      </c>
      <c r="J30">
        <f>$C30*VLOOKUP($B30,FoodDB!$A$2:$I$1014,9,0)</f>
        <v>204.5</v>
      </c>
    </row>
    <row r="31" spans="1:15" x14ac:dyDescent="0.25">
      <c r="B31" s="99" t="s">
        <v>95</v>
      </c>
      <c r="C31" s="100">
        <v>12</v>
      </c>
      <c r="D31">
        <f>$C31*VLOOKUP($B31,FoodDB!$A$2:$I$1014,3,0)</f>
        <v>0</v>
      </c>
      <c r="E31">
        <f>$C31*VLOOKUP($B31,FoodDB!$A$2:$I$1014,4,0)</f>
        <v>7.7142857142857153</v>
      </c>
      <c r="F31">
        <f>$C31*VLOOKUP($B31,FoodDB!$A$2:$I$1014,5,0)</f>
        <v>3.8571428571428577</v>
      </c>
      <c r="G31">
        <f>$C31*VLOOKUP($B31,FoodDB!$A$2:$I$1014,6,0)</f>
        <v>0</v>
      </c>
      <c r="H31">
        <f>$C31*VLOOKUP($B31,FoodDB!$A$2:$I$1014,7,0)</f>
        <v>30.857142857142861</v>
      </c>
      <c r="I31">
        <f>$C31*VLOOKUP($B31,FoodDB!$A$2:$I$1014,8,0)</f>
        <v>15.428571428571431</v>
      </c>
      <c r="J31">
        <f>$C31*VLOOKUP($B31,FoodDB!$A$2:$I$1014,9,0)</f>
        <v>46.285714285714292</v>
      </c>
    </row>
    <row r="32" spans="1:15" x14ac:dyDescent="0.25">
      <c r="B32" s="99" t="s">
        <v>98</v>
      </c>
      <c r="C32" s="100">
        <v>4</v>
      </c>
      <c r="D32">
        <f>$C32*VLOOKUP($B32,FoodDB!$A$2:$I$1014,3,0)</f>
        <v>24.72</v>
      </c>
      <c r="E32">
        <f>$C32*VLOOKUP($B32,FoodDB!$A$2:$I$1014,4,0)</f>
        <v>0</v>
      </c>
      <c r="F32">
        <f>$C32*VLOOKUP($B32,FoodDB!$A$2:$I$1014,5,0)</f>
        <v>34.08</v>
      </c>
      <c r="G32">
        <f>$C32*VLOOKUP($B32,FoodDB!$A$2:$I$1014,6,0)</f>
        <v>222.48</v>
      </c>
      <c r="H32">
        <f>$C32*VLOOKUP($B32,FoodDB!$A$2:$I$1014,7,0)</f>
        <v>0</v>
      </c>
      <c r="I32">
        <f>$C32*VLOOKUP($B32,FoodDB!$A$2:$I$1014,8,0)</f>
        <v>136.32</v>
      </c>
      <c r="J32">
        <f>$C32*VLOOKUP($B32,FoodDB!$A$2:$I$1014,9,0)</f>
        <v>358.79999999999995</v>
      </c>
    </row>
    <row r="33" spans="1:11" x14ac:dyDescent="0.25">
      <c r="B33" s="99" t="s">
        <v>99</v>
      </c>
      <c r="C33">
        <v>7</v>
      </c>
      <c r="D33">
        <f>$C33*VLOOKUP($B33,FoodDB!$A$2:$I$1014,3,0)</f>
        <v>0</v>
      </c>
      <c r="E33">
        <f>$C33*VLOOKUP($B33,FoodDB!$A$2:$I$1014,4,0)</f>
        <v>7</v>
      </c>
      <c r="F33">
        <f>$C33*VLOOKUP($B33,FoodDB!$A$2:$I$1014,5,0)</f>
        <v>4.2</v>
      </c>
      <c r="G33">
        <f>$C33*VLOOKUP($B33,FoodDB!$A$2:$I$1014,6,0)</f>
        <v>0</v>
      </c>
      <c r="H33">
        <f>$C33*VLOOKUP($B33,FoodDB!$A$2:$I$1014,7,0)</f>
        <v>28</v>
      </c>
      <c r="I33">
        <f>$C33*VLOOKUP($B33,FoodDB!$A$2:$I$1014,8,0)</f>
        <v>16.8</v>
      </c>
      <c r="J33">
        <f>$C33*VLOOKUP($B33,FoodDB!$A$2:$I$1014,9,0)</f>
        <v>44.800000000000004</v>
      </c>
    </row>
    <row r="34" spans="1:11" x14ac:dyDescent="0.25">
      <c r="A34" t="s">
        <v>97</v>
      </c>
      <c r="G34">
        <f>SUM(G29:G33)</f>
        <v>235.62</v>
      </c>
      <c r="H34">
        <f>SUM(H29:H33)</f>
        <v>58.857142857142861</v>
      </c>
      <c r="I34">
        <f>SUM(I29:I33)</f>
        <v>531.74857142857138</v>
      </c>
      <c r="J34">
        <f>SUM(G34:I34)</f>
        <v>826.22571428571428</v>
      </c>
    </row>
    <row r="35" spans="1:11" x14ac:dyDescent="0.25">
      <c r="A35" t="s">
        <v>101</v>
      </c>
      <c r="B35" t="s">
        <v>102</v>
      </c>
      <c r="E35" s="103"/>
      <c r="F35" s="103"/>
      <c r="G35" s="103">
        <f>LossChart!N7</f>
        <v>325.2474687323529</v>
      </c>
      <c r="H35" s="103">
        <f>LossChart!O7</f>
        <v>80</v>
      </c>
      <c r="I35" s="103">
        <f>LossChart!P7</f>
        <v>477.30407413615825</v>
      </c>
      <c r="J35" s="103">
        <f>LossChart!Q7</f>
        <v>882.55154286851121</v>
      </c>
      <c r="K35" s="103"/>
    </row>
    <row r="36" spans="1:11" x14ac:dyDescent="0.25">
      <c r="A36" t="s">
        <v>103</v>
      </c>
      <c r="G36">
        <f>G35-G34</f>
        <v>89.627468732352895</v>
      </c>
      <c r="H36">
        <f>H35-H34</f>
        <v>21.142857142857139</v>
      </c>
      <c r="I36">
        <f>I35-I34</f>
        <v>-54.444497292413132</v>
      </c>
      <c r="J36">
        <f>J35-J34</f>
        <v>56.32582858279693</v>
      </c>
    </row>
    <row r="38" spans="1:11" ht="45" x14ac:dyDescent="0.25">
      <c r="A38" s="26" t="s">
        <v>63</v>
      </c>
      <c r="B38" s="26" t="s">
        <v>92</v>
      </c>
      <c r="C38" s="26" t="s">
        <v>93</v>
      </c>
      <c r="D38" s="97" t="str">
        <f>FoodDB!$C$1</f>
        <v>Fat
(g)</v>
      </c>
      <c r="E38" s="97" t="str">
        <f>FoodDB!$D$1</f>
        <v xml:space="preserve"> Carbs
(g)</v>
      </c>
      <c r="F38" s="97" t="str">
        <f>FoodDB!$E$1</f>
        <v>Protein
(g)</v>
      </c>
      <c r="G38" s="97" t="str">
        <f>FoodDB!$F$1</f>
        <v>Fat
(Cal)</v>
      </c>
      <c r="H38" s="97" t="str">
        <f>FoodDB!$G$1</f>
        <v>Carb
(Cal)</v>
      </c>
      <c r="I38" s="97" t="str">
        <f>FoodDB!$H$1</f>
        <v>Protein
(Cal)</v>
      </c>
      <c r="J38" s="97" t="str">
        <f>FoodDB!$I$1</f>
        <v>Total
Calories</v>
      </c>
      <c r="K38" s="97"/>
    </row>
    <row r="39" spans="1:11" x14ac:dyDescent="0.25">
      <c r="A39" s="98">
        <f>A29+1</f>
        <v>42997</v>
      </c>
      <c r="B39" s="99" t="s">
        <v>104</v>
      </c>
      <c r="C39" s="100">
        <v>1.1000000000000001</v>
      </c>
      <c r="D39">
        <f>$C39*VLOOKUP($B39,FoodDB!$A$2:$I$1014,3,0)</f>
        <v>0.88000000000000012</v>
      </c>
      <c r="E39">
        <f>$C39*VLOOKUP($B39,FoodDB!$A$2:$I$1014,4,0)</f>
        <v>0</v>
      </c>
      <c r="F39">
        <f>$C39*VLOOKUP($B39,FoodDB!$A$2:$I$1014,5,0)</f>
        <v>37.400000000000006</v>
      </c>
      <c r="G39">
        <f>$C39*VLOOKUP($B39,FoodDB!$A$2:$I$1014,6,0)</f>
        <v>7.9200000000000008</v>
      </c>
      <c r="H39">
        <f>$C39*VLOOKUP($B39,FoodDB!$A$2:$I$1014,7,0)</f>
        <v>0</v>
      </c>
      <c r="I39">
        <f>$C39*VLOOKUP($B39,FoodDB!$A$2:$I$1014,8,0)</f>
        <v>149.60000000000002</v>
      </c>
      <c r="J39">
        <f>$C39*VLOOKUP($B39,FoodDB!$A$2:$I$1014,9,0)</f>
        <v>157.52000000000001</v>
      </c>
    </row>
    <row r="40" spans="1:11" x14ac:dyDescent="0.25">
      <c r="B40" s="99" t="s">
        <v>94</v>
      </c>
      <c r="C40" s="100">
        <v>1</v>
      </c>
      <c r="D40">
        <f>$C40*VLOOKUP($B40,FoodDB!$A$2:$I$1014,3,0)</f>
        <v>0.5</v>
      </c>
      <c r="E40">
        <f>$C40*VLOOKUP($B40,FoodDB!$A$2:$I$1014,4,0)</f>
        <v>0</v>
      </c>
      <c r="F40">
        <f>$C40*VLOOKUP($B40,FoodDB!$A$2:$I$1014,5,0)</f>
        <v>50</v>
      </c>
      <c r="G40">
        <f>$C40*VLOOKUP($B40,FoodDB!$A$2:$I$1014,6,0)</f>
        <v>4.5</v>
      </c>
      <c r="H40">
        <f>$C40*VLOOKUP($B40,FoodDB!$A$2:$I$1014,7,0)</f>
        <v>0</v>
      </c>
      <c r="I40">
        <f>$C40*VLOOKUP($B40,FoodDB!$A$2:$I$1014,8,0)</f>
        <v>200</v>
      </c>
      <c r="J40">
        <f>$C40*VLOOKUP($B40,FoodDB!$A$2:$I$1014,9,0)</f>
        <v>204.5</v>
      </c>
    </row>
    <row r="41" spans="1:11" x14ac:dyDescent="0.25">
      <c r="B41" s="99" t="s">
        <v>105</v>
      </c>
      <c r="C41" s="100">
        <v>4</v>
      </c>
      <c r="D41">
        <f>$C41*VLOOKUP($B41,FoodDB!$A$2:$I$1014,3,0)</f>
        <v>0.4</v>
      </c>
      <c r="E41">
        <f>$C41*VLOOKUP($B41,FoodDB!$A$2:$I$1014,4,0)</f>
        <v>7.2</v>
      </c>
      <c r="F41">
        <f>$C41*VLOOKUP($B41,FoodDB!$A$2:$I$1014,5,0)</f>
        <v>8.8000000000000007</v>
      </c>
      <c r="G41">
        <f>$C41*VLOOKUP($B41,FoodDB!$A$2:$I$1014,6,0)</f>
        <v>3.6</v>
      </c>
      <c r="H41">
        <f>$C41*VLOOKUP($B41,FoodDB!$A$2:$I$1014,7,0)</f>
        <v>28.8</v>
      </c>
      <c r="I41">
        <f>$C41*VLOOKUP($B41,FoodDB!$A$2:$I$1014,8,0)</f>
        <v>35.200000000000003</v>
      </c>
      <c r="J41">
        <f>$C41*VLOOKUP($B41,FoodDB!$A$2:$I$1014,9,0)</f>
        <v>67.599999999999994</v>
      </c>
    </row>
    <row r="42" spans="1:11" x14ac:dyDescent="0.25">
      <c r="B42" s="99" t="s">
        <v>98</v>
      </c>
      <c r="C42" s="100">
        <v>4</v>
      </c>
      <c r="D42">
        <f>$C42*VLOOKUP($B42,FoodDB!$A$2:$I$1014,3,0)</f>
        <v>24.72</v>
      </c>
      <c r="E42">
        <f>$C42*VLOOKUP($B42,FoodDB!$A$2:$I$1014,4,0)</f>
        <v>0</v>
      </c>
      <c r="F42">
        <f>$C42*VLOOKUP($B42,FoodDB!$A$2:$I$1014,5,0)</f>
        <v>34.08</v>
      </c>
      <c r="G42">
        <f>$C42*VLOOKUP($B42,FoodDB!$A$2:$I$1014,6,0)</f>
        <v>222.48</v>
      </c>
      <c r="H42">
        <f>$C42*VLOOKUP($B42,FoodDB!$A$2:$I$1014,7,0)</f>
        <v>0</v>
      </c>
      <c r="I42">
        <f>$C42*VLOOKUP($B42,FoodDB!$A$2:$I$1014,8,0)</f>
        <v>136.32</v>
      </c>
      <c r="J42">
        <f>$C42*VLOOKUP($B42,FoodDB!$A$2:$I$1014,9,0)</f>
        <v>358.79999999999995</v>
      </c>
    </row>
    <row r="43" spans="1:11" x14ac:dyDescent="0.25">
      <c r="B43" s="99" t="s">
        <v>99</v>
      </c>
      <c r="C43">
        <v>7</v>
      </c>
      <c r="D43">
        <f>$C43*VLOOKUP($B43,FoodDB!$A$2:$I$1014,3,0)</f>
        <v>0</v>
      </c>
      <c r="E43">
        <f>$C43*VLOOKUP($B43,FoodDB!$A$2:$I$1014,4,0)</f>
        <v>7</v>
      </c>
      <c r="F43">
        <f>$C43*VLOOKUP($B43,FoodDB!$A$2:$I$1014,5,0)</f>
        <v>4.2</v>
      </c>
      <c r="G43">
        <f>$C43*VLOOKUP($B43,FoodDB!$A$2:$I$1014,6,0)</f>
        <v>0</v>
      </c>
      <c r="H43">
        <f>$C43*VLOOKUP($B43,FoodDB!$A$2:$I$1014,7,0)</f>
        <v>28</v>
      </c>
      <c r="I43">
        <f>$C43*VLOOKUP($B43,FoodDB!$A$2:$I$1014,8,0)</f>
        <v>16.8</v>
      </c>
      <c r="J43">
        <f>$C43*VLOOKUP($B43,FoodDB!$A$2:$I$1014,9,0)</f>
        <v>44.800000000000004</v>
      </c>
    </row>
    <row r="44" spans="1:11" x14ac:dyDescent="0.25">
      <c r="A44" t="s">
        <v>97</v>
      </c>
      <c r="G44">
        <f>SUM(G39:G43)</f>
        <v>238.5</v>
      </c>
      <c r="H44">
        <f>SUM(H39:H43)</f>
        <v>56.8</v>
      </c>
      <c r="I44">
        <f>SUM(I39:I43)</f>
        <v>537.91999999999996</v>
      </c>
      <c r="J44">
        <f>SUM(G44:I44)</f>
        <v>833.22</v>
      </c>
    </row>
    <row r="45" spans="1:11" x14ac:dyDescent="0.25">
      <c r="A45" t="s">
        <v>101</v>
      </c>
      <c r="B45" t="s">
        <v>102</v>
      </c>
      <c r="E45" s="103"/>
      <c r="F45" s="103"/>
      <c r="G45" s="103">
        <f>LossChart!N8</f>
        <v>333.86915293279503</v>
      </c>
      <c r="H45" s="103">
        <f>LossChart!O8</f>
        <v>80</v>
      </c>
      <c r="I45" s="103">
        <f>LossChart!P8</f>
        <v>477.30407413615825</v>
      </c>
      <c r="J45" s="103">
        <f>LossChart!Q8</f>
        <v>891.17322706895334</v>
      </c>
      <c r="K45" s="103"/>
    </row>
    <row r="46" spans="1:11" x14ac:dyDescent="0.25">
      <c r="A46" t="s">
        <v>103</v>
      </c>
      <c r="G46">
        <f>G45-G44</f>
        <v>95.369152932795032</v>
      </c>
      <c r="H46">
        <f>H45-H44</f>
        <v>23.200000000000003</v>
      </c>
      <c r="I46">
        <f>I45-I44</f>
        <v>-60.61592586384171</v>
      </c>
      <c r="J46">
        <f>J45-J44</f>
        <v>57.953227068953311</v>
      </c>
    </row>
    <row r="48" spans="1:11" ht="45" x14ac:dyDescent="0.25">
      <c r="A48" s="26" t="s">
        <v>63</v>
      </c>
      <c r="B48" s="26" t="s">
        <v>92</v>
      </c>
      <c r="C48" s="26" t="s">
        <v>93</v>
      </c>
      <c r="D48" s="97" t="str">
        <f>FoodDB!$C$1</f>
        <v>Fat
(g)</v>
      </c>
      <c r="E48" s="97" t="str">
        <f>FoodDB!$D$1</f>
        <v xml:space="preserve"> Carbs
(g)</v>
      </c>
      <c r="F48" s="97" t="str">
        <f>FoodDB!$E$1</f>
        <v>Protein
(g)</v>
      </c>
      <c r="G48" s="97" t="str">
        <f>FoodDB!$F$1</f>
        <v>Fat
(Cal)</v>
      </c>
      <c r="H48" s="97" t="str">
        <f>FoodDB!$G$1</f>
        <v>Carb
(Cal)</v>
      </c>
      <c r="I48" s="97" t="str">
        <f>FoodDB!$H$1</f>
        <v>Protein
(Cal)</v>
      </c>
      <c r="J48" s="97" t="str">
        <f>FoodDB!$I$1</f>
        <v>Total
Calories</v>
      </c>
      <c r="K48" s="97"/>
    </row>
    <row r="49" spans="1:11" x14ac:dyDescent="0.25">
      <c r="A49" s="98">
        <f>A39+1</f>
        <v>42998</v>
      </c>
      <c r="B49" s="99" t="s">
        <v>104</v>
      </c>
      <c r="C49" s="100">
        <v>1.1000000000000001</v>
      </c>
      <c r="D49">
        <f>$C49*VLOOKUP($B49,FoodDB!$A$2:$I$1014,3,0)</f>
        <v>0.88000000000000012</v>
      </c>
      <c r="E49">
        <f>$C49*VLOOKUP($B49,FoodDB!$A$2:$I$1014,4,0)</f>
        <v>0</v>
      </c>
      <c r="F49">
        <f>$C49*VLOOKUP($B49,FoodDB!$A$2:$I$1014,5,0)</f>
        <v>37.400000000000006</v>
      </c>
      <c r="G49">
        <f>$C49*VLOOKUP($B49,FoodDB!$A$2:$I$1014,6,0)</f>
        <v>7.9200000000000008</v>
      </c>
      <c r="H49">
        <f>$C49*VLOOKUP($B49,FoodDB!$A$2:$I$1014,7,0)</f>
        <v>0</v>
      </c>
      <c r="I49">
        <f>$C49*VLOOKUP($B49,FoodDB!$A$2:$I$1014,8,0)</f>
        <v>149.60000000000002</v>
      </c>
      <c r="J49">
        <f>$C49*VLOOKUP($B49,FoodDB!$A$2:$I$1014,9,0)</f>
        <v>157.52000000000001</v>
      </c>
    </row>
    <row r="50" spans="1:11" x14ac:dyDescent="0.25">
      <c r="B50" s="99" t="s">
        <v>94</v>
      </c>
      <c r="C50" s="100">
        <v>1</v>
      </c>
      <c r="D50">
        <f>$C50*VLOOKUP($B50,FoodDB!$A$2:$I$1014,3,0)</f>
        <v>0.5</v>
      </c>
      <c r="E50">
        <f>$C50*VLOOKUP($B50,FoodDB!$A$2:$I$1014,4,0)</f>
        <v>0</v>
      </c>
      <c r="F50">
        <f>$C50*VLOOKUP($B50,FoodDB!$A$2:$I$1014,5,0)</f>
        <v>50</v>
      </c>
      <c r="G50">
        <f>$C50*VLOOKUP($B50,FoodDB!$A$2:$I$1014,6,0)</f>
        <v>4.5</v>
      </c>
      <c r="H50">
        <f>$C50*VLOOKUP($B50,FoodDB!$A$2:$I$1014,7,0)</f>
        <v>0</v>
      </c>
      <c r="I50">
        <f>$C50*VLOOKUP($B50,FoodDB!$A$2:$I$1014,8,0)</f>
        <v>200</v>
      </c>
      <c r="J50">
        <f>$C50*VLOOKUP($B50,FoodDB!$A$2:$I$1014,9,0)</f>
        <v>204.5</v>
      </c>
    </row>
    <row r="51" spans="1:11" x14ac:dyDescent="0.25">
      <c r="B51" s="99" t="s">
        <v>95</v>
      </c>
      <c r="C51" s="100">
        <v>8</v>
      </c>
      <c r="D51">
        <f>$C51*VLOOKUP($B51,FoodDB!$A$2:$I$1014,3,0)</f>
        <v>0</v>
      </c>
      <c r="E51">
        <f>$C51*VLOOKUP($B51,FoodDB!$A$2:$I$1014,4,0)</f>
        <v>5.1428571428571432</v>
      </c>
      <c r="F51">
        <f>$C51*VLOOKUP($B51,FoodDB!$A$2:$I$1014,5,0)</f>
        <v>2.5714285714285716</v>
      </c>
      <c r="G51">
        <f>$C51*VLOOKUP($B51,FoodDB!$A$2:$I$1014,6,0)</f>
        <v>0</v>
      </c>
      <c r="H51">
        <f>$C51*VLOOKUP($B51,FoodDB!$A$2:$I$1014,7,0)</f>
        <v>20.571428571428573</v>
      </c>
      <c r="I51">
        <f>$C51*VLOOKUP($B51,FoodDB!$A$2:$I$1014,8,0)</f>
        <v>10.285714285714286</v>
      </c>
      <c r="J51">
        <f>$C51*VLOOKUP($B51,FoodDB!$A$2:$I$1014,9,0)</f>
        <v>30.857142857142861</v>
      </c>
    </row>
    <row r="52" spans="1:11" x14ac:dyDescent="0.25">
      <c r="B52" s="99" t="s">
        <v>98</v>
      </c>
      <c r="C52" s="100">
        <v>4</v>
      </c>
      <c r="D52">
        <f>$C52*VLOOKUP($B52,FoodDB!$A$2:$I$1014,3,0)</f>
        <v>24.72</v>
      </c>
      <c r="E52">
        <f>$C52*VLOOKUP($B52,FoodDB!$A$2:$I$1014,4,0)</f>
        <v>0</v>
      </c>
      <c r="F52">
        <f>$C52*VLOOKUP($B52,FoodDB!$A$2:$I$1014,5,0)</f>
        <v>34.08</v>
      </c>
      <c r="G52">
        <f>$C52*VLOOKUP($B52,FoodDB!$A$2:$I$1014,6,0)</f>
        <v>222.48</v>
      </c>
      <c r="H52">
        <f>$C52*VLOOKUP($B52,FoodDB!$A$2:$I$1014,7,0)</f>
        <v>0</v>
      </c>
      <c r="I52">
        <f>$C52*VLOOKUP($B52,FoodDB!$A$2:$I$1014,8,0)</f>
        <v>136.32</v>
      </c>
      <c r="J52">
        <f>$C52*VLOOKUP($B52,FoodDB!$A$2:$I$1014,9,0)</f>
        <v>358.79999999999995</v>
      </c>
    </row>
    <row r="53" spans="1:11" x14ac:dyDescent="0.25">
      <c r="B53" s="99" t="s">
        <v>96</v>
      </c>
      <c r="C53" s="100">
        <v>2</v>
      </c>
      <c r="D53">
        <f>$C53*VLOOKUP($B53,FoodDB!$A$2:$I$1014,3,0)</f>
        <v>18</v>
      </c>
      <c r="E53">
        <f>$C53*VLOOKUP($B53,FoodDB!$A$2:$I$1014,4,0)</f>
        <v>4</v>
      </c>
      <c r="F53">
        <f>$C53*VLOOKUP($B53,FoodDB!$A$2:$I$1014,5,0)</f>
        <v>9.4</v>
      </c>
      <c r="G53">
        <f>$C53*VLOOKUP($B53,FoodDB!$A$2:$I$1014,6,0)</f>
        <v>162</v>
      </c>
      <c r="H53">
        <f>$C53*VLOOKUP($B53,FoodDB!$A$2:$I$1014,7,0)</f>
        <v>16</v>
      </c>
      <c r="I53">
        <f>$C53*VLOOKUP($B53,FoodDB!$A$2:$I$1014,8,0)</f>
        <v>37.6</v>
      </c>
      <c r="J53">
        <f>$C53*VLOOKUP($B53,FoodDB!$A$2:$I$1014,9,0)</f>
        <v>215.6</v>
      </c>
    </row>
    <row r="54" spans="1:11" x14ac:dyDescent="0.25">
      <c r="B54" s="99" t="s">
        <v>106</v>
      </c>
      <c r="C54" s="100">
        <v>1</v>
      </c>
      <c r="D54">
        <f>$C54*VLOOKUP($B54,FoodDB!$A$2:$I$1014,3,0)</f>
        <v>0.5</v>
      </c>
      <c r="E54">
        <f>$C54*VLOOKUP($B54,FoodDB!$A$2:$I$1014,4,0)</f>
        <v>0</v>
      </c>
      <c r="F54">
        <f>$C54*VLOOKUP($B54,FoodDB!$A$2:$I$1014,5,0)</f>
        <v>0</v>
      </c>
      <c r="G54">
        <f>$C54*VLOOKUP($B54,FoodDB!$A$2:$I$1014,6,0)</f>
        <v>4.5</v>
      </c>
      <c r="H54">
        <f>$C54*VLOOKUP($B54,FoodDB!$A$2:$I$1014,7,0)</f>
        <v>0</v>
      </c>
      <c r="I54">
        <f>$C54*VLOOKUP($B54,FoodDB!$A$2:$I$1014,8,0)</f>
        <v>0</v>
      </c>
      <c r="J54">
        <f>$C54*VLOOKUP($B54,FoodDB!$A$2:$I$1014,9,0)</f>
        <v>4.5</v>
      </c>
    </row>
    <row r="55" spans="1:11" x14ac:dyDescent="0.25">
      <c r="B55" s="99" t="s">
        <v>99</v>
      </c>
      <c r="C55">
        <v>7</v>
      </c>
      <c r="D55">
        <f>$C55*VLOOKUP($B55,FoodDB!$A$2:$I$1014,3,0)</f>
        <v>0</v>
      </c>
      <c r="E55">
        <f>$C55*VLOOKUP($B55,FoodDB!$A$2:$I$1014,4,0)</f>
        <v>7</v>
      </c>
      <c r="F55">
        <f>$C55*VLOOKUP($B55,FoodDB!$A$2:$I$1014,5,0)</f>
        <v>4.2</v>
      </c>
      <c r="G55">
        <f>$C55*VLOOKUP($B55,FoodDB!$A$2:$I$1014,6,0)</f>
        <v>0</v>
      </c>
      <c r="H55">
        <f>$C55*VLOOKUP($B55,FoodDB!$A$2:$I$1014,7,0)</f>
        <v>28</v>
      </c>
      <c r="I55">
        <f>$C55*VLOOKUP($B55,FoodDB!$A$2:$I$1014,8,0)</f>
        <v>16.8</v>
      </c>
      <c r="J55">
        <f>$C55*VLOOKUP($B55,FoodDB!$A$2:$I$1014,9,0)</f>
        <v>44.800000000000004</v>
      </c>
    </row>
    <row r="56" spans="1:11" x14ac:dyDescent="0.25">
      <c r="A56" t="s">
        <v>97</v>
      </c>
      <c r="G56">
        <f>SUM(G49:G55)</f>
        <v>401.4</v>
      </c>
      <c r="H56">
        <f>SUM(H49:H55)</f>
        <v>64.571428571428569</v>
      </c>
      <c r="I56">
        <f>SUM(I49:I55)</f>
        <v>550.60571428571427</v>
      </c>
      <c r="J56">
        <f>SUM(G56:I56)</f>
        <v>1016.5771428571428</v>
      </c>
    </row>
    <row r="57" spans="1:11" x14ac:dyDescent="0.25">
      <c r="A57" t="s">
        <v>101</v>
      </c>
      <c r="B57" t="s">
        <v>102</v>
      </c>
      <c r="E57" s="103"/>
      <c r="F57" s="103"/>
      <c r="G57" s="103">
        <f>VLOOKUP($A49,LossChart!$A$3:$AB$105,14,0)</f>
        <v>342.41447364460441</v>
      </c>
      <c r="H57" s="103">
        <f>VLOOKUP($A49,LossChart!$A$3:$AB$105,15,0)</f>
        <v>80</v>
      </c>
      <c r="I57" s="103">
        <f>VLOOKUP($A49,LossChart!$A$3:$AB$105,16,0)</f>
        <v>477.30407413615825</v>
      </c>
      <c r="J57" s="103">
        <f>VLOOKUP($A49,LossChart!$A$3:$AB$105,17,0)</f>
        <v>899.71854778076272</v>
      </c>
      <c r="K57" s="103"/>
    </row>
    <row r="58" spans="1:11" x14ac:dyDescent="0.25">
      <c r="A58" t="s">
        <v>103</v>
      </c>
      <c r="G58">
        <f>G57-G56</f>
        <v>-58.985526355395564</v>
      </c>
      <c r="H58">
        <f>H57-H56</f>
        <v>15.428571428571431</v>
      </c>
      <c r="I58">
        <f>I57-I56</f>
        <v>-73.301640149556022</v>
      </c>
      <c r="J58">
        <f>J57-J56</f>
        <v>-116.85859507638008</v>
      </c>
    </row>
    <row r="60" spans="1:11" ht="45" x14ac:dyDescent="0.25">
      <c r="A60" s="26" t="s">
        <v>63</v>
      </c>
      <c r="B60" s="26" t="s">
        <v>92</v>
      </c>
      <c r="C60" s="26" t="s">
        <v>93</v>
      </c>
      <c r="D60" s="97" t="str">
        <f>FoodDB!$C$1</f>
        <v>Fat
(g)</v>
      </c>
      <c r="E60" s="97" t="str">
        <f>FoodDB!$D$1</f>
        <v xml:space="preserve"> Carbs
(g)</v>
      </c>
      <c r="F60" s="97" t="str">
        <f>FoodDB!$E$1</f>
        <v>Protein
(g)</v>
      </c>
      <c r="G60" s="97" t="str">
        <f>FoodDB!$F$1</f>
        <v>Fat
(Cal)</v>
      </c>
      <c r="H60" s="97" t="str">
        <f>FoodDB!$G$1</f>
        <v>Carb
(Cal)</v>
      </c>
      <c r="I60" s="97" t="str">
        <f>FoodDB!$H$1</f>
        <v>Protein
(Cal)</v>
      </c>
      <c r="J60" s="97" t="str">
        <f>FoodDB!$I$1</f>
        <v>Total
Calories</v>
      </c>
      <c r="K60" s="97"/>
    </row>
    <row r="61" spans="1:11" x14ac:dyDescent="0.25">
      <c r="A61" s="98">
        <f>A49+1</f>
        <v>42999</v>
      </c>
      <c r="B61" s="99" t="s">
        <v>94</v>
      </c>
      <c r="C61" s="100">
        <v>1</v>
      </c>
      <c r="D61">
        <f>$C61*VLOOKUP($B61,FoodDB!$A$2:$I$1014,3,0)</f>
        <v>0.5</v>
      </c>
      <c r="E61">
        <f>$C61*VLOOKUP($B61,FoodDB!$A$2:$I$1014,4,0)</f>
        <v>0</v>
      </c>
      <c r="F61">
        <f>$C61*VLOOKUP($B61,FoodDB!$A$2:$I$1014,5,0)</f>
        <v>50</v>
      </c>
      <c r="G61">
        <f>$C61*VLOOKUP($B61,FoodDB!$A$2:$I$1014,6,0)</f>
        <v>4.5</v>
      </c>
      <c r="H61">
        <f>$C61*VLOOKUP($B61,FoodDB!$A$2:$I$1014,7,0)</f>
        <v>0</v>
      </c>
      <c r="I61">
        <f>$C61*VLOOKUP($B61,FoodDB!$A$2:$I$1014,8,0)</f>
        <v>200</v>
      </c>
      <c r="J61">
        <f>$C61*VLOOKUP($B61,FoodDB!$A$2:$I$1014,9,0)</f>
        <v>204.5</v>
      </c>
    </row>
    <row r="62" spans="1:11" x14ac:dyDescent="0.25">
      <c r="B62" s="99" t="s">
        <v>98</v>
      </c>
      <c r="C62" s="100">
        <v>3</v>
      </c>
      <c r="D62">
        <f>$C62*VLOOKUP($B62,FoodDB!$A$2:$I$1014,3,0)</f>
        <v>18.54</v>
      </c>
      <c r="E62">
        <f>$C62*VLOOKUP($B62,FoodDB!$A$2:$I$1014,4,0)</f>
        <v>0</v>
      </c>
      <c r="F62">
        <f>$C62*VLOOKUP($B62,FoodDB!$A$2:$I$1014,5,0)</f>
        <v>25.56</v>
      </c>
      <c r="G62">
        <f>$C62*VLOOKUP($B62,FoodDB!$A$2:$I$1014,6,0)</f>
        <v>166.85999999999999</v>
      </c>
      <c r="H62">
        <f>$C62*VLOOKUP($B62,FoodDB!$A$2:$I$1014,7,0)</f>
        <v>0</v>
      </c>
      <c r="I62">
        <f>$C62*VLOOKUP($B62,FoodDB!$A$2:$I$1014,8,0)</f>
        <v>102.24</v>
      </c>
      <c r="J62">
        <f>$C62*VLOOKUP($B62,FoodDB!$A$2:$I$1014,9,0)</f>
        <v>269.09999999999997</v>
      </c>
    </row>
    <row r="63" spans="1:11" x14ac:dyDescent="0.25">
      <c r="B63" s="99" t="s">
        <v>104</v>
      </c>
      <c r="C63" s="100">
        <v>1</v>
      </c>
      <c r="D63">
        <f>$C63*VLOOKUP($B63,FoodDB!$A$2:$I$1014,3,0)</f>
        <v>0.8</v>
      </c>
      <c r="E63">
        <f>$C63*VLOOKUP($B63,FoodDB!$A$2:$I$1014,4,0)</f>
        <v>0</v>
      </c>
      <c r="F63">
        <f>$C63*VLOOKUP($B63,FoodDB!$A$2:$I$1014,5,0)</f>
        <v>34</v>
      </c>
      <c r="G63">
        <f>$C63*VLOOKUP($B63,FoodDB!$A$2:$I$1014,6,0)</f>
        <v>7.2</v>
      </c>
      <c r="H63">
        <f>$C63*VLOOKUP($B63,FoodDB!$A$2:$I$1014,7,0)</f>
        <v>0</v>
      </c>
      <c r="I63">
        <f>$C63*VLOOKUP($B63,FoodDB!$A$2:$I$1014,8,0)</f>
        <v>136</v>
      </c>
      <c r="J63">
        <f>$C63*VLOOKUP($B63,FoodDB!$A$2:$I$1014,9,0)</f>
        <v>143.19999999999999</v>
      </c>
    </row>
    <row r="64" spans="1:11" x14ac:dyDescent="0.25">
      <c r="B64" s="99" t="s">
        <v>99</v>
      </c>
      <c r="C64" s="100">
        <v>7</v>
      </c>
      <c r="D64">
        <f>$C64*VLOOKUP($B64,FoodDB!$A$2:$I$1014,3,0)</f>
        <v>0</v>
      </c>
      <c r="E64">
        <f>$C64*VLOOKUP($B64,FoodDB!$A$2:$I$1014,4,0)</f>
        <v>7</v>
      </c>
      <c r="F64">
        <f>$C64*VLOOKUP($B64,FoodDB!$A$2:$I$1014,5,0)</f>
        <v>4.2</v>
      </c>
      <c r="G64">
        <f>$C64*VLOOKUP($B64,FoodDB!$A$2:$I$1014,6,0)</f>
        <v>0</v>
      </c>
      <c r="H64">
        <f>$C64*VLOOKUP($B64,FoodDB!$A$2:$I$1014,7,0)</f>
        <v>28</v>
      </c>
      <c r="I64">
        <f>$C64*VLOOKUP($B64,FoodDB!$A$2:$I$1014,8,0)</f>
        <v>16.8</v>
      </c>
      <c r="J64">
        <f>$C64*VLOOKUP($B64,FoodDB!$A$2:$I$1014,9,0)</f>
        <v>44.800000000000004</v>
      </c>
    </row>
    <row r="65" spans="1:11" x14ac:dyDescent="0.25">
      <c r="B65" s="99" t="s">
        <v>96</v>
      </c>
      <c r="C65" s="100">
        <v>2</v>
      </c>
      <c r="D65">
        <f>$C65*VLOOKUP($B65,FoodDB!$A$2:$I$1014,3,0)</f>
        <v>18</v>
      </c>
      <c r="E65">
        <f>$C65*VLOOKUP($B65,FoodDB!$A$2:$I$1014,4,0)</f>
        <v>4</v>
      </c>
      <c r="F65">
        <f>$C65*VLOOKUP($B65,FoodDB!$A$2:$I$1014,5,0)</f>
        <v>9.4</v>
      </c>
      <c r="G65">
        <f>$C65*VLOOKUP($B65,FoodDB!$A$2:$I$1014,6,0)</f>
        <v>162</v>
      </c>
      <c r="H65">
        <f>$C65*VLOOKUP($B65,FoodDB!$A$2:$I$1014,7,0)</f>
        <v>16</v>
      </c>
      <c r="I65">
        <f>$C65*VLOOKUP($B65,FoodDB!$A$2:$I$1014,8,0)</f>
        <v>37.6</v>
      </c>
      <c r="J65">
        <f>$C65*VLOOKUP($B65,FoodDB!$A$2:$I$1014,9,0)</f>
        <v>215.6</v>
      </c>
    </row>
    <row r="66" spans="1:11" x14ac:dyDescent="0.25">
      <c r="B66" s="99" t="s">
        <v>107</v>
      </c>
      <c r="C66" s="100">
        <v>0</v>
      </c>
      <c r="D66">
        <f>$C66*VLOOKUP($B66,FoodDB!$A$2:$I$1014,3,0)</f>
        <v>0</v>
      </c>
      <c r="E66">
        <f>$C66*VLOOKUP($B66,FoodDB!$A$2:$I$1014,4,0)</f>
        <v>0</v>
      </c>
      <c r="F66">
        <f>$C66*VLOOKUP($B66,FoodDB!$A$2:$I$1014,5,0)</f>
        <v>0</v>
      </c>
      <c r="G66">
        <f>$C66*VLOOKUP($B66,FoodDB!$A$2:$I$1014,6,0)</f>
        <v>0</v>
      </c>
      <c r="H66">
        <f>$C66*VLOOKUP($B66,FoodDB!$A$2:$I$1014,7,0)</f>
        <v>0</v>
      </c>
      <c r="I66">
        <f>$C66*VLOOKUP($B66,FoodDB!$A$2:$I$1014,8,0)</f>
        <v>0</v>
      </c>
      <c r="J66">
        <f>$C66*VLOOKUP($B66,FoodDB!$A$2:$I$1014,9,0)</f>
        <v>0</v>
      </c>
    </row>
    <row r="67" spans="1:11" x14ac:dyDescent="0.25">
      <c r="B67" s="99" t="s">
        <v>107</v>
      </c>
      <c r="C67" s="100">
        <v>0</v>
      </c>
      <c r="D67">
        <f>$C67*VLOOKUP($B67,FoodDB!$A$2:$I$1014,3,0)</f>
        <v>0</v>
      </c>
      <c r="E67">
        <f>$C67*VLOOKUP($B67,FoodDB!$A$2:$I$1014,4,0)</f>
        <v>0</v>
      </c>
      <c r="F67">
        <f>$C67*VLOOKUP($B67,FoodDB!$A$2:$I$1014,5,0)</f>
        <v>0</v>
      </c>
      <c r="G67">
        <f>$C67*VLOOKUP($B67,FoodDB!$A$2:$I$1014,6,0)</f>
        <v>0</v>
      </c>
      <c r="H67">
        <f>$C67*VLOOKUP($B67,FoodDB!$A$2:$I$1014,7,0)</f>
        <v>0</v>
      </c>
      <c r="I67">
        <f>$C67*VLOOKUP($B67,FoodDB!$A$2:$I$1014,8,0)</f>
        <v>0</v>
      </c>
      <c r="J67">
        <f>$C67*VLOOKUP($B67,FoodDB!$A$2:$I$1014,9,0)</f>
        <v>0</v>
      </c>
    </row>
    <row r="68" spans="1:11" x14ac:dyDescent="0.25">
      <c r="A68" t="s">
        <v>97</v>
      </c>
      <c r="G68">
        <f>SUM(G61:G67)</f>
        <v>340.55999999999995</v>
      </c>
      <c r="H68">
        <f>SUM(H61:H67)</f>
        <v>44</v>
      </c>
      <c r="I68">
        <f>SUM(I61:I67)</f>
        <v>492.64000000000004</v>
      </c>
      <c r="J68">
        <f>SUM(G68:I68)</f>
        <v>877.2</v>
      </c>
    </row>
    <row r="69" spans="1:11" x14ac:dyDescent="0.25">
      <c r="A69" t="s">
        <v>101</v>
      </c>
      <c r="B69" t="s">
        <v>102</v>
      </c>
      <c r="E69" s="103"/>
      <c r="F69" s="103"/>
      <c r="G69" s="103">
        <f>VLOOKUP($A61,LossChart!$A$3:$AB$105,14,0)</f>
        <v>350.26452305755288</v>
      </c>
      <c r="H69" s="103">
        <f>VLOOKUP($A61,LossChart!$A$3:$AB$105,15,0)</f>
        <v>80</v>
      </c>
      <c r="I69" s="103">
        <f>VLOOKUP($A61,LossChart!$A$3:$AB$105,16,0)</f>
        <v>477.30407413615825</v>
      </c>
      <c r="J69" s="103">
        <f>VLOOKUP($A61,LossChart!$A$3:$AB$105,17,0)</f>
        <v>907.56859719371118</v>
      </c>
      <c r="K69" s="103"/>
    </row>
    <row r="70" spans="1:11" x14ac:dyDescent="0.25">
      <c r="A70" t="s">
        <v>103</v>
      </c>
      <c r="G70">
        <f>G69-G68</f>
        <v>9.7045230575529331</v>
      </c>
      <c r="H70">
        <f>H69-H68</f>
        <v>36</v>
      </c>
      <c r="I70">
        <f>I69-I68</f>
        <v>-15.335925863841794</v>
      </c>
      <c r="J70">
        <f>J69-J68</f>
        <v>30.368597193711139</v>
      </c>
    </row>
    <row r="72" spans="1:11" ht="45" x14ac:dyDescent="0.25">
      <c r="A72" s="26" t="s">
        <v>63</v>
      </c>
      <c r="B72" s="26" t="s">
        <v>92</v>
      </c>
      <c r="C72" s="26" t="s">
        <v>93</v>
      </c>
      <c r="D72" s="97" t="str">
        <f>FoodDB!$C$1</f>
        <v>Fat
(g)</v>
      </c>
      <c r="E72" s="97" t="str">
        <f>FoodDB!$D$1</f>
        <v xml:space="preserve"> Carbs
(g)</v>
      </c>
      <c r="F72" s="97" t="str">
        <f>FoodDB!$E$1</f>
        <v>Protein
(g)</v>
      </c>
      <c r="G72" s="97" t="str">
        <f>FoodDB!$F$1</f>
        <v>Fat
(Cal)</v>
      </c>
      <c r="H72" s="97" t="str">
        <f>FoodDB!$G$1</f>
        <v>Carb
(Cal)</v>
      </c>
      <c r="I72" s="97" t="str">
        <f>FoodDB!$H$1</f>
        <v>Protein
(Cal)</v>
      </c>
      <c r="J72" s="97" t="str">
        <f>FoodDB!$I$1</f>
        <v>Total
Calories</v>
      </c>
      <c r="K72" s="97"/>
    </row>
    <row r="73" spans="1:11" x14ac:dyDescent="0.25">
      <c r="A73" s="98">
        <f>A61+1</f>
        <v>43000</v>
      </c>
      <c r="B73" s="99" t="s">
        <v>104</v>
      </c>
      <c r="C73" s="100">
        <v>3.3</v>
      </c>
      <c r="D73">
        <f>$C73*VLOOKUP($B73,FoodDB!$A$2:$I$1014,3,0)</f>
        <v>2.64</v>
      </c>
      <c r="E73">
        <f>$C73*VLOOKUP($B73,FoodDB!$A$2:$I$1014,4,0)</f>
        <v>0</v>
      </c>
      <c r="F73">
        <f>$C73*VLOOKUP($B73,FoodDB!$A$2:$I$1014,5,0)</f>
        <v>112.19999999999999</v>
      </c>
      <c r="G73">
        <f>$C73*VLOOKUP($B73,FoodDB!$A$2:$I$1014,6,0)</f>
        <v>23.759999999999998</v>
      </c>
      <c r="H73">
        <f>$C73*VLOOKUP($B73,FoodDB!$A$2:$I$1014,7,0)</f>
        <v>0</v>
      </c>
      <c r="I73">
        <f>$C73*VLOOKUP($B73,FoodDB!$A$2:$I$1014,8,0)</f>
        <v>448.79999999999995</v>
      </c>
      <c r="J73">
        <f>$C73*VLOOKUP($B73,FoodDB!$A$2:$I$1014,9,0)</f>
        <v>472.55999999999995</v>
      </c>
    </row>
    <row r="74" spans="1:11" x14ac:dyDescent="0.25">
      <c r="B74" s="99" t="s">
        <v>95</v>
      </c>
      <c r="C74" s="100">
        <v>20</v>
      </c>
      <c r="D74">
        <f>$C74*VLOOKUP($B74,FoodDB!$A$2:$I$1014,3,0)</f>
        <v>0</v>
      </c>
      <c r="E74">
        <f>$C74*VLOOKUP($B74,FoodDB!$A$2:$I$1014,4,0)</f>
        <v>12.857142857142858</v>
      </c>
      <c r="F74">
        <f>$C74*VLOOKUP($B74,FoodDB!$A$2:$I$1014,5,0)</f>
        <v>6.4285714285714288</v>
      </c>
      <c r="G74">
        <f>$C74*VLOOKUP($B74,FoodDB!$A$2:$I$1014,6,0)</f>
        <v>0</v>
      </c>
      <c r="H74">
        <f>$C74*VLOOKUP($B74,FoodDB!$A$2:$I$1014,7,0)</f>
        <v>51.428571428571431</v>
      </c>
      <c r="I74">
        <f>$C74*VLOOKUP($B74,FoodDB!$A$2:$I$1014,8,0)</f>
        <v>25.714285714285715</v>
      </c>
      <c r="J74">
        <f>$C74*VLOOKUP($B74,FoodDB!$A$2:$I$1014,9,0)</f>
        <v>77.142857142857153</v>
      </c>
    </row>
    <row r="75" spans="1:11" x14ac:dyDescent="0.25">
      <c r="B75" s="99" t="s">
        <v>106</v>
      </c>
      <c r="C75" s="100">
        <v>3</v>
      </c>
      <c r="D75">
        <f>$C75*VLOOKUP($B75,FoodDB!$A$2:$I$1014,3,0)</f>
        <v>1.5</v>
      </c>
      <c r="E75">
        <f>$C75*VLOOKUP($B75,FoodDB!$A$2:$I$1014,4,0)</f>
        <v>0</v>
      </c>
      <c r="F75">
        <f>$C75*VLOOKUP($B75,FoodDB!$A$2:$I$1014,5,0)</f>
        <v>0</v>
      </c>
      <c r="G75">
        <f>$C75*VLOOKUP($B75,FoodDB!$A$2:$I$1014,6,0)</f>
        <v>13.5</v>
      </c>
      <c r="H75">
        <f>$C75*VLOOKUP($B75,FoodDB!$A$2:$I$1014,7,0)</f>
        <v>0</v>
      </c>
      <c r="I75">
        <f>$C75*VLOOKUP($B75,FoodDB!$A$2:$I$1014,8,0)</f>
        <v>0</v>
      </c>
      <c r="J75">
        <f>$C75*VLOOKUP($B75,FoodDB!$A$2:$I$1014,9,0)</f>
        <v>13.5</v>
      </c>
    </row>
    <row r="76" spans="1:11" x14ac:dyDescent="0.25">
      <c r="B76" s="99" t="s">
        <v>99</v>
      </c>
      <c r="C76" s="100">
        <v>7</v>
      </c>
      <c r="D76">
        <f>$C76*VLOOKUP($B76,FoodDB!$A$2:$I$1014,3,0)</f>
        <v>0</v>
      </c>
      <c r="E76">
        <f>$C76*VLOOKUP($B76,FoodDB!$A$2:$I$1014,4,0)</f>
        <v>7</v>
      </c>
      <c r="F76">
        <f>$C76*VLOOKUP($B76,FoodDB!$A$2:$I$1014,5,0)</f>
        <v>4.2</v>
      </c>
      <c r="G76">
        <f>$C76*VLOOKUP($B76,FoodDB!$A$2:$I$1014,6,0)</f>
        <v>0</v>
      </c>
      <c r="H76">
        <f>$C76*VLOOKUP($B76,FoodDB!$A$2:$I$1014,7,0)</f>
        <v>28</v>
      </c>
      <c r="I76">
        <f>$C76*VLOOKUP($B76,FoodDB!$A$2:$I$1014,8,0)</f>
        <v>16.8</v>
      </c>
      <c r="J76">
        <f>$C76*VLOOKUP($B76,FoodDB!$A$2:$I$1014,9,0)</f>
        <v>44.800000000000004</v>
      </c>
    </row>
    <row r="77" spans="1:11" x14ac:dyDescent="0.25">
      <c r="B77" s="99" t="s">
        <v>108</v>
      </c>
      <c r="C77" s="100">
        <v>4</v>
      </c>
      <c r="D77">
        <f>$C77*VLOOKUP($B77,FoodDB!$A$2:$I$1014,3,0)</f>
        <v>48</v>
      </c>
      <c r="E77">
        <f>$C77*VLOOKUP($B77,FoodDB!$A$2:$I$1014,4,0)</f>
        <v>0</v>
      </c>
      <c r="F77">
        <f>$C77*VLOOKUP($B77,FoodDB!$A$2:$I$1014,5,0)</f>
        <v>0</v>
      </c>
      <c r="G77">
        <f>$C77*VLOOKUP($B77,FoodDB!$A$2:$I$1014,6,0)</f>
        <v>432</v>
      </c>
      <c r="H77">
        <f>$C77*VLOOKUP($B77,FoodDB!$A$2:$I$1014,7,0)</f>
        <v>0</v>
      </c>
      <c r="I77">
        <f>$C77*VLOOKUP($B77,FoodDB!$A$2:$I$1014,8,0)</f>
        <v>0</v>
      </c>
      <c r="J77">
        <f>$C77*VLOOKUP($B77,FoodDB!$A$2:$I$1014,9,0)</f>
        <v>432</v>
      </c>
    </row>
    <row r="78" spans="1:11" x14ac:dyDescent="0.25">
      <c r="B78" s="99" t="s">
        <v>107</v>
      </c>
      <c r="C78" s="100">
        <v>0</v>
      </c>
      <c r="D78">
        <f>$C78*VLOOKUP($B78,FoodDB!$A$2:$I$1014,3,0)</f>
        <v>0</v>
      </c>
      <c r="E78">
        <f>$C78*VLOOKUP($B78,FoodDB!$A$2:$I$1014,4,0)</f>
        <v>0</v>
      </c>
      <c r="F78">
        <f>$C78*VLOOKUP($B78,FoodDB!$A$2:$I$1014,5,0)</f>
        <v>0</v>
      </c>
      <c r="G78">
        <f>$C78*VLOOKUP($B78,FoodDB!$A$2:$I$1014,6,0)</f>
        <v>0</v>
      </c>
      <c r="H78">
        <f>$C78*VLOOKUP($B78,FoodDB!$A$2:$I$1014,7,0)</f>
        <v>0</v>
      </c>
      <c r="I78">
        <f>$C78*VLOOKUP($B78,FoodDB!$A$2:$I$1014,8,0)</f>
        <v>0</v>
      </c>
      <c r="J78">
        <f>$C78*VLOOKUP($B78,FoodDB!$A$2:$I$1014,9,0)</f>
        <v>0</v>
      </c>
    </row>
    <row r="79" spans="1:11" x14ac:dyDescent="0.25">
      <c r="B79" s="99" t="s">
        <v>107</v>
      </c>
      <c r="C79" s="100">
        <v>0</v>
      </c>
      <c r="D79">
        <f>$C79*VLOOKUP($B79,FoodDB!$A$2:$I$1014,3,0)</f>
        <v>0</v>
      </c>
      <c r="E79">
        <f>$C79*VLOOKUP($B79,FoodDB!$A$2:$I$1014,4,0)</f>
        <v>0</v>
      </c>
      <c r="F79">
        <f>$C79*VLOOKUP($B79,FoodDB!$A$2:$I$1014,5,0)</f>
        <v>0</v>
      </c>
      <c r="G79">
        <f>$C79*VLOOKUP($B79,FoodDB!$A$2:$I$1014,6,0)</f>
        <v>0</v>
      </c>
      <c r="H79">
        <f>$C79*VLOOKUP($B79,FoodDB!$A$2:$I$1014,7,0)</f>
        <v>0</v>
      </c>
      <c r="I79">
        <f>$C79*VLOOKUP($B79,FoodDB!$A$2:$I$1014,8,0)</f>
        <v>0</v>
      </c>
      <c r="J79">
        <f>$C79*VLOOKUP($B79,FoodDB!$A$2:$I$1014,9,0)</f>
        <v>0</v>
      </c>
    </row>
    <row r="80" spans="1:11" x14ac:dyDescent="0.25">
      <c r="A80" t="s">
        <v>97</v>
      </c>
      <c r="D80">
        <f>G80/9</f>
        <v>52.14</v>
      </c>
      <c r="E80">
        <f>H80/4</f>
        <v>19.857142857142858</v>
      </c>
      <c r="F80">
        <f>I80/4</f>
        <v>122.82857142857142</v>
      </c>
      <c r="G80">
        <f>SUM(G73:G79)</f>
        <v>469.26</v>
      </c>
      <c r="H80">
        <f>SUM(H73:H79)</f>
        <v>79.428571428571431</v>
      </c>
      <c r="I80">
        <f>SUM(I73:I79)</f>
        <v>491.31428571428569</v>
      </c>
      <c r="J80">
        <f>SUM(G80:I80)</f>
        <v>1040.002857142857</v>
      </c>
    </row>
    <row r="81" spans="1:23" x14ac:dyDescent="0.25">
      <c r="A81" t="s">
        <v>101</v>
      </c>
      <c r="B81" t="s">
        <v>102</v>
      </c>
      <c r="E81" s="103"/>
      <c r="F81" s="103"/>
      <c r="G81" s="103">
        <f>VLOOKUP($A73,LossChart!$A$3:$AB$105,14,0)</f>
        <v>358.66462763397203</v>
      </c>
      <c r="H81" s="103">
        <f>VLOOKUP($A73,LossChart!$A$3:$AB$105,15,0)</f>
        <v>80</v>
      </c>
      <c r="I81" s="103">
        <f>VLOOKUP($A73,LossChart!$A$3:$AB$105,16,0)</f>
        <v>477.30407413615825</v>
      </c>
      <c r="J81" s="103">
        <f>VLOOKUP($A73,LossChart!$A$3:$AB$105,17,0)</f>
        <v>915.96870177013034</v>
      </c>
      <c r="K81" s="103"/>
    </row>
    <row r="82" spans="1:23" x14ac:dyDescent="0.25">
      <c r="A82" t="s">
        <v>103</v>
      </c>
      <c r="G82">
        <f>G81-G80</f>
        <v>-110.59537236602796</v>
      </c>
      <c r="H82">
        <f>H81-H80</f>
        <v>0.5714285714285694</v>
      </c>
      <c r="I82">
        <f>I81-I80</f>
        <v>-14.010211578127439</v>
      </c>
      <c r="J82">
        <f>J81-J80</f>
        <v>-124.03415537272667</v>
      </c>
    </row>
    <row r="84" spans="1:23" ht="45" x14ac:dyDescent="0.25">
      <c r="A84" s="26" t="s">
        <v>63</v>
      </c>
      <c r="B84" s="26" t="s">
        <v>92</v>
      </c>
      <c r="C84" s="26" t="s">
        <v>93</v>
      </c>
      <c r="D84" s="97" t="str">
        <f>FoodDB!$C$1</f>
        <v>Fat
(g)</v>
      </c>
      <c r="E84" s="97" t="str">
        <f>FoodDB!$D$1</f>
        <v xml:space="preserve"> Carbs
(g)</v>
      </c>
      <c r="F84" s="97" t="str">
        <f>FoodDB!$E$1</f>
        <v>Protein
(g)</v>
      </c>
      <c r="G84" s="97" t="str">
        <f>FoodDB!$F$1</f>
        <v>Fat
(Cal)</v>
      </c>
      <c r="H84" s="97" t="str">
        <f>FoodDB!$G$1</f>
        <v>Carb
(Cal)</v>
      </c>
      <c r="I84" s="97" t="str">
        <f>FoodDB!$H$1</f>
        <v>Protein
(Cal)</v>
      </c>
      <c r="J84" s="97" t="str">
        <f>FoodDB!$I$1</f>
        <v>Total
Calories</v>
      </c>
      <c r="K84" s="97"/>
      <c r="L84" s="97" t="s">
        <v>109</v>
      </c>
      <c r="M84" s="97" t="s">
        <v>110</v>
      </c>
      <c r="N84" s="97" t="s">
        <v>111</v>
      </c>
      <c r="O84" s="97" t="s">
        <v>112</v>
      </c>
      <c r="P84" s="97" t="s">
        <v>113</v>
      </c>
      <c r="Q84" s="97" t="s">
        <v>114</v>
      </c>
      <c r="R84" s="97" t="s">
        <v>115</v>
      </c>
      <c r="S84" s="97" t="s">
        <v>116</v>
      </c>
      <c r="T84" s="97" t="s">
        <v>117</v>
      </c>
      <c r="U84" s="97" t="s">
        <v>118</v>
      </c>
      <c r="V84" s="97" t="s">
        <v>119</v>
      </c>
      <c r="W84" s="97" t="s">
        <v>120</v>
      </c>
    </row>
    <row r="85" spans="1:23" x14ac:dyDescent="0.25">
      <c r="A85" s="98">
        <f>A73+1</f>
        <v>43001</v>
      </c>
      <c r="B85" s="99" t="s">
        <v>121</v>
      </c>
      <c r="C85" s="100">
        <v>2</v>
      </c>
      <c r="D85">
        <f>$C85*VLOOKUP($B85,FoodDB!$A$2:$I$1014,3,0)</f>
        <v>36</v>
      </c>
      <c r="E85">
        <f>$C85*VLOOKUP($B85,FoodDB!$A$2:$I$1014,4,0)</f>
        <v>0</v>
      </c>
      <c r="F85">
        <f>$C85*VLOOKUP($B85,FoodDB!$A$2:$I$1014,5,0)</f>
        <v>52</v>
      </c>
      <c r="G85">
        <f>$C85*VLOOKUP($B85,FoodDB!$A$2:$I$1014,6,0)</f>
        <v>324</v>
      </c>
      <c r="H85">
        <f>$C85*VLOOKUP($B85,FoodDB!$A$2:$I$1014,7,0)</f>
        <v>0</v>
      </c>
      <c r="I85">
        <f>$C85*VLOOKUP($B85,FoodDB!$A$2:$I$1014,8,0)</f>
        <v>208</v>
      </c>
      <c r="J85">
        <f>$C85*VLOOKUP($B85,FoodDB!$A$2:$I$1014,9,0)</f>
        <v>532</v>
      </c>
      <c r="L85">
        <f>SUM(G85:G91)</f>
        <v>493.92</v>
      </c>
      <c r="M85">
        <f>SUM(H85:H91)</f>
        <v>28</v>
      </c>
      <c r="N85">
        <f>SUM(I85:I91)</f>
        <v>458.40000000000003</v>
      </c>
      <c r="O85">
        <f>SUM(L85:N85)</f>
        <v>980.32000000000016</v>
      </c>
      <c r="P85" s="103">
        <f>VLOOKUP($A85,LossChart!$A$3:$AB$105,14,0)</f>
        <v>366.33270229694517</v>
      </c>
      <c r="Q85" s="103">
        <f>VLOOKUP($A85,LossChart!$A$3:$AB$105,15,0)</f>
        <v>80</v>
      </c>
      <c r="R85" s="103">
        <f>VLOOKUP($A85,LossChart!$A$3:$AB$105,16,0)</f>
        <v>477.30407413615825</v>
      </c>
      <c r="S85" s="103">
        <f>VLOOKUP($A85,LossChart!$A$3:$AB$105,17,0)</f>
        <v>923.63677643310348</v>
      </c>
      <c r="T85" s="103">
        <f>P85-L85</f>
        <v>-127.58729770305484</v>
      </c>
      <c r="U85" s="103">
        <f>Q85-M85</f>
        <v>52</v>
      </c>
      <c r="V85" s="103">
        <f>R85-N85</f>
        <v>18.904074136158215</v>
      </c>
      <c r="W85" s="103">
        <f>S85-O85</f>
        <v>-56.683223566896686</v>
      </c>
    </row>
    <row r="86" spans="1:23" x14ac:dyDescent="0.25">
      <c r="B86" s="99" t="s">
        <v>122</v>
      </c>
      <c r="C86" s="100">
        <v>3</v>
      </c>
      <c r="D86">
        <f>$C86*VLOOKUP($B86,FoodDB!$A$2:$I$1014,3,0)</f>
        <v>18</v>
      </c>
      <c r="E86">
        <f>$C86*VLOOKUP($B86,FoodDB!$A$2:$I$1014,4,0)</f>
        <v>0</v>
      </c>
      <c r="F86">
        <f>$C86*VLOOKUP($B86,FoodDB!$A$2:$I$1014,5,0)</f>
        <v>21</v>
      </c>
      <c r="G86">
        <f>$C86*VLOOKUP($B86,FoodDB!$A$2:$I$1014,6,0)</f>
        <v>162</v>
      </c>
      <c r="H86">
        <f>$C86*VLOOKUP($B86,FoodDB!$A$2:$I$1014,7,0)</f>
        <v>0</v>
      </c>
      <c r="I86">
        <f>$C86*VLOOKUP($B86,FoodDB!$A$2:$I$1014,8,0)</f>
        <v>84</v>
      </c>
      <c r="J86">
        <f>$C86*VLOOKUP($B86,FoodDB!$A$2:$I$1014,9,0)</f>
        <v>246</v>
      </c>
    </row>
    <row r="87" spans="1:23" x14ac:dyDescent="0.25">
      <c r="B87" s="99" t="s">
        <v>104</v>
      </c>
      <c r="C87" s="100">
        <v>1.1000000000000001</v>
      </c>
      <c r="D87">
        <f>$C87*VLOOKUP($B87,FoodDB!$A$2:$I$1014,3,0)</f>
        <v>0.88000000000000012</v>
      </c>
      <c r="E87">
        <f>$C87*VLOOKUP($B87,FoodDB!$A$2:$I$1014,4,0)</f>
        <v>0</v>
      </c>
      <c r="F87">
        <f>$C87*VLOOKUP($B87,FoodDB!$A$2:$I$1014,5,0)</f>
        <v>37.400000000000006</v>
      </c>
      <c r="G87">
        <f>$C87*VLOOKUP($B87,FoodDB!$A$2:$I$1014,6,0)</f>
        <v>7.9200000000000008</v>
      </c>
      <c r="H87">
        <f>$C87*VLOOKUP($B87,FoodDB!$A$2:$I$1014,7,0)</f>
        <v>0</v>
      </c>
      <c r="I87">
        <f>$C87*VLOOKUP($B87,FoodDB!$A$2:$I$1014,8,0)</f>
        <v>149.60000000000002</v>
      </c>
      <c r="J87">
        <f>$C87*VLOOKUP($B87,FoodDB!$A$2:$I$1014,9,0)</f>
        <v>157.52000000000001</v>
      </c>
    </row>
    <row r="88" spans="1:23" x14ac:dyDescent="0.25">
      <c r="B88" s="99" t="s">
        <v>99</v>
      </c>
      <c r="C88" s="100">
        <v>7</v>
      </c>
      <c r="D88">
        <f>$C88*VLOOKUP($B88,FoodDB!$A$2:$I$1014,3,0)</f>
        <v>0</v>
      </c>
      <c r="E88">
        <f>$C88*VLOOKUP($B88,FoodDB!$A$2:$I$1014,4,0)</f>
        <v>7</v>
      </c>
      <c r="F88">
        <f>$C88*VLOOKUP($B88,FoodDB!$A$2:$I$1014,5,0)</f>
        <v>4.2</v>
      </c>
      <c r="G88">
        <f>$C88*VLOOKUP($B88,FoodDB!$A$2:$I$1014,6,0)</f>
        <v>0</v>
      </c>
      <c r="H88">
        <f>$C88*VLOOKUP($B88,FoodDB!$A$2:$I$1014,7,0)</f>
        <v>28</v>
      </c>
      <c r="I88">
        <f>$C88*VLOOKUP($B88,FoodDB!$A$2:$I$1014,8,0)</f>
        <v>16.8</v>
      </c>
      <c r="J88">
        <f>$C88*VLOOKUP($B88,FoodDB!$A$2:$I$1014,9,0)</f>
        <v>44.800000000000004</v>
      </c>
    </row>
    <row r="89" spans="1:23" x14ac:dyDescent="0.25">
      <c r="B89" s="99" t="s">
        <v>107</v>
      </c>
      <c r="C89" s="100">
        <v>0</v>
      </c>
      <c r="D89">
        <f>$C89*VLOOKUP($B89,FoodDB!$A$2:$I$1014,3,0)</f>
        <v>0</v>
      </c>
      <c r="E89">
        <f>$C89*VLOOKUP($B89,FoodDB!$A$2:$I$1014,4,0)</f>
        <v>0</v>
      </c>
      <c r="F89">
        <f>$C89*VLOOKUP($B89,FoodDB!$A$2:$I$1014,5,0)</f>
        <v>0</v>
      </c>
      <c r="G89">
        <f>$C89*VLOOKUP($B89,FoodDB!$A$2:$I$1014,6,0)</f>
        <v>0</v>
      </c>
      <c r="H89">
        <f>$C89*VLOOKUP($B89,FoodDB!$A$2:$I$1014,7,0)</f>
        <v>0</v>
      </c>
      <c r="I89">
        <f>$C89*VLOOKUP($B89,FoodDB!$A$2:$I$1014,8,0)</f>
        <v>0</v>
      </c>
      <c r="J89">
        <f>$C89*VLOOKUP($B89,FoodDB!$A$2:$I$1014,9,0)</f>
        <v>0</v>
      </c>
    </row>
    <row r="90" spans="1:23" x14ac:dyDescent="0.25">
      <c r="B90" s="99" t="s">
        <v>107</v>
      </c>
      <c r="C90" s="100">
        <v>0</v>
      </c>
      <c r="D90">
        <f>$C90*VLOOKUP($B90,FoodDB!$A$2:$I$1014,3,0)</f>
        <v>0</v>
      </c>
      <c r="E90">
        <f>$C90*VLOOKUP($B90,FoodDB!$A$2:$I$1014,4,0)</f>
        <v>0</v>
      </c>
      <c r="F90">
        <f>$C90*VLOOKUP($B90,FoodDB!$A$2:$I$1014,5,0)</f>
        <v>0</v>
      </c>
      <c r="G90">
        <f>$C90*VLOOKUP($B90,FoodDB!$A$2:$I$1014,6,0)</f>
        <v>0</v>
      </c>
      <c r="H90">
        <f>$C90*VLOOKUP($B90,FoodDB!$A$2:$I$1014,7,0)</f>
        <v>0</v>
      </c>
      <c r="I90">
        <f>$C90*VLOOKUP($B90,FoodDB!$A$2:$I$1014,8,0)</f>
        <v>0</v>
      </c>
      <c r="J90">
        <f>$C90*VLOOKUP($B90,FoodDB!$A$2:$I$1014,9,0)</f>
        <v>0</v>
      </c>
    </row>
    <row r="91" spans="1:23" x14ac:dyDescent="0.25">
      <c r="B91" s="99" t="s">
        <v>107</v>
      </c>
      <c r="C91" s="100">
        <v>0</v>
      </c>
      <c r="D91">
        <f>$C91*VLOOKUP($B91,FoodDB!$A$2:$I$1014,3,0)</f>
        <v>0</v>
      </c>
      <c r="E91">
        <f>$C91*VLOOKUP($B91,FoodDB!$A$2:$I$1014,4,0)</f>
        <v>0</v>
      </c>
      <c r="F91">
        <f>$C91*VLOOKUP($B91,FoodDB!$A$2:$I$1014,5,0)</f>
        <v>0</v>
      </c>
      <c r="G91">
        <f>$C91*VLOOKUP($B91,FoodDB!$A$2:$I$1014,6,0)</f>
        <v>0</v>
      </c>
      <c r="H91">
        <f>$C91*VLOOKUP($B91,FoodDB!$A$2:$I$1014,7,0)</f>
        <v>0</v>
      </c>
      <c r="I91">
        <f>$C91*VLOOKUP($B91,FoodDB!$A$2:$I$1014,8,0)</f>
        <v>0</v>
      </c>
      <c r="J91">
        <f>$C91*VLOOKUP($B91,FoodDB!$A$2:$I$1014,9,0)</f>
        <v>0</v>
      </c>
    </row>
    <row r="92" spans="1:23" x14ac:dyDescent="0.25">
      <c r="A92" t="s">
        <v>97</v>
      </c>
      <c r="G92">
        <f>SUM(G85:G91)</f>
        <v>493.92</v>
      </c>
      <c r="H92">
        <f>SUM(H85:H91)</f>
        <v>28</v>
      </c>
      <c r="I92">
        <f>SUM(I85:I91)</f>
        <v>458.40000000000003</v>
      </c>
      <c r="J92">
        <f>SUM(G92:I92)</f>
        <v>980.32000000000016</v>
      </c>
    </row>
    <row r="93" spans="1:23" x14ac:dyDescent="0.25">
      <c r="A93" t="s">
        <v>101</v>
      </c>
      <c r="B93" t="s">
        <v>102</v>
      </c>
      <c r="E93" s="103"/>
      <c r="F93" s="103"/>
      <c r="G93" s="103">
        <f>VLOOKUP($A85,LossChart!$A$3:$AB$105,14,0)</f>
        <v>366.33270229694517</v>
      </c>
      <c r="H93" s="103">
        <f>VLOOKUP($A85,LossChart!$A$3:$AB$105,15,0)</f>
        <v>80</v>
      </c>
      <c r="I93" s="103">
        <f>VLOOKUP($A85,LossChart!$A$3:$AB$105,16,0)</f>
        <v>477.30407413615825</v>
      </c>
      <c r="J93" s="103">
        <f>VLOOKUP($A85,LossChart!$A$3:$AB$105,17,0)</f>
        <v>923.63677643310348</v>
      </c>
      <c r="K93" s="103"/>
    </row>
    <row r="94" spans="1:23" x14ac:dyDescent="0.25">
      <c r="A94" t="s">
        <v>103</v>
      </c>
      <c r="G94">
        <f>G93-G92</f>
        <v>-127.58729770305484</v>
      </c>
      <c r="H94">
        <f>H93-H92</f>
        <v>52</v>
      </c>
      <c r="I94">
        <f>I93-I92</f>
        <v>18.904074136158215</v>
      </c>
      <c r="J94">
        <f>J93-J92</f>
        <v>-56.683223566896686</v>
      </c>
    </row>
    <row r="96" spans="1:23" ht="60" x14ac:dyDescent="0.25">
      <c r="A96" s="26" t="s">
        <v>63</v>
      </c>
      <c r="B96" s="26" t="s">
        <v>92</v>
      </c>
      <c r="C96" s="26" t="s">
        <v>93</v>
      </c>
      <c r="D96" s="97" t="str">
        <f>FoodDB!$C$1</f>
        <v>Fat
(g)</v>
      </c>
      <c r="E96" s="97" t="str">
        <f>FoodDB!$D$1</f>
        <v xml:space="preserve"> Carbs
(g)</v>
      </c>
      <c r="F96" s="97" t="str">
        <f>FoodDB!$E$1</f>
        <v>Protein
(g)</v>
      </c>
      <c r="G96" s="97" t="str">
        <f>FoodDB!$F$1</f>
        <v>Fat
(Cal)</v>
      </c>
      <c r="H96" s="97" t="str">
        <f>FoodDB!$G$1</f>
        <v>Carb
(Cal)</v>
      </c>
      <c r="I96" s="97" t="str">
        <f>FoodDB!$H$1</f>
        <v>Protein
(Cal)</v>
      </c>
      <c r="J96" s="97" t="str">
        <f>FoodDB!$I$1</f>
        <v>Total
Calories</v>
      </c>
      <c r="K96" s="97"/>
      <c r="L96" s="97" t="s">
        <v>109</v>
      </c>
      <c r="M96" s="97" t="s">
        <v>110</v>
      </c>
      <c r="N96" s="97" t="s">
        <v>111</v>
      </c>
      <c r="O96" s="97" t="s">
        <v>112</v>
      </c>
      <c r="P96" s="97" t="s">
        <v>117</v>
      </c>
      <c r="Q96" s="97" t="s">
        <v>118</v>
      </c>
      <c r="R96" s="97" t="s">
        <v>119</v>
      </c>
      <c r="S96" s="97" t="s">
        <v>120</v>
      </c>
      <c r="T96" s="97"/>
      <c r="U96" s="97"/>
      <c r="V96" s="97"/>
      <c r="W96" s="97"/>
    </row>
    <row r="97" spans="1:23" x14ac:dyDescent="0.25">
      <c r="A97" s="98">
        <f>A85+1</f>
        <v>43002</v>
      </c>
      <c r="B97" s="99" t="s">
        <v>104</v>
      </c>
      <c r="C97" s="100">
        <v>1.2</v>
      </c>
      <c r="D97">
        <f>$C97*VLOOKUP($B97,FoodDB!$A$2:$I$1014,3,0)</f>
        <v>0.96</v>
      </c>
      <c r="E97">
        <f>$C97*VLOOKUP($B97,FoodDB!$A$2:$I$1014,4,0)</f>
        <v>0</v>
      </c>
      <c r="F97">
        <f>$C97*VLOOKUP($B97,FoodDB!$A$2:$I$1014,5,0)</f>
        <v>40.799999999999997</v>
      </c>
      <c r="G97">
        <f>$C97*VLOOKUP($B97,FoodDB!$A$2:$I$1014,6,0)</f>
        <v>8.64</v>
      </c>
      <c r="H97">
        <f>$C97*VLOOKUP($B97,FoodDB!$A$2:$I$1014,7,0)</f>
        <v>0</v>
      </c>
      <c r="I97">
        <f>$C97*VLOOKUP($B97,FoodDB!$A$2:$I$1014,8,0)</f>
        <v>163.19999999999999</v>
      </c>
      <c r="J97">
        <f>$C97*VLOOKUP($B97,FoodDB!$A$2:$I$1014,9,0)</f>
        <v>171.83999999999997</v>
      </c>
      <c r="L97">
        <f>SUM(G97:G103)</f>
        <v>402.12</v>
      </c>
      <c r="M97">
        <f>SUM(H97:H103)</f>
        <v>80.571428571428569</v>
      </c>
      <c r="N97">
        <f>SUM(I97:I103)</f>
        <v>444.20571428571429</v>
      </c>
      <c r="O97">
        <f>SUM(L97:N97)</f>
        <v>926.89714285714285</v>
      </c>
      <c r="P97" s="103">
        <f>VLOOKUP($A97,LossChart!$A$3:$AB$105,14,0)-L97</f>
        <v>-27.83004568916806</v>
      </c>
      <c r="Q97" s="103">
        <f>VLOOKUP($A97,LossChart!$A$3:$AB$105,15,0)-M97</f>
        <v>-0.5714285714285694</v>
      </c>
      <c r="R97" s="103">
        <f>VLOOKUP($A97,LossChart!$A$3:$AB$105,16,0)-N97</f>
        <v>33.098359850443956</v>
      </c>
      <c r="S97" s="103">
        <f>VLOOKUP($A97,LossChart!$A$3:$AB$105,17,0)-O97</f>
        <v>4.6968855898473976</v>
      </c>
      <c r="T97" s="103"/>
      <c r="U97" s="103"/>
      <c r="V97" s="103"/>
      <c r="W97" s="103"/>
    </row>
    <row r="98" spans="1:23" x14ac:dyDescent="0.25">
      <c r="B98" s="99" t="s">
        <v>98</v>
      </c>
      <c r="C98" s="100">
        <v>4</v>
      </c>
      <c r="D98">
        <f>$C98*VLOOKUP($B98,FoodDB!$A$2:$I$1014,3,0)</f>
        <v>24.72</v>
      </c>
      <c r="E98">
        <f>$C98*VLOOKUP($B98,FoodDB!$A$2:$I$1014,4,0)</f>
        <v>0</v>
      </c>
      <c r="F98">
        <f>$C98*VLOOKUP($B98,FoodDB!$A$2:$I$1014,5,0)</f>
        <v>34.08</v>
      </c>
      <c r="G98">
        <f>$C98*VLOOKUP($B98,FoodDB!$A$2:$I$1014,6,0)</f>
        <v>222.48</v>
      </c>
      <c r="H98">
        <f>$C98*VLOOKUP($B98,FoodDB!$A$2:$I$1014,7,0)</f>
        <v>0</v>
      </c>
      <c r="I98">
        <f>$C98*VLOOKUP($B98,FoodDB!$A$2:$I$1014,8,0)</f>
        <v>136.32</v>
      </c>
      <c r="J98">
        <f>$C98*VLOOKUP($B98,FoodDB!$A$2:$I$1014,9,0)</f>
        <v>358.79999999999995</v>
      </c>
    </row>
    <row r="99" spans="1:23" x14ac:dyDescent="0.25">
      <c r="B99" s="99" t="s">
        <v>99</v>
      </c>
      <c r="C99" s="100">
        <v>7</v>
      </c>
      <c r="D99">
        <f>$C99*VLOOKUP($B99,FoodDB!$A$2:$I$1014,3,0)</f>
        <v>0</v>
      </c>
      <c r="E99">
        <f>$C99*VLOOKUP($B99,FoodDB!$A$2:$I$1014,4,0)</f>
        <v>7</v>
      </c>
      <c r="F99">
        <f>$C99*VLOOKUP($B99,FoodDB!$A$2:$I$1014,5,0)</f>
        <v>4.2</v>
      </c>
      <c r="G99">
        <f>$C99*VLOOKUP($B99,FoodDB!$A$2:$I$1014,6,0)</f>
        <v>0</v>
      </c>
      <c r="H99">
        <f>$C99*VLOOKUP($B99,FoodDB!$A$2:$I$1014,7,0)</f>
        <v>28</v>
      </c>
      <c r="I99">
        <f>$C99*VLOOKUP($B99,FoodDB!$A$2:$I$1014,8,0)</f>
        <v>16.8</v>
      </c>
      <c r="J99">
        <f>$C99*VLOOKUP($B99,FoodDB!$A$2:$I$1014,9,0)</f>
        <v>44.800000000000004</v>
      </c>
    </row>
    <row r="100" spans="1:23" x14ac:dyDescent="0.25">
      <c r="B100" s="99" t="s">
        <v>96</v>
      </c>
      <c r="C100" s="100">
        <v>2</v>
      </c>
      <c r="D100">
        <f>$C100*VLOOKUP($B100,FoodDB!$A$2:$I$1014,3,0)</f>
        <v>18</v>
      </c>
      <c r="E100">
        <f>$C100*VLOOKUP($B100,FoodDB!$A$2:$I$1014,4,0)</f>
        <v>4</v>
      </c>
      <c r="F100">
        <f>$C100*VLOOKUP($B100,FoodDB!$A$2:$I$1014,5,0)</f>
        <v>9.4</v>
      </c>
      <c r="G100">
        <f>$C100*VLOOKUP($B100,FoodDB!$A$2:$I$1014,6,0)</f>
        <v>162</v>
      </c>
      <c r="H100">
        <f>$C100*VLOOKUP($B100,FoodDB!$A$2:$I$1014,7,0)</f>
        <v>16</v>
      </c>
      <c r="I100">
        <f>$C100*VLOOKUP($B100,FoodDB!$A$2:$I$1014,8,0)</f>
        <v>37.6</v>
      </c>
      <c r="J100">
        <f>$C100*VLOOKUP($B100,FoodDB!$A$2:$I$1014,9,0)</f>
        <v>215.6</v>
      </c>
    </row>
    <row r="101" spans="1:23" x14ac:dyDescent="0.25">
      <c r="B101" s="99" t="s">
        <v>95</v>
      </c>
      <c r="C101" s="100">
        <v>8</v>
      </c>
      <c r="D101">
        <f>$C101*VLOOKUP($B101,FoodDB!$A$2:$I$1014,3,0)</f>
        <v>0</v>
      </c>
      <c r="E101">
        <f>$C101*VLOOKUP($B101,FoodDB!$A$2:$I$1014,4,0)</f>
        <v>5.1428571428571432</v>
      </c>
      <c r="F101">
        <f>$C101*VLOOKUP($B101,FoodDB!$A$2:$I$1014,5,0)</f>
        <v>2.5714285714285716</v>
      </c>
      <c r="G101">
        <f>$C101*VLOOKUP($B101,FoodDB!$A$2:$I$1014,6,0)</f>
        <v>0</v>
      </c>
      <c r="H101">
        <f>$C101*VLOOKUP($B101,FoodDB!$A$2:$I$1014,7,0)</f>
        <v>20.571428571428573</v>
      </c>
      <c r="I101">
        <f>$C101*VLOOKUP($B101,FoodDB!$A$2:$I$1014,8,0)</f>
        <v>10.285714285714286</v>
      </c>
      <c r="J101">
        <f>$C101*VLOOKUP($B101,FoodDB!$A$2:$I$1014,9,0)</f>
        <v>30.857142857142861</v>
      </c>
    </row>
    <row r="102" spans="1:23" x14ac:dyDescent="0.25">
      <c r="B102" s="99" t="s">
        <v>123</v>
      </c>
      <c r="C102" s="100">
        <v>2</v>
      </c>
      <c r="D102">
        <f>$C102*VLOOKUP($B102,FoodDB!$A$2:$I$1014,3,0)</f>
        <v>1</v>
      </c>
      <c r="E102">
        <f>$C102*VLOOKUP($B102,FoodDB!$A$2:$I$1014,4,0)</f>
        <v>4</v>
      </c>
      <c r="F102">
        <f>$C102*VLOOKUP($B102,FoodDB!$A$2:$I$1014,5,0)</f>
        <v>20</v>
      </c>
      <c r="G102">
        <f>$C102*VLOOKUP($B102,FoodDB!$A$2:$I$1014,6,0)</f>
        <v>9</v>
      </c>
      <c r="H102">
        <f>$C102*VLOOKUP($B102,FoodDB!$A$2:$I$1014,7,0)</f>
        <v>16</v>
      </c>
      <c r="I102">
        <f>$C102*VLOOKUP($B102,FoodDB!$A$2:$I$1014,8,0)</f>
        <v>80</v>
      </c>
      <c r="J102">
        <f>$C102*VLOOKUP($B102,FoodDB!$A$2:$I$1014,9,0)</f>
        <v>105</v>
      </c>
    </row>
    <row r="103" spans="1:23" x14ac:dyDescent="0.25">
      <c r="B103" s="99" t="s">
        <v>107</v>
      </c>
      <c r="C103" s="100">
        <v>0</v>
      </c>
      <c r="D103">
        <f>$C103*VLOOKUP($B103,FoodDB!$A$2:$I$1014,3,0)</f>
        <v>0</v>
      </c>
      <c r="E103">
        <f>$C103*VLOOKUP($B103,FoodDB!$A$2:$I$1014,4,0)</f>
        <v>0</v>
      </c>
      <c r="F103">
        <f>$C103*VLOOKUP($B103,FoodDB!$A$2:$I$1014,5,0)</f>
        <v>0</v>
      </c>
      <c r="G103">
        <f>$C103*VLOOKUP($B103,FoodDB!$A$2:$I$1014,6,0)</f>
        <v>0</v>
      </c>
      <c r="H103">
        <f>$C103*VLOOKUP($B103,FoodDB!$A$2:$I$1014,7,0)</f>
        <v>0</v>
      </c>
      <c r="I103">
        <f>$C103*VLOOKUP($B103,FoodDB!$A$2:$I$1014,8,0)</f>
        <v>0</v>
      </c>
      <c r="J103">
        <f>$C103*VLOOKUP($B103,FoodDB!$A$2:$I$1014,9,0)</f>
        <v>0</v>
      </c>
    </row>
    <row r="104" spans="1:23" x14ac:dyDescent="0.25">
      <c r="A104" t="s">
        <v>97</v>
      </c>
      <c r="G104">
        <f>SUM(G97:G103)</f>
        <v>402.12</v>
      </c>
      <c r="H104">
        <f>SUM(H97:H103)</f>
        <v>80.571428571428569</v>
      </c>
      <c r="I104">
        <f>SUM(I97:I103)</f>
        <v>444.20571428571429</v>
      </c>
      <c r="J104">
        <f>SUM(G104:I104)</f>
        <v>926.89714285714285</v>
      </c>
    </row>
    <row r="105" spans="1:23" x14ac:dyDescent="0.25">
      <c r="A105" t="s">
        <v>101</v>
      </c>
      <c r="B105" t="s">
        <v>102</v>
      </c>
      <c r="E105" s="103"/>
      <c r="F105" s="103"/>
      <c r="G105" s="103">
        <f>VLOOKUP($A97,LossChart!$A$3:$AB$105,14,0)</f>
        <v>374.28995431083194</v>
      </c>
      <c r="H105" s="103">
        <f>VLOOKUP($A97,LossChart!$A$3:$AB$105,15,0)</f>
        <v>80</v>
      </c>
      <c r="I105" s="103">
        <f>VLOOKUP($A97,LossChart!$A$3:$AB$105,16,0)</f>
        <v>477.30407413615825</v>
      </c>
      <c r="J105" s="103">
        <f>VLOOKUP($A97,LossChart!$A$3:$AB$105,17,0)</f>
        <v>931.59402844699025</v>
      </c>
      <c r="K105" s="103"/>
    </row>
    <row r="106" spans="1:23" x14ac:dyDescent="0.25">
      <c r="A106" t="s">
        <v>103</v>
      </c>
      <c r="G106">
        <f>G105-G104</f>
        <v>-27.83004568916806</v>
      </c>
      <c r="H106">
        <f>H105-H104</f>
        <v>-0.5714285714285694</v>
      </c>
      <c r="I106">
        <f>I105-I104</f>
        <v>33.098359850443956</v>
      </c>
      <c r="J106">
        <f>J105-J104</f>
        <v>4.6968855898473976</v>
      </c>
    </row>
    <row r="108" spans="1:23" ht="60" x14ac:dyDescent="0.25">
      <c r="A108" s="26" t="s">
        <v>63</v>
      </c>
      <c r="B108" s="26" t="s">
        <v>92</v>
      </c>
      <c r="C108" s="26" t="s">
        <v>93</v>
      </c>
      <c r="D108" s="97" t="str">
        <f>FoodDB!$C$1</f>
        <v>Fat
(g)</v>
      </c>
      <c r="E108" s="97" t="str">
        <f>FoodDB!$D$1</f>
        <v xml:space="preserve"> Carbs
(g)</v>
      </c>
      <c r="F108" s="97" t="str">
        <f>FoodDB!$E$1</f>
        <v>Protein
(g)</v>
      </c>
      <c r="G108" s="97" t="str">
        <f>FoodDB!$F$1</f>
        <v>Fat
(Cal)</v>
      </c>
      <c r="H108" s="97" t="str">
        <f>FoodDB!$G$1</f>
        <v>Carb
(Cal)</v>
      </c>
      <c r="I108" s="97" t="str">
        <f>FoodDB!$H$1</f>
        <v>Protein
(Cal)</v>
      </c>
      <c r="J108" s="97" t="str">
        <f>FoodDB!$I$1</f>
        <v>Total
Calories</v>
      </c>
      <c r="K108" s="97"/>
      <c r="L108" s="97" t="s">
        <v>109</v>
      </c>
      <c r="M108" s="97" t="s">
        <v>110</v>
      </c>
      <c r="N108" s="97" t="s">
        <v>111</v>
      </c>
      <c r="O108" s="97" t="s">
        <v>112</v>
      </c>
      <c r="P108" s="97" t="s">
        <v>117</v>
      </c>
      <c r="Q108" s="97" t="s">
        <v>118</v>
      </c>
      <c r="R108" s="97" t="s">
        <v>119</v>
      </c>
      <c r="S108" s="97" t="s">
        <v>120</v>
      </c>
      <c r="T108" s="97"/>
      <c r="U108" s="97"/>
      <c r="V108" s="97"/>
      <c r="W108" s="97"/>
    </row>
    <row r="109" spans="1:23" x14ac:dyDescent="0.25">
      <c r="A109" s="98">
        <f>A97+1</f>
        <v>43003</v>
      </c>
      <c r="B109" s="99" t="s">
        <v>94</v>
      </c>
      <c r="C109" s="100">
        <v>1</v>
      </c>
      <c r="D109">
        <f>$C109*VLOOKUP($B109,FoodDB!$A$2:$I$1014,3,0)</f>
        <v>0.5</v>
      </c>
      <c r="E109">
        <f>$C109*VLOOKUP($B109,FoodDB!$A$2:$I$1014,4,0)</f>
        <v>0</v>
      </c>
      <c r="F109">
        <f>$C109*VLOOKUP($B109,FoodDB!$A$2:$I$1014,5,0)</f>
        <v>50</v>
      </c>
      <c r="G109">
        <f>$C109*VLOOKUP($B109,FoodDB!$A$2:$I$1014,6,0)</f>
        <v>4.5</v>
      </c>
      <c r="H109">
        <f>$C109*VLOOKUP($B109,FoodDB!$A$2:$I$1014,7,0)</f>
        <v>0</v>
      </c>
      <c r="I109">
        <f>$C109*VLOOKUP($B109,FoodDB!$A$2:$I$1014,8,0)</f>
        <v>200</v>
      </c>
      <c r="J109">
        <f>$C109*VLOOKUP($B109,FoodDB!$A$2:$I$1014,9,0)</f>
        <v>204.5</v>
      </c>
      <c r="L109">
        <f>SUM(G109:G115)</f>
        <v>462.59999999999997</v>
      </c>
      <c r="M109">
        <f>SUM(H109:H115)</f>
        <v>52.571428571428569</v>
      </c>
      <c r="N109">
        <f>SUM(I109:I115)</f>
        <v>498.28571428571428</v>
      </c>
      <c r="O109">
        <f>SUM(L109:N109)</f>
        <v>1013.4571428571428</v>
      </c>
      <c r="P109" s="103">
        <f>VLOOKUP($A109,LossChart!$A$3:$AB$105,14,0)-L109</f>
        <v>-80.122737789563473</v>
      </c>
      <c r="Q109" s="103">
        <f>VLOOKUP($A109,LossChart!$A$3:$AB$105,15,0)-M109</f>
        <v>27.428571428571431</v>
      </c>
      <c r="R109" s="103">
        <f>VLOOKUP($A109,LossChart!$A$3:$AB$105,16,0)-N109</f>
        <v>-20.981640149556029</v>
      </c>
      <c r="S109" s="103">
        <f>VLOOKUP($A109,LossChart!$A$3:$AB$105,17,0)-O109</f>
        <v>-73.675806510548</v>
      </c>
      <c r="T109" s="103"/>
      <c r="U109" s="103"/>
      <c r="V109" s="103"/>
      <c r="W109" s="103"/>
    </row>
    <row r="110" spans="1:23" x14ac:dyDescent="0.25">
      <c r="B110" s="99" t="s">
        <v>98</v>
      </c>
      <c r="C110" s="100">
        <v>5</v>
      </c>
      <c r="D110">
        <f>$C110*VLOOKUP($B110,FoodDB!$A$2:$I$1014,3,0)</f>
        <v>30.9</v>
      </c>
      <c r="E110">
        <f>$C110*VLOOKUP($B110,FoodDB!$A$2:$I$1014,4,0)</f>
        <v>0</v>
      </c>
      <c r="F110">
        <f>$C110*VLOOKUP($B110,FoodDB!$A$2:$I$1014,5,0)</f>
        <v>42.599999999999994</v>
      </c>
      <c r="G110">
        <f>$C110*VLOOKUP($B110,FoodDB!$A$2:$I$1014,6,0)</f>
        <v>278.09999999999997</v>
      </c>
      <c r="H110">
        <f>$C110*VLOOKUP($B110,FoodDB!$A$2:$I$1014,7,0)</f>
        <v>0</v>
      </c>
      <c r="I110">
        <f>$C110*VLOOKUP($B110,FoodDB!$A$2:$I$1014,8,0)</f>
        <v>170.39999999999998</v>
      </c>
      <c r="J110">
        <f>$C110*VLOOKUP($B110,FoodDB!$A$2:$I$1014,9,0)</f>
        <v>448.49999999999994</v>
      </c>
    </row>
    <row r="111" spans="1:23" x14ac:dyDescent="0.25">
      <c r="B111" s="99" t="s">
        <v>106</v>
      </c>
      <c r="C111" s="100">
        <v>2</v>
      </c>
      <c r="D111">
        <f>$C111*VLOOKUP($B111,FoodDB!$A$2:$I$1014,3,0)</f>
        <v>1</v>
      </c>
      <c r="E111">
        <f>$C111*VLOOKUP($B111,FoodDB!$A$2:$I$1014,4,0)</f>
        <v>0</v>
      </c>
      <c r="F111">
        <f>$C111*VLOOKUP($B111,FoodDB!$A$2:$I$1014,5,0)</f>
        <v>0</v>
      </c>
      <c r="G111">
        <f>$C111*VLOOKUP($B111,FoodDB!$A$2:$I$1014,6,0)</f>
        <v>9</v>
      </c>
      <c r="H111">
        <f>$C111*VLOOKUP($B111,FoodDB!$A$2:$I$1014,7,0)</f>
        <v>0</v>
      </c>
      <c r="I111">
        <f>$C111*VLOOKUP($B111,FoodDB!$A$2:$I$1014,8,0)</f>
        <v>0</v>
      </c>
      <c r="J111">
        <f>$C111*VLOOKUP($B111,FoodDB!$A$2:$I$1014,9,0)</f>
        <v>9</v>
      </c>
    </row>
    <row r="112" spans="1:23" x14ac:dyDescent="0.25">
      <c r="B112" s="99" t="s">
        <v>123</v>
      </c>
      <c r="C112" s="100">
        <v>2</v>
      </c>
      <c r="D112">
        <f>$C112*VLOOKUP($B112,FoodDB!$A$2:$I$1014,3,0)</f>
        <v>1</v>
      </c>
      <c r="E112">
        <f>$C112*VLOOKUP($B112,FoodDB!$A$2:$I$1014,4,0)</f>
        <v>4</v>
      </c>
      <c r="F112">
        <f>$C112*VLOOKUP($B112,FoodDB!$A$2:$I$1014,5,0)</f>
        <v>20</v>
      </c>
      <c r="G112">
        <f>$C112*VLOOKUP($B112,FoodDB!$A$2:$I$1014,6,0)</f>
        <v>9</v>
      </c>
      <c r="H112">
        <f>$C112*VLOOKUP($B112,FoodDB!$A$2:$I$1014,7,0)</f>
        <v>16</v>
      </c>
      <c r="I112">
        <f>$C112*VLOOKUP($B112,FoodDB!$A$2:$I$1014,8,0)</f>
        <v>80</v>
      </c>
      <c r="J112">
        <f>$C112*VLOOKUP($B112,FoodDB!$A$2:$I$1014,9,0)</f>
        <v>105</v>
      </c>
    </row>
    <row r="113" spans="1:19" x14ac:dyDescent="0.25">
      <c r="B113" s="99" t="s">
        <v>95</v>
      </c>
      <c r="C113" s="100">
        <v>8</v>
      </c>
      <c r="D113">
        <f>$C113*VLOOKUP($B113,FoodDB!$A$2:$I$1014,3,0)</f>
        <v>0</v>
      </c>
      <c r="E113">
        <f>$C113*VLOOKUP($B113,FoodDB!$A$2:$I$1014,4,0)</f>
        <v>5.1428571428571432</v>
      </c>
      <c r="F113">
        <f>$C113*VLOOKUP($B113,FoodDB!$A$2:$I$1014,5,0)</f>
        <v>2.5714285714285716</v>
      </c>
      <c r="G113">
        <f>$C113*VLOOKUP($B113,FoodDB!$A$2:$I$1014,6,0)</f>
        <v>0</v>
      </c>
      <c r="H113">
        <f>$C113*VLOOKUP($B113,FoodDB!$A$2:$I$1014,7,0)</f>
        <v>20.571428571428573</v>
      </c>
      <c r="I113">
        <f>$C113*VLOOKUP($B113,FoodDB!$A$2:$I$1014,8,0)</f>
        <v>10.285714285714286</v>
      </c>
      <c r="J113">
        <f>$C113*VLOOKUP($B113,FoodDB!$A$2:$I$1014,9,0)</f>
        <v>30.857142857142861</v>
      </c>
    </row>
    <row r="114" spans="1:19" x14ac:dyDescent="0.25">
      <c r="B114" s="99" t="s">
        <v>96</v>
      </c>
      <c r="C114" s="100">
        <v>2</v>
      </c>
      <c r="D114">
        <f>$C114*VLOOKUP($B114,FoodDB!$A$2:$I$1014,3,0)</f>
        <v>18</v>
      </c>
      <c r="E114">
        <f>$C114*VLOOKUP($B114,FoodDB!$A$2:$I$1014,4,0)</f>
        <v>4</v>
      </c>
      <c r="F114">
        <f>$C114*VLOOKUP($B114,FoodDB!$A$2:$I$1014,5,0)</f>
        <v>9.4</v>
      </c>
      <c r="G114">
        <f>$C114*VLOOKUP($B114,FoodDB!$A$2:$I$1014,6,0)</f>
        <v>162</v>
      </c>
      <c r="H114">
        <f>$C114*VLOOKUP($B114,FoodDB!$A$2:$I$1014,7,0)</f>
        <v>16</v>
      </c>
      <c r="I114">
        <f>$C114*VLOOKUP($B114,FoodDB!$A$2:$I$1014,8,0)</f>
        <v>37.6</v>
      </c>
      <c r="J114">
        <f>$C114*VLOOKUP($B114,FoodDB!$A$2:$I$1014,9,0)</f>
        <v>215.6</v>
      </c>
    </row>
    <row r="115" spans="1:19" x14ac:dyDescent="0.25">
      <c r="B115" s="99" t="s">
        <v>107</v>
      </c>
      <c r="C115" s="100">
        <v>0</v>
      </c>
      <c r="D115">
        <f>$C115*VLOOKUP($B115,FoodDB!$A$2:$I$1014,3,0)</f>
        <v>0</v>
      </c>
      <c r="E115">
        <f>$C115*VLOOKUP($B115,FoodDB!$A$2:$I$1014,4,0)</f>
        <v>0</v>
      </c>
      <c r="F115">
        <f>$C115*VLOOKUP($B115,FoodDB!$A$2:$I$1014,5,0)</f>
        <v>0</v>
      </c>
      <c r="G115">
        <f>$C115*VLOOKUP($B115,FoodDB!$A$2:$I$1014,6,0)</f>
        <v>0</v>
      </c>
      <c r="H115">
        <f>$C115*VLOOKUP($B115,FoodDB!$A$2:$I$1014,7,0)</f>
        <v>0</v>
      </c>
      <c r="I115">
        <f>$C115*VLOOKUP($B115,FoodDB!$A$2:$I$1014,8,0)</f>
        <v>0</v>
      </c>
      <c r="J115">
        <f>$C115*VLOOKUP($B115,FoodDB!$A$2:$I$1014,9,0)</f>
        <v>0</v>
      </c>
    </row>
    <row r="116" spans="1:19" x14ac:dyDescent="0.25">
      <c r="A116" t="s">
        <v>97</v>
      </c>
      <c r="G116">
        <f>SUM(G109:G115)</f>
        <v>462.59999999999997</v>
      </c>
      <c r="H116">
        <f>SUM(H109:H115)</f>
        <v>52.571428571428569</v>
      </c>
      <c r="I116">
        <f>SUM(I109:I115)</f>
        <v>498.28571428571428</v>
      </c>
      <c r="J116">
        <f>SUM(G116:I116)</f>
        <v>1013.4571428571428</v>
      </c>
    </row>
    <row r="117" spans="1:19" x14ac:dyDescent="0.25">
      <c r="A117" t="s">
        <v>101</v>
      </c>
      <c r="B117" t="s">
        <v>102</v>
      </c>
      <c r="E117" s="103"/>
      <c r="F117" s="103"/>
      <c r="G117" s="103">
        <f>VLOOKUP($A109,LossChart!$A$3:$AB$105,14,0)</f>
        <v>382.47726221043649</v>
      </c>
      <c r="H117" s="103">
        <f>VLOOKUP($A109,LossChart!$A$3:$AB$105,15,0)</f>
        <v>80</v>
      </c>
      <c r="I117" s="103">
        <f>VLOOKUP($A109,LossChart!$A$3:$AB$105,16,0)</f>
        <v>477.30407413615825</v>
      </c>
      <c r="J117" s="103">
        <f>VLOOKUP($A109,LossChart!$A$3:$AB$105,17,0)</f>
        <v>939.7813363465948</v>
      </c>
      <c r="K117" s="103"/>
    </row>
    <row r="118" spans="1:19" x14ac:dyDescent="0.25">
      <c r="A118" t="s">
        <v>103</v>
      </c>
      <c r="G118">
        <f>G117-G116</f>
        <v>-80.122737789563473</v>
      </c>
      <c r="H118">
        <f>H117-H116</f>
        <v>27.428571428571431</v>
      </c>
      <c r="I118">
        <f>I117-I116</f>
        <v>-20.981640149556029</v>
      </c>
      <c r="J118">
        <f>J117-J116</f>
        <v>-73.675806510548</v>
      </c>
    </row>
    <row r="120" spans="1:19" ht="60" x14ac:dyDescent="0.25">
      <c r="A120" s="26" t="s">
        <v>63</v>
      </c>
      <c r="B120" s="26" t="s">
        <v>92</v>
      </c>
      <c r="C120" s="26" t="s">
        <v>93</v>
      </c>
      <c r="D120" s="97" t="str">
        <f>FoodDB!$C$1</f>
        <v>Fat
(g)</v>
      </c>
      <c r="E120" s="97" t="str">
        <f>FoodDB!$D$1</f>
        <v xml:space="preserve"> Carbs
(g)</v>
      </c>
      <c r="F120" s="97" t="str">
        <f>FoodDB!$E$1</f>
        <v>Protein
(g)</v>
      </c>
      <c r="G120" s="97" t="str">
        <f>FoodDB!$F$1</f>
        <v>Fat
(Cal)</v>
      </c>
      <c r="H120" s="97" t="str">
        <f>FoodDB!$G$1</f>
        <v>Carb
(Cal)</v>
      </c>
      <c r="I120" s="97" t="str">
        <f>FoodDB!$H$1</f>
        <v>Protein
(Cal)</v>
      </c>
      <c r="J120" s="97" t="str">
        <f>FoodDB!$I$1</f>
        <v>Total
Calories</v>
      </c>
      <c r="K120" s="97"/>
      <c r="L120" s="97" t="s">
        <v>109</v>
      </c>
      <c r="M120" s="97" t="s">
        <v>110</v>
      </c>
      <c r="N120" s="97" t="s">
        <v>111</v>
      </c>
      <c r="O120" s="97" t="s">
        <v>112</v>
      </c>
      <c r="P120" s="97" t="s">
        <v>117</v>
      </c>
      <c r="Q120" s="97" t="s">
        <v>118</v>
      </c>
      <c r="R120" s="97" t="s">
        <v>119</v>
      </c>
      <c r="S120" s="97" t="s">
        <v>120</v>
      </c>
    </row>
    <row r="121" spans="1:19" x14ac:dyDescent="0.25">
      <c r="A121" s="98">
        <f>A109+1</f>
        <v>43004</v>
      </c>
      <c r="B121" s="99" t="s">
        <v>124</v>
      </c>
      <c r="C121" s="100">
        <v>2</v>
      </c>
      <c r="D121">
        <f>$C121*VLOOKUP($B121,FoodDB!$A$2:$I$1014,3,0)</f>
        <v>3</v>
      </c>
      <c r="E121">
        <f>$C121*VLOOKUP($B121,FoodDB!$A$2:$I$1014,4,0)</f>
        <v>6</v>
      </c>
      <c r="F121">
        <f>$C121*VLOOKUP($B121,FoodDB!$A$2:$I$1014,5,0)</f>
        <v>50</v>
      </c>
      <c r="G121">
        <f>$C121*VLOOKUP($B121,FoodDB!$A$2:$I$1014,6,0)</f>
        <v>27</v>
      </c>
      <c r="H121">
        <f>$C121*VLOOKUP($B121,FoodDB!$A$2:$I$1014,7,0)</f>
        <v>24</v>
      </c>
      <c r="I121">
        <f>$C121*VLOOKUP($B121,FoodDB!$A$2:$I$1014,8,0)</f>
        <v>200</v>
      </c>
      <c r="J121">
        <f>$C121*VLOOKUP($B121,FoodDB!$A$2:$I$1014,9,0)</f>
        <v>251</v>
      </c>
      <c r="L121">
        <f>SUM(G121:G127)</f>
        <v>469.34999999999997</v>
      </c>
      <c r="M121">
        <f>SUM(H121:H127)</f>
        <v>60.571428571428569</v>
      </c>
      <c r="N121">
        <f>SUM(I121:I127)</f>
        <v>518.28571428571422</v>
      </c>
      <c r="O121">
        <f>SUM(L121:N121)</f>
        <v>1048.2071428571428</v>
      </c>
      <c r="P121" s="103">
        <f>VLOOKUP($A121,LossChart!$A$3:$AB$105,14,0)-L121</f>
        <v>-79.148575109634805</v>
      </c>
      <c r="Q121" s="103">
        <f>VLOOKUP($A121,LossChart!$A$3:$AB$105,15,0)-M121</f>
        <v>19.428571428571431</v>
      </c>
      <c r="R121" s="103">
        <f>VLOOKUP($A121,LossChart!$A$3:$AB$105,16,0)-N121</f>
        <v>-40.981640149555972</v>
      </c>
      <c r="S121" s="103">
        <f>VLOOKUP($A121,LossChart!$A$3:$AB$105,17,0)-O121</f>
        <v>-100.70164383061933</v>
      </c>
    </row>
    <row r="122" spans="1:19" x14ac:dyDescent="0.25">
      <c r="B122" s="99" t="s">
        <v>94</v>
      </c>
      <c r="C122" s="100">
        <v>0.5</v>
      </c>
      <c r="D122">
        <f>$C122*VLOOKUP($B122,FoodDB!$A$2:$I$1014,3,0)</f>
        <v>0.25</v>
      </c>
      <c r="E122">
        <f>$C122*VLOOKUP($B122,FoodDB!$A$2:$I$1014,4,0)</f>
        <v>0</v>
      </c>
      <c r="F122">
        <f>$C122*VLOOKUP($B122,FoodDB!$A$2:$I$1014,5,0)</f>
        <v>25</v>
      </c>
      <c r="G122">
        <f>$C122*VLOOKUP($B122,FoodDB!$A$2:$I$1014,6,0)</f>
        <v>2.25</v>
      </c>
      <c r="H122">
        <f>$C122*VLOOKUP($B122,FoodDB!$A$2:$I$1014,7,0)</f>
        <v>0</v>
      </c>
      <c r="I122">
        <f>$C122*VLOOKUP($B122,FoodDB!$A$2:$I$1014,8,0)</f>
        <v>100</v>
      </c>
      <c r="J122">
        <f>$C122*VLOOKUP($B122,FoodDB!$A$2:$I$1014,9,0)</f>
        <v>102.25</v>
      </c>
    </row>
    <row r="123" spans="1:19" x14ac:dyDescent="0.25">
      <c r="B123" s="99" t="s">
        <v>98</v>
      </c>
      <c r="C123" s="100">
        <v>5</v>
      </c>
      <c r="D123">
        <f>$C123*VLOOKUP($B123,FoodDB!$A$2:$I$1014,3,0)</f>
        <v>30.9</v>
      </c>
      <c r="E123">
        <f>$C123*VLOOKUP($B123,FoodDB!$A$2:$I$1014,4,0)</f>
        <v>0</v>
      </c>
      <c r="F123">
        <f>$C123*VLOOKUP($B123,FoodDB!$A$2:$I$1014,5,0)</f>
        <v>42.599999999999994</v>
      </c>
      <c r="G123">
        <f>$C123*VLOOKUP($B123,FoodDB!$A$2:$I$1014,6,0)</f>
        <v>278.09999999999997</v>
      </c>
      <c r="H123">
        <f>$C123*VLOOKUP($B123,FoodDB!$A$2:$I$1014,7,0)</f>
        <v>0</v>
      </c>
      <c r="I123">
        <f>$C123*VLOOKUP($B123,FoodDB!$A$2:$I$1014,8,0)</f>
        <v>170.39999999999998</v>
      </c>
      <c r="J123">
        <f>$C123*VLOOKUP($B123,FoodDB!$A$2:$I$1014,9,0)</f>
        <v>448.49999999999994</v>
      </c>
    </row>
    <row r="124" spans="1:19" x14ac:dyDescent="0.25">
      <c r="B124" s="99" t="s">
        <v>95</v>
      </c>
      <c r="C124" s="100">
        <v>8</v>
      </c>
      <c r="D124">
        <f>$C124*VLOOKUP($B124,FoodDB!$A$2:$I$1014,3,0)</f>
        <v>0</v>
      </c>
      <c r="E124">
        <f>$C124*VLOOKUP($B124,FoodDB!$A$2:$I$1014,4,0)</f>
        <v>5.1428571428571432</v>
      </c>
      <c r="F124">
        <f>$C124*VLOOKUP($B124,FoodDB!$A$2:$I$1014,5,0)</f>
        <v>2.5714285714285716</v>
      </c>
      <c r="G124">
        <f>$C124*VLOOKUP($B124,FoodDB!$A$2:$I$1014,6,0)</f>
        <v>0</v>
      </c>
      <c r="H124">
        <f>$C124*VLOOKUP($B124,FoodDB!$A$2:$I$1014,7,0)</f>
        <v>20.571428571428573</v>
      </c>
      <c r="I124">
        <f>$C124*VLOOKUP($B124,FoodDB!$A$2:$I$1014,8,0)</f>
        <v>10.285714285714286</v>
      </c>
      <c r="J124">
        <f>$C124*VLOOKUP($B124,FoodDB!$A$2:$I$1014,9,0)</f>
        <v>30.857142857142861</v>
      </c>
    </row>
    <row r="125" spans="1:19" x14ac:dyDescent="0.25">
      <c r="B125" s="99" t="s">
        <v>96</v>
      </c>
      <c r="C125" s="100">
        <v>2</v>
      </c>
      <c r="D125">
        <f>$C125*VLOOKUP($B125,FoodDB!$A$2:$I$1014,3,0)</f>
        <v>18</v>
      </c>
      <c r="E125">
        <f>$C125*VLOOKUP($B125,FoodDB!$A$2:$I$1014,4,0)</f>
        <v>4</v>
      </c>
      <c r="F125">
        <f>$C125*VLOOKUP($B125,FoodDB!$A$2:$I$1014,5,0)</f>
        <v>9.4</v>
      </c>
      <c r="G125">
        <f>$C125*VLOOKUP($B125,FoodDB!$A$2:$I$1014,6,0)</f>
        <v>162</v>
      </c>
      <c r="H125">
        <f>$C125*VLOOKUP($B125,FoodDB!$A$2:$I$1014,7,0)</f>
        <v>16</v>
      </c>
      <c r="I125">
        <f>$C125*VLOOKUP($B125,FoodDB!$A$2:$I$1014,8,0)</f>
        <v>37.6</v>
      </c>
      <c r="J125">
        <f>$C125*VLOOKUP($B125,FoodDB!$A$2:$I$1014,9,0)</f>
        <v>215.6</v>
      </c>
    </row>
    <row r="126" spans="1:19" x14ac:dyDescent="0.25">
      <c r="B126" s="99" t="s">
        <v>107</v>
      </c>
      <c r="C126" s="100">
        <v>0</v>
      </c>
      <c r="D126">
        <f>$C126*VLOOKUP($B126,FoodDB!$A$2:$I$1014,3,0)</f>
        <v>0</v>
      </c>
      <c r="E126">
        <f>$C126*VLOOKUP($B126,FoodDB!$A$2:$I$1014,4,0)</f>
        <v>0</v>
      </c>
      <c r="F126">
        <f>$C126*VLOOKUP($B126,FoodDB!$A$2:$I$1014,5,0)</f>
        <v>0</v>
      </c>
      <c r="G126">
        <f>$C126*VLOOKUP($B126,FoodDB!$A$2:$I$1014,6,0)</f>
        <v>0</v>
      </c>
      <c r="H126">
        <f>$C126*VLOOKUP($B126,FoodDB!$A$2:$I$1014,7,0)</f>
        <v>0</v>
      </c>
      <c r="I126">
        <f>$C126*VLOOKUP($B126,FoodDB!$A$2:$I$1014,8,0)</f>
        <v>0</v>
      </c>
      <c r="J126">
        <f>$C126*VLOOKUP($B126,FoodDB!$A$2:$I$1014,9,0)</f>
        <v>0</v>
      </c>
    </row>
    <row r="127" spans="1:19" x14ac:dyDescent="0.25">
      <c r="B127" s="99" t="s">
        <v>107</v>
      </c>
      <c r="C127" s="100">
        <v>0</v>
      </c>
      <c r="D127">
        <f>$C127*VLOOKUP($B127,FoodDB!$A$2:$I$1014,3,0)</f>
        <v>0</v>
      </c>
      <c r="E127">
        <f>$C127*VLOOKUP($B127,FoodDB!$A$2:$I$1014,4,0)</f>
        <v>0</v>
      </c>
      <c r="F127">
        <f>$C127*VLOOKUP($B127,FoodDB!$A$2:$I$1014,5,0)</f>
        <v>0</v>
      </c>
      <c r="G127">
        <f>$C127*VLOOKUP($B127,FoodDB!$A$2:$I$1014,6,0)</f>
        <v>0</v>
      </c>
      <c r="H127">
        <f>$C127*VLOOKUP($B127,FoodDB!$A$2:$I$1014,7,0)</f>
        <v>0</v>
      </c>
      <c r="I127">
        <f>$C127*VLOOKUP($B127,FoodDB!$A$2:$I$1014,8,0)</f>
        <v>0</v>
      </c>
      <c r="J127">
        <f>$C127*VLOOKUP($B127,FoodDB!$A$2:$I$1014,9,0)</f>
        <v>0</v>
      </c>
    </row>
    <row r="129" spans="1:23" ht="60" x14ac:dyDescent="0.25">
      <c r="A129" s="26" t="s">
        <v>63</v>
      </c>
      <c r="B129" s="26" t="s">
        <v>92</v>
      </c>
      <c r="C129" s="26" t="s">
        <v>93</v>
      </c>
      <c r="D129" s="97" t="str">
        <f>FoodDB!$C$1</f>
        <v>Fat
(g)</v>
      </c>
      <c r="E129" s="97" t="str">
        <f>FoodDB!$D$1</f>
        <v xml:space="preserve"> Carbs
(g)</v>
      </c>
      <c r="F129" s="97" t="str">
        <f>FoodDB!$E$1</f>
        <v>Protein
(g)</v>
      </c>
      <c r="G129" s="97" t="str">
        <f>FoodDB!$F$1</f>
        <v>Fat
(Cal)</v>
      </c>
      <c r="H129" s="97" t="str">
        <f>FoodDB!$G$1</f>
        <v>Carb
(Cal)</v>
      </c>
      <c r="I129" s="97" t="str">
        <f>FoodDB!$H$1</f>
        <v>Protein
(Cal)</v>
      </c>
      <c r="J129" s="97" t="str">
        <f>FoodDB!$I$1</f>
        <v>Total
Calories</v>
      </c>
      <c r="K129" s="97"/>
      <c r="L129" s="97" t="s">
        <v>109</v>
      </c>
      <c r="M129" s="97" t="s">
        <v>110</v>
      </c>
      <c r="N129" s="97" t="s">
        <v>111</v>
      </c>
      <c r="O129" s="97" t="s">
        <v>112</v>
      </c>
      <c r="P129" s="97" t="s">
        <v>117</v>
      </c>
      <c r="Q129" s="97" t="s">
        <v>118</v>
      </c>
      <c r="R129" s="97" t="s">
        <v>119</v>
      </c>
      <c r="S129" s="97" t="s">
        <v>120</v>
      </c>
      <c r="T129" s="97"/>
      <c r="U129" s="97"/>
      <c r="V129" s="97"/>
      <c r="W129" s="97"/>
    </row>
    <row r="130" spans="1:23" x14ac:dyDescent="0.25">
      <c r="A130" s="98">
        <f>A121+1</f>
        <v>43005</v>
      </c>
      <c r="B130" s="99" t="s">
        <v>124</v>
      </c>
      <c r="C130" s="100">
        <v>1</v>
      </c>
      <c r="D130">
        <f>$C130*VLOOKUP($B130,FoodDB!$A$2:$I$1014,3,0)</f>
        <v>1.5</v>
      </c>
      <c r="E130">
        <f>$C130*VLOOKUP($B130,FoodDB!$A$2:$I$1014,4,0)</f>
        <v>3</v>
      </c>
      <c r="F130">
        <f>$C130*VLOOKUP($B130,FoodDB!$A$2:$I$1014,5,0)</f>
        <v>25</v>
      </c>
      <c r="G130">
        <f>$C130*VLOOKUP($B130,FoodDB!$A$2:$I$1014,6,0)</f>
        <v>13.5</v>
      </c>
      <c r="H130">
        <f>$C130*VLOOKUP($B130,FoodDB!$A$2:$I$1014,7,0)</f>
        <v>12</v>
      </c>
      <c r="I130">
        <f>$C130*VLOOKUP($B130,FoodDB!$A$2:$I$1014,8,0)</f>
        <v>100</v>
      </c>
      <c r="J130">
        <f>$C130*VLOOKUP($B130,FoodDB!$A$2:$I$1014,9,0)</f>
        <v>125.5</v>
      </c>
      <c r="L130">
        <f>SUM(G130:G136)</f>
        <v>452.07</v>
      </c>
      <c r="M130">
        <f>SUM(H130:H136)</f>
        <v>20</v>
      </c>
      <c r="N130">
        <f>SUM(I130:I136)</f>
        <v>525.6</v>
      </c>
      <c r="O130">
        <f>SUM(L130:N130)</f>
        <v>997.67000000000007</v>
      </c>
      <c r="P130" s="103">
        <f>VLOOKUP($A130,LossChart!$A$3:$AB$105,14,0)-L130</f>
        <v>-54.356117408696548</v>
      </c>
      <c r="Q130" s="103">
        <f>VLOOKUP($A130,LossChart!$A$3:$AB$105,15,0)-M130</f>
        <v>60</v>
      </c>
      <c r="R130" s="103">
        <f>VLOOKUP($A130,LossChart!$A$3:$AB$105,16,0)-N130</f>
        <v>-48.295925863841774</v>
      </c>
      <c r="S130" s="103">
        <f>VLOOKUP($A130,LossChart!$A$3:$AB$105,17,0)-O130</f>
        <v>-42.652043272538322</v>
      </c>
      <c r="T130" s="103"/>
      <c r="U130" s="103"/>
      <c r="V130" s="103"/>
      <c r="W130" s="103"/>
    </row>
    <row r="131" spans="1:23" x14ac:dyDescent="0.25">
      <c r="B131" s="99" t="s">
        <v>94</v>
      </c>
      <c r="C131" s="100">
        <v>0.5</v>
      </c>
      <c r="D131">
        <f>$C131*VLOOKUP($B131,FoodDB!$A$2:$I$1014,3,0)</f>
        <v>0.25</v>
      </c>
      <c r="E131">
        <f>$C131*VLOOKUP($B131,FoodDB!$A$2:$I$1014,4,0)</f>
        <v>0</v>
      </c>
      <c r="F131">
        <f>$C131*VLOOKUP($B131,FoodDB!$A$2:$I$1014,5,0)</f>
        <v>25</v>
      </c>
      <c r="G131">
        <f>$C131*VLOOKUP($B131,FoodDB!$A$2:$I$1014,6,0)</f>
        <v>2.25</v>
      </c>
      <c r="H131">
        <f>$C131*VLOOKUP($B131,FoodDB!$A$2:$I$1014,7,0)</f>
        <v>0</v>
      </c>
      <c r="I131">
        <f>$C131*VLOOKUP($B131,FoodDB!$A$2:$I$1014,8,0)</f>
        <v>100</v>
      </c>
      <c r="J131">
        <f>$C131*VLOOKUP($B131,FoodDB!$A$2:$I$1014,9,0)</f>
        <v>102.25</v>
      </c>
    </row>
    <row r="132" spans="1:23" x14ac:dyDescent="0.25">
      <c r="B132" s="99" t="s">
        <v>104</v>
      </c>
      <c r="C132" s="100">
        <v>1.1000000000000001</v>
      </c>
      <c r="D132">
        <f>$C132*VLOOKUP($B132,FoodDB!$A$2:$I$1014,3,0)</f>
        <v>0.88000000000000012</v>
      </c>
      <c r="E132">
        <f>$C132*VLOOKUP($B132,FoodDB!$A$2:$I$1014,4,0)</f>
        <v>0</v>
      </c>
      <c r="F132">
        <f>$C132*VLOOKUP($B132,FoodDB!$A$2:$I$1014,5,0)</f>
        <v>37.400000000000006</v>
      </c>
      <c r="G132">
        <f>$C132*VLOOKUP($B132,FoodDB!$A$2:$I$1014,6,0)</f>
        <v>7.9200000000000008</v>
      </c>
      <c r="H132">
        <f>$C132*VLOOKUP($B132,FoodDB!$A$2:$I$1014,7,0)</f>
        <v>0</v>
      </c>
      <c r="I132">
        <f>$C132*VLOOKUP($B132,FoodDB!$A$2:$I$1014,8,0)</f>
        <v>149.60000000000002</v>
      </c>
      <c r="J132">
        <f>$C132*VLOOKUP($B132,FoodDB!$A$2:$I$1014,9,0)</f>
        <v>157.52000000000001</v>
      </c>
    </row>
    <row r="133" spans="1:23" x14ac:dyDescent="0.25">
      <c r="B133" s="99" t="s">
        <v>125</v>
      </c>
      <c r="C133" s="100">
        <v>1</v>
      </c>
      <c r="D133">
        <f>$C133*VLOOKUP($B133,FoodDB!$A$2:$I$1014,3,0)</f>
        <v>3.6</v>
      </c>
      <c r="E133">
        <f>$C133*VLOOKUP($B133,FoodDB!$A$2:$I$1014,4,0)</f>
        <v>0</v>
      </c>
      <c r="F133">
        <f>$C133*VLOOKUP($B133,FoodDB!$A$2:$I$1014,5,0)</f>
        <v>31</v>
      </c>
      <c r="G133">
        <f>$C133*VLOOKUP($B133,FoodDB!$A$2:$I$1014,6,0)</f>
        <v>32.4</v>
      </c>
      <c r="H133">
        <f>$C133*VLOOKUP($B133,FoodDB!$A$2:$I$1014,7,0)</f>
        <v>0</v>
      </c>
      <c r="I133">
        <f>$C133*VLOOKUP($B133,FoodDB!$A$2:$I$1014,8,0)</f>
        <v>124</v>
      </c>
      <c r="J133">
        <f>$C133*VLOOKUP($B133,FoodDB!$A$2:$I$1014,9,0)</f>
        <v>156.4</v>
      </c>
    </row>
    <row r="134" spans="1:23" x14ac:dyDescent="0.25">
      <c r="B134" s="99" t="s">
        <v>126</v>
      </c>
      <c r="C134" s="100">
        <v>1</v>
      </c>
      <c r="D134">
        <f>$C134*VLOOKUP($B134,FoodDB!$A$2:$I$1014,3,0)</f>
        <v>15</v>
      </c>
      <c r="E134">
        <f>$C134*VLOOKUP($B134,FoodDB!$A$2:$I$1014,4,0)</f>
        <v>2</v>
      </c>
      <c r="F134">
        <f>$C134*VLOOKUP($B134,FoodDB!$A$2:$I$1014,5,0)</f>
        <v>7</v>
      </c>
      <c r="G134">
        <f>$C134*VLOOKUP($B134,FoodDB!$A$2:$I$1014,6,0)</f>
        <v>135</v>
      </c>
      <c r="H134">
        <f>$C134*VLOOKUP($B134,FoodDB!$A$2:$I$1014,7,0)</f>
        <v>8</v>
      </c>
      <c r="I134">
        <f>$C134*VLOOKUP($B134,FoodDB!$A$2:$I$1014,8,0)</f>
        <v>28</v>
      </c>
      <c r="J134">
        <f>$C134*VLOOKUP($B134,FoodDB!$A$2:$I$1014,9,0)</f>
        <v>171</v>
      </c>
    </row>
    <row r="135" spans="1:23" x14ac:dyDescent="0.25">
      <c r="B135" s="99" t="s">
        <v>108</v>
      </c>
      <c r="C135" s="100">
        <v>2</v>
      </c>
      <c r="D135">
        <f>$C135*VLOOKUP($B135,FoodDB!$A$2:$I$1014,3,0)</f>
        <v>24</v>
      </c>
      <c r="E135">
        <f>$C135*VLOOKUP($B135,FoodDB!$A$2:$I$1014,4,0)</f>
        <v>0</v>
      </c>
      <c r="F135">
        <f>$C135*VLOOKUP($B135,FoodDB!$A$2:$I$1014,5,0)</f>
        <v>0</v>
      </c>
      <c r="G135">
        <f>$C135*VLOOKUP($B135,FoodDB!$A$2:$I$1014,6,0)</f>
        <v>216</v>
      </c>
      <c r="H135">
        <f>$C135*VLOOKUP($B135,FoodDB!$A$2:$I$1014,7,0)</f>
        <v>0</v>
      </c>
      <c r="I135">
        <f>$C135*VLOOKUP($B135,FoodDB!$A$2:$I$1014,8,0)</f>
        <v>0</v>
      </c>
      <c r="J135">
        <f>$C135*VLOOKUP($B135,FoodDB!$A$2:$I$1014,9,0)</f>
        <v>216</v>
      </c>
    </row>
    <row r="136" spans="1:23" x14ac:dyDescent="0.25">
      <c r="B136" s="99" t="s">
        <v>100</v>
      </c>
      <c r="C136" s="100">
        <v>1</v>
      </c>
      <c r="D136">
        <f>$C136*VLOOKUP($B136,FoodDB!$A$2:$I$1014,3,0)</f>
        <v>5</v>
      </c>
      <c r="E136">
        <f>$C136*VLOOKUP($B136,FoodDB!$A$2:$I$1014,4,0)</f>
        <v>0</v>
      </c>
      <c r="F136">
        <f>$C136*VLOOKUP($B136,FoodDB!$A$2:$I$1014,5,0)</f>
        <v>6</v>
      </c>
      <c r="G136">
        <f>$C136*VLOOKUP($B136,FoodDB!$A$2:$I$1014,6,0)</f>
        <v>45</v>
      </c>
      <c r="H136">
        <f>$C136*VLOOKUP($B136,FoodDB!$A$2:$I$1014,7,0)</f>
        <v>0</v>
      </c>
      <c r="I136">
        <f>$C136*VLOOKUP($B136,FoodDB!$A$2:$I$1014,8,0)</f>
        <v>24</v>
      </c>
      <c r="J136">
        <f>$C136*VLOOKUP($B136,FoodDB!$A$2:$I$1014,9,0)</f>
        <v>69</v>
      </c>
    </row>
    <row r="137" spans="1:23" x14ac:dyDescent="0.25">
      <c r="A137" t="s">
        <v>97</v>
      </c>
      <c r="G137">
        <f>SUM(G130:G136)</f>
        <v>452.07</v>
      </c>
      <c r="H137">
        <f>SUM(H130:H136)</f>
        <v>20</v>
      </c>
      <c r="I137">
        <f>SUM(I130:I136)</f>
        <v>525.6</v>
      </c>
      <c r="J137">
        <f>SUM(G137:I137)</f>
        <v>997.67000000000007</v>
      </c>
    </row>
    <row r="138" spans="1:23" x14ac:dyDescent="0.25">
      <c r="A138" t="s">
        <v>101</v>
      </c>
      <c r="B138" t="s">
        <v>102</v>
      </c>
      <c r="E138" s="103"/>
      <c r="F138" s="103"/>
      <c r="G138" s="103">
        <f>VLOOKUP($A130,LossChart!$A$3:$AB$105,14,0)</f>
        <v>397.71388259130345</v>
      </c>
      <c r="H138" s="103">
        <f>VLOOKUP($A130,LossChart!$A$3:$AB$105,15,0)</f>
        <v>80</v>
      </c>
      <c r="I138" s="103">
        <f>VLOOKUP($A130,LossChart!$A$3:$AB$105,16,0)</f>
        <v>477.30407413615825</v>
      </c>
      <c r="J138" s="103">
        <f>VLOOKUP($A130,LossChart!$A$3:$AB$105,17,0)</f>
        <v>955.01795672746175</v>
      </c>
      <c r="K138" s="103"/>
    </row>
    <row r="139" spans="1:23" x14ac:dyDescent="0.25">
      <c r="A139" t="s">
        <v>103</v>
      </c>
      <c r="G139">
        <f>G138-G137</f>
        <v>-54.356117408696548</v>
      </c>
      <c r="H139">
        <f>H138-H137</f>
        <v>60</v>
      </c>
      <c r="I139">
        <f>I138-I137</f>
        <v>-48.295925863841774</v>
      </c>
      <c r="J139">
        <f>J138-J137</f>
        <v>-42.652043272538322</v>
      </c>
    </row>
    <row r="141" spans="1:23" ht="60" x14ac:dyDescent="0.25">
      <c r="A141" s="26" t="s">
        <v>63</v>
      </c>
      <c r="B141" s="26" t="s">
        <v>92</v>
      </c>
      <c r="C141" s="26" t="s">
        <v>93</v>
      </c>
      <c r="D141" s="97" t="str">
        <f>FoodDB!$C$1</f>
        <v>Fat
(g)</v>
      </c>
      <c r="E141" s="97" t="str">
        <f>FoodDB!$D$1</f>
        <v xml:space="preserve"> Carbs
(g)</v>
      </c>
      <c r="F141" s="97" t="str">
        <f>FoodDB!$E$1</f>
        <v>Protein
(g)</v>
      </c>
      <c r="G141" s="97" t="str">
        <f>FoodDB!$F$1</f>
        <v>Fat
(Cal)</v>
      </c>
      <c r="H141" s="97" t="str">
        <f>FoodDB!$G$1</f>
        <v>Carb
(Cal)</v>
      </c>
      <c r="I141" s="97" t="str">
        <f>FoodDB!$H$1</f>
        <v>Protein
(Cal)</v>
      </c>
      <c r="J141" s="97" t="str">
        <f>FoodDB!$I$1</f>
        <v>Total
Calories</v>
      </c>
      <c r="K141" s="97"/>
      <c r="L141" s="97" t="s">
        <v>109</v>
      </c>
      <c r="M141" s="97" t="s">
        <v>110</v>
      </c>
      <c r="N141" s="97" t="s">
        <v>111</v>
      </c>
      <c r="O141" s="97" t="s">
        <v>112</v>
      </c>
      <c r="P141" s="97" t="s">
        <v>117</v>
      </c>
      <c r="Q141" s="97" t="s">
        <v>118</v>
      </c>
      <c r="R141" s="97" t="s">
        <v>119</v>
      </c>
      <c r="S141" s="97" t="s">
        <v>120</v>
      </c>
      <c r="T141" s="97"/>
      <c r="U141" s="97"/>
      <c r="V141" s="97"/>
      <c r="W141" s="97"/>
    </row>
    <row r="142" spans="1:23" x14ac:dyDescent="0.25">
      <c r="A142" s="98">
        <f>A130+1</f>
        <v>43006</v>
      </c>
      <c r="B142" s="99" t="s">
        <v>124</v>
      </c>
      <c r="C142" s="100">
        <v>1</v>
      </c>
      <c r="D142">
        <f>$C142*VLOOKUP($B142,FoodDB!$A$2:$I$1014,3,0)</f>
        <v>1.5</v>
      </c>
      <c r="E142">
        <f>$C142*VLOOKUP($B142,FoodDB!$A$2:$I$1014,4,0)</f>
        <v>3</v>
      </c>
      <c r="F142">
        <f>$C142*VLOOKUP($B142,FoodDB!$A$2:$I$1014,5,0)</f>
        <v>25</v>
      </c>
      <c r="G142">
        <f>$C142*VLOOKUP($B142,FoodDB!$A$2:$I$1014,6,0)</f>
        <v>13.5</v>
      </c>
      <c r="H142">
        <f>$C142*VLOOKUP($B142,FoodDB!$A$2:$I$1014,7,0)</f>
        <v>12</v>
      </c>
      <c r="I142">
        <f>$C142*VLOOKUP($B142,FoodDB!$A$2:$I$1014,8,0)</f>
        <v>100</v>
      </c>
      <c r="J142">
        <f>$C142*VLOOKUP($B142,FoodDB!$A$2:$I$1014,9,0)</f>
        <v>125.5</v>
      </c>
      <c r="L142">
        <f>SUM(G142:G148)</f>
        <v>519.75</v>
      </c>
      <c r="M142">
        <f>SUM(H142:H148)</f>
        <v>55.542857142857144</v>
      </c>
      <c r="N142">
        <f>SUM(I142:I148)</f>
        <v>463.37142857142857</v>
      </c>
      <c r="O142">
        <f>SUM(L142:N142)</f>
        <v>1038.6642857142858</v>
      </c>
      <c r="P142" s="103">
        <f>VLOOKUP($A142,LossChart!$A$3:$AB$105,14,0)-L142</f>
        <v>-114.28241968561338</v>
      </c>
      <c r="Q142" s="103">
        <f>VLOOKUP($A142,LossChart!$A$3:$AB$105,15,0)-M142</f>
        <v>24.457142857142856</v>
      </c>
      <c r="R142" s="103">
        <f>VLOOKUP($A142,LossChart!$A$3:$AB$105,16,0)-N142</f>
        <v>13.932645564729683</v>
      </c>
      <c r="S142" s="103">
        <f>VLOOKUP($A142,LossChart!$A$3:$AB$105,17,0)-O142</f>
        <v>-75.892631263740896</v>
      </c>
      <c r="T142" s="103"/>
      <c r="U142" s="103"/>
      <c r="V142" s="103"/>
      <c r="W142" s="103"/>
    </row>
    <row r="143" spans="1:23" x14ac:dyDescent="0.25">
      <c r="B143" s="99" t="s">
        <v>94</v>
      </c>
      <c r="C143" s="100">
        <v>0.5</v>
      </c>
      <c r="D143">
        <f>$C143*VLOOKUP($B143,FoodDB!$A$2:$I$1014,3,0)</f>
        <v>0.25</v>
      </c>
      <c r="E143">
        <f>$C143*VLOOKUP($B143,FoodDB!$A$2:$I$1014,4,0)</f>
        <v>0</v>
      </c>
      <c r="F143">
        <f>$C143*VLOOKUP($B143,FoodDB!$A$2:$I$1014,5,0)</f>
        <v>25</v>
      </c>
      <c r="G143">
        <f>$C143*VLOOKUP($B143,FoodDB!$A$2:$I$1014,6,0)</f>
        <v>2.25</v>
      </c>
      <c r="H143">
        <f>$C143*VLOOKUP($B143,FoodDB!$A$2:$I$1014,7,0)</f>
        <v>0</v>
      </c>
      <c r="I143">
        <f>$C143*VLOOKUP($B143,FoodDB!$A$2:$I$1014,8,0)</f>
        <v>100</v>
      </c>
      <c r="J143">
        <f>$C143*VLOOKUP($B143,FoodDB!$A$2:$I$1014,9,0)</f>
        <v>102.25</v>
      </c>
    </row>
    <row r="144" spans="1:23" x14ac:dyDescent="0.25">
      <c r="B144" s="99" t="s">
        <v>125</v>
      </c>
      <c r="C144" s="100">
        <v>2</v>
      </c>
      <c r="D144">
        <f>$C144*VLOOKUP($B144,FoodDB!$A$2:$I$1014,3,0)</f>
        <v>7.2</v>
      </c>
      <c r="E144">
        <f>$C144*VLOOKUP($B144,FoodDB!$A$2:$I$1014,4,0)</f>
        <v>0</v>
      </c>
      <c r="F144">
        <f>$C144*VLOOKUP($B144,FoodDB!$A$2:$I$1014,5,0)</f>
        <v>62</v>
      </c>
      <c r="G144">
        <f>$C144*VLOOKUP($B144,FoodDB!$A$2:$I$1014,6,0)</f>
        <v>64.8</v>
      </c>
      <c r="H144">
        <f>$C144*VLOOKUP($B144,FoodDB!$A$2:$I$1014,7,0)</f>
        <v>0</v>
      </c>
      <c r="I144">
        <f>$C144*VLOOKUP($B144,FoodDB!$A$2:$I$1014,8,0)</f>
        <v>248</v>
      </c>
      <c r="J144">
        <f>$C144*VLOOKUP($B144,FoodDB!$A$2:$I$1014,9,0)</f>
        <v>312.8</v>
      </c>
    </row>
    <row r="145" spans="1:23" x14ac:dyDescent="0.25">
      <c r="B145" s="99" t="s">
        <v>127</v>
      </c>
      <c r="C145" s="100">
        <v>4</v>
      </c>
      <c r="D145">
        <f>$C145*VLOOKUP($B145,FoodDB!$A$2:$I$1014,3,0)</f>
        <v>0.8</v>
      </c>
      <c r="E145">
        <f>$C145*VLOOKUP($B145,FoodDB!$A$2:$I$1014,4,0)</f>
        <v>9.6</v>
      </c>
      <c r="F145">
        <f>$C145*VLOOKUP($B145,FoodDB!$A$2:$I$1014,5,0)</f>
        <v>3.2</v>
      </c>
      <c r="G145">
        <f>$C145*VLOOKUP($B145,FoodDB!$A$2:$I$1014,6,0)</f>
        <v>7.2</v>
      </c>
      <c r="H145">
        <f>$C145*VLOOKUP($B145,FoodDB!$A$2:$I$1014,7,0)</f>
        <v>38.4</v>
      </c>
      <c r="I145">
        <f>$C145*VLOOKUP($B145,FoodDB!$A$2:$I$1014,8,0)</f>
        <v>12.8</v>
      </c>
      <c r="J145">
        <f>$C145*VLOOKUP($B145,FoodDB!$A$2:$I$1014,9,0)</f>
        <v>58.400000000000006</v>
      </c>
    </row>
    <row r="146" spans="1:23" x14ac:dyDescent="0.25">
      <c r="B146" s="99" t="s">
        <v>95</v>
      </c>
      <c r="C146" s="100">
        <v>2</v>
      </c>
      <c r="D146">
        <v>0.4</v>
      </c>
      <c r="E146">
        <v>3.4</v>
      </c>
      <c r="F146">
        <v>2.8</v>
      </c>
      <c r="G146">
        <f>$C146*VLOOKUP($B146,FoodDB!$A$2:$I$1014,6,0)</f>
        <v>0</v>
      </c>
      <c r="H146">
        <f>$C146*VLOOKUP($B146,FoodDB!$A$2:$I$1014,7,0)</f>
        <v>5.1428571428571432</v>
      </c>
      <c r="I146">
        <f>$C146*VLOOKUP($B146,FoodDB!$A$2:$I$1014,8,0)</f>
        <v>2.5714285714285716</v>
      </c>
      <c r="J146">
        <f>$C146*VLOOKUP($B146,FoodDB!$A$2:$I$1014,9,0)</f>
        <v>7.7142857142857153</v>
      </c>
    </row>
    <row r="147" spans="1:23" x14ac:dyDescent="0.25">
      <c r="B147" s="99" t="s">
        <v>108</v>
      </c>
      <c r="C147" s="100">
        <v>4</v>
      </c>
      <c r="D147">
        <f>$C147*VLOOKUP($B147,FoodDB!$A$2:$I$1014,3,0)</f>
        <v>48</v>
      </c>
      <c r="E147">
        <f>$C147*VLOOKUP($B147,FoodDB!$A$2:$I$1014,4,0)</f>
        <v>0</v>
      </c>
      <c r="F147">
        <f>$C147*VLOOKUP($B147,FoodDB!$A$2:$I$1014,5,0)</f>
        <v>0</v>
      </c>
      <c r="G147">
        <f>$C147*VLOOKUP($B147,FoodDB!$A$2:$I$1014,6,0)</f>
        <v>432</v>
      </c>
      <c r="H147">
        <f>$C147*VLOOKUP($B147,FoodDB!$A$2:$I$1014,7,0)</f>
        <v>0</v>
      </c>
      <c r="I147">
        <f>$C147*VLOOKUP($B147,FoodDB!$A$2:$I$1014,8,0)</f>
        <v>0</v>
      </c>
      <c r="J147">
        <f>$C147*VLOOKUP($B147,FoodDB!$A$2:$I$1014,9,0)</f>
        <v>432</v>
      </c>
    </row>
    <row r="148" spans="1:23" x14ac:dyDescent="0.25">
      <c r="B148" s="99" t="s">
        <v>107</v>
      </c>
      <c r="C148" s="100">
        <v>0</v>
      </c>
      <c r="D148">
        <f>$C148*VLOOKUP($B148,FoodDB!$A$2:$I$1014,3,0)</f>
        <v>0</v>
      </c>
      <c r="E148">
        <f>$C148*VLOOKUP($B148,FoodDB!$A$2:$I$1014,4,0)</f>
        <v>0</v>
      </c>
      <c r="F148">
        <f>$C148*VLOOKUP($B148,FoodDB!$A$2:$I$1014,5,0)</f>
        <v>0</v>
      </c>
      <c r="G148">
        <f>$C148*VLOOKUP($B148,FoodDB!$A$2:$I$1014,6,0)</f>
        <v>0</v>
      </c>
      <c r="H148">
        <f>$C148*VLOOKUP($B148,FoodDB!$A$2:$I$1014,7,0)</f>
        <v>0</v>
      </c>
      <c r="I148">
        <f>$C148*VLOOKUP($B148,FoodDB!$A$2:$I$1014,8,0)</f>
        <v>0</v>
      </c>
      <c r="J148">
        <f>$C148*VLOOKUP($B148,FoodDB!$A$2:$I$1014,9,0)</f>
        <v>0</v>
      </c>
    </row>
    <row r="149" spans="1:23" x14ac:dyDescent="0.25">
      <c r="A149" t="s">
        <v>97</v>
      </c>
      <c r="G149">
        <f>SUM(G142:G148)</f>
        <v>519.75</v>
      </c>
      <c r="H149">
        <f>SUM(H142:H148)</f>
        <v>55.542857142857144</v>
      </c>
      <c r="I149">
        <f>SUM(I142:I148)</f>
        <v>463.37142857142857</v>
      </c>
      <c r="J149">
        <f>SUM(G149:I149)</f>
        <v>1038.6642857142858</v>
      </c>
    </row>
    <row r="150" spans="1:23" x14ac:dyDescent="0.25">
      <c r="A150" t="s">
        <v>101</v>
      </c>
      <c r="B150" t="s">
        <v>102</v>
      </c>
      <c r="E150" s="103"/>
      <c r="F150" s="103"/>
      <c r="G150" s="103">
        <f>VLOOKUP($A142,LossChart!$A$3:$AB$105,14,0)</f>
        <v>405.46758031438662</v>
      </c>
      <c r="H150" s="103">
        <f>VLOOKUP($A142,LossChart!$A$3:$AB$105,15,0)</f>
        <v>80</v>
      </c>
      <c r="I150" s="103">
        <f>VLOOKUP($A142,LossChart!$A$3:$AB$105,16,0)</f>
        <v>477.30407413615825</v>
      </c>
      <c r="J150" s="103">
        <f>VLOOKUP($A142,LossChart!$A$3:$AB$105,17,0)</f>
        <v>962.77165445054493</v>
      </c>
      <c r="K150" s="103"/>
    </row>
    <row r="151" spans="1:23" x14ac:dyDescent="0.25">
      <c r="A151" t="s">
        <v>103</v>
      </c>
      <c r="G151">
        <f>G150-G149</f>
        <v>-114.28241968561338</v>
      </c>
      <c r="H151">
        <f>H150-H149</f>
        <v>24.457142857142856</v>
      </c>
      <c r="I151">
        <f>I150-I149</f>
        <v>13.932645564729683</v>
      </c>
      <c r="J151">
        <f>J150-J149</f>
        <v>-75.892631263740896</v>
      </c>
    </row>
    <row r="153" spans="1:23" ht="60" x14ac:dyDescent="0.25">
      <c r="A153" s="26" t="s">
        <v>63</v>
      </c>
      <c r="B153" s="26" t="s">
        <v>92</v>
      </c>
      <c r="C153" s="26" t="s">
        <v>93</v>
      </c>
      <c r="D153" s="97" t="str">
        <f>FoodDB!$C$1</f>
        <v>Fat
(g)</v>
      </c>
      <c r="E153" s="97" t="str">
        <f>FoodDB!$D$1</f>
        <v xml:space="preserve"> Carbs
(g)</v>
      </c>
      <c r="F153" s="97" t="str">
        <f>FoodDB!$E$1</f>
        <v>Protein
(g)</v>
      </c>
      <c r="G153" s="97" t="str">
        <f>FoodDB!$F$1</f>
        <v>Fat
(Cal)</v>
      </c>
      <c r="H153" s="97" t="str">
        <f>FoodDB!$G$1</f>
        <v>Carb
(Cal)</v>
      </c>
      <c r="I153" s="97" t="str">
        <f>FoodDB!$H$1</f>
        <v>Protein
(Cal)</v>
      </c>
      <c r="J153" s="97" t="str">
        <f>FoodDB!$I$1</f>
        <v>Total
Calories</v>
      </c>
      <c r="K153" s="97"/>
      <c r="L153" s="97" t="s">
        <v>109</v>
      </c>
      <c r="M153" s="97" t="s">
        <v>110</v>
      </c>
      <c r="N153" s="97" t="s">
        <v>111</v>
      </c>
      <c r="O153" s="97" t="s">
        <v>112</v>
      </c>
      <c r="P153" s="97" t="s">
        <v>117</v>
      </c>
      <c r="Q153" s="97" t="s">
        <v>118</v>
      </c>
      <c r="R153" s="97" t="s">
        <v>119</v>
      </c>
      <c r="S153" s="97" t="s">
        <v>120</v>
      </c>
      <c r="T153" s="97"/>
      <c r="U153" s="97"/>
      <c r="V153" s="97"/>
      <c r="W153" s="97"/>
    </row>
    <row r="154" spans="1:23" x14ac:dyDescent="0.25">
      <c r="A154" s="98">
        <f>A142+1</f>
        <v>43007</v>
      </c>
      <c r="B154" s="99" t="s">
        <v>125</v>
      </c>
      <c r="C154" s="100">
        <v>2</v>
      </c>
      <c r="D154">
        <f>$C154*VLOOKUP($B154,FoodDB!$A$2:$I$1014,3,0)</f>
        <v>7.2</v>
      </c>
      <c r="E154">
        <f>$C154*VLOOKUP($B154,FoodDB!$A$2:$I$1014,4,0)</f>
        <v>0</v>
      </c>
      <c r="F154">
        <f>$C154*VLOOKUP($B154,FoodDB!$A$2:$I$1014,5,0)</f>
        <v>62</v>
      </c>
      <c r="G154">
        <f>$C154*VLOOKUP($B154,FoodDB!$A$2:$I$1014,6,0)</f>
        <v>64.8</v>
      </c>
      <c r="H154">
        <f>$C154*VLOOKUP($B154,FoodDB!$A$2:$I$1014,7,0)</f>
        <v>0</v>
      </c>
      <c r="I154">
        <f>$C154*VLOOKUP($B154,FoodDB!$A$2:$I$1014,8,0)</f>
        <v>248</v>
      </c>
      <c r="J154">
        <f>$C154*VLOOKUP($B154,FoodDB!$A$2:$I$1014,9,0)</f>
        <v>312.8</v>
      </c>
      <c r="L154">
        <f>SUM(G154:G161)</f>
        <v>526.5</v>
      </c>
      <c r="M154">
        <f>SUM(H154:H161)</f>
        <v>65.485714285714295</v>
      </c>
      <c r="N154">
        <f>SUM(I154:I161)</f>
        <v>498.74285714285713</v>
      </c>
      <c r="O154">
        <f>SUM(L154:N154)</f>
        <v>1090.7285714285713</v>
      </c>
      <c r="P154" s="103">
        <f>VLOOKUP($A154,LossChart!$A$3:$AB$105,14,0)-L154</f>
        <v>-113.52363914043508</v>
      </c>
      <c r="Q154" s="103">
        <f>VLOOKUP($A154,LossChart!$A$3:$AB$105,15,0)-M154</f>
        <v>14.514285714285705</v>
      </c>
      <c r="R154" s="103">
        <f>VLOOKUP($A154,LossChart!$A$3:$AB$105,16,0)-N154</f>
        <v>-21.438783006698884</v>
      </c>
      <c r="S154" s="103">
        <f>VLOOKUP($A154,LossChart!$A$3:$AB$105,17,0)-O154</f>
        <v>-120.44813643284806</v>
      </c>
      <c r="T154" s="103"/>
      <c r="U154" s="103"/>
      <c r="V154" s="103"/>
      <c r="W154" s="103"/>
    </row>
    <row r="155" spans="1:23" x14ac:dyDescent="0.25">
      <c r="B155" s="99" t="s">
        <v>127</v>
      </c>
      <c r="C155" s="100">
        <v>2</v>
      </c>
      <c r="D155">
        <f>$C155*VLOOKUP($B155,FoodDB!$A$2:$I$1014,3,0)</f>
        <v>0.4</v>
      </c>
      <c r="E155">
        <f>$C155*VLOOKUP($B155,FoodDB!$A$2:$I$1014,4,0)</f>
        <v>4.8</v>
      </c>
      <c r="F155">
        <f>$C155*VLOOKUP($B155,FoodDB!$A$2:$I$1014,5,0)</f>
        <v>1.6</v>
      </c>
      <c r="G155">
        <f>$C155*VLOOKUP($B155,FoodDB!$A$2:$I$1014,6,0)</f>
        <v>3.6</v>
      </c>
      <c r="H155">
        <f>$C155*VLOOKUP($B155,FoodDB!$A$2:$I$1014,7,0)</f>
        <v>19.2</v>
      </c>
      <c r="I155">
        <f>$C155*VLOOKUP($B155,FoodDB!$A$2:$I$1014,8,0)</f>
        <v>6.4</v>
      </c>
      <c r="J155">
        <f>$C155*VLOOKUP($B155,FoodDB!$A$2:$I$1014,9,0)</f>
        <v>29.200000000000003</v>
      </c>
    </row>
    <row r="156" spans="1:23" x14ac:dyDescent="0.25">
      <c r="B156" s="99" t="s">
        <v>95</v>
      </c>
      <c r="C156" s="100">
        <v>4</v>
      </c>
      <c r="D156">
        <f>$C156*VLOOKUP($B156,FoodDB!$A$2:$I$1014,3,0)</f>
        <v>0</v>
      </c>
      <c r="E156">
        <f>$C156*VLOOKUP($B156,FoodDB!$A$2:$I$1014,4,0)</f>
        <v>2.5714285714285716</v>
      </c>
      <c r="F156">
        <f>$C156*VLOOKUP($B156,FoodDB!$A$2:$I$1014,5,0)</f>
        <v>1.2857142857142858</v>
      </c>
      <c r="G156">
        <f>$C156*VLOOKUP($B156,FoodDB!$A$2:$I$1014,6,0)</f>
        <v>0</v>
      </c>
      <c r="H156">
        <f>$C156*VLOOKUP($B156,FoodDB!$A$2:$I$1014,7,0)</f>
        <v>10.285714285714286</v>
      </c>
      <c r="I156">
        <f>$C156*VLOOKUP($B156,FoodDB!$A$2:$I$1014,8,0)</f>
        <v>5.1428571428571432</v>
      </c>
      <c r="J156">
        <f>$C156*VLOOKUP($B156,FoodDB!$A$2:$I$1014,9,0)</f>
        <v>15.428571428571431</v>
      </c>
    </row>
    <row r="157" spans="1:23" x14ac:dyDescent="0.25">
      <c r="B157" s="99" t="s">
        <v>99</v>
      </c>
      <c r="C157" s="100">
        <v>7</v>
      </c>
      <c r="D157">
        <f>$C157*VLOOKUP($B157,FoodDB!$A$2:$I$1014,3,0)</f>
        <v>0</v>
      </c>
      <c r="E157">
        <f>$C157*VLOOKUP($B157,FoodDB!$A$2:$I$1014,4,0)</f>
        <v>7</v>
      </c>
      <c r="F157">
        <f>$C157*VLOOKUP($B157,FoodDB!$A$2:$I$1014,5,0)</f>
        <v>4.2</v>
      </c>
      <c r="G157">
        <f>$C157*VLOOKUP($B157,FoodDB!$A$2:$I$1014,6,0)</f>
        <v>0</v>
      </c>
      <c r="H157">
        <f>$C157*VLOOKUP($B157,FoodDB!$A$2:$I$1014,7,0)</f>
        <v>28</v>
      </c>
      <c r="I157">
        <f>$C157*VLOOKUP($B157,FoodDB!$A$2:$I$1014,8,0)</f>
        <v>16.8</v>
      </c>
      <c r="J157">
        <f>$C157*VLOOKUP($B157,FoodDB!$A$2:$I$1014,9,0)</f>
        <v>44.800000000000004</v>
      </c>
    </row>
    <row r="158" spans="1:23" x14ac:dyDescent="0.25">
      <c r="B158" s="99" t="s">
        <v>98</v>
      </c>
      <c r="C158" s="100">
        <v>5</v>
      </c>
      <c r="D158">
        <f>$C158*VLOOKUP($B158,FoodDB!$A$2:$I$1014,3,0)</f>
        <v>30.9</v>
      </c>
      <c r="E158">
        <f>$C158*VLOOKUP($B158,FoodDB!$A$2:$I$1014,4,0)</f>
        <v>0</v>
      </c>
      <c r="F158">
        <f>$C158*VLOOKUP($B158,FoodDB!$A$2:$I$1014,5,0)</f>
        <v>42.599999999999994</v>
      </c>
      <c r="G158">
        <f>$C158*VLOOKUP($B158,FoodDB!$A$2:$I$1014,6,0)</f>
        <v>278.09999999999997</v>
      </c>
      <c r="H158">
        <f>$C158*VLOOKUP($B158,FoodDB!$A$2:$I$1014,7,0)</f>
        <v>0</v>
      </c>
      <c r="I158">
        <f>$C158*VLOOKUP($B158,FoodDB!$A$2:$I$1014,8,0)</f>
        <v>170.39999999999998</v>
      </c>
      <c r="J158">
        <f>$C158*VLOOKUP($B158,FoodDB!$A$2:$I$1014,9,0)</f>
        <v>448.49999999999994</v>
      </c>
    </row>
    <row r="159" spans="1:23" x14ac:dyDescent="0.25">
      <c r="B159" s="99" t="s">
        <v>107</v>
      </c>
      <c r="C159" s="100">
        <v>2</v>
      </c>
      <c r="D159">
        <f>$C159*VLOOKUP($B159,FoodDB!$A$2:$I$1014,3,0)</f>
        <v>0</v>
      </c>
      <c r="E159">
        <f>$C159*VLOOKUP($B159,FoodDB!$A$2:$I$1014,4,0)</f>
        <v>0</v>
      </c>
      <c r="F159">
        <f>$C159*VLOOKUP($B159,FoodDB!$A$2:$I$1014,5,0)</f>
        <v>0</v>
      </c>
      <c r="G159">
        <f>$C159*VLOOKUP($B159,FoodDB!$A$2:$I$1014,6,0)</f>
        <v>0</v>
      </c>
      <c r="H159">
        <f>$C159*VLOOKUP($B159,FoodDB!$A$2:$I$1014,7,0)</f>
        <v>0</v>
      </c>
      <c r="I159">
        <f>$C159*VLOOKUP($B159,FoodDB!$A$2:$I$1014,8,0)</f>
        <v>0</v>
      </c>
      <c r="J159">
        <f>$C159*VLOOKUP($B159,FoodDB!$A$2:$I$1014,9,0)</f>
        <v>0</v>
      </c>
    </row>
    <row r="160" spans="1:23" x14ac:dyDescent="0.25">
      <c r="B160" s="99" t="s">
        <v>126</v>
      </c>
      <c r="C160" s="100">
        <v>1</v>
      </c>
      <c r="D160">
        <f>$C160*VLOOKUP($B160,FoodDB!$A$2:$I$1014,3,0)</f>
        <v>15</v>
      </c>
      <c r="E160">
        <f>$C160*VLOOKUP($B160,FoodDB!$A$2:$I$1014,4,0)</f>
        <v>2</v>
      </c>
      <c r="F160">
        <f>$C160*VLOOKUP($B160,FoodDB!$A$2:$I$1014,5,0)</f>
        <v>7</v>
      </c>
      <c r="G160">
        <f>$C160*VLOOKUP($B160,FoodDB!$A$2:$I$1014,6,0)</f>
        <v>135</v>
      </c>
      <c r="H160">
        <f>$C160*VLOOKUP($B160,FoodDB!$A$2:$I$1014,7,0)</f>
        <v>8</v>
      </c>
      <c r="I160">
        <f>$C160*VLOOKUP($B160,FoodDB!$A$2:$I$1014,8,0)</f>
        <v>28</v>
      </c>
      <c r="J160">
        <f>$C160*VLOOKUP($B160,FoodDB!$A$2:$I$1014,9,0)</f>
        <v>171</v>
      </c>
    </row>
    <row r="161" spans="1:23" x14ac:dyDescent="0.25">
      <c r="B161" s="99" t="s">
        <v>100</v>
      </c>
      <c r="C161" s="100">
        <v>1</v>
      </c>
      <c r="D161">
        <f>$C161*VLOOKUP($B161,FoodDB!$A$2:$I$1014,3,0)</f>
        <v>5</v>
      </c>
      <c r="E161">
        <f>$C161*VLOOKUP($B161,FoodDB!$A$2:$I$1014,4,0)</f>
        <v>0</v>
      </c>
      <c r="F161">
        <f>$C161*VLOOKUP($B161,FoodDB!$A$2:$I$1014,5,0)</f>
        <v>6</v>
      </c>
      <c r="G161">
        <f>$C161*VLOOKUP($B161,FoodDB!$A$2:$I$1014,6,0)</f>
        <v>45</v>
      </c>
      <c r="H161">
        <f>$C161*VLOOKUP($B161,FoodDB!$A$2:$I$1014,7,0)</f>
        <v>0</v>
      </c>
      <c r="I161">
        <f>$C161*VLOOKUP($B161,FoodDB!$A$2:$I$1014,8,0)</f>
        <v>24</v>
      </c>
      <c r="J161">
        <f>$C161*VLOOKUP($B161,FoodDB!$A$2:$I$1014,9,0)</f>
        <v>69</v>
      </c>
    </row>
    <row r="162" spans="1:23" x14ac:dyDescent="0.25">
      <c r="A162" t="s">
        <v>97</v>
      </c>
      <c r="G162">
        <f>SUM(G154:G161)</f>
        <v>526.5</v>
      </c>
      <c r="H162">
        <f>SUM(H154:H161)</f>
        <v>65.485714285714295</v>
      </c>
      <c r="I162">
        <f>SUM(I154:I161)</f>
        <v>498.74285714285713</v>
      </c>
      <c r="J162">
        <f>SUM(G162:I162)</f>
        <v>1090.7285714285713</v>
      </c>
    </row>
    <row r="163" spans="1:23" x14ac:dyDescent="0.25">
      <c r="A163" t="s">
        <v>101</v>
      </c>
      <c r="B163" t="s">
        <v>102</v>
      </c>
      <c r="E163" s="103"/>
      <c r="F163" s="103"/>
      <c r="G163" s="103">
        <f>VLOOKUP($A154,LossChart!$A$3:$AB$105,14,0)</f>
        <v>412.97636085956492</v>
      </c>
      <c r="H163" s="103">
        <f>VLOOKUP($A154,LossChart!$A$3:$AB$105,15,0)</f>
        <v>80</v>
      </c>
      <c r="I163" s="103">
        <f>VLOOKUP($A154,LossChart!$A$3:$AB$105,16,0)</f>
        <v>477.30407413615825</v>
      </c>
      <c r="J163" s="103">
        <f>VLOOKUP($A154,LossChart!$A$3:$AB$105,17,0)</f>
        <v>970.28043499572323</v>
      </c>
      <c r="K163" s="103"/>
    </row>
    <row r="164" spans="1:23" x14ac:dyDescent="0.25">
      <c r="A164" t="s">
        <v>103</v>
      </c>
      <c r="G164">
        <f>G163-G162</f>
        <v>-113.52363914043508</v>
      </c>
      <c r="H164">
        <f>H163-H162</f>
        <v>14.514285714285705</v>
      </c>
      <c r="I164">
        <f>I163-I162</f>
        <v>-21.438783006698884</v>
      </c>
      <c r="J164">
        <f>J163-J162</f>
        <v>-120.44813643284806</v>
      </c>
    </row>
    <row r="166" spans="1:23" ht="60" x14ac:dyDescent="0.25">
      <c r="A166" s="26" t="s">
        <v>63</v>
      </c>
      <c r="B166" s="26" t="s">
        <v>92</v>
      </c>
      <c r="C166" s="26" t="s">
        <v>93</v>
      </c>
      <c r="D166" s="97" t="str">
        <f>FoodDB!$C$1</f>
        <v>Fat
(g)</v>
      </c>
      <c r="E166" s="97" t="str">
        <f>FoodDB!$D$1</f>
        <v xml:space="preserve"> Carbs
(g)</v>
      </c>
      <c r="F166" s="97" t="str">
        <f>FoodDB!$E$1</f>
        <v>Protein
(g)</v>
      </c>
      <c r="G166" s="97" t="str">
        <f>FoodDB!$F$1</f>
        <v>Fat
(Cal)</v>
      </c>
      <c r="H166" s="97" t="str">
        <f>FoodDB!$G$1</f>
        <v>Carb
(Cal)</v>
      </c>
      <c r="I166" s="97" t="str">
        <f>FoodDB!$H$1</f>
        <v>Protein
(Cal)</v>
      </c>
      <c r="J166" s="97" t="str">
        <f>FoodDB!$I$1</f>
        <v>Total
Calories</v>
      </c>
      <c r="K166" s="97"/>
      <c r="L166" s="97" t="s">
        <v>109</v>
      </c>
      <c r="M166" s="97" t="s">
        <v>110</v>
      </c>
      <c r="N166" s="97" t="s">
        <v>111</v>
      </c>
      <c r="O166" s="97" t="s">
        <v>112</v>
      </c>
      <c r="P166" s="97" t="s">
        <v>117</v>
      </c>
      <c r="Q166" s="97" t="s">
        <v>118</v>
      </c>
      <c r="R166" s="97" t="s">
        <v>119</v>
      </c>
      <c r="S166" s="97" t="s">
        <v>120</v>
      </c>
      <c r="T166" s="97"/>
      <c r="U166" s="97"/>
      <c r="V166" s="97"/>
      <c r="W166" s="97"/>
    </row>
    <row r="167" spans="1:23" x14ac:dyDescent="0.25">
      <c r="A167" s="98">
        <f>A154+1</f>
        <v>43008</v>
      </c>
      <c r="B167" s="99" t="s">
        <v>125</v>
      </c>
      <c r="C167" s="100">
        <v>2.5</v>
      </c>
      <c r="D167" s="103">
        <f>$C167*VLOOKUP($B167,FoodDB!$A$2:$I$1014,3,0)</f>
        <v>9</v>
      </c>
      <c r="E167" s="103">
        <f>$C167*VLOOKUP($B167,FoodDB!$A$2:$I$1014,4,0)</f>
        <v>0</v>
      </c>
      <c r="F167" s="103">
        <f>$C167*VLOOKUP($B167,FoodDB!$A$2:$I$1014,5,0)</f>
        <v>77.5</v>
      </c>
      <c r="G167" s="103">
        <f>$C167*VLOOKUP($B167,FoodDB!$A$2:$I$1014,6,0)</f>
        <v>81</v>
      </c>
      <c r="H167" s="103">
        <f>$C167*VLOOKUP($B167,FoodDB!$A$2:$I$1014,7,0)</f>
        <v>0</v>
      </c>
      <c r="I167" s="103">
        <f>$C167*VLOOKUP($B167,FoodDB!$A$2:$I$1014,8,0)</f>
        <v>310</v>
      </c>
      <c r="J167" s="103">
        <f>$C167*VLOOKUP($B167,FoodDB!$A$2:$I$1014,9,0)</f>
        <v>391</v>
      </c>
      <c r="L167" s="103">
        <f>SUM(G167:G174)</f>
        <v>483.48</v>
      </c>
      <c r="M167" s="103">
        <f>SUM(H167:H174)</f>
        <v>43.714285714285715</v>
      </c>
      <c r="N167" s="103">
        <f>SUM(I167:I174)</f>
        <v>518.97714285714278</v>
      </c>
      <c r="O167" s="103">
        <f>SUM(L167:N167)</f>
        <v>1046.1714285714284</v>
      </c>
      <c r="P167" s="103">
        <f>VLOOKUP($A167,LossChart!$A$3:$AB$105,14,0)-L167</f>
        <v>-63.297598188063603</v>
      </c>
      <c r="Q167" s="103">
        <f>VLOOKUP($A167,LossChart!$A$3:$AB$105,15,0)-M167</f>
        <v>36.285714285714285</v>
      </c>
      <c r="R167" s="103">
        <f>VLOOKUP($A167,LossChart!$A$3:$AB$105,16,0)-N167</f>
        <v>-41.673068720984531</v>
      </c>
      <c r="S167" s="103">
        <f>VLOOKUP($A167,LossChart!$A$3:$AB$105,17,0)-O167</f>
        <v>-68.684952623333629</v>
      </c>
      <c r="T167" s="103"/>
      <c r="U167" s="103"/>
      <c r="V167" s="103"/>
      <c r="W167" s="103"/>
    </row>
    <row r="168" spans="1:23" x14ac:dyDescent="0.25">
      <c r="B168" s="99" t="s">
        <v>98</v>
      </c>
      <c r="C168" s="100">
        <v>4</v>
      </c>
      <c r="D168" s="103">
        <f>$C168*VLOOKUP($B168,FoodDB!$A$2:$I$1014,3,0)</f>
        <v>24.72</v>
      </c>
      <c r="E168" s="103">
        <f>$C168*VLOOKUP($B168,FoodDB!$A$2:$I$1014,4,0)</f>
        <v>0</v>
      </c>
      <c r="F168" s="103">
        <f>$C168*VLOOKUP($B168,FoodDB!$A$2:$I$1014,5,0)</f>
        <v>34.08</v>
      </c>
      <c r="G168" s="103">
        <f>$C168*VLOOKUP($B168,FoodDB!$A$2:$I$1014,6,0)</f>
        <v>222.48</v>
      </c>
      <c r="H168" s="103">
        <f>$C168*VLOOKUP($B168,FoodDB!$A$2:$I$1014,7,0)</f>
        <v>0</v>
      </c>
      <c r="I168" s="103">
        <f>$C168*VLOOKUP($B168,FoodDB!$A$2:$I$1014,8,0)</f>
        <v>136.32</v>
      </c>
      <c r="J168" s="103">
        <f>$C168*VLOOKUP($B168,FoodDB!$A$2:$I$1014,9,0)</f>
        <v>358.79999999999995</v>
      </c>
    </row>
    <row r="169" spans="1:23" x14ac:dyDescent="0.25">
      <c r="B169" s="99" t="s">
        <v>99</v>
      </c>
      <c r="C169" s="100">
        <v>7</v>
      </c>
      <c r="D169" s="103">
        <f>$C169*VLOOKUP($B169,FoodDB!$A$2:$I$1014,3,0)</f>
        <v>0</v>
      </c>
      <c r="E169" s="103">
        <f>$C169*VLOOKUP($B169,FoodDB!$A$2:$I$1014,4,0)</f>
        <v>7</v>
      </c>
      <c r="F169" s="103">
        <f>$C169*VLOOKUP($B169,FoodDB!$A$2:$I$1014,5,0)</f>
        <v>4.2</v>
      </c>
      <c r="G169" s="103">
        <f>$C169*VLOOKUP($B169,FoodDB!$A$2:$I$1014,6,0)</f>
        <v>0</v>
      </c>
      <c r="H169" s="103">
        <f>$C169*VLOOKUP($B169,FoodDB!$A$2:$I$1014,7,0)</f>
        <v>28</v>
      </c>
      <c r="I169" s="103">
        <f>$C169*VLOOKUP($B169,FoodDB!$A$2:$I$1014,8,0)</f>
        <v>16.8</v>
      </c>
      <c r="J169" s="103">
        <f>$C169*VLOOKUP($B169,FoodDB!$A$2:$I$1014,9,0)</f>
        <v>44.800000000000004</v>
      </c>
    </row>
    <row r="170" spans="1:23" x14ac:dyDescent="0.25">
      <c r="B170" s="99" t="s">
        <v>95</v>
      </c>
      <c r="C170" s="100">
        <v>3</v>
      </c>
      <c r="D170" s="103">
        <f>$C170*VLOOKUP($B170,FoodDB!$A$2:$I$1014,3,0)</f>
        <v>0</v>
      </c>
      <c r="E170" s="103">
        <f>$C170*VLOOKUP($B170,FoodDB!$A$2:$I$1014,4,0)</f>
        <v>1.9285714285714288</v>
      </c>
      <c r="F170" s="103">
        <f>$C170*VLOOKUP($B170,FoodDB!$A$2:$I$1014,5,0)</f>
        <v>0.96428571428571441</v>
      </c>
      <c r="G170" s="103">
        <f>$C170*VLOOKUP($B170,FoodDB!$A$2:$I$1014,6,0)</f>
        <v>0</v>
      </c>
      <c r="H170" s="103">
        <f>$C170*VLOOKUP($B170,FoodDB!$A$2:$I$1014,7,0)</f>
        <v>7.7142857142857153</v>
      </c>
      <c r="I170" s="103">
        <f>$C170*VLOOKUP($B170,FoodDB!$A$2:$I$1014,8,0)</f>
        <v>3.8571428571428577</v>
      </c>
      <c r="J170" s="103">
        <f>$C170*VLOOKUP($B170,FoodDB!$A$2:$I$1014,9,0)</f>
        <v>11.571428571428573</v>
      </c>
    </row>
    <row r="171" spans="1:23" x14ac:dyDescent="0.25">
      <c r="B171" s="99" t="s">
        <v>108</v>
      </c>
      <c r="C171" s="100">
        <v>0</v>
      </c>
      <c r="D171" s="103">
        <f>$C171*VLOOKUP($B171,FoodDB!$A$2:$I$1014,3,0)</f>
        <v>0</v>
      </c>
      <c r="E171" s="103">
        <f>$C171*VLOOKUP($B171,FoodDB!$A$2:$I$1014,4,0)</f>
        <v>0</v>
      </c>
      <c r="F171" s="103">
        <f>$C171*VLOOKUP($B171,FoodDB!$A$2:$I$1014,5,0)</f>
        <v>0</v>
      </c>
      <c r="G171" s="103">
        <f>$C171*VLOOKUP($B171,FoodDB!$A$2:$I$1014,6,0)</f>
        <v>0</v>
      </c>
      <c r="H171" s="103">
        <f>$C171*VLOOKUP($B171,FoodDB!$A$2:$I$1014,7,0)</f>
        <v>0</v>
      </c>
      <c r="I171" s="103">
        <f>$C171*VLOOKUP($B171,FoodDB!$A$2:$I$1014,8,0)</f>
        <v>0</v>
      </c>
      <c r="J171" s="103">
        <f>$C171*VLOOKUP($B171,FoodDB!$A$2:$I$1014,9,0)</f>
        <v>0</v>
      </c>
    </row>
    <row r="172" spans="1:23" x14ac:dyDescent="0.25">
      <c r="B172" s="99" t="s">
        <v>126</v>
      </c>
      <c r="C172" s="100">
        <v>1</v>
      </c>
      <c r="D172" s="103">
        <f>$C172*VLOOKUP($B172,FoodDB!$A$2:$I$1014,3,0)</f>
        <v>15</v>
      </c>
      <c r="E172" s="103">
        <f>$C172*VLOOKUP($B172,FoodDB!$A$2:$I$1014,4,0)</f>
        <v>2</v>
      </c>
      <c r="F172" s="103">
        <f>$C172*VLOOKUP($B172,FoodDB!$A$2:$I$1014,5,0)</f>
        <v>7</v>
      </c>
      <c r="G172" s="103">
        <f>$C172*VLOOKUP($B172,FoodDB!$A$2:$I$1014,6,0)</f>
        <v>135</v>
      </c>
      <c r="H172" s="103">
        <f>$C172*VLOOKUP($B172,FoodDB!$A$2:$I$1014,7,0)</f>
        <v>8</v>
      </c>
      <c r="I172" s="103">
        <f>$C172*VLOOKUP($B172,FoodDB!$A$2:$I$1014,8,0)</f>
        <v>28</v>
      </c>
      <c r="J172" s="103">
        <f>$C172*VLOOKUP($B172,FoodDB!$A$2:$I$1014,9,0)</f>
        <v>171</v>
      </c>
    </row>
    <row r="173" spans="1:23" x14ac:dyDescent="0.25">
      <c r="B173" s="99" t="s">
        <v>100</v>
      </c>
      <c r="C173" s="100">
        <v>1</v>
      </c>
      <c r="D173" s="103">
        <f>$C173*VLOOKUP($B173,FoodDB!$A$2:$I$1014,3,0)</f>
        <v>5</v>
      </c>
      <c r="E173" s="103">
        <f>$C173*VLOOKUP($B173,FoodDB!$A$2:$I$1014,4,0)</f>
        <v>0</v>
      </c>
      <c r="F173" s="103">
        <f>$C173*VLOOKUP($B173,FoodDB!$A$2:$I$1014,5,0)</f>
        <v>6</v>
      </c>
      <c r="G173" s="103">
        <f>$C173*VLOOKUP($B173,FoodDB!$A$2:$I$1014,6,0)</f>
        <v>45</v>
      </c>
      <c r="H173" s="103">
        <f>$C173*VLOOKUP($B173,FoodDB!$A$2:$I$1014,7,0)</f>
        <v>0</v>
      </c>
      <c r="I173" s="103">
        <f>$C173*VLOOKUP($B173,FoodDB!$A$2:$I$1014,8,0)</f>
        <v>24</v>
      </c>
      <c r="J173" s="103">
        <f>$C173*VLOOKUP($B173,FoodDB!$A$2:$I$1014,9,0)</f>
        <v>69</v>
      </c>
    </row>
    <row r="174" spans="1:23" x14ac:dyDescent="0.25">
      <c r="B174" s="99" t="s">
        <v>107</v>
      </c>
      <c r="C174" s="100">
        <v>0</v>
      </c>
      <c r="D174" s="103">
        <f>$C174*VLOOKUP($B174,FoodDB!$A$2:$I$1014,3,0)</f>
        <v>0</v>
      </c>
      <c r="E174" s="103">
        <f>$C174*VLOOKUP($B174,FoodDB!$A$2:$I$1014,4,0)</f>
        <v>0</v>
      </c>
      <c r="F174" s="103">
        <f>$C174*VLOOKUP($B174,FoodDB!$A$2:$I$1014,5,0)</f>
        <v>0</v>
      </c>
      <c r="G174" s="103">
        <f>$C174*VLOOKUP($B174,FoodDB!$A$2:$I$1014,6,0)</f>
        <v>0</v>
      </c>
      <c r="H174" s="103">
        <f>$C174*VLOOKUP($B174,FoodDB!$A$2:$I$1014,7,0)</f>
        <v>0</v>
      </c>
      <c r="I174" s="103">
        <f>$C174*VLOOKUP($B174,FoodDB!$A$2:$I$1014,8,0)</f>
        <v>0</v>
      </c>
      <c r="J174" s="103">
        <f>$C174*VLOOKUP($B174,FoodDB!$A$2:$I$1014,9,0)</f>
        <v>0</v>
      </c>
    </row>
    <row r="175" spans="1:23" x14ac:dyDescent="0.25">
      <c r="A175" t="s">
        <v>97</v>
      </c>
      <c r="D175" s="103"/>
      <c r="E175" s="103"/>
      <c r="F175" s="103"/>
      <c r="G175" s="103">
        <f>SUM(G167:G174)</f>
        <v>483.48</v>
      </c>
      <c r="H175" s="103">
        <f>SUM(H167:H174)</f>
        <v>43.714285714285715</v>
      </c>
      <c r="I175" s="103">
        <f>SUM(I167:I174)</f>
        <v>518.97714285714278</v>
      </c>
      <c r="J175" s="103">
        <f>SUM(G175:I175)</f>
        <v>1046.1714285714284</v>
      </c>
    </row>
    <row r="176" spans="1:23" x14ac:dyDescent="0.25">
      <c r="A176" t="s">
        <v>101</v>
      </c>
      <c r="B176" t="s">
        <v>102</v>
      </c>
      <c r="D176" s="103"/>
      <c r="E176" s="103"/>
      <c r="F176" s="103"/>
      <c r="G176" s="103">
        <f>VLOOKUP($A167,LossChart!$A$3:$AB$105,14,0)</f>
        <v>420.18240181193642</v>
      </c>
      <c r="H176" s="103">
        <f>VLOOKUP($A167,LossChart!$A$3:$AB$105,15,0)</f>
        <v>80</v>
      </c>
      <c r="I176" s="103">
        <f>VLOOKUP($A167,LossChart!$A$3:$AB$105,16,0)</f>
        <v>477.30407413615825</v>
      </c>
      <c r="J176" s="103">
        <f>VLOOKUP($A167,LossChart!$A$3:$AB$105,17,0)</f>
        <v>977.48647594809472</v>
      </c>
      <c r="K176" s="103"/>
    </row>
    <row r="177" spans="1:23" x14ac:dyDescent="0.25">
      <c r="A177" t="s">
        <v>103</v>
      </c>
      <c r="D177" s="103"/>
      <c r="E177" s="103"/>
      <c r="F177" s="103"/>
      <c r="G177" s="103">
        <f>G176-G175</f>
        <v>-63.297598188063603</v>
      </c>
      <c r="H177" s="103">
        <f>H176-H175</f>
        <v>36.285714285714285</v>
      </c>
      <c r="I177" s="103">
        <f>I176-I175</f>
        <v>-41.673068720984531</v>
      </c>
      <c r="J177" s="103">
        <f>J176-J175</f>
        <v>-68.684952623333629</v>
      </c>
    </row>
    <row r="179" spans="1:23" ht="60" x14ac:dyDescent="0.25">
      <c r="A179" s="26" t="s">
        <v>63</v>
      </c>
      <c r="B179" s="26" t="s">
        <v>92</v>
      </c>
      <c r="C179" s="26" t="s">
        <v>93</v>
      </c>
      <c r="D179" s="97" t="str">
        <f>FoodDB!$C$1</f>
        <v>Fat
(g)</v>
      </c>
      <c r="E179" s="97" t="str">
        <f>FoodDB!$D$1</f>
        <v xml:space="preserve"> Carbs
(g)</v>
      </c>
      <c r="F179" s="97" t="str">
        <f>FoodDB!$E$1</f>
        <v>Protein
(g)</v>
      </c>
      <c r="G179" s="97" t="str">
        <f>FoodDB!$F$1</f>
        <v>Fat
(Cal)</v>
      </c>
      <c r="H179" s="97" t="str">
        <f>FoodDB!$G$1</f>
        <v>Carb
(Cal)</v>
      </c>
      <c r="I179" s="97" t="str">
        <f>FoodDB!$H$1</f>
        <v>Protein
(Cal)</v>
      </c>
      <c r="J179" s="97" t="str">
        <f>FoodDB!$I$1</f>
        <v>Total
Calories</v>
      </c>
      <c r="K179" s="97"/>
      <c r="L179" s="97" t="s">
        <v>109</v>
      </c>
      <c r="M179" s="97" t="s">
        <v>110</v>
      </c>
      <c r="N179" s="97" t="s">
        <v>111</v>
      </c>
      <c r="O179" s="97" t="s">
        <v>112</v>
      </c>
      <c r="P179" s="97" t="s">
        <v>117</v>
      </c>
      <c r="Q179" s="97" t="s">
        <v>118</v>
      </c>
      <c r="R179" s="97" t="s">
        <v>119</v>
      </c>
      <c r="S179" s="97" t="s">
        <v>120</v>
      </c>
      <c r="T179" s="97"/>
      <c r="U179" s="97"/>
      <c r="V179" s="97"/>
      <c r="W179" s="97"/>
    </row>
    <row r="180" spans="1:23" x14ac:dyDescent="0.25">
      <c r="A180" s="98">
        <f>A167+1</f>
        <v>43009</v>
      </c>
      <c r="B180" s="99" t="s">
        <v>99</v>
      </c>
      <c r="C180" s="100">
        <v>7</v>
      </c>
      <c r="D180">
        <f>$C180*VLOOKUP($B180,FoodDB!$A$2:$I$1014,3,0)</f>
        <v>0</v>
      </c>
      <c r="E180">
        <f>$C180*VLOOKUP($B180,FoodDB!$A$2:$I$1014,4,0)</f>
        <v>7</v>
      </c>
      <c r="F180">
        <f>$C180*VLOOKUP($B180,FoodDB!$A$2:$I$1014,5,0)</f>
        <v>4.2</v>
      </c>
      <c r="G180">
        <f>$C180*VLOOKUP($B180,FoodDB!$A$2:$I$1014,6,0)</f>
        <v>0</v>
      </c>
      <c r="H180">
        <f>$C180*VLOOKUP($B180,FoodDB!$A$2:$I$1014,7,0)</f>
        <v>28</v>
      </c>
      <c r="I180">
        <f>$C180*VLOOKUP($B180,FoodDB!$A$2:$I$1014,8,0)</f>
        <v>16.8</v>
      </c>
      <c r="J180">
        <f>$C180*VLOOKUP($B180,FoodDB!$A$2:$I$1014,9,0)</f>
        <v>44.800000000000004</v>
      </c>
      <c r="L180">
        <f>SUM(G180:G186)</f>
        <v>504.9</v>
      </c>
      <c r="M180">
        <f>SUM(H180:H186)</f>
        <v>51.714285714285715</v>
      </c>
      <c r="N180">
        <f>SUM(I180:I186)</f>
        <v>476.65714285714284</v>
      </c>
      <c r="O180">
        <f>SUM(L180:N180)</f>
        <v>1033.2714285714285</v>
      </c>
      <c r="P180" s="103">
        <f>VLOOKUP($A180,LossChart!$A$3:$AB$105,14,0)-L180</f>
        <v>-77.300933812932612</v>
      </c>
      <c r="Q180" s="103">
        <f>VLOOKUP($A180,LossChart!$A$3:$AB$105,15,0)-M180</f>
        <v>28.285714285714285</v>
      </c>
      <c r="R180" s="103">
        <f>VLOOKUP($A180,LossChart!$A$3:$AB$105,16,0)-N180</f>
        <v>0.64693127901540493</v>
      </c>
      <c r="S180" s="103">
        <f>VLOOKUP($A180,LossChart!$A$3:$AB$105,17,0)-O180</f>
        <v>-48.368288248202816</v>
      </c>
      <c r="T180" s="103"/>
      <c r="U180" s="103"/>
      <c r="V180" s="103"/>
      <c r="W180" s="103"/>
    </row>
    <row r="181" spans="1:23" x14ac:dyDescent="0.25">
      <c r="B181" s="99" t="s">
        <v>98</v>
      </c>
      <c r="C181" s="100">
        <v>5</v>
      </c>
      <c r="D181">
        <f>$C181*VLOOKUP($B181,FoodDB!$A$2:$I$1014,3,0)</f>
        <v>30.9</v>
      </c>
      <c r="E181">
        <f>$C181*VLOOKUP($B181,FoodDB!$A$2:$I$1014,4,0)</f>
        <v>0</v>
      </c>
      <c r="F181">
        <f>$C181*VLOOKUP($B181,FoodDB!$A$2:$I$1014,5,0)</f>
        <v>42.599999999999994</v>
      </c>
      <c r="G181">
        <f>$C181*VLOOKUP($B181,FoodDB!$A$2:$I$1014,6,0)</f>
        <v>278.09999999999997</v>
      </c>
      <c r="H181">
        <f>$C181*VLOOKUP($B181,FoodDB!$A$2:$I$1014,7,0)</f>
        <v>0</v>
      </c>
      <c r="I181">
        <f>$C181*VLOOKUP($B181,FoodDB!$A$2:$I$1014,8,0)</f>
        <v>170.39999999999998</v>
      </c>
      <c r="J181">
        <f>$C181*VLOOKUP($B181,FoodDB!$A$2:$I$1014,9,0)</f>
        <v>448.49999999999994</v>
      </c>
    </row>
    <row r="182" spans="1:23" x14ac:dyDescent="0.25">
      <c r="B182" s="99" t="s">
        <v>125</v>
      </c>
      <c r="C182" s="100">
        <v>2</v>
      </c>
      <c r="D182">
        <f>$C182*VLOOKUP($B182,FoodDB!$A$2:$I$1014,3,0)</f>
        <v>7.2</v>
      </c>
      <c r="E182">
        <f>$C182*VLOOKUP($B182,FoodDB!$A$2:$I$1014,4,0)</f>
        <v>0</v>
      </c>
      <c r="F182">
        <f>$C182*VLOOKUP($B182,FoodDB!$A$2:$I$1014,5,0)</f>
        <v>62</v>
      </c>
      <c r="G182">
        <f>$C182*VLOOKUP($B182,FoodDB!$A$2:$I$1014,6,0)</f>
        <v>64.8</v>
      </c>
      <c r="H182">
        <f>$C182*VLOOKUP($B182,FoodDB!$A$2:$I$1014,7,0)</f>
        <v>0</v>
      </c>
      <c r="I182">
        <f>$C182*VLOOKUP($B182,FoodDB!$A$2:$I$1014,8,0)</f>
        <v>248</v>
      </c>
      <c r="J182">
        <f>$C182*VLOOKUP($B182,FoodDB!$A$2:$I$1014,9,0)</f>
        <v>312.8</v>
      </c>
    </row>
    <row r="183" spans="1:23" x14ac:dyDescent="0.25">
      <c r="B183" s="99" t="s">
        <v>95</v>
      </c>
      <c r="C183" s="100">
        <v>3</v>
      </c>
      <c r="D183">
        <f>$C183*VLOOKUP($B183,FoodDB!$A$2:$I$1014,3,0)</f>
        <v>0</v>
      </c>
      <c r="E183">
        <f>$C183*VLOOKUP($B183,FoodDB!$A$2:$I$1014,4,0)</f>
        <v>1.9285714285714288</v>
      </c>
      <c r="F183">
        <f>$C183*VLOOKUP($B183,FoodDB!$A$2:$I$1014,5,0)</f>
        <v>0.96428571428571441</v>
      </c>
      <c r="G183">
        <f>$C183*VLOOKUP($B183,FoodDB!$A$2:$I$1014,6,0)</f>
        <v>0</v>
      </c>
      <c r="H183">
        <f>$C183*VLOOKUP($B183,FoodDB!$A$2:$I$1014,7,0)</f>
        <v>7.7142857142857153</v>
      </c>
      <c r="I183">
        <f>$C183*VLOOKUP($B183,FoodDB!$A$2:$I$1014,8,0)</f>
        <v>3.8571428571428577</v>
      </c>
      <c r="J183">
        <f>$C183*VLOOKUP($B183,FoodDB!$A$2:$I$1014,9,0)</f>
        <v>11.571428571428573</v>
      </c>
    </row>
    <row r="184" spans="1:23" x14ac:dyDescent="0.25">
      <c r="B184" s="99" t="s">
        <v>96</v>
      </c>
      <c r="C184" s="100">
        <v>2</v>
      </c>
      <c r="D184">
        <f>$C184*VLOOKUP($B184,FoodDB!$A$2:$I$1014,3,0)</f>
        <v>18</v>
      </c>
      <c r="E184">
        <f>$C184*VLOOKUP($B184,FoodDB!$A$2:$I$1014,4,0)</f>
        <v>4</v>
      </c>
      <c r="F184">
        <f>$C184*VLOOKUP($B184,FoodDB!$A$2:$I$1014,5,0)</f>
        <v>9.4</v>
      </c>
      <c r="G184">
        <f>$C184*VLOOKUP($B184,FoodDB!$A$2:$I$1014,6,0)</f>
        <v>162</v>
      </c>
      <c r="H184">
        <f>$C184*VLOOKUP($B184,FoodDB!$A$2:$I$1014,7,0)</f>
        <v>16</v>
      </c>
      <c r="I184">
        <f>$C184*VLOOKUP($B184,FoodDB!$A$2:$I$1014,8,0)</f>
        <v>37.6</v>
      </c>
      <c r="J184">
        <f>$C184*VLOOKUP($B184,FoodDB!$A$2:$I$1014,9,0)</f>
        <v>215.6</v>
      </c>
    </row>
    <row r="185" spans="1:23" x14ac:dyDescent="0.25">
      <c r="B185" s="99" t="s">
        <v>107</v>
      </c>
      <c r="C185" s="100">
        <v>0</v>
      </c>
      <c r="D185">
        <f>$C185*VLOOKUP($B185,FoodDB!$A$2:$I$1014,3,0)</f>
        <v>0</v>
      </c>
      <c r="E185">
        <f>$C185*VLOOKUP($B185,FoodDB!$A$2:$I$1014,4,0)</f>
        <v>0</v>
      </c>
      <c r="F185">
        <f>$C185*VLOOKUP($B185,FoodDB!$A$2:$I$1014,5,0)</f>
        <v>0</v>
      </c>
      <c r="G185">
        <f>$C185*VLOOKUP($B185,FoodDB!$A$2:$I$1014,6,0)</f>
        <v>0</v>
      </c>
      <c r="H185">
        <f>$C185*VLOOKUP($B185,FoodDB!$A$2:$I$1014,7,0)</f>
        <v>0</v>
      </c>
      <c r="I185">
        <f>$C185*VLOOKUP($B185,FoodDB!$A$2:$I$1014,8,0)</f>
        <v>0</v>
      </c>
      <c r="J185">
        <f>$C185*VLOOKUP($B185,FoodDB!$A$2:$I$1014,9,0)</f>
        <v>0</v>
      </c>
    </row>
    <row r="186" spans="1:23" x14ac:dyDescent="0.25">
      <c r="B186" s="99" t="s">
        <v>107</v>
      </c>
      <c r="C186" s="100">
        <v>0</v>
      </c>
      <c r="D186">
        <f>$C186*VLOOKUP($B186,FoodDB!$A$2:$I$1014,3,0)</f>
        <v>0</v>
      </c>
      <c r="E186">
        <f>$C186*VLOOKUP($B186,FoodDB!$A$2:$I$1014,4,0)</f>
        <v>0</v>
      </c>
      <c r="F186">
        <f>$C186*VLOOKUP($B186,FoodDB!$A$2:$I$1014,5,0)</f>
        <v>0</v>
      </c>
      <c r="G186">
        <f>$C186*VLOOKUP($B186,FoodDB!$A$2:$I$1014,6,0)</f>
        <v>0</v>
      </c>
      <c r="H186">
        <f>$C186*VLOOKUP($B186,FoodDB!$A$2:$I$1014,7,0)</f>
        <v>0</v>
      </c>
      <c r="I186">
        <f>$C186*VLOOKUP($B186,FoodDB!$A$2:$I$1014,8,0)</f>
        <v>0</v>
      </c>
      <c r="J186">
        <f>$C186*VLOOKUP($B186,FoodDB!$A$2:$I$1014,9,0)</f>
        <v>0</v>
      </c>
    </row>
    <row r="187" spans="1:23" x14ac:dyDescent="0.25">
      <c r="A187" t="s">
        <v>97</v>
      </c>
      <c r="G187">
        <f>SUM(G180:G186)</f>
        <v>504.9</v>
      </c>
      <c r="H187">
        <f>SUM(H180:H186)</f>
        <v>51.714285714285715</v>
      </c>
      <c r="I187">
        <f>SUM(I180:I186)</f>
        <v>476.65714285714284</v>
      </c>
      <c r="J187">
        <f>SUM(G187:I187)</f>
        <v>1033.2714285714285</v>
      </c>
    </row>
    <row r="188" spans="1:23" x14ac:dyDescent="0.25">
      <c r="A188" t="s">
        <v>101</v>
      </c>
      <c r="B188" t="s">
        <v>102</v>
      </c>
      <c r="E188" s="103"/>
      <c r="F188" s="103"/>
      <c r="G188" s="103">
        <f>VLOOKUP($A180,LossChart!$A$3:$AB$105,14,0)</f>
        <v>427.59906618706736</v>
      </c>
      <c r="H188" s="103">
        <f>VLOOKUP($A180,LossChart!$A$3:$AB$105,15,0)</f>
        <v>80</v>
      </c>
      <c r="I188" s="103">
        <f>VLOOKUP($A180,LossChart!$A$3:$AB$105,16,0)</f>
        <v>477.30407413615825</v>
      </c>
      <c r="J188" s="103">
        <f>VLOOKUP($A180,LossChart!$A$3:$AB$105,17,0)</f>
        <v>984.90314032322567</v>
      </c>
      <c r="K188" s="103"/>
    </row>
    <row r="189" spans="1:23" x14ac:dyDescent="0.25">
      <c r="A189" t="s">
        <v>103</v>
      </c>
      <c r="G189">
        <f>G188-G187</f>
        <v>-77.300933812932612</v>
      </c>
      <c r="H189">
        <f>H188-H187</f>
        <v>28.285714285714285</v>
      </c>
      <c r="I189">
        <f>I188-I187</f>
        <v>0.64693127901540493</v>
      </c>
      <c r="J189">
        <f>J188-J187</f>
        <v>-48.368288248202816</v>
      </c>
    </row>
    <row r="191" spans="1:23" ht="60" x14ac:dyDescent="0.25">
      <c r="A191" s="26" t="s">
        <v>63</v>
      </c>
      <c r="B191" s="26" t="s">
        <v>92</v>
      </c>
      <c r="C191" s="26" t="s">
        <v>93</v>
      </c>
      <c r="D191" s="97" t="str">
        <f>FoodDB!$C$1</f>
        <v>Fat
(g)</v>
      </c>
      <c r="E191" s="97" t="str">
        <f>FoodDB!$D$1</f>
        <v xml:space="preserve"> Carbs
(g)</v>
      </c>
      <c r="F191" s="97" t="str">
        <f>FoodDB!$E$1</f>
        <v>Protein
(g)</v>
      </c>
      <c r="G191" s="97" t="str">
        <f>FoodDB!$F$1</f>
        <v>Fat
(Cal)</v>
      </c>
      <c r="H191" s="97" t="str">
        <f>FoodDB!$G$1</f>
        <v>Carb
(Cal)</v>
      </c>
      <c r="I191" s="97" t="str">
        <f>FoodDB!$H$1</f>
        <v>Protein
(Cal)</v>
      </c>
      <c r="J191" s="97" t="str">
        <f>FoodDB!$I$1</f>
        <v>Total
Calories</v>
      </c>
      <c r="K191" s="97"/>
      <c r="L191" s="97" t="s">
        <v>109</v>
      </c>
      <c r="M191" s="97" t="s">
        <v>110</v>
      </c>
      <c r="N191" s="97" t="s">
        <v>111</v>
      </c>
      <c r="O191" s="97" t="s">
        <v>112</v>
      </c>
      <c r="P191" s="97" t="s">
        <v>117</v>
      </c>
      <c r="Q191" s="97" t="s">
        <v>118</v>
      </c>
      <c r="R191" s="97" t="s">
        <v>119</v>
      </c>
      <c r="S191" s="97" t="s">
        <v>120</v>
      </c>
      <c r="T191" s="97"/>
      <c r="U191" s="97"/>
      <c r="V191" s="97"/>
      <c r="W191" s="97"/>
    </row>
    <row r="192" spans="1:23" x14ac:dyDescent="0.25">
      <c r="A192" s="98">
        <f>A180+1</f>
        <v>43010</v>
      </c>
      <c r="B192" s="99" t="s">
        <v>99</v>
      </c>
      <c r="C192" s="100">
        <v>7</v>
      </c>
      <c r="D192">
        <f>$C192*VLOOKUP($B192,FoodDB!$A$2:$I$1014,3,0)</f>
        <v>0</v>
      </c>
      <c r="E192">
        <f>$C192*VLOOKUP($B192,FoodDB!$A$2:$I$1014,4,0)</f>
        <v>7</v>
      </c>
      <c r="F192">
        <f>$C192*VLOOKUP($B192,FoodDB!$A$2:$I$1014,5,0)</f>
        <v>4.2</v>
      </c>
      <c r="G192">
        <f>$C192*VLOOKUP($B192,FoodDB!$A$2:$I$1014,6,0)</f>
        <v>0</v>
      </c>
      <c r="H192">
        <f>$C192*VLOOKUP($B192,FoodDB!$A$2:$I$1014,7,0)</f>
        <v>28</v>
      </c>
      <c r="I192">
        <f>$C192*VLOOKUP($B192,FoodDB!$A$2:$I$1014,8,0)</f>
        <v>16.8</v>
      </c>
      <c r="J192">
        <f>$C192*VLOOKUP($B192,FoodDB!$A$2:$I$1014,9,0)</f>
        <v>44.800000000000004</v>
      </c>
      <c r="L192">
        <f>SUM(G192:G198)</f>
        <v>504.9</v>
      </c>
      <c r="M192">
        <f>SUM(H192:H198)</f>
        <v>51.714285714285715</v>
      </c>
      <c r="N192">
        <f>SUM(I192:I198)</f>
        <v>476.65714285714284</v>
      </c>
      <c r="O192">
        <f>SUM(L192:N192)</f>
        <v>1033.2714285714285</v>
      </c>
      <c r="P192" s="103">
        <f>VLOOKUP($A192,LossChart!$A$3:$AB$105,14,0)-L192</f>
        <v>-69.842240956309865</v>
      </c>
      <c r="Q192" s="103">
        <f>VLOOKUP($A192,LossChart!$A$3:$AB$105,15,0)-M192</f>
        <v>28.285714285714285</v>
      </c>
      <c r="R192" s="103">
        <f>VLOOKUP($A192,LossChart!$A$3:$AB$105,16,0)-N192</f>
        <v>0.64693127901540493</v>
      </c>
      <c r="S192" s="103">
        <f>VLOOKUP($A192,LossChart!$A$3:$AB$105,17,0)-O192</f>
        <v>-40.909595391580069</v>
      </c>
      <c r="T192" s="103"/>
      <c r="U192" s="103"/>
      <c r="V192" s="103"/>
      <c r="W192" s="103"/>
    </row>
    <row r="193" spans="1:23" x14ac:dyDescent="0.25">
      <c r="B193" s="99" t="s">
        <v>98</v>
      </c>
      <c r="C193" s="100">
        <v>5</v>
      </c>
      <c r="D193">
        <f>$C193*VLOOKUP($B193,FoodDB!$A$2:$I$1014,3,0)</f>
        <v>30.9</v>
      </c>
      <c r="E193">
        <f>$C193*VLOOKUP($B193,FoodDB!$A$2:$I$1014,4,0)</f>
        <v>0</v>
      </c>
      <c r="F193">
        <f>$C193*VLOOKUP($B193,FoodDB!$A$2:$I$1014,5,0)</f>
        <v>42.599999999999994</v>
      </c>
      <c r="G193">
        <f>$C193*VLOOKUP($B193,FoodDB!$A$2:$I$1014,6,0)</f>
        <v>278.09999999999997</v>
      </c>
      <c r="H193">
        <f>$C193*VLOOKUP($B193,FoodDB!$A$2:$I$1014,7,0)</f>
        <v>0</v>
      </c>
      <c r="I193">
        <f>$C193*VLOOKUP($B193,FoodDB!$A$2:$I$1014,8,0)</f>
        <v>170.39999999999998</v>
      </c>
      <c r="J193">
        <f>$C193*VLOOKUP($B193,FoodDB!$A$2:$I$1014,9,0)</f>
        <v>448.49999999999994</v>
      </c>
    </row>
    <row r="194" spans="1:23" x14ac:dyDescent="0.25">
      <c r="B194" s="99" t="s">
        <v>125</v>
      </c>
      <c r="C194" s="100">
        <v>2</v>
      </c>
      <c r="D194">
        <f>$C194*VLOOKUP($B194,FoodDB!$A$2:$I$1014,3,0)</f>
        <v>7.2</v>
      </c>
      <c r="E194">
        <f>$C194*VLOOKUP($B194,FoodDB!$A$2:$I$1014,4,0)</f>
        <v>0</v>
      </c>
      <c r="F194">
        <f>$C194*VLOOKUP($B194,FoodDB!$A$2:$I$1014,5,0)</f>
        <v>62</v>
      </c>
      <c r="G194">
        <f>$C194*VLOOKUP($B194,FoodDB!$A$2:$I$1014,6,0)</f>
        <v>64.8</v>
      </c>
      <c r="H194">
        <f>$C194*VLOOKUP($B194,FoodDB!$A$2:$I$1014,7,0)</f>
        <v>0</v>
      </c>
      <c r="I194">
        <f>$C194*VLOOKUP($B194,FoodDB!$A$2:$I$1014,8,0)</f>
        <v>248</v>
      </c>
      <c r="J194">
        <f>$C194*VLOOKUP($B194,FoodDB!$A$2:$I$1014,9,0)</f>
        <v>312.8</v>
      </c>
    </row>
    <row r="195" spans="1:23" x14ac:dyDescent="0.25">
      <c r="B195" s="99" t="s">
        <v>95</v>
      </c>
      <c r="C195" s="100">
        <v>3</v>
      </c>
      <c r="D195">
        <f>$C195*VLOOKUP($B195,FoodDB!$A$2:$I$1014,3,0)</f>
        <v>0</v>
      </c>
      <c r="E195">
        <f>$C195*VLOOKUP($B195,FoodDB!$A$2:$I$1014,4,0)</f>
        <v>1.9285714285714288</v>
      </c>
      <c r="F195">
        <f>$C195*VLOOKUP($B195,FoodDB!$A$2:$I$1014,5,0)</f>
        <v>0.96428571428571441</v>
      </c>
      <c r="G195">
        <f>$C195*VLOOKUP($B195,FoodDB!$A$2:$I$1014,6,0)</f>
        <v>0</v>
      </c>
      <c r="H195">
        <f>$C195*VLOOKUP($B195,FoodDB!$A$2:$I$1014,7,0)</f>
        <v>7.7142857142857153</v>
      </c>
      <c r="I195">
        <f>$C195*VLOOKUP($B195,FoodDB!$A$2:$I$1014,8,0)</f>
        <v>3.8571428571428577</v>
      </c>
      <c r="J195">
        <f>$C195*VLOOKUP($B195,FoodDB!$A$2:$I$1014,9,0)</f>
        <v>11.571428571428573</v>
      </c>
    </row>
    <row r="196" spans="1:23" x14ac:dyDescent="0.25">
      <c r="B196" s="99" t="s">
        <v>96</v>
      </c>
      <c r="C196" s="100">
        <v>2</v>
      </c>
      <c r="D196">
        <f>$C196*VLOOKUP($B196,FoodDB!$A$2:$I$1014,3,0)</f>
        <v>18</v>
      </c>
      <c r="E196">
        <f>$C196*VLOOKUP($B196,FoodDB!$A$2:$I$1014,4,0)</f>
        <v>4</v>
      </c>
      <c r="F196">
        <f>$C196*VLOOKUP($B196,FoodDB!$A$2:$I$1014,5,0)</f>
        <v>9.4</v>
      </c>
      <c r="G196">
        <f>$C196*VLOOKUP($B196,FoodDB!$A$2:$I$1014,6,0)</f>
        <v>162</v>
      </c>
      <c r="H196">
        <f>$C196*VLOOKUP($B196,FoodDB!$A$2:$I$1014,7,0)</f>
        <v>16</v>
      </c>
      <c r="I196">
        <f>$C196*VLOOKUP($B196,FoodDB!$A$2:$I$1014,8,0)</f>
        <v>37.6</v>
      </c>
      <c r="J196">
        <f>$C196*VLOOKUP($B196,FoodDB!$A$2:$I$1014,9,0)</f>
        <v>215.6</v>
      </c>
    </row>
    <row r="197" spans="1:23" x14ac:dyDescent="0.25">
      <c r="B197" s="99" t="s">
        <v>107</v>
      </c>
      <c r="C197" s="100">
        <v>0</v>
      </c>
      <c r="D197">
        <f>$C197*VLOOKUP($B197,FoodDB!$A$2:$I$1014,3,0)</f>
        <v>0</v>
      </c>
      <c r="E197">
        <f>$C197*VLOOKUP($B197,FoodDB!$A$2:$I$1014,4,0)</f>
        <v>0</v>
      </c>
      <c r="F197">
        <f>$C197*VLOOKUP($B197,FoodDB!$A$2:$I$1014,5,0)</f>
        <v>0</v>
      </c>
      <c r="G197">
        <f>$C197*VLOOKUP($B197,FoodDB!$A$2:$I$1014,6,0)</f>
        <v>0</v>
      </c>
      <c r="H197">
        <f>$C197*VLOOKUP($B197,FoodDB!$A$2:$I$1014,7,0)</f>
        <v>0</v>
      </c>
      <c r="I197">
        <f>$C197*VLOOKUP($B197,FoodDB!$A$2:$I$1014,8,0)</f>
        <v>0</v>
      </c>
      <c r="J197">
        <f>$C197*VLOOKUP($B197,FoodDB!$A$2:$I$1014,9,0)</f>
        <v>0</v>
      </c>
    </row>
    <row r="198" spans="1:23" x14ac:dyDescent="0.25">
      <c r="B198" s="99" t="s">
        <v>107</v>
      </c>
      <c r="C198" s="100">
        <v>0</v>
      </c>
      <c r="D198">
        <f>$C198*VLOOKUP($B198,FoodDB!$A$2:$I$1014,3,0)</f>
        <v>0</v>
      </c>
      <c r="E198">
        <f>$C198*VLOOKUP($B198,FoodDB!$A$2:$I$1014,4,0)</f>
        <v>0</v>
      </c>
      <c r="F198">
        <f>$C198*VLOOKUP($B198,FoodDB!$A$2:$I$1014,5,0)</f>
        <v>0</v>
      </c>
      <c r="G198">
        <f>$C198*VLOOKUP($B198,FoodDB!$A$2:$I$1014,6,0)</f>
        <v>0</v>
      </c>
      <c r="H198">
        <f>$C198*VLOOKUP($B198,FoodDB!$A$2:$I$1014,7,0)</f>
        <v>0</v>
      </c>
      <c r="I198">
        <f>$C198*VLOOKUP($B198,FoodDB!$A$2:$I$1014,8,0)</f>
        <v>0</v>
      </c>
      <c r="J198">
        <f>$C198*VLOOKUP($B198,FoodDB!$A$2:$I$1014,9,0)</f>
        <v>0</v>
      </c>
    </row>
    <row r="199" spans="1:23" x14ac:dyDescent="0.25">
      <c r="A199" t="s">
        <v>97</v>
      </c>
      <c r="G199">
        <f>SUM(G192:G198)</f>
        <v>504.9</v>
      </c>
      <c r="H199">
        <f>SUM(H192:H198)</f>
        <v>51.714285714285715</v>
      </c>
      <c r="I199">
        <f>SUM(I192:I198)</f>
        <v>476.65714285714284</v>
      </c>
      <c r="J199">
        <f>SUM(G199:I199)</f>
        <v>1033.2714285714285</v>
      </c>
    </row>
    <row r="200" spans="1:23" x14ac:dyDescent="0.25">
      <c r="A200" t="s">
        <v>101</v>
      </c>
      <c r="B200" t="s">
        <v>102</v>
      </c>
      <c r="E200" s="103"/>
      <c r="F200" s="103"/>
      <c r="G200" s="103">
        <f>VLOOKUP($A192,LossChart!$A$3:$AB$105,14,0)</f>
        <v>435.05775904369011</v>
      </c>
      <c r="H200" s="103">
        <f>VLOOKUP($A192,LossChart!$A$3:$AB$105,15,0)</f>
        <v>80</v>
      </c>
      <c r="I200" s="103">
        <f>VLOOKUP($A192,LossChart!$A$3:$AB$105,16,0)</f>
        <v>477.30407413615825</v>
      </c>
      <c r="J200" s="103">
        <f>VLOOKUP($A192,LossChart!$A$3:$AB$105,17,0)</f>
        <v>992.36183317984842</v>
      </c>
      <c r="K200" s="103"/>
    </row>
    <row r="201" spans="1:23" x14ac:dyDescent="0.25">
      <c r="A201" t="s">
        <v>103</v>
      </c>
      <c r="G201">
        <f>G200-G199</f>
        <v>-69.842240956309865</v>
      </c>
      <c r="H201">
        <f>H200-H199</f>
        <v>28.285714285714285</v>
      </c>
      <c r="I201">
        <f>I200-I199</f>
        <v>0.64693127901540493</v>
      </c>
      <c r="J201">
        <f>J200-J199</f>
        <v>-40.909595391580069</v>
      </c>
    </row>
    <row r="203" spans="1:23" ht="60" x14ac:dyDescent="0.25">
      <c r="A203" s="26" t="s">
        <v>63</v>
      </c>
      <c r="B203" s="26" t="s">
        <v>92</v>
      </c>
      <c r="C203" s="26" t="s">
        <v>93</v>
      </c>
      <c r="D203" s="97" t="str">
        <f>FoodDB!$C$1</f>
        <v>Fat
(g)</v>
      </c>
      <c r="E203" s="97" t="str">
        <f>FoodDB!$D$1</f>
        <v xml:space="preserve"> Carbs
(g)</v>
      </c>
      <c r="F203" s="97" t="str">
        <f>FoodDB!$E$1</f>
        <v>Protein
(g)</v>
      </c>
      <c r="G203" s="97" t="str">
        <f>FoodDB!$F$1</f>
        <v>Fat
(Cal)</v>
      </c>
      <c r="H203" s="97" t="str">
        <f>FoodDB!$G$1</f>
        <v>Carb
(Cal)</v>
      </c>
      <c r="I203" s="97" t="str">
        <f>FoodDB!$H$1</f>
        <v>Protein
(Cal)</v>
      </c>
      <c r="J203" s="97" t="str">
        <f>FoodDB!$I$1</f>
        <v>Total
Calories</v>
      </c>
      <c r="K203" s="97"/>
      <c r="L203" s="97" t="s">
        <v>109</v>
      </c>
      <c r="M203" s="97" t="s">
        <v>110</v>
      </c>
      <c r="N203" s="97" t="s">
        <v>111</v>
      </c>
      <c r="O203" s="97" t="s">
        <v>112</v>
      </c>
      <c r="P203" s="97" t="s">
        <v>117</v>
      </c>
      <c r="Q203" s="97" t="s">
        <v>118</v>
      </c>
      <c r="R203" s="97" t="s">
        <v>119</v>
      </c>
      <c r="S203" s="97" t="s">
        <v>120</v>
      </c>
      <c r="T203" s="97"/>
      <c r="U203" s="97"/>
      <c r="V203" s="97"/>
      <c r="W203" s="97"/>
    </row>
    <row r="204" spans="1:23" x14ac:dyDescent="0.25">
      <c r="A204" s="98">
        <f>A192+1</f>
        <v>43011</v>
      </c>
      <c r="B204" s="99" t="s">
        <v>125</v>
      </c>
      <c r="C204" s="100">
        <v>3</v>
      </c>
      <c r="D204">
        <f>$C204*VLOOKUP($B204,FoodDB!$A$2:$I$1014,3,0)</f>
        <v>10.8</v>
      </c>
      <c r="E204">
        <f>$C204*VLOOKUP($B204,FoodDB!$A$2:$I$1014,4,0)</f>
        <v>0</v>
      </c>
      <c r="F204">
        <f>$C204*VLOOKUP($B204,FoodDB!$A$2:$I$1014,5,0)</f>
        <v>93</v>
      </c>
      <c r="G204">
        <f>$C204*VLOOKUP($B204,FoodDB!$A$2:$I$1014,6,0)</f>
        <v>97.199999999999989</v>
      </c>
      <c r="H204">
        <f>$C204*VLOOKUP($B204,FoodDB!$A$2:$I$1014,7,0)</f>
        <v>0</v>
      </c>
      <c r="I204">
        <f>$C204*VLOOKUP($B204,FoodDB!$A$2:$I$1014,8,0)</f>
        <v>372</v>
      </c>
      <c r="J204">
        <f>$C204*VLOOKUP($B204,FoodDB!$A$2:$I$1014,9,0)</f>
        <v>469.20000000000005</v>
      </c>
      <c r="L204">
        <f>SUM(G204:G213)</f>
        <v>426.6</v>
      </c>
      <c r="M204">
        <f>SUM(H204:H213)</f>
        <v>65.599999999999994</v>
      </c>
      <c r="N204">
        <f>SUM(I204:I213)</f>
        <v>500.40000000000003</v>
      </c>
      <c r="O204">
        <f>SUM(L204:N204)</f>
        <v>992.60000000000014</v>
      </c>
      <c r="P204" s="103">
        <f>VLOOKUP($A204,LossChart!$A$3:$AB$105,14,0)-L204</f>
        <v>15.889935175390406</v>
      </c>
      <c r="Q204" s="103">
        <f>VLOOKUP($A204,LossChart!$A$3:$AB$105,15,0)-M204</f>
        <v>14.400000000000006</v>
      </c>
      <c r="R204" s="103">
        <f>VLOOKUP($A204,LossChart!$A$3:$AB$105,16,0)-N204</f>
        <v>-23.095925863841785</v>
      </c>
      <c r="S204" s="103">
        <f>VLOOKUP($A204,LossChart!$A$3:$AB$105,17,0)-O204</f>
        <v>7.1940093115485979</v>
      </c>
      <c r="T204" s="103"/>
      <c r="U204" s="103"/>
      <c r="V204" s="103"/>
      <c r="W204" s="103"/>
    </row>
    <row r="205" spans="1:23" x14ac:dyDescent="0.25">
      <c r="B205" s="99" t="s">
        <v>99</v>
      </c>
      <c r="C205" s="100">
        <v>7</v>
      </c>
      <c r="D205">
        <f>$C205*VLOOKUP($B205,FoodDB!$A$2:$I$1014,3,0)</f>
        <v>0</v>
      </c>
      <c r="E205">
        <f>$C205*VLOOKUP($B205,FoodDB!$A$2:$I$1014,4,0)</f>
        <v>7</v>
      </c>
      <c r="F205">
        <f>$C205*VLOOKUP($B205,FoodDB!$A$2:$I$1014,5,0)</f>
        <v>4.2</v>
      </c>
      <c r="G205">
        <f>$C205*VLOOKUP($B205,FoodDB!$A$2:$I$1014,6,0)</f>
        <v>0</v>
      </c>
      <c r="H205">
        <f>$C205*VLOOKUP($B205,FoodDB!$A$2:$I$1014,7,0)</f>
        <v>28</v>
      </c>
      <c r="I205">
        <f>$C205*VLOOKUP($B205,FoodDB!$A$2:$I$1014,8,0)</f>
        <v>16.8</v>
      </c>
      <c r="J205">
        <f>$C205*VLOOKUP($B205,FoodDB!$A$2:$I$1014,9,0)</f>
        <v>44.800000000000004</v>
      </c>
    </row>
    <row r="206" spans="1:23" x14ac:dyDescent="0.25">
      <c r="B206" s="99" t="s">
        <v>125</v>
      </c>
      <c r="C206" s="100">
        <v>0</v>
      </c>
      <c r="D206">
        <f>$C206*VLOOKUP($B206,FoodDB!$A$2:$I$1014,3,0)</f>
        <v>0</v>
      </c>
      <c r="E206">
        <f>$C206*VLOOKUP($B206,FoodDB!$A$2:$I$1014,4,0)</f>
        <v>0</v>
      </c>
      <c r="F206">
        <f>$C206*VLOOKUP($B206,FoodDB!$A$2:$I$1014,5,0)</f>
        <v>0</v>
      </c>
      <c r="G206">
        <f>$C206*VLOOKUP($B206,FoodDB!$A$2:$I$1014,6,0)</f>
        <v>0</v>
      </c>
      <c r="H206">
        <f>$C206*VLOOKUP($B206,FoodDB!$A$2:$I$1014,7,0)</f>
        <v>0</v>
      </c>
      <c r="I206">
        <f>$C206*VLOOKUP($B206,FoodDB!$A$2:$I$1014,8,0)</f>
        <v>0</v>
      </c>
      <c r="J206">
        <f>$C206*VLOOKUP($B206,FoodDB!$A$2:$I$1014,9,0)</f>
        <v>0</v>
      </c>
    </row>
    <row r="207" spans="1:23" x14ac:dyDescent="0.25">
      <c r="B207" s="99" t="s">
        <v>128</v>
      </c>
      <c r="C207" s="100">
        <v>1</v>
      </c>
      <c r="D207">
        <f>$C207*VLOOKUP($B207,FoodDB!$A$2:$I$1014,3,0)</f>
        <v>0.6</v>
      </c>
      <c r="E207">
        <f>$C207*VLOOKUP($B207,FoodDB!$A$2:$I$1014,4,0)</f>
        <v>4.9000000000000004</v>
      </c>
      <c r="F207">
        <f>$C207*VLOOKUP($B207,FoodDB!$A$2:$I$1014,5,0)</f>
        <v>2.4</v>
      </c>
      <c r="G207">
        <f>$C207*VLOOKUP($B207,FoodDB!$A$2:$I$1014,6,0)</f>
        <v>5.3999999999999995</v>
      </c>
      <c r="H207">
        <f>$C207*VLOOKUP($B207,FoodDB!$A$2:$I$1014,7,0)</f>
        <v>19.600000000000001</v>
      </c>
      <c r="I207">
        <f>$C207*VLOOKUP($B207,FoodDB!$A$2:$I$1014,8,0)</f>
        <v>9.6</v>
      </c>
      <c r="J207">
        <f>$C207*VLOOKUP($B207,FoodDB!$A$2:$I$1014,9,0)</f>
        <v>34.6</v>
      </c>
    </row>
    <row r="208" spans="1:23" x14ac:dyDescent="0.25">
      <c r="B208" s="99" t="s">
        <v>129</v>
      </c>
      <c r="C208" s="100">
        <v>0.25</v>
      </c>
      <c r="D208">
        <f>$C208*VLOOKUP($B208,FoodDB!$A$2:$I$1014,3,0)</f>
        <v>0</v>
      </c>
      <c r="E208">
        <f>$C208*VLOOKUP($B208,FoodDB!$A$2:$I$1014,4,0)</f>
        <v>1.3374999999999999</v>
      </c>
      <c r="F208">
        <f>$C208*VLOOKUP($B208,FoodDB!$A$2:$I$1014,5,0)</f>
        <v>0</v>
      </c>
      <c r="G208">
        <f>$C208*VLOOKUP($B208,FoodDB!$A$2:$I$1014,6,0)</f>
        <v>0</v>
      </c>
      <c r="H208">
        <f>$C208*VLOOKUP($B208,FoodDB!$A$2:$I$1014,7,0)</f>
        <v>0</v>
      </c>
      <c r="I208">
        <f>$C208*VLOOKUP($B208,FoodDB!$A$2:$I$1014,8,0)</f>
        <v>0</v>
      </c>
      <c r="J208">
        <f>$C208*VLOOKUP($B208,FoodDB!$A$2:$I$1014,9,0)</f>
        <v>0</v>
      </c>
    </row>
    <row r="209" spans="1:23" x14ac:dyDescent="0.25">
      <c r="B209" s="99" t="s">
        <v>130</v>
      </c>
      <c r="C209" s="100">
        <v>0.5</v>
      </c>
      <c r="D209">
        <f>$C209*VLOOKUP($B209,FoodDB!$A$2:$I$1014,3,0)</f>
        <v>3.5</v>
      </c>
      <c r="E209">
        <f>$C209*VLOOKUP($B209,FoodDB!$A$2:$I$1014,4,0)</f>
        <v>1.5</v>
      </c>
      <c r="F209">
        <f>$C209*VLOOKUP($B209,FoodDB!$A$2:$I$1014,5,0)</f>
        <v>0.5</v>
      </c>
      <c r="G209">
        <f>$C209*VLOOKUP($B209,FoodDB!$A$2:$I$1014,6,0)</f>
        <v>31.5</v>
      </c>
      <c r="H209">
        <f>$C209*VLOOKUP($B209,FoodDB!$A$2:$I$1014,7,0)</f>
        <v>6</v>
      </c>
      <c r="I209">
        <f>$C209*VLOOKUP($B209,FoodDB!$A$2:$I$1014,8,0)</f>
        <v>2</v>
      </c>
      <c r="J209">
        <f>$C209*VLOOKUP($B209,FoodDB!$A$2:$I$1014,9,0)</f>
        <v>39.5</v>
      </c>
    </row>
    <row r="210" spans="1:23" x14ac:dyDescent="0.25">
      <c r="B210" s="99" t="s">
        <v>131</v>
      </c>
      <c r="C210" s="100">
        <v>1</v>
      </c>
      <c r="D210">
        <f>$C210*VLOOKUP($B210,FoodDB!$A$2:$I$1014,3,0)</f>
        <v>0.5</v>
      </c>
      <c r="E210">
        <f>$C210*VLOOKUP($B210,FoodDB!$A$2:$I$1014,4,0)</f>
        <v>1</v>
      </c>
      <c r="F210">
        <f>$C210*VLOOKUP($B210,FoodDB!$A$2:$I$1014,5,0)</f>
        <v>12</v>
      </c>
      <c r="G210">
        <f>$C210*VLOOKUP($B210,FoodDB!$A$2:$I$1014,6,0)</f>
        <v>4.5</v>
      </c>
      <c r="H210">
        <f>$C210*VLOOKUP($B210,FoodDB!$A$2:$I$1014,7,0)</f>
        <v>4</v>
      </c>
      <c r="I210">
        <f>$C210*VLOOKUP($B210,FoodDB!$A$2:$I$1014,8,0)</f>
        <v>48</v>
      </c>
      <c r="J210">
        <f>$C210*VLOOKUP($B210,FoodDB!$A$2:$I$1014,9,0)</f>
        <v>56.5</v>
      </c>
    </row>
    <row r="211" spans="1:23" x14ac:dyDescent="0.25">
      <c r="B211" s="99" t="s">
        <v>126</v>
      </c>
      <c r="C211" s="100">
        <v>1</v>
      </c>
      <c r="D211">
        <f>$C211*VLOOKUP($B211,FoodDB!$A$2:$I$1014,3,0)</f>
        <v>15</v>
      </c>
      <c r="E211">
        <f>$C211*VLOOKUP($B211,FoodDB!$A$2:$I$1014,4,0)</f>
        <v>2</v>
      </c>
      <c r="F211">
        <f>$C211*VLOOKUP($B211,FoodDB!$A$2:$I$1014,5,0)</f>
        <v>7</v>
      </c>
      <c r="G211">
        <f>$C211*VLOOKUP($B211,FoodDB!$A$2:$I$1014,6,0)</f>
        <v>135</v>
      </c>
      <c r="H211">
        <f>$C211*VLOOKUP($B211,FoodDB!$A$2:$I$1014,7,0)</f>
        <v>8</v>
      </c>
      <c r="I211">
        <f>$C211*VLOOKUP($B211,FoodDB!$A$2:$I$1014,8,0)</f>
        <v>28</v>
      </c>
      <c r="J211">
        <f>$C211*VLOOKUP($B211,FoodDB!$A$2:$I$1014,9,0)</f>
        <v>171</v>
      </c>
    </row>
    <row r="212" spans="1:23" x14ac:dyDescent="0.25">
      <c r="B212" s="99" t="s">
        <v>100</v>
      </c>
      <c r="C212" s="100">
        <v>1</v>
      </c>
      <c r="D212">
        <f>$C212*VLOOKUP($B212,FoodDB!$A$2:$I$1014,3,0)</f>
        <v>5</v>
      </c>
      <c r="E212">
        <f>$C212*VLOOKUP($B212,FoodDB!$A$2:$I$1014,4,0)</f>
        <v>0</v>
      </c>
      <c r="F212">
        <f>$C212*VLOOKUP($B212,FoodDB!$A$2:$I$1014,5,0)</f>
        <v>6</v>
      </c>
      <c r="G212">
        <f>$C212*VLOOKUP($B212,FoodDB!$A$2:$I$1014,6,0)</f>
        <v>45</v>
      </c>
      <c r="H212">
        <f>$C212*VLOOKUP($B212,FoodDB!$A$2:$I$1014,7,0)</f>
        <v>0</v>
      </c>
      <c r="I212">
        <f>$C212*VLOOKUP($B212,FoodDB!$A$2:$I$1014,8,0)</f>
        <v>24</v>
      </c>
      <c r="J212">
        <f>$C212*VLOOKUP($B212,FoodDB!$A$2:$I$1014,9,0)</f>
        <v>69</v>
      </c>
    </row>
    <row r="213" spans="1:23" x14ac:dyDescent="0.25">
      <c r="B213" s="99" t="s">
        <v>108</v>
      </c>
      <c r="C213" s="100">
        <v>1</v>
      </c>
      <c r="D213">
        <f>$C213*VLOOKUP($B213,FoodDB!$A$2:$I$1014,3,0)</f>
        <v>12</v>
      </c>
      <c r="E213">
        <f>$C213*VLOOKUP($B213,FoodDB!$A$2:$I$1014,4,0)</f>
        <v>0</v>
      </c>
      <c r="F213">
        <f>$C213*VLOOKUP($B213,FoodDB!$A$2:$I$1014,5,0)</f>
        <v>0</v>
      </c>
      <c r="G213">
        <f>$C213*VLOOKUP($B213,FoodDB!$A$2:$I$1014,6,0)</f>
        <v>108</v>
      </c>
      <c r="H213">
        <f>$C213*VLOOKUP($B213,FoodDB!$A$2:$I$1014,7,0)</f>
        <v>0</v>
      </c>
      <c r="I213">
        <f>$C213*VLOOKUP($B213,FoodDB!$A$2:$I$1014,8,0)</f>
        <v>0</v>
      </c>
      <c r="J213">
        <f>$C213*VLOOKUP($B213,FoodDB!$A$2:$I$1014,9,0)</f>
        <v>108</v>
      </c>
    </row>
    <row r="214" spans="1:23" x14ac:dyDescent="0.25">
      <c r="A214" t="s">
        <v>97</v>
      </c>
      <c r="G214">
        <f>SUM(G204:G213)</f>
        <v>426.6</v>
      </c>
      <c r="H214">
        <f>SUM(H204:H213)</f>
        <v>65.599999999999994</v>
      </c>
      <c r="I214">
        <f>SUM(I204:I213)</f>
        <v>500.40000000000003</v>
      </c>
      <c r="J214">
        <f>SUM(G214:I214)</f>
        <v>992.60000000000014</v>
      </c>
    </row>
    <row r="215" spans="1:23" x14ac:dyDescent="0.25">
      <c r="A215" t="s">
        <v>101</v>
      </c>
      <c r="B215" t="s">
        <v>102</v>
      </c>
      <c r="E215" s="103"/>
      <c r="F215" s="103"/>
      <c r="G215" s="103">
        <f>VLOOKUP($A204,LossChart!$A$3:$AB$105,14,0)</f>
        <v>442.48993517539043</v>
      </c>
      <c r="H215" s="103">
        <f>VLOOKUP($A204,LossChart!$A$3:$AB$105,15,0)</f>
        <v>80</v>
      </c>
      <c r="I215" s="103">
        <f>VLOOKUP($A204,LossChart!$A$3:$AB$105,16,0)</f>
        <v>477.30407413615825</v>
      </c>
      <c r="J215" s="103">
        <f>VLOOKUP($A204,LossChart!$A$3:$AB$105,17,0)</f>
        <v>999.79400931154873</v>
      </c>
      <c r="K215" s="103"/>
    </row>
    <row r="216" spans="1:23" x14ac:dyDescent="0.25">
      <c r="A216" t="s">
        <v>103</v>
      </c>
      <c r="G216">
        <f>G215-G214</f>
        <v>15.889935175390406</v>
      </c>
      <c r="H216">
        <f>H215-H214</f>
        <v>14.400000000000006</v>
      </c>
      <c r="I216">
        <f>I215-I214</f>
        <v>-23.095925863841785</v>
      </c>
      <c r="J216">
        <f>J215-J214</f>
        <v>7.1940093115485979</v>
      </c>
    </row>
    <row r="218" spans="1:23" ht="60" x14ac:dyDescent="0.25">
      <c r="A218" s="26" t="s">
        <v>63</v>
      </c>
      <c r="B218" s="26" t="s">
        <v>92</v>
      </c>
      <c r="C218" s="26" t="s">
        <v>93</v>
      </c>
      <c r="D218" s="97" t="str">
        <f>FoodDB!$C$1</f>
        <v>Fat
(g)</v>
      </c>
      <c r="E218" s="97" t="str">
        <f>FoodDB!$D$1</f>
        <v xml:space="preserve"> Carbs
(g)</v>
      </c>
      <c r="F218" s="97" t="str">
        <f>FoodDB!$E$1</f>
        <v>Protein
(g)</v>
      </c>
      <c r="G218" s="97" t="str">
        <f>FoodDB!$F$1</f>
        <v>Fat
(Cal)</v>
      </c>
      <c r="H218" s="97" t="str">
        <f>FoodDB!$G$1</f>
        <v>Carb
(Cal)</v>
      </c>
      <c r="I218" s="97" t="str">
        <f>FoodDB!$H$1</f>
        <v>Protein
(Cal)</v>
      </c>
      <c r="J218" s="97" t="str">
        <f>FoodDB!$I$1</f>
        <v>Total
Calories</v>
      </c>
      <c r="K218" s="97"/>
      <c r="L218" s="97" t="s">
        <v>109</v>
      </c>
      <c r="M218" s="97" t="s">
        <v>110</v>
      </c>
      <c r="N218" s="97" t="s">
        <v>111</v>
      </c>
      <c r="O218" s="97" t="s">
        <v>112</v>
      </c>
      <c r="P218" s="97" t="s">
        <v>117</v>
      </c>
      <c r="Q218" s="97" t="s">
        <v>118</v>
      </c>
      <c r="R218" s="97" t="s">
        <v>119</v>
      </c>
      <c r="S218" s="97" t="s">
        <v>120</v>
      </c>
      <c r="T218" s="97"/>
      <c r="U218" s="97"/>
      <c r="V218" s="97"/>
      <c r="W218" s="97"/>
    </row>
    <row r="219" spans="1:23" x14ac:dyDescent="0.25">
      <c r="A219" s="98">
        <f>A204+1</f>
        <v>43012</v>
      </c>
      <c r="B219" s="99" t="s">
        <v>125</v>
      </c>
      <c r="C219" s="100">
        <v>2</v>
      </c>
      <c r="D219">
        <f>$C219*VLOOKUP($B219,FoodDB!$A$2:$I$1014,3,0)</f>
        <v>7.2</v>
      </c>
      <c r="E219">
        <f>$C219*VLOOKUP($B219,FoodDB!$A$2:$I$1014,4,0)</f>
        <v>0</v>
      </c>
      <c r="F219">
        <f>$C219*VLOOKUP($B219,FoodDB!$A$2:$I$1014,5,0)</f>
        <v>62</v>
      </c>
      <c r="G219">
        <f>$C219*VLOOKUP($B219,FoodDB!$A$2:$I$1014,6,0)</f>
        <v>64.8</v>
      </c>
      <c r="H219">
        <f>$C219*VLOOKUP($B219,FoodDB!$A$2:$I$1014,7,0)</f>
        <v>0</v>
      </c>
      <c r="I219">
        <f>$C219*VLOOKUP($B219,FoodDB!$A$2:$I$1014,8,0)</f>
        <v>248</v>
      </c>
      <c r="J219">
        <f>$C219*VLOOKUP($B219,FoodDB!$A$2:$I$1014,9,0)</f>
        <v>312.8</v>
      </c>
      <c r="L219">
        <f>SUM(G219:G228)</f>
        <v>64.8</v>
      </c>
      <c r="M219">
        <f>SUM(H219:H228)</f>
        <v>0</v>
      </c>
      <c r="N219">
        <f>SUM(I219:I228)</f>
        <v>248</v>
      </c>
      <c r="O219">
        <f>SUM(L219:N219)</f>
        <v>312.8</v>
      </c>
      <c r="P219" s="103">
        <f>VLOOKUP($A219,LossChart!$A$3:$AB$105,14,0)-L219</f>
        <v>385.27318610162268</v>
      </c>
      <c r="Q219" s="103">
        <f>VLOOKUP($A219,LossChart!$A$3:$AB$105,15,0)-M219</f>
        <v>80</v>
      </c>
      <c r="R219" s="103">
        <f>VLOOKUP($A219,LossChart!$A$3:$AB$105,16,0)-N219</f>
        <v>229.30407413615825</v>
      </c>
      <c r="S219" s="103">
        <f>VLOOKUP($A219,LossChart!$A$3:$AB$105,17,0)-O219</f>
        <v>694.57726023778105</v>
      </c>
      <c r="T219" s="103"/>
      <c r="U219" s="103"/>
      <c r="V219" s="103"/>
      <c r="W219" s="103"/>
    </row>
    <row r="220" spans="1:23" x14ac:dyDescent="0.25">
      <c r="B220" s="99" t="s">
        <v>148</v>
      </c>
      <c r="C220" s="100">
        <v>1</v>
      </c>
      <c r="D220">
        <f>$C220*VLOOKUP($B220,FoodDB!$A$2:$I$1014,3,0)</f>
        <v>0</v>
      </c>
      <c r="E220">
        <f>$C220*VLOOKUP($B220,FoodDB!$A$2:$I$1014,4,0)</f>
        <v>0</v>
      </c>
      <c r="F220">
        <f>$C220*VLOOKUP($B220,FoodDB!$A$2:$I$1014,5,0)</f>
        <v>0</v>
      </c>
      <c r="G220">
        <f>$C220*VLOOKUP($B220,FoodDB!$A$2:$I$1014,6,0)</f>
        <v>0</v>
      </c>
      <c r="H220">
        <f>$C220*VLOOKUP($B220,FoodDB!$A$2:$I$1014,7,0)</f>
        <v>0</v>
      </c>
      <c r="I220">
        <f>$C220*VLOOKUP($B220,FoodDB!$A$2:$I$1014,8,0)</f>
        <v>0</v>
      </c>
      <c r="J220">
        <f>$C220*VLOOKUP($B220,FoodDB!$A$2:$I$1014,9,0)</f>
        <v>0</v>
      </c>
    </row>
    <row r="221" spans="1:23" x14ac:dyDescent="0.25">
      <c r="B221" s="99" t="s">
        <v>107</v>
      </c>
      <c r="C221" s="100">
        <v>0</v>
      </c>
      <c r="D221">
        <f>$C221*VLOOKUP($B221,FoodDB!$A$2:$I$1014,3,0)</f>
        <v>0</v>
      </c>
      <c r="E221">
        <f>$C221*VLOOKUP($B221,FoodDB!$A$2:$I$1014,4,0)</f>
        <v>0</v>
      </c>
      <c r="F221">
        <f>$C221*VLOOKUP($B221,FoodDB!$A$2:$I$1014,5,0)</f>
        <v>0</v>
      </c>
      <c r="G221">
        <f>$C221*VLOOKUP($B221,FoodDB!$A$2:$I$1014,6,0)</f>
        <v>0</v>
      </c>
      <c r="H221">
        <f>$C221*VLOOKUP($B221,FoodDB!$A$2:$I$1014,7,0)</f>
        <v>0</v>
      </c>
      <c r="I221">
        <f>$C221*VLOOKUP($B221,FoodDB!$A$2:$I$1014,8,0)</f>
        <v>0</v>
      </c>
      <c r="J221">
        <f>$C221*VLOOKUP($B221,FoodDB!$A$2:$I$1014,9,0)</f>
        <v>0</v>
      </c>
    </row>
    <row r="222" spans="1:23" x14ac:dyDescent="0.25">
      <c r="B222" s="99" t="s">
        <v>107</v>
      </c>
      <c r="C222" s="100">
        <v>0</v>
      </c>
      <c r="D222">
        <f>$C222*VLOOKUP($B222,FoodDB!$A$2:$I$1014,3,0)</f>
        <v>0</v>
      </c>
      <c r="E222">
        <f>$C222*VLOOKUP($B222,FoodDB!$A$2:$I$1014,4,0)</f>
        <v>0</v>
      </c>
      <c r="F222">
        <f>$C222*VLOOKUP($B222,FoodDB!$A$2:$I$1014,5,0)</f>
        <v>0</v>
      </c>
      <c r="G222">
        <f>$C222*VLOOKUP($B222,FoodDB!$A$2:$I$1014,6,0)</f>
        <v>0</v>
      </c>
      <c r="H222">
        <f>$C222*VLOOKUP($B222,FoodDB!$A$2:$I$1014,7,0)</f>
        <v>0</v>
      </c>
      <c r="I222">
        <f>$C222*VLOOKUP($B222,FoodDB!$A$2:$I$1014,8,0)</f>
        <v>0</v>
      </c>
      <c r="J222">
        <f>$C222*VLOOKUP($B222,FoodDB!$A$2:$I$1014,9,0)</f>
        <v>0</v>
      </c>
    </row>
    <row r="223" spans="1:23" x14ac:dyDescent="0.25">
      <c r="B223" s="99" t="s">
        <v>107</v>
      </c>
      <c r="C223" s="100">
        <v>0</v>
      </c>
      <c r="D223">
        <f>$C223*VLOOKUP($B223,FoodDB!$A$2:$I$1014,3,0)</f>
        <v>0</v>
      </c>
      <c r="E223">
        <f>$C223*VLOOKUP($B223,FoodDB!$A$2:$I$1014,4,0)</f>
        <v>0</v>
      </c>
      <c r="F223">
        <f>$C223*VLOOKUP($B223,FoodDB!$A$2:$I$1014,5,0)</f>
        <v>0</v>
      </c>
      <c r="G223">
        <f>$C223*VLOOKUP($B223,FoodDB!$A$2:$I$1014,6,0)</f>
        <v>0</v>
      </c>
      <c r="H223">
        <f>$C223*VLOOKUP($B223,FoodDB!$A$2:$I$1014,7,0)</f>
        <v>0</v>
      </c>
      <c r="I223">
        <f>$C223*VLOOKUP($B223,FoodDB!$A$2:$I$1014,8,0)</f>
        <v>0</v>
      </c>
      <c r="J223">
        <f>$C223*VLOOKUP($B223,FoodDB!$A$2:$I$1014,9,0)</f>
        <v>0</v>
      </c>
    </row>
    <row r="224" spans="1:23" x14ac:dyDescent="0.25">
      <c r="B224" s="99" t="s">
        <v>107</v>
      </c>
      <c r="C224" s="100">
        <v>0</v>
      </c>
      <c r="D224">
        <f>$C224*VLOOKUP($B224,FoodDB!$A$2:$I$1014,3,0)</f>
        <v>0</v>
      </c>
      <c r="E224">
        <f>$C224*VLOOKUP($B224,FoodDB!$A$2:$I$1014,4,0)</f>
        <v>0</v>
      </c>
      <c r="F224">
        <f>$C224*VLOOKUP($B224,FoodDB!$A$2:$I$1014,5,0)</f>
        <v>0</v>
      </c>
      <c r="G224">
        <f>$C224*VLOOKUP($B224,FoodDB!$A$2:$I$1014,6,0)</f>
        <v>0</v>
      </c>
      <c r="H224">
        <f>$C224*VLOOKUP($B224,FoodDB!$A$2:$I$1014,7,0)</f>
        <v>0</v>
      </c>
      <c r="I224">
        <f>$C224*VLOOKUP($B224,FoodDB!$A$2:$I$1014,8,0)</f>
        <v>0</v>
      </c>
      <c r="J224">
        <f>$C224*VLOOKUP($B224,FoodDB!$A$2:$I$1014,9,0)</f>
        <v>0</v>
      </c>
    </row>
    <row r="225" spans="1:23" x14ac:dyDescent="0.25">
      <c r="B225" s="99" t="s">
        <v>107</v>
      </c>
      <c r="C225" s="100">
        <v>0</v>
      </c>
      <c r="D225">
        <f>$C225*VLOOKUP($B225,FoodDB!$A$2:$I$1014,3,0)</f>
        <v>0</v>
      </c>
      <c r="E225">
        <f>$C225*VLOOKUP($B225,FoodDB!$A$2:$I$1014,4,0)</f>
        <v>0</v>
      </c>
      <c r="F225">
        <f>$C225*VLOOKUP($B225,FoodDB!$A$2:$I$1014,5,0)</f>
        <v>0</v>
      </c>
      <c r="G225">
        <f>$C225*VLOOKUP($B225,FoodDB!$A$2:$I$1014,6,0)</f>
        <v>0</v>
      </c>
      <c r="H225">
        <f>$C225*VLOOKUP($B225,FoodDB!$A$2:$I$1014,7,0)</f>
        <v>0</v>
      </c>
      <c r="I225">
        <f>$C225*VLOOKUP($B225,FoodDB!$A$2:$I$1014,8,0)</f>
        <v>0</v>
      </c>
      <c r="J225">
        <f>$C225*VLOOKUP($B225,FoodDB!$A$2:$I$1014,9,0)</f>
        <v>0</v>
      </c>
    </row>
    <row r="226" spans="1:23" x14ac:dyDescent="0.25">
      <c r="B226" s="99" t="s">
        <v>107</v>
      </c>
      <c r="C226" s="100">
        <v>0</v>
      </c>
      <c r="D226">
        <f>$C226*VLOOKUP($B226,FoodDB!$A$2:$I$1014,3,0)</f>
        <v>0</v>
      </c>
      <c r="E226">
        <f>$C226*VLOOKUP($B226,FoodDB!$A$2:$I$1014,4,0)</f>
        <v>0</v>
      </c>
      <c r="F226">
        <f>$C226*VLOOKUP($B226,FoodDB!$A$2:$I$1014,5,0)</f>
        <v>0</v>
      </c>
      <c r="G226">
        <f>$C226*VLOOKUP($B226,FoodDB!$A$2:$I$1014,6,0)</f>
        <v>0</v>
      </c>
      <c r="H226">
        <f>$C226*VLOOKUP($B226,FoodDB!$A$2:$I$1014,7,0)</f>
        <v>0</v>
      </c>
      <c r="I226">
        <f>$C226*VLOOKUP($B226,FoodDB!$A$2:$I$1014,8,0)</f>
        <v>0</v>
      </c>
      <c r="J226">
        <f>$C226*VLOOKUP($B226,FoodDB!$A$2:$I$1014,9,0)</f>
        <v>0</v>
      </c>
    </row>
    <row r="227" spans="1:23" x14ac:dyDescent="0.25">
      <c r="B227" s="99" t="s">
        <v>107</v>
      </c>
      <c r="C227" s="100">
        <v>0</v>
      </c>
      <c r="D227">
        <f>$C227*VLOOKUP($B227,FoodDB!$A$2:$I$1014,3,0)</f>
        <v>0</v>
      </c>
      <c r="E227">
        <f>$C227*VLOOKUP($B227,FoodDB!$A$2:$I$1014,4,0)</f>
        <v>0</v>
      </c>
      <c r="F227">
        <f>$C227*VLOOKUP($B227,FoodDB!$A$2:$I$1014,5,0)</f>
        <v>0</v>
      </c>
      <c r="G227">
        <f>$C227*VLOOKUP($B227,FoodDB!$A$2:$I$1014,6,0)</f>
        <v>0</v>
      </c>
      <c r="H227">
        <f>$C227*VLOOKUP($B227,FoodDB!$A$2:$I$1014,7,0)</f>
        <v>0</v>
      </c>
      <c r="I227">
        <f>$C227*VLOOKUP($B227,FoodDB!$A$2:$I$1014,8,0)</f>
        <v>0</v>
      </c>
      <c r="J227">
        <f>$C227*VLOOKUP($B227,FoodDB!$A$2:$I$1014,9,0)</f>
        <v>0</v>
      </c>
    </row>
    <row r="228" spans="1:23" x14ac:dyDescent="0.25">
      <c r="B228" s="99" t="s">
        <v>107</v>
      </c>
      <c r="C228" s="100">
        <v>0</v>
      </c>
      <c r="D228">
        <f>$C228*VLOOKUP($B228,FoodDB!$A$2:$I$1014,3,0)</f>
        <v>0</v>
      </c>
      <c r="E228">
        <f>$C228*VLOOKUP($B228,FoodDB!$A$2:$I$1014,4,0)</f>
        <v>0</v>
      </c>
      <c r="F228">
        <f>$C228*VLOOKUP($B228,FoodDB!$A$2:$I$1014,5,0)</f>
        <v>0</v>
      </c>
      <c r="G228">
        <f>$C228*VLOOKUP($B228,FoodDB!$A$2:$I$1014,6,0)</f>
        <v>0</v>
      </c>
      <c r="H228">
        <f>$C228*VLOOKUP($B228,FoodDB!$A$2:$I$1014,7,0)</f>
        <v>0</v>
      </c>
      <c r="I228">
        <f>$C228*VLOOKUP($B228,FoodDB!$A$2:$I$1014,8,0)</f>
        <v>0</v>
      </c>
      <c r="J228">
        <f>$C228*VLOOKUP($B228,FoodDB!$A$2:$I$1014,9,0)</f>
        <v>0</v>
      </c>
    </row>
    <row r="229" spans="1:23" x14ac:dyDescent="0.25">
      <c r="A229" t="s">
        <v>97</v>
      </c>
      <c r="G229">
        <f>SUM(G219:G228)</f>
        <v>64.8</v>
      </c>
      <c r="H229">
        <f>SUM(H219:H228)</f>
        <v>0</v>
      </c>
      <c r="I229">
        <f>SUM(I219:I228)</f>
        <v>248</v>
      </c>
      <c r="J229">
        <f>SUM(G229:I229)</f>
        <v>312.8</v>
      </c>
    </row>
    <row r="230" spans="1:23" x14ac:dyDescent="0.25">
      <c r="A230" t="s">
        <v>101</v>
      </c>
      <c r="B230" t="s">
        <v>102</v>
      </c>
      <c r="E230" s="103"/>
      <c r="F230" s="103"/>
      <c r="G230" s="103">
        <f>VLOOKUP($A219,LossChart!$A$3:$AB$105,14,0)</f>
        <v>450.0731861016227</v>
      </c>
      <c r="H230" s="103">
        <f>VLOOKUP($A219,LossChart!$A$3:$AB$105,15,0)</f>
        <v>80</v>
      </c>
      <c r="I230" s="103">
        <f>VLOOKUP($A219,LossChart!$A$3:$AB$105,16,0)</f>
        <v>477.30407413615825</v>
      </c>
      <c r="J230" s="103">
        <f>VLOOKUP($A219,LossChart!$A$3:$AB$105,17,0)</f>
        <v>1007.377260237781</v>
      </c>
      <c r="K230" s="103"/>
    </row>
    <row r="231" spans="1:23" x14ac:dyDescent="0.25">
      <c r="A231" t="s">
        <v>103</v>
      </c>
      <c r="G231">
        <f>G230-G229</f>
        <v>385.27318610162268</v>
      </c>
      <c r="H231">
        <f>H230-H229</f>
        <v>80</v>
      </c>
      <c r="I231">
        <f>I230-I229</f>
        <v>229.30407413615825</v>
      </c>
      <c r="J231">
        <f>J230-J229</f>
        <v>694.57726023778105</v>
      </c>
    </row>
    <row r="233" spans="1:23" ht="60" x14ac:dyDescent="0.25">
      <c r="A233" s="26" t="s">
        <v>63</v>
      </c>
      <c r="B233" s="26" t="s">
        <v>92</v>
      </c>
      <c r="C233" s="26" t="s">
        <v>93</v>
      </c>
      <c r="D233" s="97" t="str">
        <f>FoodDB!$C$1</f>
        <v>Fat
(g)</v>
      </c>
      <c r="E233" s="97" t="str">
        <f>FoodDB!$D$1</f>
        <v xml:space="preserve"> Carbs
(g)</v>
      </c>
      <c r="F233" s="97" t="str">
        <f>FoodDB!$E$1</f>
        <v>Protein
(g)</v>
      </c>
      <c r="G233" s="97" t="str">
        <f>FoodDB!$F$1</f>
        <v>Fat
(Cal)</v>
      </c>
      <c r="H233" s="97" t="str">
        <f>FoodDB!$G$1</f>
        <v>Carb
(Cal)</v>
      </c>
      <c r="I233" s="97" t="str">
        <f>FoodDB!$H$1</f>
        <v>Protein
(Cal)</v>
      </c>
      <c r="J233" s="97" t="str">
        <f>FoodDB!$I$1</f>
        <v>Total
Calories</v>
      </c>
      <c r="K233" s="97"/>
      <c r="L233" s="97" t="s">
        <v>109</v>
      </c>
      <c r="M233" s="97" t="s">
        <v>110</v>
      </c>
      <c r="N233" s="97" t="s">
        <v>111</v>
      </c>
      <c r="O233" s="97" t="s">
        <v>112</v>
      </c>
      <c r="P233" s="97" t="s">
        <v>117</v>
      </c>
      <c r="Q233" s="97" t="s">
        <v>118</v>
      </c>
      <c r="R233" s="97" t="s">
        <v>119</v>
      </c>
      <c r="S233" s="97" t="s">
        <v>120</v>
      </c>
      <c r="T233" s="97"/>
      <c r="U233" s="97"/>
      <c r="V233" s="97"/>
      <c r="W233" s="97"/>
    </row>
    <row r="234" spans="1:23" x14ac:dyDescent="0.25">
      <c r="A234" s="98">
        <f>A219+1</f>
        <v>43013</v>
      </c>
      <c r="B234" s="99" t="s">
        <v>107</v>
      </c>
      <c r="C234" s="100">
        <v>0</v>
      </c>
      <c r="D234">
        <f>$C234*VLOOKUP($B234,FoodDB!$A$2:$I$1014,3,0)</f>
        <v>0</v>
      </c>
      <c r="E234">
        <f>$C234*VLOOKUP($B234,FoodDB!$A$2:$I$1014,4,0)</f>
        <v>0</v>
      </c>
      <c r="F234">
        <f>$C234*VLOOKUP($B234,FoodDB!$A$2:$I$1014,5,0)</f>
        <v>0</v>
      </c>
      <c r="G234">
        <f>$C234*VLOOKUP($B234,FoodDB!$A$2:$I$1014,6,0)</f>
        <v>0</v>
      </c>
      <c r="H234">
        <f>$C234*VLOOKUP($B234,FoodDB!$A$2:$I$1014,7,0)</f>
        <v>0</v>
      </c>
      <c r="I234">
        <f>$C234*VLOOKUP($B234,FoodDB!$A$2:$I$1014,8,0)</f>
        <v>0</v>
      </c>
      <c r="J234">
        <f>$C234*VLOOKUP($B234,FoodDB!$A$2:$I$1014,9,0)</f>
        <v>0</v>
      </c>
      <c r="L234">
        <f>SUM(G234:G240)</f>
        <v>0</v>
      </c>
      <c r="M234">
        <f>SUM(H234:H240)</f>
        <v>0</v>
      </c>
      <c r="N234">
        <f>SUM(I234:I240)</f>
        <v>0</v>
      </c>
      <c r="O234">
        <f>SUM(L234:N234)</f>
        <v>0</v>
      </c>
      <c r="P234" s="103">
        <f>VLOOKUP($A234,LossChart!$A$3:$AB$105,14,0)-L234</f>
        <v>457.58927109107981</v>
      </c>
      <c r="Q234" s="103">
        <f>VLOOKUP($A234,LossChart!$A$3:$AB$105,15,0)-M234</f>
        <v>80</v>
      </c>
      <c r="R234" s="103">
        <f>VLOOKUP($A234,LossChart!$A$3:$AB$105,16,0)-N234</f>
        <v>477.30407413615825</v>
      </c>
      <c r="S234" s="103">
        <f>VLOOKUP($A234,LossChart!$A$3:$AB$105,17,0)-O234</f>
        <v>1014.8933452272381</v>
      </c>
      <c r="T234" s="103"/>
      <c r="U234" s="103"/>
      <c r="V234" s="103"/>
      <c r="W234" s="103"/>
    </row>
    <row r="235" spans="1:23" x14ac:dyDescent="0.25">
      <c r="B235" s="99" t="s">
        <v>107</v>
      </c>
      <c r="C235" s="100">
        <v>0</v>
      </c>
      <c r="D235">
        <f>$C235*VLOOKUP($B235,FoodDB!$A$2:$I$1014,3,0)</f>
        <v>0</v>
      </c>
      <c r="E235">
        <f>$C235*VLOOKUP($B235,FoodDB!$A$2:$I$1014,4,0)</f>
        <v>0</v>
      </c>
      <c r="F235">
        <f>$C235*VLOOKUP($B235,FoodDB!$A$2:$I$1014,5,0)</f>
        <v>0</v>
      </c>
      <c r="G235">
        <f>$C235*VLOOKUP($B235,FoodDB!$A$2:$I$1014,6,0)</f>
        <v>0</v>
      </c>
      <c r="H235">
        <f>$C235*VLOOKUP($B235,FoodDB!$A$2:$I$1014,7,0)</f>
        <v>0</v>
      </c>
      <c r="I235">
        <f>$C235*VLOOKUP($B235,FoodDB!$A$2:$I$1014,8,0)</f>
        <v>0</v>
      </c>
      <c r="J235">
        <f>$C235*VLOOKUP($B235,FoodDB!$A$2:$I$1014,9,0)</f>
        <v>0</v>
      </c>
    </row>
    <row r="236" spans="1:23" x14ac:dyDescent="0.25">
      <c r="B236" s="99" t="s">
        <v>107</v>
      </c>
      <c r="C236" s="100">
        <v>0</v>
      </c>
      <c r="D236">
        <f>$C236*VLOOKUP($B236,FoodDB!$A$2:$I$1014,3,0)</f>
        <v>0</v>
      </c>
      <c r="E236">
        <f>$C236*VLOOKUP($B236,FoodDB!$A$2:$I$1014,4,0)</f>
        <v>0</v>
      </c>
      <c r="F236">
        <f>$C236*VLOOKUP($B236,FoodDB!$A$2:$I$1014,5,0)</f>
        <v>0</v>
      </c>
      <c r="G236">
        <f>$C236*VLOOKUP($B236,FoodDB!$A$2:$I$1014,6,0)</f>
        <v>0</v>
      </c>
      <c r="H236">
        <f>$C236*VLOOKUP($B236,FoodDB!$A$2:$I$1014,7,0)</f>
        <v>0</v>
      </c>
      <c r="I236">
        <f>$C236*VLOOKUP($B236,FoodDB!$A$2:$I$1014,8,0)</f>
        <v>0</v>
      </c>
      <c r="J236">
        <f>$C236*VLOOKUP($B236,FoodDB!$A$2:$I$1014,9,0)</f>
        <v>0</v>
      </c>
    </row>
    <row r="237" spans="1:23" x14ac:dyDescent="0.25">
      <c r="B237" s="99" t="s">
        <v>107</v>
      </c>
      <c r="C237" s="100">
        <v>0</v>
      </c>
      <c r="D237">
        <f>$C237*VLOOKUP($B237,FoodDB!$A$2:$I$1014,3,0)</f>
        <v>0</v>
      </c>
      <c r="E237">
        <f>$C237*VLOOKUP($B237,FoodDB!$A$2:$I$1014,4,0)</f>
        <v>0</v>
      </c>
      <c r="F237">
        <f>$C237*VLOOKUP($B237,FoodDB!$A$2:$I$1014,5,0)</f>
        <v>0</v>
      </c>
      <c r="G237">
        <f>$C237*VLOOKUP($B237,FoodDB!$A$2:$I$1014,6,0)</f>
        <v>0</v>
      </c>
      <c r="H237">
        <f>$C237*VLOOKUP($B237,FoodDB!$A$2:$I$1014,7,0)</f>
        <v>0</v>
      </c>
      <c r="I237">
        <f>$C237*VLOOKUP($B237,FoodDB!$A$2:$I$1014,8,0)</f>
        <v>0</v>
      </c>
      <c r="J237">
        <f>$C237*VLOOKUP($B237,FoodDB!$A$2:$I$1014,9,0)</f>
        <v>0</v>
      </c>
    </row>
    <row r="238" spans="1:23" x14ac:dyDescent="0.25">
      <c r="B238" s="99" t="s">
        <v>107</v>
      </c>
      <c r="C238" s="100">
        <v>0</v>
      </c>
      <c r="D238">
        <f>$C238*VLOOKUP($B238,FoodDB!$A$2:$I$1014,3,0)</f>
        <v>0</v>
      </c>
      <c r="E238">
        <f>$C238*VLOOKUP($B238,FoodDB!$A$2:$I$1014,4,0)</f>
        <v>0</v>
      </c>
      <c r="F238">
        <f>$C238*VLOOKUP($B238,FoodDB!$A$2:$I$1014,5,0)</f>
        <v>0</v>
      </c>
      <c r="G238">
        <f>$C238*VLOOKUP($B238,FoodDB!$A$2:$I$1014,6,0)</f>
        <v>0</v>
      </c>
      <c r="H238">
        <f>$C238*VLOOKUP($B238,FoodDB!$A$2:$I$1014,7,0)</f>
        <v>0</v>
      </c>
      <c r="I238">
        <f>$C238*VLOOKUP($B238,FoodDB!$A$2:$I$1014,8,0)</f>
        <v>0</v>
      </c>
      <c r="J238">
        <f>$C238*VLOOKUP($B238,FoodDB!$A$2:$I$1014,9,0)</f>
        <v>0</v>
      </c>
    </row>
    <row r="239" spans="1:23" x14ac:dyDescent="0.25">
      <c r="B239" s="99" t="s">
        <v>107</v>
      </c>
      <c r="C239" s="100">
        <v>0</v>
      </c>
      <c r="D239">
        <f>$C239*VLOOKUP($B239,FoodDB!$A$2:$I$1014,3,0)</f>
        <v>0</v>
      </c>
      <c r="E239">
        <f>$C239*VLOOKUP($B239,FoodDB!$A$2:$I$1014,4,0)</f>
        <v>0</v>
      </c>
      <c r="F239">
        <f>$C239*VLOOKUP($B239,FoodDB!$A$2:$I$1014,5,0)</f>
        <v>0</v>
      </c>
      <c r="G239">
        <f>$C239*VLOOKUP($B239,FoodDB!$A$2:$I$1014,6,0)</f>
        <v>0</v>
      </c>
      <c r="H239">
        <f>$C239*VLOOKUP($B239,FoodDB!$A$2:$I$1014,7,0)</f>
        <v>0</v>
      </c>
      <c r="I239">
        <f>$C239*VLOOKUP($B239,FoodDB!$A$2:$I$1014,8,0)</f>
        <v>0</v>
      </c>
      <c r="J239">
        <f>$C239*VLOOKUP($B239,FoodDB!$A$2:$I$1014,9,0)</f>
        <v>0</v>
      </c>
    </row>
    <row r="240" spans="1:23" x14ac:dyDescent="0.25">
      <c r="B240" s="99" t="s">
        <v>107</v>
      </c>
      <c r="C240" s="100">
        <v>0</v>
      </c>
      <c r="D240">
        <f>$C240*VLOOKUP($B240,FoodDB!$A$2:$I$1014,3,0)</f>
        <v>0</v>
      </c>
      <c r="E240">
        <f>$C240*VLOOKUP($B240,FoodDB!$A$2:$I$1014,4,0)</f>
        <v>0</v>
      </c>
      <c r="F240">
        <f>$C240*VLOOKUP($B240,FoodDB!$A$2:$I$1014,5,0)</f>
        <v>0</v>
      </c>
      <c r="G240">
        <f>$C240*VLOOKUP($B240,FoodDB!$A$2:$I$1014,6,0)</f>
        <v>0</v>
      </c>
      <c r="H240">
        <f>$C240*VLOOKUP($B240,FoodDB!$A$2:$I$1014,7,0)</f>
        <v>0</v>
      </c>
      <c r="I240">
        <f>$C240*VLOOKUP($B240,FoodDB!$A$2:$I$1014,8,0)</f>
        <v>0</v>
      </c>
      <c r="J240">
        <f>$C240*VLOOKUP($B240,FoodDB!$A$2:$I$1014,9,0)</f>
        <v>0</v>
      </c>
    </row>
    <row r="241" spans="1:19" x14ac:dyDescent="0.25">
      <c r="A241" t="s">
        <v>97</v>
      </c>
      <c r="G241">
        <f>SUM(G234:G240)</f>
        <v>0</v>
      </c>
      <c r="H241">
        <f>SUM(H234:H240)</f>
        <v>0</v>
      </c>
      <c r="I241">
        <f>SUM(I234:I240)</f>
        <v>0</v>
      </c>
      <c r="J241">
        <f>SUM(G241:I241)</f>
        <v>0</v>
      </c>
    </row>
    <row r="242" spans="1:19" x14ac:dyDescent="0.25">
      <c r="A242" t="s">
        <v>101</v>
      </c>
      <c r="B242" t="s">
        <v>102</v>
      </c>
      <c r="E242" s="103"/>
      <c r="F242" s="103"/>
      <c r="G242" s="103">
        <f>VLOOKUP($A234,LossChart!$A$3:$AB$105,14,0)</f>
        <v>457.58927109107981</v>
      </c>
      <c r="H242" s="103">
        <f>VLOOKUP($A234,LossChart!$A$3:$AB$105,15,0)</f>
        <v>80</v>
      </c>
      <c r="I242" s="103">
        <f>VLOOKUP($A234,LossChart!$A$3:$AB$105,16,0)</f>
        <v>477.30407413615825</v>
      </c>
      <c r="J242" s="103">
        <f>VLOOKUP($A234,LossChart!$A$3:$AB$105,17,0)</f>
        <v>1014.8933452272381</v>
      </c>
      <c r="K242" s="103"/>
    </row>
    <row r="243" spans="1:19" x14ac:dyDescent="0.25">
      <c r="A243" t="s">
        <v>103</v>
      </c>
      <c r="G243">
        <f>G242-G241</f>
        <v>457.58927109107981</v>
      </c>
      <c r="H243">
        <f>H242-H241</f>
        <v>80</v>
      </c>
      <c r="I243">
        <f>I242-I241</f>
        <v>477.30407413615825</v>
      </c>
      <c r="J243">
        <f>J242-J241</f>
        <v>1014.8933452272381</v>
      </c>
    </row>
    <row r="245" spans="1:19" ht="60" x14ac:dyDescent="0.25">
      <c r="A245" s="26" t="s">
        <v>63</v>
      </c>
      <c r="B245" s="26" t="s">
        <v>92</v>
      </c>
      <c r="C245" s="26" t="s">
        <v>93</v>
      </c>
      <c r="D245" s="97" t="str">
        <f>FoodDB!$C$1</f>
        <v>Fat
(g)</v>
      </c>
      <c r="E245" s="97" t="str">
        <f>FoodDB!$D$1</f>
        <v xml:space="preserve"> Carbs
(g)</v>
      </c>
      <c r="F245" s="97" t="str">
        <f>FoodDB!$E$1</f>
        <v>Protein
(g)</v>
      </c>
      <c r="G245" s="97" t="str">
        <f>FoodDB!$F$1</f>
        <v>Fat
(Cal)</v>
      </c>
      <c r="H245" s="97" t="str">
        <f>FoodDB!$G$1</f>
        <v>Carb
(Cal)</v>
      </c>
      <c r="I245" s="97" t="str">
        <f>FoodDB!$H$1</f>
        <v>Protein
(Cal)</v>
      </c>
      <c r="J245" s="97" t="str">
        <f>FoodDB!$I$1</f>
        <v>Total
Calories</v>
      </c>
      <c r="K245" s="97"/>
      <c r="L245" s="97" t="s">
        <v>109</v>
      </c>
      <c r="M245" s="97" t="s">
        <v>110</v>
      </c>
      <c r="N245" s="97" t="s">
        <v>111</v>
      </c>
      <c r="O245" s="97" t="s">
        <v>112</v>
      </c>
      <c r="P245" s="97" t="s">
        <v>117</v>
      </c>
      <c r="Q245" s="97" t="s">
        <v>118</v>
      </c>
      <c r="R245" s="97" t="s">
        <v>119</v>
      </c>
      <c r="S245" s="97" t="s">
        <v>120</v>
      </c>
    </row>
    <row r="246" spans="1:19" x14ac:dyDescent="0.25">
      <c r="A246" s="98">
        <f>A234+1</f>
        <v>43014</v>
      </c>
      <c r="B246" s="99" t="s">
        <v>107</v>
      </c>
      <c r="C246" s="100">
        <v>0</v>
      </c>
      <c r="D246">
        <f>$C246*VLOOKUP($B246,FoodDB!$A$2:$I$1014,3,0)</f>
        <v>0</v>
      </c>
      <c r="E246">
        <f>$C246*VLOOKUP($B246,FoodDB!$A$2:$I$1014,4,0)</f>
        <v>0</v>
      </c>
      <c r="F246">
        <f>$C246*VLOOKUP($B246,FoodDB!$A$2:$I$1014,5,0)</f>
        <v>0</v>
      </c>
      <c r="G246">
        <f>$C246*VLOOKUP($B246,FoodDB!$A$2:$I$1014,6,0)</f>
        <v>0</v>
      </c>
      <c r="H246">
        <f>$C246*VLOOKUP($B246,FoodDB!$A$2:$I$1014,7,0)</f>
        <v>0</v>
      </c>
      <c r="I246">
        <f>$C246*VLOOKUP($B246,FoodDB!$A$2:$I$1014,8,0)</f>
        <v>0</v>
      </c>
      <c r="J246">
        <f>$C246*VLOOKUP($B246,FoodDB!$A$2:$I$1014,9,0)</f>
        <v>0</v>
      </c>
      <c r="L246">
        <f>SUM(G246:G252)</f>
        <v>0</v>
      </c>
      <c r="M246">
        <f>SUM(H246:H252)</f>
        <v>0</v>
      </c>
      <c r="N246">
        <f>SUM(I246:I252)</f>
        <v>0</v>
      </c>
      <c r="O246">
        <f>SUM(L246:N246)</f>
        <v>0</v>
      </c>
      <c r="P246" s="103">
        <f>VLOOKUP($A246,LossChart!$A$3:$AB$105,14,0)-L246</f>
        <v>465.03878504205886</v>
      </c>
      <c r="Q246" s="103">
        <f>VLOOKUP($A246,LossChart!$A$3:$AB$105,15,0)-M246</f>
        <v>80</v>
      </c>
      <c r="R246" s="103">
        <f>VLOOKUP($A246,LossChart!$A$3:$AB$105,16,0)-N246</f>
        <v>477.30407413615825</v>
      </c>
      <c r="S246" s="103">
        <f>VLOOKUP($A246,LossChart!$A$3:$AB$105,17,0)-O246</f>
        <v>1022.3428591782172</v>
      </c>
    </row>
    <row r="247" spans="1:19" x14ac:dyDescent="0.25">
      <c r="B247" s="99" t="s">
        <v>107</v>
      </c>
      <c r="C247" s="100">
        <v>0</v>
      </c>
      <c r="D247">
        <f>$C247*VLOOKUP($B247,FoodDB!$A$2:$I$1014,3,0)</f>
        <v>0</v>
      </c>
      <c r="E247">
        <f>$C247*VLOOKUP($B247,FoodDB!$A$2:$I$1014,4,0)</f>
        <v>0</v>
      </c>
      <c r="F247">
        <f>$C247*VLOOKUP($B247,FoodDB!$A$2:$I$1014,5,0)</f>
        <v>0</v>
      </c>
      <c r="G247">
        <f>$C247*VLOOKUP($B247,FoodDB!$A$2:$I$1014,6,0)</f>
        <v>0</v>
      </c>
      <c r="H247">
        <f>$C247*VLOOKUP($B247,FoodDB!$A$2:$I$1014,7,0)</f>
        <v>0</v>
      </c>
      <c r="I247">
        <f>$C247*VLOOKUP($B247,FoodDB!$A$2:$I$1014,8,0)</f>
        <v>0</v>
      </c>
      <c r="J247">
        <f>$C247*VLOOKUP($B247,FoodDB!$A$2:$I$1014,9,0)</f>
        <v>0</v>
      </c>
    </row>
    <row r="248" spans="1:19" x14ac:dyDescent="0.25">
      <c r="B248" s="99" t="s">
        <v>107</v>
      </c>
      <c r="C248" s="100">
        <v>0</v>
      </c>
      <c r="D248">
        <f>$C248*VLOOKUP($B248,FoodDB!$A$2:$I$1014,3,0)</f>
        <v>0</v>
      </c>
      <c r="E248">
        <f>$C248*VLOOKUP($B248,FoodDB!$A$2:$I$1014,4,0)</f>
        <v>0</v>
      </c>
      <c r="F248">
        <f>$C248*VLOOKUP($B248,FoodDB!$A$2:$I$1014,5,0)</f>
        <v>0</v>
      </c>
      <c r="G248">
        <f>$C248*VLOOKUP($B248,FoodDB!$A$2:$I$1014,6,0)</f>
        <v>0</v>
      </c>
      <c r="H248">
        <f>$C248*VLOOKUP($B248,FoodDB!$A$2:$I$1014,7,0)</f>
        <v>0</v>
      </c>
      <c r="I248">
        <f>$C248*VLOOKUP($B248,FoodDB!$A$2:$I$1014,8,0)</f>
        <v>0</v>
      </c>
      <c r="J248">
        <f>$C248*VLOOKUP($B248,FoodDB!$A$2:$I$1014,9,0)</f>
        <v>0</v>
      </c>
    </row>
    <row r="249" spans="1:19" x14ac:dyDescent="0.25">
      <c r="B249" s="99" t="s">
        <v>107</v>
      </c>
      <c r="C249" s="100">
        <v>0</v>
      </c>
      <c r="D249">
        <f>$C249*VLOOKUP($B249,FoodDB!$A$2:$I$1014,3,0)</f>
        <v>0</v>
      </c>
      <c r="E249">
        <f>$C249*VLOOKUP($B249,FoodDB!$A$2:$I$1014,4,0)</f>
        <v>0</v>
      </c>
      <c r="F249">
        <f>$C249*VLOOKUP($B249,FoodDB!$A$2:$I$1014,5,0)</f>
        <v>0</v>
      </c>
      <c r="G249">
        <f>$C249*VLOOKUP($B249,FoodDB!$A$2:$I$1014,6,0)</f>
        <v>0</v>
      </c>
      <c r="H249">
        <f>$C249*VLOOKUP($B249,FoodDB!$A$2:$I$1014,7,0)</f>
        <v>0</v>
      </c>
      <c r="I249">
        <f>$C249*VLOOKUP($B249,FoodDB!$A$2:$I$1014,8,0)</f>
        <v>0</v>
      </c>
      <c r="J249">
        <f>$C249*VLOOKUP($B249,FoodDB!$A$2:$I$1014,9,0)</f>
        <v>0</v>
      </c>
    </row>
    <row r="250" spans="1:19" x14ac:dyDescent="0.25">
      <c r="B250" s="99" t="s">
        <v>107</v>
      </c>
      <c r="C250" s="100">
        <v>0</v>
      </c>
      <c r="D250">
        <f>$C250*VLOOKUP($B250,FoodDB!$A$2:$I$1014,3,0)</f>
        <v>0</v>
      </c>
      <c r="E250">
        <f>$C250*VLOOKUP($B250,FoodDB!$A$2:$I$1014,4,0)</f>
        <v>0</v>
      </c>
      <c r="F250">
        <f>$C250*VLOOKUP($B250,FoodDB!$A$2:$I$1014,5,0)</f>
        <v>0</v>
      </c>
      <c r="G250">
        <f>$C250*VLOOKUP($B250,FoodDB!$A$2:$I$1014,6,0)</f>
        <v>0</v>
      </c>
      <c r="H250">
        <f>$C250*VLOOKUP($B250,FoodDB!$A$2:$I$1014,7,0)</f>
        <v>0</v>
      </c>
      <c r="I250">
        <f>$C250*VLOOKUP($B250,FoodDB!$A$2:$I$1014,8,0)</f>
        <v>0</v>
      </c>
      <c r="J250">
        <f>$C250*VLOOKUP($B250,FoodDB!$A$2:$I$1014,9,0)</f>
        <v>0</v>
      </c>
    </row>
    <row r="251" spans="1:19" x14ac:dyDescent="0.25">
      <c r="B251" s="99" t="s">
        <v>107</v>
      </c>
      <c r="C251" s="100">
        <v>0</v>
      </c>
      <c r="D251">
        <f>$C251*VLOOKUP($B251,FoodDB!$A$2:$I$1014,3,0)</f>
        <v>0</v>
      </c>
      <c r="E251">
        <f>$C251*VLOOKUP($B251,FoodDB!$A$2:$I$1014,4,0)</f>
        <v>0</v>
      </c>
      <c r="F251">
        <f>$C251*VLOOKUP($B251,FoodDB!$A$2:$I$1014,5,0)</f>
        <v>0</v>
      </c>
      <c r="G251">
        <f>$C251*VLOOKUP($B251,FoodDB!$A$2:$I$1014,6,0)</f>
        <v>0</v>
      </c>
      <c r="H251">
        <f>$C251*VLOOKUP($B251,FoodDB!$A$2:$I$1014,7,0)</f>
        <v>0</v>
      </c>
      <c r="I251">
        <f>$C251*VLOOKUP($B251,FoodDB!$A$2:$I$1014,8,0)</f>
        <v>0</v>
      </c>
      <c r="J251">
        <f>$C251*VLOOKUP($B251,FoodDB!$A$2:$I$1014,9,0)</f>
        <v>0</v>
      </c>
    </row>
    <row r="252" spans="1:19" x14ac:dyDescent="0.25">
      <c r="B252" s="99" t="s">
        <v>107</v>
      </c>
      <c r="C252" s="100">
        <v>0</v>
      </c>
      <c r="D252">
        <f>$C252*VLOOKUP($B252,FoodDB!$A$2:$I$1014,3,0)</f>
        <v>0</v>
      </c>
      <c r="E252">
        <f>$C252*VLOOKUP($B252,FoodDB!$A$2:$I$1014,4,0)</f>
        <v>0</v>
      </c>
      <c r="F252">
        <f>$C252*VLOOKUP($B252,FoodDB!$A$2:$I$1014,5,0)</f>
        <v>0</v>
      </c>
      <c r="G252">
        <f>$C252*VLOOKUP($B252,FoodDB!$A$2:$I$1014,6,0)</f>
        <v>0</v>
      </c>
      <c r="H252">
        <f>$C252*VLOOKUP($B252,FoodDB!$A$2:$I$1014,7,0)</f>
        <v>0</v>
      </c>
      <c r="I252">
        <f>$C252*VLOOKUP($B252,FoodDB!$A$2:$I$1014,8,0)</f>
        <v>0</v>
      </c>
      <c r="J252">
        <f>$C252*VLOOKUP($B252,FoodDB!$A$2:$I$1014,9,0)</f>
        <v>0</v>
      </c>
    </row>
    <row r="253" spans="1:19" x14ac:dyDescent="0.25">
      <c r="A253" t="s">
        <v>97</v>
      </c>
      <c r="G253">
        <f>SUM(G246:G252)</f>
        <v>0</v>
      </c>
      <c r="H253">
        <f>SUM(H246:H252)</f>
        <v>0</v>
      </c>
      <c r="I253">
        <f>SUM(I246:I252)</f>
        <v>0</v>
      </c>
      <c r="J253">
        <f>SUM(G253:I253)</f>
        <v>0</v>
      </c>
    </row>
    <row r="254" spans="1:19" x14ac:dyDescent="0.25">
      <c r="A254" t="s">
        <v>101</v>
      </c>
      <c r="B254" t="s">
        <v>102</v>
      </c>
      <c r="E254" s="103"/>
      <c r="F254" s="103"/>
      <c r="G254" s="103">
        <f>VLOOKUP($A246,LossChart!$A$3:$AB$105,14,0)</f>
        <v>465.03878504205886</v>
      </c>
      <c r="H254" s="103">
        <f>VLOOKUP($A246,LossChart!$A$3:$AB$105,15,0)</f>
        <v>80</v>
      </c>
      <c r="I254" s="103">
        <f>VLOOKUP($A246,LossChart!$A$3:$AB$105,16,0)</f>
        <v>477.30407413615825</v>
      </c>
      <c r="J254" s="103">
        <f>VLOOKUP($A246,LossChart!$A$3:$AB$105,17,0)</f>
        <v>1022.3428591782172</v>
      </c>
      <c r="K254" s="103"/>
    </row>
    <row r="255" spans="1:19" x14ac:dyDescent="0.25">
      <c r="A255" t="s">
        <v>103</v>
      </c>
      <c r="G255">
        <f>G254-G253</f>
        <v>465.03878504205886</v>
      </c>
      <c r="H255">
        <f>H254-H253</f>
        <v>80</v>
      </c>
      <c r="I255">
        <f>I254-I253</f>
        <v>477.30407413615825</v>
      </c>
      <c r="J255">
        <f>J254-J253</f>
        <v>1022.3428591782172</v>
      </c>
    </row>
    <row r="257" spans="1:19" ht="60" x14ac:dyDescent="0.25">
      <c r="A257" s="26" t="s">
        <v>63</v>
      </c>
      <c r="B257" s="26" t="s">
        <v>92</v>
      </c>
      <c r="C257" s="26" t="s">
        <v>93</v>
      </c>
      <c r="D257" s="97" t="str">
        <f>FoodDB!$C$1</f>
        <v>Fat
(g)</v>
      </c>
      <c r="E257" s="97" t="str">
        <f>FoodDB!$D$1</f>
        <v xml:space="preserve"> Carbs
(g)</v>
      </c>
      <c r="F257" s="97" t="str">
        <f>FoodDB!$E$1</f>
        <v>Protein
(g)</v>
      </c>
      <c r="G257" s="97" t="str">
        <f>FoodDB!$F$1</f>
        <v>Fat
(Cal)</v>
      </c>
      <c r="H257" s="97" t="str">
        <f>FoodDB!$G$1</f>
        <v>Carb
(Cal)</v>
      </c>
      <c r="I257" s="97" t="str">
        <f>FoodDB!$H$1</f>
        <v>Protein
(Cal)</v>
      </c>
      <c r="J257" s="97" t="str">
        <f>FoodDB!$I$1</f>
        <v>Total
Calories</v>
      </c>
      <c r="K257" s="97"/>
      <c r="L257" s="97" t="s">
        <v>109</v>
      </c>
      <c r="M257" s="97" t="s">
        <v>110</v>
      </c>
      <c r="N257" s="97" t="s">
        <v>111</v>
      </c>
      <c r="O257" s="97" t="s">
        <v>112</v>
      </c>
      <c r="P257" s="97" t="s">
        <v>117</v>
      </c>
      <c r="Q257" s="97" t="s">
        <v>118</v>
      </c>
      <c r="R257" s="97" t="s">
        <v>119</v>
      </c>
      <c r="S257" s="97" t="s">
        <v>120</v>
      </c>
    </row>
    <row r="258" spans="1:19" x14ac:dyDescent="0.25">
      <c r="A258" s="98">
        <f>A246+1</f>
        <v>43015</v>
      </c>
      <c r="B258" s="99" t="s">
        <v>107</v>
      </c>
      <c r="C258" s="100">
        <v>0</v>
      </c>
      <c r="D258">
        <f>$C258*VLOOKUP($B258,FoodDB!$A$2:$I$1014,3,0)</f>
        <v>0</v>
      </c>
      <c r="E258">
        <f>$C258*VLOOKUP($B258,FoodDB!$A$2:$I$1014,4,0)</f>
        <v>0</v>
      </c>
      <c r="F258">
        <f>$C258*VLOOKUP($B258,FoodDB!$A$2:$I$1014,5,0)</f>
        <v>0</v>
      </c>
      <c r="G258">
        <f>$C258*VLOOKUP($B258,FoodDB!$A$2:$I$1014,6,0)</f>
        <v>0</v>
      </c>
      <c r="H258">
        <f>$C258*VLOOKUP($B258,FoodDB!$A$2:$I$1014,7,0)</f>
        <v>0</v>
      </c>
      <c r="I258">
        <f>$C258*VLOOKUP($B258,FoodDB!$A$2:$I$1014,8,0)</f>
        <v>0</v>
      </c>
      <c r="J258">
        <f>$C258*VLOOKUP($B258,FoodDB!$A$2:$I$1014,9,0)</f>
        <v>0</v>
      </c>
      <c r="L258">
        <f>SUM(G258:G264)</f>
        <v>0</v>
      </c>
      <c r="M258">
        <f>SUM(H258:H264)</f>
        <v>0</v>
      </c>
      <c r="N258">
        <f>SUM(I258:I264)</f>
        <v>0</v>
      </c>
      <c r="O258">
        <f>SUM(L258:N258)</f>
        <v>0</v>
      </c>
      <c r="P258" s="103">
        <f>VLOOKUP($A258,LossChart!$A$3:$AB$105,14,0)-L258</f>
        <v>472.42231758375806</v>
      </c>
      <c r="Q258" s="103">
        <f>VLOOKUP($A258,LossChart!$A$3:$AB$105,15,0)-M258</f>
        <v>80</v>
      </c>
      <c r="R258" s="103">
        <f>VLOOKUP($A258,LossChart!$A$3:$AB$105,16,0)-N258</f>
        <v>477.30407413615825</v>
      </c>
      <c r="S258" s="103">
        <f>VLOOKUP($A258,LossChart!$A$3:$AB$105,17,0)-O258</f>
        <v>1029.7263917199164</v>
      </c>
    </row>
    <row r="259" spans="1:19" x14ac:dyDescent="0.25">
      <c r="B259" s="99" t="s">
        <v>107</v>
      </c>
      <c r="C259" s="100">
        <v>0</v>
      </c>
      <c r="D259">
        <f>$C259*VLOOKUP($B259,FoodDB!$A$2:$I$1014,3,0)</f>
        <v>0</v>
      </c>
      <c r="E259">
        <f>$C259*VLOOKUP($B259,FoodDB!$A$2:$I$1014,4,0)</f>
        <v>0</v>
      </c>
      <c r="F259">
        <f>$C259*VLOOKUP($B259,FoodDB!$A$2:$I$1014,5,0)</f>
        <v>0</v>
      </c>
      <c r="G259">
        <f>$C259*VLOOKUP($B259,FoodDB!$A$2:$I$1014,6,0)</f>
        <v>0</v>
      </c>
      <c r="H259">
        <f>$C259*VLOOKUP($B259,FoodDB!$A$2:$I$1014,7,0)</f>
        <v>0</v>
      </c>
      <c r="I259">
        <f>$C259*VLOOKUP($B259,FoodDB!$A$2:$I$1014,8,0)</f>
        <v>0</v>
      </c>
      <c r="J259">
        <f>$C259*VLOOKUP($B259,FoodDB!$A$2:$I$1014,9,0)</f>
        <v>0</v>
      </c>
    </row>
    <row r="260" spans="1:19" x14ac:dyDescent="0.25">
      <c r="B260" s="99" t="s">
        <v>107</v>
      </c>
      <c r="C260" s="100">
        <v>0</v>
      </c>
      <c r="D260">
        <f>$C260*VLOOKUP($B260,FoodDB!$A$2:$I$1014,3,0)</f>
        <v>0</v>
      </c>
      <c r="E260">
        <f>$C260*VLOOKUP($B260,FoodDB!$A$2:$I$1014,4,0)</f>
        <v>0</v>
      </c>
      <c r="F260">
        <f>$C260*VLOOKUP($B260,FoodDB!$A$2:$I$1014,5,0)</f>
        <v>0</v>
      </c>
      <c r="G260">
        <f>$C260*VLOOKUP($B260,FoodDB!$A$2:$I$1014,6,0)</f>
        <v>0</v>
      </c>
      <c r="H260">
        <f>$C260*VLOOKUP($B260,FoodDB!$A$2:$I$1014,7,0)</f>
        <v>0</v>
      </c>
      <c r="I260">
        <f>$C260*VLOOKUP($B260,FoodDB!$A$2:$I$1014,8,0)</f>
        <v>0</v>
      </c>
      <c r="J260">
        <f>$C260*VLOOKUP($B260,FoodDB!$A$2:$I$1014,9,0)</f>
        <v>0</v>
      </c>
    </row>
    <row r="261" spans="1:19" x14ac:dyDescent="0.25">
      <c r="B261" s="99" t="s">
        <v>107</v>
      </c>
      <c r="C261" s="100">
        <v>0</v>
      </c>
      <c r="D261">
        <f>$C261*VLOOKUP($B261,FoodDB!$A$2:$I$1014,3,0)</f>
        <v>0</v>
      </c>
      <c r="E261">
        <f>$C261*VLOOKUP($B261,FoodDB!$A$2:$I$1014,4,0)</f>
        <v>0</v>
      </c>
      <c r="F261">
        <f>$C261*VLOOKUP($B261,FoodDB!$A$2:$I$1014,5,0)</f>
        <v>0</v>
      </c>
      <c r="G261">
        <f>$C261*VLOOKUP($B261,FoodDB!$A$2:$I$1014,6,0)</f>
        <v>0</v>
      </c>
      <c r="H261">
        <f>$C261*VLOOKUP($B261,FoodDB!$A$2:$I$1014,7,0)</f>
        <v>0</v>
      </c>
      <c r="I261">
        <f>$C261*VLOOKUP($B261,FoodDB!$A$2:$I$1014,8,0)</f>
        <v>0</v>
      </c>
      <c r="J261">
        <f>$C261*VLOOKUP($B261,FoodDB!$A$2:$I$1014,9,0)</f>
        <v>0</v>
      </c>
    </row>
    <row r="262" spans="1:19" x14ac:dyDescent="0.25">
      <c r="B262" s="99" t="s">
        <v>107</v>
      </c>
      <c r="C262" s="100">
        <v>0</v>
      </c>
      <c r="D262">
        <f>$C262*VLOOKUP($B262,FoodDB!$A$2:$I$1014,3,0)</f>
        <v>0</v>
      </c>
      <c r="E262">
        <f>$C262*VLOOKUP($B262,FoodDB!$A$2:$I$1014,4,0)</f>
        <v>0</v>
      </c>
      <c r="F262">
        <f>$C262*VLOOKUP($B262,FoodDB!$A$2:$I$1014,5,0)</f>
        <v>0</v>
      </c>
      <c r="G262">
        <f>$C262*VLOOKUP($B262,FoodDB!$A$2:$I$1014,6,0)</f>
        <v>0</v>
      </c>
      <c r="H262">
        <f>$C262*VLOOKUP($B262,FoodDB!$A$2:$I$1014,7,0)</f>
        <v>0</v>
      </c>
      <c r="I262">
        <f>$C262*VLOOKUP($B262,FoodDB!$A$2:$I$1014,8,0)</f>
        <v>0</v>
      </c>
      <c r="J262">
        <f>$C262*VLOOKUP($B262,FoodDB!$A$2:$I$1014,9,0)</f>
        <v>0</v>
      </c>
    </row>
    <row r="263" spans="1:19" x14ac:dyDescent="0.25">
      <c r="B263" s="99" t="s">
        <v>107</v>
      </c>
      <c r="C263" s="100">
        <v>0</v>
      </c>
      <c r="D263">
        <f>$C263*VLOOKUP($B263,FoodDB!$A$2:$I$1014,3,0)</f>
        <v>0</v>
      </c>
      <c r="E263">
        <f>$C263*VLOOKUP($B263,FoodDB!$A$2:$I$1014,4,0)</f>
        <v>0</v>
      </c>
      <c r="F263">
        <f>$C263*VLOOKUP($B263,FoodDB!$A$2:$I$1014,5,0)</f>
        <v>0</v>
      </c>
      <c r="G263">
        <f>$C263*VLOOKUP($B263,FoodDB!$A$2:$I$1014,6,0)</f>
        <v>0</v>
      </c>
      <c r="H263">
        <f>$C263*VLOOKUP($B263,FoodDB!$A$2:$I$1014,7,0)</f>
        <v>0</v>
      </c>
      <c r="I263">
        <f>$C263*VLOOKUP($B263,FoodDB!$A$2:$I$1014,8,0)</f>
        <v>0</v>
      </c>
      <c r="J263">
        <f>$C263*VLOOKUP($B263,FoodDB!$A$2:$I$1014,9,0)</f>
        <v>0</v>
      </c>
    </row>
    <row r="264" spans="1:19" x14ac:dyDescent="0.25">
      <c r="B264" s="99" t="s">
        <v>107</v>
      </c>
      <c r="C264" s="100">
        <v>0</v>
      </c>
      <c r="D264">
        <f>$C264*VLOOKUP($B264,FoodDB!$A$2:$I$1014,3,0)</f>
        <v>0</v>
      </c>
      <c r="E264">
        <f>$C264*VLOOKUP($B264,FoodDB!$A$2:$I$1014,4,0)</f>
        <v>0</v>
      </c>
      <c r="F264">
        <f>$C264*VLOOKUP($B264,FoodDB!$A$2:$I$1014,5,0)</f>
        <v>0</v>
      </c>
      <c r="G264">
        <f>$C264*VLOOKUP($B264,FoodDB!$A$2:$I$1014,6,0)</f>
        <v>0</v>
      </c>
      <c r="H264">
        <f>$C264*VLOOKUP($B264,FoodDB!$A$2:$I$1014,7,0)</f>
        <v>0</v>
      </c>
      <c r="I264">
        <f>$C264*VLOOKUP($B264,FoodDB!$A$2:$I$1014,8,0)</f>
        <v>0</v>
      </c>
      <c r="J264">
        <f>$C264*VLOOKUP($B264,FoodDB!$A$2:$I$1014,9,0)</f>
        <v>0</v>
      </c>
    </row>
    <row r="265" spans="1:19" x14ac:dyDescent="0.25">
      <c r="A265" t="s">
        <v>97</v>
      </c>
      <c r="G265">
        <f>SUM(G258:G264)</f>
        <v>0</v>
      </c>
      <c r="H265">
        <f>SUM(H258:H264)</f>
        <v>0</v>
      </c>
      <c r="I265">
        <f>SUM(I258:I264)</f>
        <v>0</v>
      </c>
      <c r="J265">
        <f>SUM(G265:I265)</f>
        <v>0</v>
      </c>
    </row>
    <row r="266" spans="1:19" x14ac:dyDescent="0.25">
      <c r="A266" t="s">
        <v>101</v>
      </c>
      <c r="B266" t="s">
        <v>102</v>
      </c>
      <c r="E266" s="103"/>
      <c r="F266" s="103"/>
      <c r="G266" s="103">
        <f>VLOOKUP($A258,LossChart!$A$3:$AB$105,14,0)</f>
        <v>472.42231758375806</v>
      </c>
      <c r="H266" s="103">
        <f>VLOOKUP($A258,LossChart!$A$3:$AB$105,15,0)</f>
        <v>80</v>
      </c>
      <c r="I266" s="103">
        <f>VLOOKUP($A258,LossChart!$A$3:$AB$105,16,0)</f>
        <v>477.30407413615825</v>
      </c>
      <c r="J266" s="103">
        <f>VLOOKUP($A258,LossChart!$A$3:$AB$105,17,0)</f>
        <v>1029.7263917199164</v>
      </c>
      <c r="K266" s="103"/>
    </row>
    <row r="267" spans="1:19" x14ac:dyDescent="0.25">
      <c r="A267" t="s">
        <v>103</v>
      </c>
      <c r="G267">
        <f>G266-G265</f>
        <v>472.42231758375806</v>
      </c>
      <c r="H267">
        <f>H266-H265</f>
        <v>80</v>
      </c>
      <c r="I267">
        <f>I266-I265</f>
        <v>477.30407413615825</v>
      </c>
      <c r="J267">
        <f>J266-J265</f>
        <v>1029.7263917199164</v>
      </c>
    </row>
    <row r="269" spans="1:19" ht="60" x14ac:dyDescent="0.25">
      <c r="A269" s="26" t="s">
        <v>63</v>
      </c>
      <c r="B269" s="26" t="s">
        <v>92</v>
      </c>
      <c r="C269" s="26" t="s">
        <v>93</v>
      </c>
      <c r="D269" s="97" t="str">
        <f>FoodDB!$C$1</f>
        <v>Fat
(g)</v>
      </c>
      <c r="E269" s="97" t="str">
        <f>FoodDB!$D$1</f>
        <v xml:space="preserve"> Carbs
(g)</v>
      </c>
      <c r="F269" s="97" t="str">
        <f>FoodDB!$E$1</f>
        <v>Protein
(g)</v>
      </c>
      <c r="G269" s="97" t="str">
        <f>FoodDB!$F$1</f>
        <v>Fat
(Cal)</v>
      </c>
      <c r="H269" s="97" t="str">
        <f>FoodDB!$G$1</f>
        <v>Carb
(Cal)</v>
      </c>
      <c r="I269" s="97" t="str">
        <f>FoodDB!$H$1</f>
        <v>Protein
(Cal)</v>
      </c>
      <c r="J269" s="97" t="str">
        <f>FoodDB!$I$1</f>
        <v>Total
Calories</v>
      </c>
      <c r="K269" s="97"/>
      <c r="L269" s="97" t="s">
        <v>109</v>
      </c>
      <c r="M269" s="97" t="s">
        <v>110</v>
      </c>
      <c r="N269" s="97" t="s">
        <v>111</v>
      </c>
      <c r="O269" s="97" t="s">
        <v>112</v>
      </c>
      <c r="P269" s="97" t="s">
        <v>117</v>
      </c>
      <c r="Q269" s="97" t="s">
        <v>118</v>
      </c>
      <c r="R269" s="97" t="s">
        <v>119</v>
      </c>
      <c r="S269" s="97" t="s">
        <v>120</v>
      </c>
    </row>
    <row r="270" spans="1:19" x14ac:dyDescent="0.25">
      <c r="A270" s="98">
        <f>A258+1</f>
        <v>43016</v>
      </c>
      <c r="B270" s="99" t="s">
        <v>107</v>
      </c>
      <c r="C270" s="100">
        <v>0</v>
      </c>
      <c r="D270">
        <f>$C270*VLOOKUP($B270,FoodDB!$A$2:$I$1014,3,0)</f>
        <v>0</v>
      </c>
      <c r="E270">
        <f>$C270*VLOOKUP($B270,FoodDB!$A$2:$I$1014,4,0)</f>
        <v>0</v>
      </c>
      <c r="F270">
        <f>$C270*VLOOKUP($B270,FoodDB!$A$2:$I$1014,5,0)</f>
        <v>0</v>
      </c>
      <c r="G270">
        <f>$C270*VLOOKUP($B270,FoodDB!$A$2:$I$1014,6,0)</f>
        <v>0</v>
      </c>
      <c r="H270">
        <f>$C270*VLOOKUP($B270,FoodDB!$A$2:$I$1014,7,0)</f>
        <v>0</v>
      </c>
      <c r="I270">
        <f>$C270*VLOOKUP($B270,FoodDB!$A$2:$I$1014,8,0)</f>
        <v>0</v>
      </c>
      <c r="J270">
        <f>$C270*VLOOKUP($B270,FoodDB!$A$2:$I$1014,9,0)</f>
        <v>0</v>
      </c>
      <c r="L270">
        <f>SUM(G270:G276)</f>
        <v>0</v>
      </c>
      <c r="M270">
        <f>SUM(H270:H276)</f>
        <v>0</v>
      </c>
      <c r="N270">
        <f>SUM(I270:I276)</f>
        <v>0</v>
      </c>
      <c r="O270">
        <f>SUM(L270:N270)</f>
        <v>0</v>
      </c>
      <c r="P270" s="103">
        <f>VLOOKUP($A270,LossChart!$A$3:$AB$105,14,0)-L270</f>
        <v>479.74045312294447</v>
      </c>
      <c r="Q270" s="103">
        <f>VLOOKUP($A270,LossChart!$A$3:$AB$105,15,0)-M270</f>
        <v>80</v>
      </c>
      <c r="R270" s="103">
        <f>VLOOKUP($A270,LossChart!$A$3:$AB$105,16,0)-N270</f>
        <v>477.30407413615825</v>
      </c>
      <c r="S270" s="103">
        <f>VLOOKUP($A270,LossChart!$A$3:$AB$105,17,0)-O270</f>
        <v>1037.0445272591028</v>
      </c>
    </row>
    <row r="271" spans="1:19" x14ac:dyDescent="0.25">
      <c r="B271" s="99" t="s">
        <v>107</v>
      </c>
      <c r="C271" s="100">
        <v>0</v>
      </c>
      <c r="D271">
        <f>$C271*VLOOKUP($B271,FoodDB!$A$2:$I$1014,3,0)</f>
        <v>0</v>
      </c>
      <c r="E271">
        <f>$C271*VLOOKUP($B271,FoodDB!$A$2:$I$1014,4,0)</f>
        <v>0</v>
      </c>
      <c r="F271">
        <f>$C271*VLOOKUP($B271,FoodDB!$A$2:$I$1014,5,0)</f>
        <v>0</v>
      </c>
      <c r="G271">
        <f>$C271*VLOOKUP($B271,FoodDB!$A$2:$I$1014,6,0)</f>
        <v>0</v>
      </c>
      <c r="H271">
        <f>$C271*VLOOKUP($B271,FoodDB!$A$2:$I$1014,7,0)</f>
        <v>0</v>
      </c>
      <c r="I271">
        <f>$C271*VLOOKUP($B271,FoodDB!$A$2:$I$1014,8,0)</f>
        <v>0</v>
      </c>
      <c r="J271">
        <f>$C271*VLOOKUP($B271,FoodDB!$A$2:$I$1014,9,0)</f>
        <v>0</v>
      </c>
    </row>
    <row r="272" spans="1:19" x14ac:dyDescent="0.25">
      <c r="B272" s="99" t="s">
        <v>107</v>
      </c>
      <c r="C272" s="100">
        <v>0</v>
      </c>
      <c r="D272">
        <f>$C272*VLOOKUP($B272,FoodDB!$A$2:$I$1014,3,0)</f>
        <v>0</v>
      </c>
      <c r="E272">
        <f>$C272*VLOOKUP($B272,FoodDB!$A$2:$I$1014,4,0)</f>
        <v>0</v>
      </c>
      <c r="F272">
        <f>$C272*VLOOKUP($B272,FoodDB!$A$2:$I$1014,5,0)</f>
        <v>0</v>
      </c>
      <c r="G272">
        <f>$C272*VLOOKUP($B272,FoodDB!$A$2:$I$1014,6,0)</f>
        <v>0</v>
      </c>
      <c r="H272">
        <f>$C272*VLOOKUP($B272,FoodDB!$A$2:$I$1014,7,0)</f>
        <v>0</v>
      </c>
      <c r="I272">
        <f>$C272*VLOOKUP($B272,FoodDB!$A$2:$I$1014,8,0)</f>
        <v>0</v>
      </c>
      <c r="J272">
        <f>$C272*VLOOKUP($B272,FoodDB!$A$2:$I$1014,9,0)</f>
        <v>0</v>
      </c>
    </row>
    <row r="273" spans="1:19" x14ac:dyDescent="0.25">
      <c r="B273" s="99" t="s">
        <v>107</v>
      </c>
      <c r="C273" s="100">
        <v>0</v>
      </c>
      <c r="D273">
        <f>$C273*VLOOKUP($B273,FoodDB!$A$2:$I$1014,3,0)</f>
        <v>0</v>
      </c>
      <c r="E273">
        <f>$C273*VLOOKUP($B273,FoodDB!$A$2:$I$1014,4,0)</f>
        <v>0</v>
      </c>
      <c r="F273">
        <f>$C273*VLOOKUP($B273,FoodDB!$A$2:$I$1014,5,0)</f>
        <v>0</v>
      </c>
      <c r="G273">
        <f>$C273*VLOOKUP($B273,FoodDB!$A$2:$I$1014,6,0)</f>
        <v>0</v>
      </c>
      <c r="H273">
        <f>$C273*VLOOKUP($B273,FoodDB!$A$2:$I$1014,7,0)</f>
        <v>0</v>
      </c>
      <c r="I273">
        <f>$C273*VLOOKUP($B273,FoodDB!$A$2:$I$1014,8,0)</f>
        <v>0</v>
      </c>
      <c r="J273">
        <f>$C273*VLOOKUP($B273,FoodDB!$A$2:$I$1014,9,0)</f>
        <v>0</v>
      </c>
    </row>
    <row r="274" spans="1:19" x14ac:dyDescent="0.25">
      <c r="B274" s="99" t="s">
        <v>107</v>
      </c>
      <c r="C274" s="100">
        <v>0</v>
      </c>
      <c r="D274">
        <f>$C274*VLOOKUP($B274,FoodDB!$A$2:$I$1014,3,0)</f>
        <v>0</v>
      </c>
      <c r="E274">
        <f>$C274*VLOOKUP($B274,FoodDB!$A$2:$I$1014,4,0)</f>
        <v>0</v>
      </c>
      <c r="F274">
        <f>$C274*VLOOKUP($B274,FoodDB!$A$2:$I$1014,5,0)</f>
        <v>0</v>
      </c>
      <c r="G274">
        <f>$C274*VLOOKUP($B274,FoodDB!$A$2:$I$1014,6,0)</f>
        <v>0</v>
      </c>
      <c r="H274">
        <f>$C274*VLOOKUP($B274,FoodDB!$A$2:$I$1014,7,0)</f>
        <v>0</v>
      </c>
      <c r="I274">
        <f>$C274*VLOOKUP($B274,FoodDB!$A$2:$I$1014,8,0)</f>
        <v>0</v>
      </c>
      <c r="J274">
        <f>$C274*VLOOKUP($B274,FoodDB!$A$2:$I$1014,9,0)</f>
        <v>0</v>
      </c>
    </row>
    <row r="275" spans="1:19" x14ac:dyDescent="0.25">
      <c r="B275" s="99" t="s">
        <v>107</v>
      </c>
      <c r="C275" s="100">
        <v>0</v>
      </c>
      <c r="D275">
        <f>$C275*VLOOKUP($B275,FoodDB!$A$2:$I$1014,3,0)</f>
        <v>0</v>
      </c>
      <c r="E275">
        <f>$C275*VLOOKUP($B275,FoodDB!$A$2:$I$1014,4,0)</f>
        <v>0</v>
      </c>
      <c r="F275">
        <f>$C275*VLOOKUP($B275,FoodDB!$A$2:$I$1014,5,0)</f>
        <v>0</v>
      </c>
      <c r="G275">
        <f>$C275*VLOOKUP($B275,FoodDB!$A$2:$I$1014,6,0)</f>
        <v>0</v>
      </c>
      <c r="H275">
        <f>$C275*VLOOKUP($B275,FoodDB!$A$2:$I$1014,7,0)</f>
        <v>0</v>
      </c>
      <c r="I275">
        <f>$C275*VLOOKUP($B275,FoodDB!$A$2:$I$1014,8,0)</f>
        <v>0</v>
      </c>
      <c r="J275">
        <f>$C275*VLOOKUP($B275,FoodDB!$A$2:$I$1014,9,0)</f>
        <v>0</v>
      </c>
    </row>
    <row r="276" spans="1:19" x14ac:dyDescent="0.25">
      <c r="B276" s="99" t="s">
        <v>107</v>
      </c>
      <c r="C276" s="100">
        <v>0</v>
      </c>
      <c r="D276">
        <f>$C276*VLOOKUP($B276,FoodDB!$A$2:$I$1014,3,0)</f>
        <v>0</v>
      </c>
      <c r="E276">
        <f>$C276*VLOOKUP($B276,FoodDB!$A$2:$I$1014,4,0)</f>
        <v>0</v>
      </c>
      <c r="F276">
        <f>$C276*VLOOKUP($B276,FoodDB!$A$2:$I$1014,5,0)</f>
        <v>0</v>
      </c>
      <c r="G276">
        <f>$C276*VLOOKUP($B276,FoodDB!$A$2:$I$1014,6,0)</f>
        <v>0</v>
      </c>
      <c r="H276">
        <f>$C276*VLOOKUP($B276,FoodDB!$A$2:$I$1014,7,0)</f>
        <v>0</v>
      </c>
      <c r="I276">
        <f>$C276*VLOOKUP($B276,FoodDB!$A$2:$I$1014,8,0)</f>
        <v>0</v>
      </c>
      <c r="J276">
        <f>$C276*VLOOKUP($B276,FoodDB!$A$2:$I$1014,9,0)</f>
        <v>0</v>
      </c>
    </row>
    <row r="277" spans="1:19" x14ac:dyDescent="0.25">
      <c r="A277" t="s">
        <v>97</v>
      </c>
      <c r="G277">
        <f>SUM(G270:G276)</f>
        <v>0</v>
      </c>
      <c r="H277">
        <f>SUM(H270:H276)</f>
        <v>0</v>
      </c>
      <c r="I277">
        <f>SUM(I270:I276)</f>
        <v>0</v>
      </c>
      <c r="J277">
        <f>SUM(G277:I277)</f>
        <v>0</v>
      </c>
    </row>
    <row r="278" spans="1:19" x14ac:dyDescent="0.25">
      <c r="A278" t="s">
        <v>101</v>
      </c>
      <c r="B278" t="s">
        <v>102</v>
      </c>
      <c r="E278" s="103"/>
      <c r="F278" s="103"/>
      <c r="G278" s="103">
        <f>VLOOKUP($A270,LossChart!$A$3:$AB$105,14,0)</f>
        <v>479.74045312294447</v>
      </c>
      <c r="H278" s="103">
        <f>VLOOKUP($A270,LossChart!$A$3:$AB$105,15,0)</f>
        <v>80</v>
      </c>
      <c r="I278" s="103">
        <f>VLOOKUP($A270,LossChart!$A$3:$AB$105,16,0)</f>
        <v>477.30407413615825</v>
      </c>
      <c r="J278" s="103">
        <f>VLOOKUP($A270,LossChart!$A$3:$AB$105,17,0)</f>
        <v>1037.0445272591028</v>
      </c>
      <c r="K278" s="103"/>
    </row>
    <row r="279" spans="1:19" x14ac:dyDescent="0.25">
      <c r="A279" t="s">
        <v>103</v>
      </c>
      <c r="G279">
        <f>G278-G277</f>
        <v>479.74045312294447</v>
      </c>
      <c r="H279">
        <f>H278-H277</f>
        <v>80</v>
      </c>
      <c r="I279">
        <f>I278-I277</f>
        <v>477.30407413615825</v>
      </c>
      <c r="J279">
        <f>J278-J277</f>
        <v>1037.0445272591028</v>
      </c>
    </row>
    <row r="281" spans="1:19" ht="60" x14ac:dyDescent="0.25">
      <c r="A281" s="26" t="s">
        <v>63</v>
      </c>
      <c r="B281" s="26" t="s">
        <v>92</v>
      </c>
      <c r="C281" s="26" t="s">
        <v>93</v>
      </c>
      <c r="D281" s="97" t="str">
        <f>FoodDB!$C$1</f>
        <v>Fat
(g)</v>
      </c>
      <c r="E281" s="97" t="str">
        <f>FoodDB!$D$1</f>
        <v xml:space="preserve"> Carbs
(g)</v>
      </c>
      <c r="F281" s="97" t="str">
        <f>FoodDB!$E$1</f>
        <v>Protein
(g)</v>
      </c>
      <c r="G281" s="97" t="str">
        <f>FoodDB!$F$1</f>
        <v>Fat
(Cal)</v>
      </c>
      <c r="H281" s="97" t="str">
        <f>FoodDB!$G$1</f>
        <v>Carb
(Cal)</v>
      </c>
      <c r="I281" s="97" t="str">
        <f>FoodDB!$H$1</f>
        <v>Protein
(Cal)</v>
      </c>
      <c r="J281" s="97" t="str">
        <f>FoodDB!$I$1</f>
        <v>Total
Calories</v>
      </c>
      <c r="K281" s="97"/>
      <c r="L281" s="97" t="s">
        <v>109</v>
      </c>
      <c r="M281" s="97" t="s">
        <v>110</v>
      </c>
      <c r="N281" s="97" t="s">
        <v>111</v>
      </c>
      <c r="O281" s="97" t="s">
        <v>112</v>
      </c>
      <c r="P281" s="97" t="s">
        <v>117</v>
      </c>
      <c r="Q281" s="97" t="s">
        <v>118</v>
      </c>
      <c r="R281" s="97" t="s">
        <v>119</v>
      </c>
      <c r="S281" s="97" t="s">
        <v>120</v>
      </c>
    </row>
    <row r="282" spans="1:19" x14ac:dyDescent="0.25">
      <c r="A282" s="98">
        <f>A270+1</f>
        <v>43017</v>
      </c>
      <c r="B282" s="99" t="s">
        <v>107</v>
      </c>
      <c r="C282" s="100">
        <v>0</v>
      </c>
      <c r="D282">
        <f>$C282*VLOOKUP($B282,FoodDB!$A$2:$I$1014,3,0)</f>
        <v>0</v>
      </c>
      <c r="E282">
        <f>$C282*VLOOKUP($B282,FoodDB!$A$2:$I$1014,4,0)</f>
        <v>0</v>
      </c>
      <c r="F282">
        <f>$C282*VLOOKUP($B282,FoodDB!$A$2:$I$1014,5,0)</f>
        <v>0</v>
      </c>
      <c r="G282">
        <f>$C282*VLOOKUP($B282,FoodDB!$A$2:$I$1014,6,0)</f>
        <v>0</v>
      </c>
      <c r="H282">
        <f>$C282*VLOOKUP($B282,FoodDB!$A$2:$I$1014,7,0)</f>
        <v>0</v>
      </c>
      <c r="I282">
        <f>$C282*VLOOKUP($B282,FoodDB!$A$2:$I$1014,8,0)</f>
        <v>0</v>
      </c>
      <c r="J282">
        <f>$C282*VLOOKUP($B282,FoodDB!$A$2:$I$1014,9,0)</f>
        <v>0</v>
      </c>
      <c r="L282">
        <f>SUM(G282:G288)</f>
        <v>0</v>
      </c>
      <c r="M282">
        <f>SUM(H282:H288)</f>
        <v>0</v>
      </c>
      <c r="N282">
        <f>SUM(I282:I288)</f>
        <v>0</v>
      </c>
      <c r="O282">
        <f>SUM(L282:N282)</f>
        <v>0</v>
      </c>
      <c r="P282" s="103">
        <f>VLOOKUP($A282,LossChart!$A$3:$AB$105,14,0)-L282</f>
        <v>486.99377089021277</v>
      </c>
      <c r="Q282" s="103">
        <f>VLOOKUP($A282,LossChart!$A$3:$AB$105,15,0)-M282</f>
        <v>80</v>
      </c>
      <c r="R282" s="103">
        <f>VLOOKUP($A282,LossChart!$A$3:$AB$105,16,0)-N282</f>
        <v>477.30407413615825</v>
      </c>
      <c r="S282" s="103">
        <f>VLOOKUP($A282,LossChart!$A$3:$AB$105,17,0)-O282</f>
        <v>1044.2978450263711</v>
      </c>
    </row>
    <row r="283" spans="1:19" x14ac:dyDescent="0.25">
      <c r="B283" s="99" t="s">
        <v>107</v>
      </c>
      <c r="C283" s="100">
        <v>0</v>
      </c>
      <c r="D283">
        <f>$C283*VLOOKUP($B283,FoodDB!$A$2:$I$1014,3,0)</f>
        <v>0</v>
      </c>
      <c r="E283">
        <f>$C283*VLOOKUP($B283,FoodDB!$A$2:$I$1014,4,0)</f>
        <v>0</v>
      </c>
      <c r="F283">
        <f>$C283*VLOOKUP($B283,FoodDB!$A$2:$I$1014,5,0)</f>
        <v>0</v>
      </c>
      <c r="G283">
        <f>$C283*VLOOKUP($B283,FoodDB!$A$2:$I$1014,6,0)</f>
        <v>0</v>
      </c>
      <c r="H283">
        <f>$C283*VLOOKUP($B283,FoodDB!$A$2:$I$1014,7,0)</f>
        <v>0</v>
      </c>
      <c r="I283">
        <f>$C283*VLOOKUP($B283,FoodDB!$A$2:$I$1014,8,0)</f>
        <v>0</v>
      </c>
      <c r="J283">
        <f>$C283*VLOOKUP($B283,FoodDB!$A$2:$I$1014,9,0)</f>
        <v>0</v>
      </c>
    </row>
    <row r="284" spans="1:19" x14ac:dyDescent="0.25">
      <c r="B284" s="99" t="s">
        <v>107</v>
      </c>
      <c r="C284" s="100">
        <v>0</v>
      </c>
      <c r="D284">
        <f>$C284*VLOOKUP($B284,FoodDB!$A$2:$I$1014,3,0)</f>
        <v>0</v>
      </c>
      <c r="E284">
        <f>$C284*VLOOKUP($B284,FoodDB!$A$2:$I$1014,4,0)</f>
        <v>0</v>
      </c>
      <c r="F284">
        <f>$C284*VLOOKUP($B284,FoodDB!$A$2:$I$1014,5,0)</f>
        <v>0</v>
      </c>
      <c r="G284">
        <f>$C284*VLOOKUP($B284,FoodDB!$A$2:$I$1014,6,0)</f>
        <v>0</v>
      </c>
      <c r="H284">
        <f>$C284*VLOOKUP($B284,FoodDB!$A$2:$I$1014,7,0)</f>
        <v>0</v>
      </c>
      <c r="I284">
        <f>$C284*VLOOKUP($B284,FoodDB!$A$2:$I$1014,8,0)</f>
        <v>0</v>
      </c>
      <c r="J284">
        <f>$C284*VLOOKUP($B284,FoodDB!$A$2:$I$1014,9,0)</f>
        <v>0</v>
      </c>
    </row>
    <row r="285" spans="1:19" x14ac:dyDescent="0.25">
      <c r="B285" s="99" t="s">
        <v>107</v>
      </c>
      <c r="C285" s="100">
        <v>0</v>
      </c>
      <c r="D285">
        <f>$C285*VLOOKUP($B285,FoodDB!$A$2:$I$1014,3,0)</f>
        <v>0</v>
      </c>
      <c r="E285">
        <f>$C285*VLOOKUP($B285,FoodDB!$A$2:$I$1014,4,0)</f>
        <v>0</v>
      </c>
      <c r="F285">
        <f>$C285*VLOOKUP($B285,FoodDB!$A$2:$I$1014,5,0)</f>
        <v>0</v>
      </c>
      <c r="G285">
        <f>$C285*VLOOKUP($B285,FoodDB!$A$2:$I$1014,6,0)</f>
        <v>0</v>
      </c>
      <c r="H285">
        <f>$C285*VLOOKUP($B285,FoodDB!$A$2:$I$1014,7,0)</f>
        <v>0</v>
      </c>
      <c r="I285">
        <f>$C285*VLOOKUP($B285,FoodDB!$A$2:$I$1014,8,0)</f>
        <v>0</v>
      </c>
      <c r="J285">
        <f>$C285*VLOOKUP($B285,FoodDB!$A$2:$I$1014,9,0)</f>
        <v>0</v>
      </c>
    </row>
    <row r="286" spans="1:19" x14ac:dyDescent="0.25">
      <c r="B286" s="99" t="s">
        <v>107</v>
      </c>
      <c r="C286" s="100">
        <v>0</v>
      </c>
      <c r="D286">
        <f>$C286*VLOOKUP($B286,FoodDB!$A$2:$I$1014,3,0)</f>
        <v>0</v>
      </c>
      <c r="E286">
        <f>$C286*VLOOKUP($B286,FoodDB!$A$2:$I$1014,4,0)</f>
        <v>0</v>
      </c>
      <c r="F286">
        <f>$C286*VLOOKUP($B286,FoodDB!$A$2:$I$1014,5,0)</f>
        <v>0</v>
      </c>
      <c r="G286">
        <f>$C286*VLOOKUP($B286,FoodDB!$A$2:$I$1014,6,0)</f>
        <v>0</v>
      </c>
      <c r="H286">
        <f>$C286*VLOOKUP($B286,FoodDB!$A$2:$I$1014,7,0)</f>
        <v>0</v>
      </c>
      <c r="I286">
        <f>$C286*VLOOKUP($B286,FoodDB!$A$2:$I$1014,8,0)</f>
        <v>0</v>
      </c>
      <c r="J286">
        <f>$C286*VLOOKUP($B286,FoodDB!$A$2:$I$1014,9,0)</f>
        <v>0</v>
      </c>
    </row>
    <row r="287" spans="1:19" x14ac:dyDescent="0.25">
      <c r="B287" s="99" t="s">
        <v>107</v>
      </c>
      <c r="C287" s="100">
        <v>0</v>
      </c>
      <c r="D287">
        <f>$C287*VLOOKUP($B287,FoodDB!$A$2:$I$1014,3,0)</f>
        <v>0</v>
      </c>
      <c r="E287">
        <f>$C287*VLOOKUP($B287,FoodDB!$A$2:$I$1014,4,0)</f>
        <v>0</v>
      </c>
      <c r="F287">
        <f>$C287*VLOOKUP($B287,FoodDB!$A$2:$I$1014,5,0)</f>
        <v>0</v>
      </c>
      <c r="G287">
        <f>$C287*VLOOKUP($B287,FoodDB!$A$2:$I$1014,6,0)</f>
        <v>0</v>
      </c>
      <c r="H287">
        <f>$C287*VLOOKUP($B287,FoodDB!$A$2:$I$1014,7,0)</f>
        <v>0</v>
      </c>
      <c r="I287">
        <f>$C287*VLOOKUP($B287,FoodDB!$A$2:$I$1014,8,0)</f>
        <v>0</v>
      </c>
      <c r="J287">
        <f>$C287*VLOOKUP($B287,FoodDB!$A$2:$I$1014,9,0)</f>
        <v>0</v>
      </c>
    </row>
    <row r="288" spans="1:19" x14ac:dyDescent="0.25">
      <c r="B288" s="99" t="s">
        <v>107</v>
      </c>
      <c r="C288" s="100">
        <v>0</v>
      </c>
      <c r="D288">
        <f>$C288*VLOOKUP($B288,FoodDB!$A$2:$I$1014,3,0)</f>
        <v>0</v>
      </c>
      <c r="E288">
        <f>$C288*VLOOKUP($B288,FoodDB!$A$2:$I$1014,4,0)</f>
        <v>0</v>
      </c>
      <c r="F288">
        <f>$C288*VLOOKUP($B288,FoodDB!$A$2:$I$1014,5,0)</f>
        <v>0</v>
      </c>
      <c r="G288">
        <f>$C288*VLOOKUP($B288,FoodDB!$A$2:$I$1014,6,0)</f>
        <v>0</v>
      </c>
      <c r="H288">
        <f>$C288*VLOOKUP($B288,FoodDB!$A$2:$I$1014,7,0)</f>
        <v>0</v>
      </c>
      <c r="I288">
        <f>$C288*VLOOKUP($B288,FoodDB!$A$2:$I$1014,8,0)</f>
        <v>0</v>
      </c>
      <c r="J288">
        <f>$C288*VLOOKUP($B288,FoodDB!$A$2:$I$1014,9,0)</f>
        <v>0</v>
      </c>
    </row>
    <row r="289" spans="1:19" x14ac:dyDescent="0.25">
      <c r="A289" t="s">
        <v>97</v>
      </c>
      <c r="G289">
        <f>SUM(G282:G288)</f>
        <v>0</v>
      </c>
      <c r="H289">
        <f>SUM(H282:H288)</f>
        <v>0</v>
      </c>
      <c r="I289">
        <f>SUM(I282:I288)</f>
        <v>0</v>
      </c>
      <c r="J289">
        <f>SUM(G289:I289)</f>
        <v>0</v>
      </c>
    </row>
    <row r="290" spans="1:19" x14ac:dyDescent="0.25">
      <c r="A290" t="s">
        <v>101</v>
      </c>
      <c r="B290" t="s">
        <v>102</v>
      </c>
      <c r="E290" s="103"/>
      <c r="F290" s="103"/>
      <c r="G290" s="103">
        <f>VLOOKUP($A282,LossChart!$A$3:$AB$105,14,0)</f>
        <v>486.99377089021277</v>
      </c>
      <c r="H290" s="103">
        <f>VLOOKUP($A282,LossChart!$A$3:$AB$105,15,0)</f>
        <v>80</v>
      </c>
      <c r="I290" s="103">
        <f>VLOOKUP($A282,LossChart!$A$3:$AB$105,16,0)</f>
        <v>477.30407413615825</v>
      </c>
      <c r="J290" s="103">
        <f>VLOOKUP($A282,LossChart!$A$3:$AB$105,17,0)</f>
        <v>1044.2978450263711</v>
      </c>
      <c r="K290" s="103"/>
    </row>
    <row r="291" spans="1:19" x14ac:dyDescent="0.25">
      <c r="A291" t="s">
        <v>103</v>
      </c>
      <c r="G291">
        <f>G290-G289</f>
        <v>486.99377089021277</v>
      </c>
      <c r="H291">
        <f>H290-H289</f>
        <v>80</v>
      </c>
      <c r="I291">
        <f>I290-I289</f>
        <v>477.30407413615825</v>
      </c>
      <c r="J291">
        <f>J290-J289</f>
        <v>1044.2978450263711</v>
      </c>
    </row>
    <row r="293" spans="1:19" ht="60" x14ac:dyDescent="0.25">
      <c r="A293" s="26" t="s">
        <v>63</v>
      </c>
      <c r="B293" s="26" t="s">
        <v>92</v>
      </c>
      <c r="C293" s="26" t="s">
        <v>93</v>
      </c>
      <c r="D293" s="97" t="str">
        <f>FoodDB!$C$1</f>
        <v>Fat
(g)</v>
      </c>
      <c r="E293" s="97" t="str">
        <f>FoodDB!$D$1</f>
        <v xml:space="preserve"> Carbs
(g)</v>
      </c>
      <c r="F293" s="97" t="str">
        <f>FoodDB!$E$1</f>
        <v>Protein
(g)</v>
      </c>
      <c r="G293" s="97" t="str">
        <f>FoodDB!$F$1</f>
        <v>Fat
(Cal)</v>
      </c>
      <c r="H293" s="97" t="str">
        <f>FoodDB!$G$1</f>
        <v>Carb
(Cal)</v>
      </c>
      <c r="I293" s="97" t="str">
        <f>FoodDB!$H$1</f>
        <v>Protein
(Cal)</v>
      </c>
      <c r="J293" s="97" t="str">
        <f>FoodDB!$I$1</f>
        <v>Total
Calories</v>
      </c>
      <c r="K293" s="97"/>
      <c r="L293" s="97" t="s">
        <v>109</v>
      </c>
      <c r="M293" s="97" t="s">
        <v>110</v>
      </c>
      <c r="N293" s="97" t="s">
        <v>111</v>
      </c>
      <c r="O293" s="97" t="s">
        <v>112</v>
      </c>
      <c r="P293" s="97" t="s">
        <v>117</v>
      </c>
      <c r="Q293" s="97" t="s">
        <v>118</v>
      </c>
      <c r="R293" s="97" t="s">
        <v>119</v>
      </c>
      <c r="S293" s="97" t="s">
        <v>120</v>
      </c>
    </row>
    <row r="294" spans="1:19" x14ac:dyDescent="0.25">
      <c r="A294" s="98">
        <f>A282+1</f>
        <v>43018</v>
      </c>
      <c r="B294" s="99" t="s">
        <v>107</v>
      </c>
      <c r="C294" s="100">
        <v>0</v>
      </c>
      <c r="D294">
        <f>$C294*VLOOKUP($B294,FoodDB!$A$2:$I$1014,3,0)</f>
        <v>0</v>
      </c>
      <c r="E294">
        <f>$C294*VLOOKUP($B294,FoodDB!$A$2:$I$1014,4,0)</f>
        <v>0</v>
      </c>
      <c r="F294">
        <f>$C294*VLOOKUP($B294,FoodDB!$A$2:$I$1014,5,0)</f>
        <v>0</v>
      </c>
      <c r="G294">
        <f>$C294*VLOOKUP($B294,FoodDB!$A$2:$I$1014,6,0)</f>
        <v>0</v>
      </c>
      <c r="H294">
        <f>$C294*VLOOKUP($B294,FoodDB!$A$2:$I$1014,7,0)</f>
        <v>0</v>
      </c>
      <c r="I294">
        <f>$C294*VLOOKUP($B294,FoodDB!$A$2:$I$1014,8,0)</f>
        <v>0</v>
      </c>
      <c r="J294">
        <f>$C294*VLOOKUP($B294,FoodDB!$A$2:$I$1014,9,0)</f>
        <v>0</v>
      </c>
      <c r="L294">
        <f>SUM(G294:G300)</f>
        <v>0</v>
      </c>
      <c r="M294">
        <f>SUM(H294:H300)</f>
        <v>0</v>
      </c>
      <c r="N294">
        <f>SUM(I294:I300)</f>
        <v>0</v>
      </c>
      <c r="O294">
        <f>SUM(L294:N294)</f>
        <v>0</v>
      </c>
      <c r="P294" s="103">
        <f>VLOOKUP($A294,LossChart!$A$3:$AB$105,14,0)-L294</f>
        <v>494.18284498582761</v>
      </c>
      <c r="Q294" s="103">
        <f>VLOOKUP($A294,LossChart!$A$3:$AB$105,15,0)-M294</f>
        <v>80</v>
      </c>
      <c r="R294" s="103">
        <f>VLOOKUP($A294,LossChart!$A$3:$AB$105,16,0)-N294</f>
        <v>477.30407413615825</v>
      </c>
      <c r="S294" s="103">
        <f>VLOOKUP($A294,LossChart!$A$3:$AB$105,17,0)-O294</f>
        <v>1051.4869191219859</v>
      </c>
    </row>
    <row r="295" spans="1:19" x14ac:dyDescent="0.25">
      <c r="B295" s="99" t="s">
        <v>107</v>
      </c>
      <c r="C295" s="100">
        <v>0</v>
      </c>
      <c r="D295">
        <f>$C295*VLOOKUP($B295,FoodDB!$A$2:$I$1014,3,0)</f>
        <v>0</v>
      </c>
      <c r="E295">
        <f>$C295*VLOOKUP($B295,FoodDB!$A$2:$I$1014,4,0)</f>
        <v>0</v>
      </c>
      <c r="F295">
        <f>$C295*VLOOKUP($B295,FoodDB!$A$2:$I$1014,5,0)</f>
        <v>0</v>
      </c>
      <c r="G295">
        <f>$C295*VLOOKUP($B295,FoodDB!$A$2:$I$1014,6,0)</f>
        <v>0</v>
      </c>
      <c r="H295">
        <f>$C295*VLOOKUP($B295,FoodDB!$A$2:$I$1014,7,0)</f>
        <v>0</v>
      </c>
      <c r="I295">
        <f>$C295*VLOOKUP($B295,FoodDB!$A$2:$I$1014,8,0)</f>
        <v>0</v>
      </c>
      <c r="J295">
        <f>$C295*VLOOKUP($B295,FoodDB!$A$2:$I$1014,9,0)</f>
        <v>0</v>
      </c>
    </row>
    <row r="296" spans="1:19" x14ac:dyDescent="0.25">
      <c r="B296" s="99" t="s">
        <v>107</v>
      </c>
      <c r="C296" s="100">
        <v>0</v>
      </c>
      <c r="D296">
        <f>$C296*VLOOKUP($B296,FoodDB!$A$2:$I$1014,3,0)</f>
        <v>0</v>
      </c>
      <c r="E296">
        <f>$C296*VLOOKUP($B296,FoodDB!$A$2:$I$1014,4,0)</f>
        <v>0</v>
      </c>
      <c r="F296">
        <f>$C296*VLOOKUP($B296,FoodDB!$A$2:$I$1014,5,0)</f>
        <v>0</v>
      </c>
      <c r="G296">
        <f>$C296*VLOOKUP($B296,FoodDB!$A$2:$I$1014,6,0)</f>
        <v>0</v>
      </c>
      <c r="H296">
        <f>$C296*VLOOKUP($B296,FoodDB!$A$2:$I$1014,7,0)</f>
        <v>0</v>
      </c>
      <c r="I296">
        <f>$C296*VLOOKUP($B296,FoodDB!$A$2:$I$1014,8,0)</f>
        <v>0</v>
      </c>
      <c r="J296">
        <f>$C296*VLOOKUP($B296,FoodDB!$A$2:$I$1014,9,0)</f>
        <v>0</v>
      </c>
    </row>
    <row r="297" spans="1:19" x14ac:dyDescent="0.25">
      <c r="B297" s="99" t="s">
        <v>107</v>
      </c>
      <c r="C297" s="100">
        <v>0</v>
      </c>
      <c r="D297">
        <f>$C297*VLOOKUP($B297,FoodDB!$A$2:$I$1014,3,0)</f>
        <v>0</v>
      </c>
      <c r="E297">
        <f>$C297*VLOOKUP($B297,FoodDB!$A$2:$I$1014,4,0)</f>
        <v>0</v>
      </c>
      <c r="F297">
        <f>$C297*VLOOKUP($B297,FoodDB!$A$2:$I$1014,5,0)</f>
        <v>0</v>
      </c>
      <c r="G297">
        <f>$C297*VLOOKUP($B297,FoodDB!$A$2:$I$1014,6,0)</f>
        <v>0</v>
      </c>
      <c r="H297">
        <f>$C297*VLOOKUP($B297,FoodDB!$A$2:$I$1014,7,0)</f>
        <v>0</v>
      </c>
      <c r="I297">
        <f>$C297*VLOOKUP($B297,FoodDB!$A$2:$I$1014,8,0)</f>
        <v>0</v>
      </c>
      <c r="J297">
        <f>$C297*VLOOKUP($B297,FoodDB!$A$2:$I$1014,9,0)</f>
        <v>0</v>
      </c>
    </row>
    <row r="298" spans="1:19" x14ac:dyDescent="0.25">
      <c r="B298" s="99" t="s">
        <v>107</v>
      </c>
      <c r="C298" s="100">
        <v>0</v>
      </c>
      <c r="D298">
        <f>$C298*VLOOKUP($B298,FoodDB!$A$2:$I$1014,3,0)</f>
        <v>0</v>
      </c>
      <c r="E298">
        <f>$C298*VLOOKUP($B298,FoodDB!$A$2:$I$1014,4,0)</f>
        <v>0</v>
      </c>
      <c r="F298">
        <f>$C298*VLOOKUP($B298,FoodDB!$A$2:$I$1014,5,0)</f>
        <v>0</v>
      </c>
      <c r="G298">
        <f>$C298*VLOOKUP($B298,FoodDB!$A$2:$I$1014,6,0)</f>
        <v>0</v>
      </c>
      <c r="H298">
        <f>$C298*VLOOKUP($B298,FoodDB!$A$2:$I$1014,7,0)</f>
        <v>0</v>
      </c>
      <c r="I298">
        <f>$C298*VLOOKUP($B298,FoodDB!$A$2:$I$1014,8,0)</f>
        <v>0</v>
      </c>
      <c r="J298">
        <f>$C298*VLOOKUP($B298,FoodDB!$A$2:$I$1014,9,0)</f>
        <v>0</v>
      </c>
    </row>
    <row r="299" spans="1:19" x14ac:dyDescent="0.25">
      <c r="B299" s="99" t="s">
        <v>107</v>
      </c>
      <c r="C299" s="100">
        <v>0</v>
      </c>
      <c r="D299">
        <f>$C299*VLOOKUP($B299,FoodDB!$A$2:$I$1014,3,0)</f>
        <v>0</v>
      </c>
      <c r="E299">
        <f>$C299*VLOOKUP($B299,FoodDB!$A$2:$I$1014,4,0)</f>
        <v>0</v>
      </c>
      <c r="F299">
        <f>$C299*VLOOKUP($B299,FoodDB!$A$2:$I$1014,5,0)</f>
        <v>0</v>
      </c>
      <c r="G299">
        <f>$C299*VLOOKUP($B299,FoodDB!$A$2:$I$1014,6,0)</f>
        <v>0</v>
      </c>
      <c r="H299">
        <f>$C299*VLOOKUP($B299,FoodDB!$A$2:$I$1014,7,0)</f>
        <v>0</v>
      </c>
      <c r="I299">
        <f>$C299*VLOOKUP($B299,FoodDB!$A$2:$I$1014,8,0)</f>
        <v>0</v>
      </c>
      <c r="J299">
        <f>$C299*VLOOKUP($B299,FoodDB!$A$2:$I$1014,9,0)</f>
        <v>0</v>
      </c>
    </row>
    <row r="300" spans="1:19" x14ac:dyDescent="0.25">
      <c r="B300" s="99" t="s">
        <v>107</v>
      </c>
      <c r="C300" s="100">
        <v>0</v>
      </c>
      <c r="D300">
        <f>$C300*VLOOKUP($B300,FoodDB!$A$2:$I$1014,3,0)</f>
        <v>0</v>
      </c>
      <c r="E300">
        <f>$C300*VLOOKUP($B300,FoodDB!$A$2:$I$1014,4,0)</f>
        <v>0</v>
      </c>
      <c r="F300">
        <f>$C300*VLOOKUP($B300,FoodDB!$A$2:$I$1014,5,0)</f>
        <v>0</v>
      </c>
      <c r="G300">
        <f>$C300*VLOOKUP($B300,FoodDB!$A$2:$I$1014,6,0)</f>
        <v>0</v>
      </c>
      <c r="H300">
        <f>$C300*VLOOKUP($B300,FoodDB!$A$2:$I$1014,7,0)</f>
        <v>0</v>
      </c>
      <c r="I300">
        <f>$C300*VLOOKUP($B300,FoodDB!$A$2:$I$1014,8,0)</f>
        <v>0</v>
      </c>
      <c r="J300">
        <f>$C300*VLOOKUP($B300,FoodDB!$A$2:$I$1014,9,0)</f>
        <v>0</v>
      </c>
    </row>
    <row r="301" spans="1:19" x14ac:dyDescent="0.25">
      <c r="A301" t="s">
        <v>97</v>
      </c>
      <c r="G301">
        <f>SUM(G294:G300)</f>
        <v>0</v>
      </c>
      <c r="H301">
        <f>SUM(H294:H300)</f>
        <v>0</v>
      </c>
      <c r="I301">
        <f>SUM(I294:I300)</f>
        <v>0</v>
      </c>
      <c r="J301">
        <f>SUM(G301:I301)</f>
        <v>0</v>
      </c>
    </row>
    <row r="302" spans="1:19" x14ac:dyDescent="0.25">
      <c r="A302" t="s">
        <v>101</v>
      </c>
      <c r="B302" t="s">
        <v>102</v>
      </c>
      <c r="E302" s="103"/>
      <c r="F302" s="103"/>
      <c r="G302" s="103">
        <f>VLOOKUP($A294,LossChart!$A$3:$AB$105,14,0)</f>
        <v>494.18284498582761</v>
      </c>
      <c r="H302" s="103">
        <f>VLOOKUP($A294,LossChart!$A$3:$AB$105,15,0)</f>
        <v>80</v>
      </c>
      <c r="I302" s="103">
        <f>VLOOKUP($A294,LossChart!$A$3:$AB$105,16,0)</f>
        <v>477.30407413615825</v>
      </c>
      <c r="J302" s="103">
        <f>VLOOKUP($A294,LossChart!$A$3:$AB$105,17,0)</f>
        <v>1051.4869191219859</v>
      </c>
      <c r="K302" s="103"/>
    </row>
    <row r="303" spans="1:19" x14ac:dyDescent="0.25">
      <c r="A303" t="s">
        <v>103</v>
      </c>
      <c r="G303">
        <f>G302-G301</f>
        <v>494.18284498582761</v>
      </c>
      <c r="H303">
        <f>H302-H301</f>
        <v>80</v>
      </c>
      <c r="I303">
        <f>I302-I301</f>
        <v>477.30407413615825</v>
      </c>
      <c r="J303">
        <f>J302-J301</f>
        <v>1051.4869191219859</v>
      </c>
    </row>
    <row r="305" spans="1:19" ht="60" x14ac:dyDescent="0.25">
      <c r="A305" s="26" t="s">
        <v>63</v>
      </c>
      <c r="B305" s="26" t="s">
        <v>92</v>
      </c>
      <c r="C305" s="26" t="s">
        <v>93</v>
      </c>
      <c r="D305" s="97" t="str">
        <f>FoodDB!$C$1</f>
        <v>Fat
(g)</v>
      </c>
      <c r="E305" s="97" t="str">
        <f>FoodDB!$D$1</f>
        <v xml:space="preserve"> Carbs
(g)</v>
      </c>
      <c r="F305" s="97" t="str">
        <f>FoodDB!$E$1</f>
        <v>Protein
(g)</v>
      </c>
      <c r="G305" s="97" t="str">
        <f>FoodDB!$F$1</f>
        <v>Fat
(Cal)</v>
      </c>
      <c r="H305" s="97" t="str">
        <f>FoodDB!$G$1</f>
        <v>Carb
(Cal)</v>
      </c>
      <c r="I305" s="97" t="str">
        <f>FoodDB!$H$1</f>
        <v>Protein
(Cal)</v>
      </c>
      <c r="J305" s="97" t="str">
        <f>FoodDB!$I$1</f>
        <v>Total
Calories</v>
      </c>
      <c r="K305" s="97"/>
      <c r="L305" s="97" t="s">
        <v>109</v>
      </c>
      <c r="M305" s="97" t="s">
        <v>110</v>
      </c>
      <c r="N305" s="97" t="s">
        <v>111</v>
      </c>
      <c r="O305" s="97" t="s">
        <v>112</v>
      </c>
      <c r="P305" s="97" t="s">
        <v>117</v>
      </c>
      <c r="Q305" s="97" t="s">
        <v>118</v>
      </c>
      <c r="R305" s="97" t="s">
        <v>119</v>
      </c>
      <c r="S305" s="97" t="s">
        <v>120</v>
      </c>
    </row>
    <row r="306" spans="1:19" x14ac:dyDescent="0.25">
      <c r="A306" s="98">
        <f>A294+1</f>
        <v>43019</v>
      </c>
      <c r="B306" s="99" t="s">
        <v>107</v>
      </c>
      <c r="C306" s="100">
        <v>0</v>
      </c>
      <c r="D306">
        <f>$C306*VLOOKUP($B306,FoodDB!$A$2:$I$1014,3,0)</f>
        <v>0</v>
      </c>
      <c r="E306">
        <f>$C306*VLOOKUP($B306,FoodDB!$A$2:$I$1014,4,0)</f>
        <v>0</v>
      </c>
      <c r="F306">
        <f>$C306*VLOOKUP($B306,FoodDB!$A$2:$I$1014,5,0)</f>
        <v>0</v>
      </c>
      <c r="G306">
        <f>$C306*VLOOKUP($B306,FoodDB!$A$2:$I$1014,6,0)</f>
        <v>0</v>
      </c>
      <c r="H306">
        <f>$C306*VLOOKUP($B306,FoodDB!$A$2:$I$1014,7,0)</f>
        <v>0</v>
      </c>
      <c r="I306">
        <f>$C306*VLOOKUP($B306,FoodDB!$A$2:$I$1014,8,0)</f>
        <v>0</v>
      </c>
      <c r="J306">
        <f>$C306*VLOOKUP($B306,FoodDB!$A$2:$I$1014,9,0)</f>
        <v>0</v>
      </c>
      <c r="L306">
        <f>SUM(G306:G312)</f>
        <v>0</v>
      </c>
      <c r="M306">
        <f>SUM(H306:H312)</f>
        <v>0</v>
      </c>
      <c r="N306">
        <f>SUM(I306:I312)</f>
        <v>0</v>
      </c>
      <c r="O306">
        <f>SUM(L306:N306)</f>
        <v>0</v>
      </c>
      <c r="P306" s="103">
        <f>VLOOKUP($A306,LossChart!$A$3:$AB$105,14,0)-L306</f>
        <v>501.30824442516723</v>
      </c>
      <c r="Q306" s="103">
        <f>VLOOKUP($A306,LossChart!$A$3:$AB$105,15,0)-M306</f>
        <v>80</v>
      </c>
      <c r="R306" s="103">
        <f>VLOOKUP($A306,LossChart!$A$3:$AB$105,16,0)-N306</f>
        <v>477.30407413615825</v>
      </c>
      <c r="S306" s="103">
        <f>VLOOKUP($A306,LossChart!$A$3:$AB$105,17,0)-O306</f>
        <v>1058.6123185613255</v>
      </c>
    </row>
    <row r="307" spans="1:19" x14ac:dyDescent="0.25">
      <c r="B307" s="99" t="s">
        <v>107</v>
      </c>
      <c r="C307" s="100">
        <v>0</v>
      </c>
      <c r="D307">
        <f>$C307*VLOOKUP($B307,FoodDB!$A$2:$I$1014,3,0)</f>
        <v>0</v>
      </c>
      <c r="E307">
        <f>$C307*VLOOKUP($B307,FoodDB!$A$2:$I$1014,4,0)</f>
        <v>0</v>
      </c>
      <c r="F307">
        <f>$C307*VLOOKUP($B307,FoodDB!$A$2:$I$1014,5,0)</f>
        <v>0</v>
      </c>
      <c r="G307">
        <f>$C307*VLOOKUP($B307,FoodDB!$A$2:$I$1014,6,0)</f>
        <v>0</v>
      </c>
      <c r="H307">
        <f>$C307*VLOOKUP($B307,FoodDB!$A$2:$I$1014,7,0)</f>
        <v>0</v>
      </c>
      <c r="I307">
        <f>$C307*VLOOKUP($B307,FoodDB!$A$2:$I$1014,8,0)</f>
        <v>0</v>
      </c>
      <c r="J307">
        <f>$C307*VLOOKUP($B307,FoodDB!$A$2:$I$1014,9,0)</f>
        <v>0</v>
      </c>
    </row>
    <row r="308" spans="1:19" x14ac:dyDescent="0.25">
      <c r="B308" s="99" t="s">
        <v>107</v>
      </c>
      <c r="C308" s="100">
        <v>0</v>
      </c>
      <c r="D308">
        <f>$C308*VLOOKUP($B308,FoodDB!$A$2:$I$1014,3,0)</f>
        <v>0</v>
      </c>
      <c r="E308">
        <f>$C308*VLOOKUP($B308,FoodDB!$A$2:$I$1014,4,0)</f>
        <v>0</v>
      </c>
      <c r="F308">
        <f>$C308*VLOOKUP($B308,FoodDB!$A$2:$I$1014,5,0)</f>
        <v>0</v>
      </c>
      <c r="G308">
        <f>$C308*VLOOKUP($B308,FoodDB!$A$2:$I$1014,6,0)</f>
        <v>0</v>
      </c>
      <c r="H308">
        <f>$C308*VLOOKUP($B308,FoodDB!$A$2:$I$1014,7,0)</f>
        <v>0</v>
      </c>
      <c r="I308">
        <f>$C308*VLOOKUP($B308,FoodDB!$A$2:$I$1014,8,0)</f>
        <v>0</v>
      </c>
      <c r="J308">
        <f>$C308*VLOOKUP($B308,FoodDB!$A$2:$I$1014,9,0)</f>
        <v>0</v>
      </c>
    </row>
    <row r="309" spans="1:19" x14ac:dyDescent="0.25">
      <c r="B309" s="99" t="s">
        <v>107</v>
      </c>
      <c r="C309" s="100">
        <v>0</v>
      </c>
      <c r="D309">
        <f>$C309*VLOOKUP($B309,FoodDB!$A$2:$I$1014,3,0)</f>
        <v>0</v>
      </c>
      <c r="E309">
        <f>$C309*VLOOKUP($B309,FoodDB!$A$2:$I$1014,4,0)</f>
        <v>0</v>
      </c>
      <c r="F309">
        <f>$C309*VLOOKUP($B309,FoodDB!$A$2:$I$1014,5,0)</f>
        <v>0</v>
      </c>
      <c r="G309">
        <f>$C309*VLOOKUP($B309,FoodDB!$A$2:$I$1014,6,0)</f>
        <v>0</v>
      </c>
      <c r="H309">
        <f>$C309*VLOOKUP($B309,FoodDB!$A$2:$I$1014,7,0)</f>
        <v>0</v>
      </c>
      <c r="I309">
        <f>$C309*VLOOKUP($B309,FoodDB!$A$2:$I$1014,8,0)</f>
        <v>0</v>
      </c>
      <c r="J309">
        <f>$C309*VLOOKUP($B309,FoodDB!$A$2:$I$1014,9,0)</f>
        <v>0</v>
      </c>
    </row>
    <row r="310" spans="1:19" x14ac:dyDescent="0.25">
      <c r="B310" s="99" t="s">
        <v>107</v>
      </c>
      <c r="C310" s="100">
        <v>0</v>
      </c>
      <c r="D310">
        <f>$C310*VLOOKUP($B310,FoodDB!$A$2:$I$1014,3,0)</f>
        <v>0</v>
      </c>
      <c r="E310">
        <f>$C310*VLOOKUP($B310,FoodDB!$A$2:$I$1014,4,0)</f>
        <v>0</v>
      </c>
      <c r="F310">
        <f>$C310*VLOOKUP($B310,FoodDB!$A$2:$I$1014,5,0)</f>
        <v>0</v>
      </c>
      <c r="G310">
        <f>$C310*VLOOKUP($B310,FoodDB!$A$2:$I$1014,6,0)</f>
        <v>0</v>
      </c>
      <c r="H310">
        <f>$C310*VLOOKUP($B310,FoodDB!$A$2:$I$1014,7,0)</f>
        <v>0</v>
      </c>
      <c r="I310">
        <f>$C310*VLOOKUP($B310,FoodDB!$A$2:$I$1014,8,0)</f>
        <v>0</v>
      </c>
      <c r="J310">
        <f>$C310*VLOOKUP($B310,FoodDB!$A$2:$I$1014,9,0)</f>
        <v>0</v>
      </c>
    </row>
    <row r="311" spans="1:19" x14ac:dyDescent="0.25">
      <c r="B311" s="99" t="s">
        <v>107</v>
      </c>
      <c r="C311" s="100">
        <v>0</v>
      </c>
      <c r="D311">
        <f>$C311*VLOOKUP($B311,FoodDB!$A$2:$I$1014,3,0)</f>
        <v>0</v>
      </c>
      <c r="E311">
        <f>$C311*VLOOKUP($B311,FoodDB!$A$2:$I$1014,4,0)</f>
        <v>0</v>
      </c>
      <c r="F311">
        <f>$C311*VLOOKUP($B311,FoodDB!$A$2:$I$1014,5,0)</f>
        <v>0</v>
      </c>
      <c r="G311">
        <f>$C311*VLOOKUP($B311,FoodDB!$A$2:$I$1014,6,0)</f>
        <v>0</v>
      </c>
      <c r="H311">
        <f>$C311*VLOOKUP($B311,FoodDB!$A$2:$I$1014,7,0)</f>
        <v>0</v>
      </c>
      <c r="I311">
        <f>$C311*VLOOKUP($B311,FoodDB!$A$2:$I$1014,8,0)</f>
        <v>0</v>
      </c>
      <c r="J311">
        <f>$C311*VLOOKUP($B311,FoodDB!$A$2:$I$1014,9,0)</f>
        <v>0</v>
      </c>
    </row>
    <row r="312" spans="1:19" x14ac:dyDescent="0.25">
      <c r="B312" s="99" t="s">
        <v>107</v>
      </c>
      <c r="C312" s="100">
        <v>0</v>
      </c>
      <c r="D312">
        <f>$C312*VLOOKUP($B312,FoodDB!$A$2:$I$1014,3,0)</f>
        <v>0</v>
      </c>
      <c r="E312">
        <f>$C312*VLOOKUP($B312,FoodDB!$A$2:$I$1014,4,0)</f>
        <v>0</v>
      </c>
      <c r="F312">
        <f>$C312*VLOOKUP($B312,FoodDB!$A$2:$I$1014,5,0)</f>
        <v>0</v>
      </c>
      <c r="G312">
        <f>$C312*VLOOKUP($B312,FoodDB!$A$2:$I$1014,6,0)</f>
        <v>0</v>
      </c>
      <c r="H312">
        <f>$C312*VLOOKUP($B312,FoodDB!$A$2:$I$1014,7,0)</f>
        <v>0</v>
      </c>
      <c r="I312">
        <f>$C312*VLOOKUP($B312,FoodDB!$A$2:$I$1014,8,0)</f>
        <v>0</v>
      </c>
      <c r="J312">
        <f>$C312*VLOOKUP($B312,FoodDB!$A$2:$I$1014,9,0)</f>
        <v>0</v>
      </c>
    </row>
    <row r="313" spans="1:19" x14ac:dyDescent="0.25">
      <c r="A313" t="s">
        <v>97</v>
      </c>
      <c r="G313">
        <f>SUM(G306:G312)</f>
        <v>0</v>
      </c>
      <c r="H313">
        <f>SUM(H306:H312)</f>
        <v>0</v>
      </c>
      <c r="I313">
        <f>SUM(I306:I312)</f>
        <v>0</v>
      </c>
      <c r="J313">
        <f>SUM(G313:I313)</f>
        <v>0</v>
      </c>
    </row>
    <row r="314" spans="1:19" x14ac:dyDescent="0.25">
      <c r="A314" t="s">
        <v>101</v>
      </c>
      <c r="B314" t="s">
        <v>102</v>
      </c>
      <c r="E314" s="103"/>
      <c r="F314" s="103"/>
      <c r="G314" s="103">
        <f>VLOOKUP($A306,LossChart!$A$3:$AB$105,14,0)</f>
        <v>501.30824442516723</v>
      </c>
      <c r="H314" s="103">
        <f>VLOOKUP($A306,LossChart!$A$3:$AB$105,15,0)</f>
        <v>80</v>
      </c>
      <c r="I314" s="103">
        <f>VLOOKUP($A306,LossChart!$A$3:$AB$105,16,0)</f>
        <v>477.30407413615825</v>
      </c>
      <c r="J314" s="103">
        <f>VLOOKUP($A306,LossChart!$A$3:$AB$105,17,0)</f>
        <v>1058.6123185613255</v>
      </c>
      <c r="K314" s="103"/>
    </row>
    <row r="315" spans="1:19" x14ac:dyDescent="0.25">
      <c r="A315" t="s">
        <v>103</v>
      </c>
      <c r="G315">
        <f>G314-G313</f>
        <v>501.30824442516723</v>
      </c>
      <c r="H315">
        <f>H314-H313</f>
        <v>80</v>
      </c>
      <c r="I315">
        <f>I314-I313</f>
        <v>477.30407413615825</v>
      </c>
      <c r="J315">
        <f>J314-J313</f>
        <v>1058.6123185613255</v>
      </c>
    </row>
    <row r="317" spans="1:19" ht="60" x14ac:dyDescent="0.25">
      <c r="A317" s="26" t="s">
        <v>63</v>
      </c>
      <c r="B317" s="26" t="s">
        <v>92</v>
      </c>
      <c r="C317" s="26" t="s">
        <v>93</v>
      </c>
      <c r="D317" s="97" t="str">
        <f>FoodDB!$C$1</f>
        <v>Fat
(g)</v>
      </c>
      <c r="E317" s="97" t="str">
        <f>FoodDB!$D$1</f>
        <v xml:space="preserve"> Carbs
(g)</v>
      </c>
      <c r="F317" s="97" t="str">
        <f>FoodDB!$E$1</f>
        <v>Protein
(g)</v>
      </c>
      <c r="G317" s="97" t="str">
        <f>FoodDB!$F$1</f>
        <v>Fat
(Cal)</v>
      </c>
      <c r="H317" s="97" t="str">
        <f>FoodDB!$G$1</f>
        <v>Carb
(Cal)</v>
      </c>
      <c r="I317" s="97" t="str">
        <f>FoodDB!$H$1</f>
        <v>Protein
(Cal)</v>
      </c>
      <c r="J317" s="97" t="str">
        <f>FoodDB!$I$1</f>
        <v>Total
Calories</v>
      </c>
      <c r="K317" s="97"/>
      <c r="L317" s="97" t="s">
        <v>109</v>
      </c>
      <c r="M317" s="97" t="s">
        <v>110</v>
      </c>
      <c r="N317" s="97" t="s">
        <v>111</v>
      </c>
      <c r="O317" s="97" t="s">
        <v>112</v>
      </c>
      <c r="P317" s="97" t="s">
        <v>117</v>
      </c>
      <c r="Q317" s="97" t="s">
        <v>118</v>
      </c>
      <c r="R317" s="97" t="s">
        <v>119</v>
      </c>
      <c r="S317" s="97" t="s">
        <v>120</v>
      </c>
    </row>
    <row r="318" spans="1:19" x14ac:dyDescent="0.25">
      <c r="A318" s="98">
        <f>A306+1</f>
        <v>43020</v>
      </c>
      <c r="B318" s="99" t="s">
        <v>107</v>
      </c>
      <c r="C318" s="100">
        <v>0</v>
      </c>
      <c r="D318">
        <f>$C318*VLOOKUP($B318,FoodDB!$A$2:$I$1014,3,0)</f>
        <v>0</v>
      </c>
      <c r="E318">
        <f>$C318*VLOOKUP($B318,FoodDB!$A$2:$I$1014,4,0)</f>
        <v>0</v>
      </c>
      <c r="F318">
        <f>$C318*VLOOKUP($B318,FoodDB!$A$2:$I$1014,5,0)</f>
        <v>0</v>
      </c>
      <c r="G318">
        <f>$C318*VLOOKUP($B318,FoodDB!$A$2:$I$1014,6,0)</f>
        <v>0</v>
      </c>
      <c r="H318">
        <f>$C318*VLOOKUP($B318,FoodDB!$A$2:$I$1014,7,0)</f>
        <v>0</v>
      </c>
      <c r="I318">
        <f>$C318*VLOOKUP($B318,FoodDB!$A$2:$I$1014,8,0)</f>
        <v>0</v>
      </c>
      <c r="J318">
        <f>$C318*VLOOKUP($B318,FoodDB!$A$2:$I$1014,9,0)</f>
        <v>0</v>
      </c>
      <c r="L318">
        <f>SUM(G318:G324)</f>
        <v>0</v>
      </c>
      <c r="M318">
        <f>SUM(H318:H324)</f>
        <v>0</v>
      </c>
      <c r="N318">
        <f>SUM(I318:I324)</f>
        <v>0</v>
      </c>
      <c r="O318">
        <f>SUM(L318:N318)</f>
        <v>0</v>
      </c>
      <c r="P318" s="103">
        <f>VLOOKUP($A318,LossChart!$A$3:$AB$105,14,0)-L318</f>
        <v>508.37053318375911</v>
      </c>
      <c r="Q318" s="103">
        <f>VLOOKUP($A318,LossChart!$A$3:$AB$105,15,0)-M318</f>
        <v>80</v>
      </c>
      <c r="R318" s="103">
        <f>VLOOKUP($A318,LossChart!$A$3:$AB$105,16,0)-N318</f>
        <v>477.30407413615825</v>
      </c>
      <c r="S318" s="103">
        <f>VLOOKUP($A318,LossChart!$A$3:$AB$105,17,0)-O318</f>
        <v>1065.6746073199174</v>
      </c>
    </row>
    <row r="319" spans="1:19" x14ac:dyDescent="0.25">
      <c r="B319" s="99" t="s">
        <v>107</v>
      </c>
      <c r="C319" s="100">
        <v>0</v>
      </c>
      <c r="D319">
        <f>$C319*VLOOKUP($B319,FoodDB!$A$2:$I$1014,3,0)</f>
        <v>0</v>
      </c>
      <c r="E319">
        <f>$C319*VLOOKUP($B319,FoodDB!$A$2:$I$1014,4,0)</f>
        <v>0</v>
      </c>
      <c r="F319">
        <f>$C319*VLOOKUP($B319,FoodDB!$A$2:$I$1014,5,0)</f>
        <v>0</v>
      </c>
      <c r="G319">
        <f>$C319*VLOOKUP($B319,FoodDB!$A$2:$I$1014,6,0)</f>
        <v>0</v>
      </c>
      <c r="H319">
        <f>$C319*VLOOKUP($B319,FoodDB!$A$2:$I$1014,7,0)</f>
        <v>0</v>
      </c>
      <c r="I319">
        <f>$C319*VLOOKUP($B319,FoodDB!$A$2:$I$1014,8,0)</f>
        <v>0</v>
      </c>
      <c r="J319">
        <f>$C319*VLOOKUP($B319,FoodDB!$A$2:$I$1014,9,0)</f>
        <v>0</v>
      </c>
    </row>
    <row r="320" spans="1:19" x14ac:dyDescent="0.25">
      <c r="B320" s="99" t="s">
        <v>107</v>
      </c>
      <c r="C320" s="100">
        <v>0</v>
      </c>
      <c r="D320">
        <f>$C320*VLOOKUP($B320,FoodDB!$A$2:$I$1014,3,0)</f>
        <v>0</v>
      </c>
      <c r="E320">
        <f>$C320*VLOOKUP($B320,FoodDB!$A$2:$I$1014,4,0)</f>
        <v>0</v>
      </c>
      <c r="F320">
        <f>$C320*VLOOKUP($B320,FoodDB!$A$2:$I$1014,5,0)</f>
        <v>0</v>
      </c>
      <c r="G320">
        <f>$C320*VLOOKUP($B320,FoodDB!$A$2:$I$1014,6,0)</f>
        <v>0</v>
      </c>
      <c r="H320">
        <f>$C320*VLOOKUP($B320,FoodDB!$A$2:$I$1014,7,0)</f>
        <v>0</v>
      </c>
      <c r="I320">
        <f>$C320*VLOOKUP($B320,FoodDB!$A$2:$I$1014,8,0)</f>
        <v>0</v>
      </c>
      <c r="J320">
        <f>$C320*VLOOKUP($B320,FoodDB!$A$2:$I$1014,9,0)</f>
        <v>0</v>
      </c>
    </row>
    <row r="321" spans="1:19" x14ac:dyDescent="0.25">
      <c r="B321" s="99" t="s">
        <v>107</v>
      </c>
      <c r="C321" s="100">
        <v>0</v>
      </c>
      <c r="D321">
        <f>$C321*VLOOKUP($B321,FoodDB!$A$2:$I$1014,3,0)</f>
        <v>0</v>
      </c>
      <c r="E321">
        <f>$C321*VLOOKUP($B321,FoodDB!$A$2:$I$1014,4,0)</f>
        <v>0</v>
      </c>
      <c r="F321">
        <f>$C321*VLOOKUP($B321,FoodDB!$A$2:$I$1014,5,0)</f>
        <v>0</v>
      </c>
      <c r="G321">
        <f>$C321*VLOOKUP($B321,FoodDB!$A$2:$I$1014,6,0)</f>
        <v>0</v>
      </c>
      <c r="H321">
        <f>$C321*VLOOKUP($B321,FoodDB!$A$2:$I$1014,7,0)</f>
        <v>0</v>
      </c>
      <c r="I321">
        <f>$C321*VLOOKUP($B321,FoodDB!$A$2:$I$1014,8,0)</f>
        <v>0</v>
      </c>
      <c r="J321">
        <f>$C321*VLOOKUP($B321,FoodDB!$A$2:$I$1014,9,0)</f>
        <v>0</v>
      </c>
    </row>
    <row r="322" spans="1:19" x14ac:dyDescent="0.25">
      <c r="B322" s="99" t="s">
        <v>107</v>
      </c>
      <c r="C322" s="100">
        <v>0</v>
      </c>
      <c r="D322">
        <f>$C322*VLOOKUP($B322,FoodDB!$A$2:$I$1014,3,0)</f>
        <v>0</v>
      </c>
      <c r="E322">
        <f>$C322*VLOOKUP($B322,FoodDB!$A$2:$I$1014,4,0)</f>
        <v>0</v>
      </c>
      <c r="F322">
        <f>$C322*VLOOKUP($B322,FoodDB!$A$2:$I$1014,5,0)</f>
        <v>0</v>
      </c>
      <c r="G322">
        <f>$C322*VLOOKUP($B322,FoodDB!$A$2:$I$1014,6,0)</f>
        <v>0</v>
      </c>
      <c r="H322">
        <f>$C322*VLOOKUP($B322,FoodDB!$A$2:$I$1014,7,0)</f>
        <v>0</v>
      </c>
      <c r="I322">
        <f>$C322*VLOOKUP($B322,FoodDB!$A$2:$I$1014,8,0)</f>
        <v>0</v>
      </c>
      <c r="J322">
        <f>$C322*VLOOKUP($B322,FoodDB!$A$2:$I$1014,9,0)</f>
        <v>0</v>
      </c>
    </row>
    <row r="323" spans="1:19" x14ac:dyDescent="0.25">
      <c r="B323" s="99" t="s">
        <v>107</v>
      </c>
      <c r="C323" s="100">
        <v>0</v>
      </c>
      <c r="D323">
        <f>$C323*VLOOKUP($B323,FoodDB!$A$2:$I$1014,3,0)</f>
        <v>0</v>
      </c>
      <c r="E323">
        <f>$C323*VLOOKUP($B323,FoodDB!$A$2:$I$1014,4,0)</f>
        <v>0</v>
      </c>
      <c r="F323">
        <f>$C323*VLOOKUP($B323,FoodDB!$A$2:$I$1014,5,0)</f>
        <v>0</v>
      </c>
      <c r="G323">
        <f>$C323*VLOOKUP($B323,FoodDB!$A$2:$I$1014,6,0)</f>
        <v>0</v>
      </c>
      <c r="H323">
        <f>$C323*VLOOKUP($B323,FoodDB!$A$2:$I$1014,7,0)</f>
        <v>0</v>
      </c>
      <c r="I323">
        <f>$C323*VLOOKUP($B323,FoodDB!$A$2:$I$1014,8,0)</f>
        <v>0</v>
      </c>
      <c r="J323">
        <f>$C323*VLOOKUP($B323,FoodDB!$A$2:$I$1014,9,0)</f>
        <v>0</v>
      </c>
    </row>
    <row r="324" spans="1:19" x14ac:dyDescent="0.25">
      <c r="B324" s="99" t="s">
        <v>107</v>
      </c>
      <c r="C324" s="100">
        <v>0</v>
      </c>
      <c r="D324">
        <f>$C324*VLOOKUP($B324,FoodDB!$A$2:$I$1014,3,0)</f>
        <v>0</v>
      </c>
      <c r="E324">
        <f>$C324*VLOOKUP($B324,FoodDB!$A$2:$I$1014,4,0)</f>
        <v>0</v>
      </c>
      <c r="F324">
        <f>$C324*VLOOKUP($B324,FoodDB!$A$2:$I$1014,5,0)</f>
        <v>0</v>
      </c>
      <c r="G324">
        <f>$C324*VLOOKUP($B324,FoodDB!$A$2:$I$1014,6,0)</f>
        <v>0</v>
      </c>
      <c r="H324">
        <f>$C324*VLOOKUP($B324,FoodDB!$A$2:$I$1014,7,0)</f>
        <v>0</v>
      </c>
      <c r="I324">
        <f>$C324*VLOOKUP($B324,FoodDB!$A$2:$I$1014,8,0)</f>
        <v>0</v>
      </c>
      <c r="J324">
        <f>$C324*VLOOKUP($B324,FoodDB!$A$2:$I$1014,9,0)</f>
        <v>0</v>
      </c>
    </row>
    <row r="325" spans="1:19" x14ac:dyDescent="0.25">
      <c r="A325" t="s">
        <v>97</v>
      </c>
      <c r="G325">
        <f>SUM(G318:G324)</f>
        <v>0</v>
      </c>
      <c r="H325">
        <f>SUM(H318:H324)</f>
        <v>0</v>
      </c>
      <c r="I325">
        <f>SUM(I318:I324)</f>
        <v>0</v>
      </c>
      <c r="J325">
        <f>SUM(G325:I325)</f>
        <v>0</v>
      </c>
    </row>
    <row r="326" spans="1:19" x14ac:dyDescent="0.25">
      <c r="A326" t="s">
        <v>101</v>
      </c>
      <c r="B326" t="s">
        <v>102</v>
      </c>
      <c r="E326" s="103"/>
      <c r="F326" s="103"/>
      <c r="G326" s="103">
        <f>VLOOKUP($A318,LossChart!$A$3:$AB$105,14,0)</f>
        <v>508.37053318375911</v>
      </c>
      <c r="H326" s="103">
        <f>VLOOKUP($A318,LossChart!$A$3:$AB$105,15,0)</f>
        <v>80</v>
      </c>
      <c r="I326" s="103">
        <f>VLOOKUP($A318,LossChart!$A$3:$AB$105,16,0)</f>
        <v>477.30407413615825</v>
      </c>
      <c r="J326" s="103">
        <f>VLOOKUP($A318,LossChart!$A$3:$AB$105,17,0)</f>
        <v>1065.6746073199174</v>
      </c>
      <c r="K326" s="103"/>
    </row>
    <row r="327" spans="1:19" x14ac:dyDescent="0.25">
      <c r="A327" t="s">
        <v>103</v>
      </c>
      <c r="G327">
        <f>G326-G325</f>
        <v>508.37053318375911</v>
      </c>
      <c r="H327">
        <f>H326-H325</f>
        <v>80</v>
      </c>
      <c r="I327">
        <f>I326-I325</f>
        <v>477.30407413615825</v>
      </c>
      <c r="J327">
        <f>J326-J325</f>
        <v>1065.6746073199174</v>
      </c>
    </row>
    <row r="329" spans="1:19" ht="60" x14ac:dyDescent="0.25">
      <c r="A329" s="26" t="s">
        <v>63</v>
      </c>
      <c r="B329" s="26" t="s">
        <v>92</v>
      </c>
      <c r="C329" s="26" t="s">
        <v>93</v>
      </c>
      <c r="D329" s="97" t="str">
        <f>FoodDB!$C$1</f>
        <v>Fat
(g)</v>
      </c>
      <c r="E329" s="97" t="str">
        <f>FoodDB!$D$1</f>
        <v xml:space="preserve"> Carbs
(g)</v>
      </c>
      <c r="F329" s="97" t="str">
        <f>FoodDB!$E$1</f>
        <v>Protein
(g)</v>
      </c>
      <c r="G329" s="97" t="str">
        <f>FoodDB!$F$1</f>
        <v>Fat
(Cal)</v>
      </c>
      <c r="H329" s="97" t="str">
        <f>FoodDB!$G$1</f>
        <v>Carb
(Cal)</v>
      </c>
      <c r="I329" s="97" t="str">
        <f>FoodDB!$H$1</f>
        <v>Protein
(Cal)</v>
      </c>
      <c r="J329" s="97" t="str">
        <f>FoodDB!$I$1</f>
        <v>Total
Calories</v>
      </c>
      <c r="K329" s="97"/>
      <c r="L329" s="97" t="s">
        <v>109</v>
      </c>
      <c r="M329" s="97" t="s">
        <v>110</v>
      </c>
      <c r="N329" s="97" t="s">
        <v>111</v>
      </c>
      <c r="O329" s="97" t="s">
        <v>112</v>
      </c>
      <c r="P329" s="97" t="s">
        <v>117</v>
      </c>
      <c r="Q329" s="97" t="s">
        <v>118</v>
      </c>
      <c r="R329" s="97" t="s">
        <v>119</v>
      </c>
      <c r="S329" s="97" t="s">
        <v>120</v>
      </c>
    </row>
    <row r="330" spans="1:19" x14ac:dyDescent="0.25">
      <c r="A330" s="98">
        <f>A318+1</f>
        <v>43021</v>
      </c>
      <c r="B330" s="99" t="s">
        <v>107</v>
      </c>
      <c r="C330" s="100">
        <v>0</v>
      </c>
      <c r="D330">
        <f>$C330*VLOOKUP($B330,FoodDB!$A$2:$I$1014,3,0)</f>
        <v>0</v>
      </c>
      <c r="E330">
        <f>$C330*VLOOKUP($B330,FoodDB!$A$2:$I$1014,4,0)</f>
        <v>0</v>
      </c>
      <c r="F330">
        <f>$C330*VLOOKUP($B330,FoodDB!$A$2:$I$1014,5,0)</f>
        <v>0</v>
      </c>
      <c r="G330">
        <f>$C330*VLOOKUP($B330,FoodDB!$A$2:$I$1014,6,0)</f>
        <v>0</v>
      </c>
      <c r="H330">
        <f>$C330*VLOOKUP($B330,FoodDB!$A$2:$I$1014,7,0)</f>
        <v>0</v>
      </c>
      <c r="I330">
        <f>$C330*VLOOKUP($B330,FoodDB!$A$2:$I$1014,8,0)</f>
        <v>0</v>
      </c>
      <c r="J330">
        <f>$C330*VLOOKUP($B330,FoodDB!$A$2:$I$1014,9,0)</f>
        <v>0</v>
      </c>
      <c r="L330">
        <f>SUM(G330:G336)</f>
        <v>0</v>
      </c>
      <c r="M330">
        <f>SUM(H330:H336)</f>
        <v>0</v>
      </c>
      <c r="N330">
        <f>SUM(I330:I336)</f>
        <v>0</v>
      </c>
      <c r="O330">
        <f>SUM(L330:N330)</f>
        <v>0</v>
      </c>
      <c r="P330" s="103">
        <f>VLOOKUP($A330,LossChart!$A$3:$AB$105,14,0)-L330</f>
        <v>515.3702702419173</v>
      </c>
      <c r="Q330" s="103">
        <f>VLOOKUP($A330,LossChart!$A$3:$AB$105,15,0)-M330</f>
        <v>80</v>
      </c>
      <c r="R330" s="103">
        <f>VLOOKUP($A330,LossChart!$A$3:$AB$105,16,0)-N330</f>
        <v>477.30407413615825</v>
      </c>
      <c r="S330" s="103">
        <f>VLOOKUP($A330,LossChart!$A$3:$AB$105,17,0)-O330</f>
        <v>1072.6743443780756</v>
      </c>
    </row>
    <row r="331" spans="1:19" x14ac:dyDescent="0.25">
      <c r="B331" s="99" t="s">
        <v>107</v>
      </c>
      <c r="C331" s="100">
        <v>0</v>
      </c>
      <c r="D331">
        <f>$C331*VLOOKUP($B331,FoodDB!$A$2:$I$1014,3,0)</f>
        <v>0</v>
      </c>
      <c r="E331">
        <f>$C331*VLOOKUP($B331,FoodDB!$A$2:$I$1014,4,0)</f>
        <v>0</v>
      </c>
      <c r="F331">
        <f>$C331*VLOOKUP($B331,FoodDB!$A$2:$I$1014,5,0)</f>
        <v>0</v>
      </c>
      <c r="G331">
        <f>$C331*VLOOKUP($B331,FoodDB!$A$2:$I$1014,6,0)</f>
        <v>0</v>
      </c>
      <c r="H331">
        <f>$C331*VLOOKUP($B331,FoodDB!$A$2:$I$1014,7,0)</f>
        <v>0</v>
      </c>
      <c r="I331">
        <f>$C331*VLOOKUP($B331,FoodDB!$A$2:$I$1014,8,0)</f>
        <v>0</v>
      </c>
      <c r="J331">
        <f>$C331*VLOOKUP($B331,FoodDB!$A$2:$I$1014,9,0)</f>
        <v>0</v>
      </c>
    </row>
    <row r="332" spans="1:19" x14ac:dyDescent="0.25">
      <c r="B332" s="99" t="s">
        <v>107</v>
      </c>
      <c r="C332" s="100">
        <v>0</v>
      </c>
      <c r="D332">
        <f>$C332*VLOOKUP($B332,FoodDB!$A$2:$I$1014,3,0)</f>
        <v>0</v>
      </c>
      <c r="E332">
        <f>$C332*VLOOKUP($B332,FoodDB!$A$2:$I$1014,4,0)</f>
        <v>0</v>
      </c>
      <c r="F332">
        <f>$C332*VLOOKUP($B332,FoodDB!$A$2:$I$1014,5,0)</f>
        <v>0</v>
      </c>
      <c r="G332">
        <f>$C332*VLOOKUP($B332,FoodDB!$A$2:$I$1014,6,0)</f>
        <v>0</v>
      </c>
      <c r="H332">
        <f>$C332*VLOOKUP($B332,FoodDB!$A$2:$I$1014,7,0)</f>
        <v>0</v>
      </c>
      <c r="I332">
        <f>$C332*VLOOKUP($B332,FoodDB!$A$2:$I$1014,8,0)</f>
        <v>0</v>
      </c>
      <c r="J332">
        <f>$C332*VLOOKUP($B332,FoodDB!$A$2:$I$1014,9,0)</f>
        <v>0</v>
      </c>
    </row>
    <row r="333" spans="1:19" x14ac:dyDescent="0.25">
      <c r="B333" s="99" t="s">
        <v>107</v>
      </c>
      <c r="C333" s="100">
        <v>0</v>
      </c>
      <c r="D333">
        <f>$C333*VLOOKUP($B333,FoodDB!$A$2:$I$1014,3,0)</f>
        <v>0</v>
      </c>
      <c r="E333">
        <f>$C333*VLOOKUP($B333,FoodDB!$A$2:$I$1014,4,0)</f>
        <v>0</v>
      </c>
      <c r="F333">
        <f>$C333*VLOOKUP($B333,FoodDB!$A$2:$I$1014,5,0)</f>
        <v>0</v>
      </c>
      <c r="G333">
        <f>$C333*VLOOKUP($B333,FoodDB!$A$2:$I$1014,6,0)</f>
        <v>0</v>
      </c>
      <c r="H333">
        <f>$C333*VLOOKUP($B333,FoodDB!$A$2:$I$1014,7,0)</f>
        <v>0</v>
      </c>
      <c r="I333">
        <f>$C333*VLOOKUP($B333,FoodDB!$A$2:$I$1014,8,0)</f>
        <v>0</v>
      </c>
      <c r="J333">
        <f>$C333*VLOOKUP($B333,FoodDB!$A$2:$I$1014,9,0)</f>
        <v>0</v>
      </c>
    </row>
    <row r="334" spans="1:19" x14ac:dyDescent="0.25">
      <c r="B334" s="99" t="s">
        <v>107</v>
      </c>
      <c r="C334" s="100">
        <v>0</v>
      </c>
      <c r="D334">
        <f>$C334*VLOOKUP($B334,FoodDB!$A$2:$I$1014,3,0)</f>
        <v>0</v>
      </c>
      <c r="E334">
        <f>$C334*VLOOKUP($B334,FoodDB!$A$2:$I$1014,4,0)</f>
        <v>0</v>
      </c>
      <c r="F334">
        <f>$C334*VLOOKUP($B334,FoodDB!$A$2:$I$1014,5,0)</f>
        <v>0</v>
      </c>
      <c r="G334">
        <f>$C334*VLOOKUP($B334,FoodDB!$A$2:$I$1014,6,0)</f>
        <v>0</v>
      </c>
      <c r="H334">
        <f>$C334*VLOOKUP($B334,FoodDB!$A$2:$I$1014,7,0)</f>
        <v>0</v>
      </c>
      <c r="I334">
        <f>$C334*VLOOKUP($B334,FoodDB!$A$2:$I$1014,8,0)</f>
        <v>0</v>
      </c>
      <c r="J334">
        <f>$C334*VLOOKUP($B334,FoodDB!$A$2:$I$1014,9,0)</f>
        <v>0</v>
      </c>
    </row>
    <row r="335" spans="1:19" x14ac:dyDescent="0.25">
      <c r="B335" s="99" t="s">
        <v>107</v>
      </c>
      <c r="C335" s="100">
        <v>0</v>
      </c>
      <c r="D335">
        <f>$C335*VLOOKUP($B335,FoodDB!$A$2:$I$1014,3,0)</f>
        <v>0</v>
      </c>
      <c r="E335">
        <f>$C335*VLOOKUP($B335,FoodDB!$A$2:$I$1014,4,0)</f>
        <v>0</v>
      </c>
      <c r="F335">
        <f>$C335*VLOOKUP($B335,FoodDB!$A$2:$I$1014,5,0)</f>
        <v>0</v>
      </c>
      <c r="G335">
        <f>$C335*VLOOKUP($B335,FoodDB!$A$2:$I$1014,6,0)</f>
        <v>0</v>
      </c>
      <c r="H335">
        <f>$C335*VLOOKUP($B335,FoodDB!$A$2:$I$1014,7,0)</f>
        <v>0</v>
      </c>
      <c r="I335">
        <f>$C335*VLOOKUP($B335,FoodDB!$A$2:$I$1014,8,0)</f>
        <v>0</v>
      </c>
      <c r="J335">
        <f>$C335*VLOOKUP($B335,FoodDB!$A$2:$I$1014,9,0)</f>
        <v>0</v>
      </c>
    </row>
    <row r="336" spans="1:19" x14ac:dyDescent="0.25">
      <c r="B336" s="99" t="s">
        <v>107</v>
      </c>
      <c r="C336" s="100">
        <v>0</v>
      </c>
      <c r="D336">
        <f>$C336*VLOOKUP($B336,FoodDB!$A$2:$I$1014,3,0)</f>
        <v>0</v>
      </c>
      <c r="E336">
        <f>$C336*VLOOKUP($B336,FoodDB!$A$2:$I$1014,4,0)</f>
        <v>0</v>
      </c>
      <c r="F336">
        <f>$C336*VLOOKUP($B336,FoodDB!$A$2:$I$1014,5,0)</f>
        <v>0</v>
      </c>
      <c r="G336">
        <f>$C336*VLOOKUP($B336,FoodDB!$A$2:$I$1014,6,0)</f>
        <v>0</v>
      </c>
      <c r="H336">
        <f>$C336*VLOOKUP($B336,FoodDB!$A$2:$I$1014,7,0)</f>
        <v>0</v>
      </c>
      <c r="I336">
        <f>$C336*VLOOKUP($B336,FoodDB!$A$2:$I$1014,8,0)</f>
        <v>0</v>
      </c>
      <c r="J336">
        <f>$C336*VLOOKUP($B336,FoodDB!$A$2:$I$1014,9,0)</f>
        <v>0</v>
      </c>
    </row>
    <row r="337" spans="1:19" x14ac:dyDescent="0.25">
      <c r="A337" t="s">
        <v>97</v>
      </c>
      <c r="G337">
        <f>SUM(G330:G336)</f>
        <v>0</v>
      </c>
      <c r="H337">
        <f>SUM(H330:H336)</f>
        <v>0</v>
      </c>
      <c r="I337">
        <f>SUM(I330:I336)</f>
        <v>0</v>
      </c>
      <c r="J337">
        <f>SUM(G337:I337)</f>
        <v>0</v>
      </c>
    </row>
    <row r="338" spans="1:19" x14ac:dyDescent="0.25">
      <c r="A338" t="s">
        <v>101</v>
      </c>
      <c r="B338" t="s">
        <v>102</v>
      </c>
      <c r="E338" s="103"/>
      <c r="F338" s="103"/>
      <c r="G338" s="103">
        <f>VLOOKUP($A330,LossChart!$A$3:$AB$105,14,0)</f>
        <v>515.3702702419173</v>
      </c>
      <c r="H338" s="103">
        <f>VLOOKUP($A330,LossChart!$A$3:$AB$105,15,0)</f>
        <v>80</v>
      </c>
      <c r="I338" s="103">
        <f>VLOOKUP($A330,LossChart!$A$3:$AB$105,16,0)</f>
        <v>477.30407413615825</v>
      </c>
      <c r="J338" s="103">
        <f>VLOOKUP($A330,LossChart!$A$3:$AB$105,17,0)</f>
        <v>1072.6743443780756</v>
      </c>
      <c r="K338" s="103"/>
    </row>
    <row r="339" spans="1:19" x14ac:dyDescent="0.25">
      <c r="A339" t="s">
        <v>103</v>
      </c>
      <c r="G339">
        <f>G338-G337</f>
        <v>515.3702702419173</v>
      </c>
      <c r="H339">
        <f>H338-H337</f>
        <v>80</v>
      </c>
      <c r="I339">
        <f>I338-I337</f>
        <v>477.30407413615825</v>
      </c>
      <c r="J339">
        <f>J338-J337</f>
        <v>1072.6743443780756</v>
      </c>
    </row>
    <row r="341" spans="1:19" ht="60" x14ac:dyDescent="0.25">
      <c r="A341" s="26" t="s">
        <v>63</v>
      </c>
      <c r="B341" s="26" t="s">
        <v>92</v>
      </c>
      <c r="C341" s="26" t="s">
        <v>93</v>
      </c>
      <c r="D341" s="97" t="str">
        <f>FoodDB!$C$1</f>
        <v>Fat
(g)</v>
      </c>
      <c r="E341" s="97" t="str">
        <f>FoodDB!$D$1</f>
        <v xml:space="preserve"> Carbs
(g)</v>
      </c>
      <c r="F341" s="97" t="str">
        <f>FoodDB!$E$1</f>
        <v>Protein
(g)</v>
      </c>
      <c r="G341" s="97" t="str">
        <f>FoodDB!$F$1</f>
        <v>Fat
(Cal)</v>
      </c>
      <c r="H341" s="97" t="str">
        <f>FoodDB!$G$1</f>
        <v>Carb
(Cal)</v>
      </c>
      <c r="I341" s="97" t="str">
        <f>FoodDB!$H$1</f>
        <v>Protein
(Cal)</v>
      </c>
      <c r="J341" s="97" t="str">
        <f>FoodDB!$I$1</f>
        <v>Total
Calories</v>
      </c>
      <c r="K341" s="97"/>
      <c r="L341" s="97" t="s">
        <v>109</v>
      </c>
      <c r="M341" s="97" t="s">
        <v>110</v>
      </c>
      <c r="N341" s="97" t="s">
        <v>111</v>
      </c>
      <c r="O341" s="97" t="s">
        <v>112</v>
      </c>
      <c r="P341" s="97" t="s">
        <v>117</v>
      </c>
      <c r="Q341" s="97" t="s">
        <v>118</v>
      </c>
      <c r="R341" s="97" t="s">
        <v>119</v>
      </c>
      <c r="S341" s="97" t="s">
        <v>120</v>
      </c>
    </row>
    <row r="342" spans="1:19" x14ac:dyDescent="0.25">
      <c r="A342" s="98">
        <f>A330+1</f>
        <v>43022</v>
      </c>
      <c r="B342" s="99" t="s">
        <v>107</v>
      </c>
      <c r="C342" s="100">
        <v>0</v>
      </c>
      <c r="D342">
        <f>$C342*VLOOKUP($B342,FoodDB!$A$2:$I$1014,3,0)</f>
        <v>0</v>
      </c>
      <c r="E342">
        <f>$C342*VLOOKUP($B342,FoodDB!$A$2:$I$1014,4,0)</f>
        <v>0</v>
      </c>
      <c r="F342">
        <f>$C342*VLOOKUP($B342,FoodDB!$A$2:$I$1014,5,0)</f>
        <v>0</v>
      </c>
      <c r="G342">
        <f>$C342*VLOOKUP($B342,FoodDB!$A$2:$I$1014,6,0)</f>
        <v>0</v>
      </c>
      <c r="H342">
        <f>$C342*VLOOKUP($B342,FoodDB!$A$2:$I$1014,7,0)</f>
        <v>0</v>
      </c>
      <c r="I342">
        <f>$C342*VLOOKUP($B342,FoodDB!$A$2:$I$1014,8,0)</f>
        <v>0</v>
      </c>
      <c r="J342">
        <f>$C342*VLOOKUP($B342,FoodDB!$A$2:$I$1014,9,0)</f>
        <v>0</v>
      </c>
      <c r="L342">
        <f>SUM(G342:G348)</f>
        <v>0</v>
      </c>
      <c r="M342">
        <f>SUM(H342:H348)</f>
        <v>0</v>
      </c>
      <c r="N342">
        <f>SUM(I342:I348)</f>
        <v>0</v>
      </c>
      <c r="O342">
        <f>SUM(L342:N342)</f>
        <v>0</v>
      </c>
      <c r="P342" s="103">
        <f>VLOOKUP($A342,LossChart!$A$3:$AB$105,14,0)-L342</f>
        <v>522.30800962898843</v>
      </c>
      <c r="Q342" s="103">
        <f>VLOOKUP($A342,LossChart!$A$3:$AB$105,15,0)-M342</f>
        <v>80</v>
      </c>
      <c r="R342" s="103">
        <f>VLOOKUP($A342,LossChart!$A$3:$AB$105,16,0)-N342</f>
        <v>477.30407413615825</v>
      </c>
      <c r="S342" s="103">
        <f>VLOOKUP($A342,LossChart!$A$3:$AB$105,17,0)-O342</f>
        <v>1079.6120837651467</v>
      </c>
    </row>
    <row r="343" spans="1:19" x14ac:dyDescent="0.25">
      <c r="B343" s="99" t="s">
        <v>107</v>
      </c>
      <c r="C343" s="100">
        <v>0</v>
      </c>
      <c r="D343">
        <f>$C343*VLOOKUP($B343,FoodDB!$A$2:$I$1014,3,0)</f>
        <v>0</v>
      </c>
      <c r="E343">
        <f>$C343*VLOOKUP($B343,FoodDB!$A$2:$I$1014,4,0)</f>
        <v>0</v>
      </c>
      <c r="F343">
        <f>$C343*VLOOKUP($B343,FoodDB!$A$2:$I$1014,5,0)</f>
        <v>0</v>
      </c>
      <c r="G343">
        <f>$C343*VLOOKUP($B343,FoodDB!$A$2:$I$1014,6,0)</f>
        <v>0</v>
      </c>
      <c r="H343">
        <f>$C343*VLOOKUP($B343,FoodDB!$A$2:$I$1014,7,0)</f>
        <v>0</v>
      </c>
      <c r="I343">
        <f>$C343*VLOOKUP($B343,FoodDB!$A$2:$I$1014,8,0)</f>
        <v>0</v>
      </c>
      <c r="J343">
        <f>$C343*VLOOKUP($B343,FoodDB!$A$2:$I$1014,9,0)</f>
        <v>0</v>
      </c>
    </row>
    <row r="344" spans="1:19" x14ac:dyDescent="0.25">
      <c r="B344" s="99" t="s">
        <v>107</v>
      </c>
      <c r="C344" s="100">
        <v>0</v>
      </c>
      <c r="D344">
        <f>$C344*VLOOKUP($B344,FoodDB!$A$2:$I$1014,3,0)</f>
        <v>0</v>
      </c>
      <c r="E344">
        <f>$C344*VLOOKUP($B344,FoodDB!$A$2:$I$1014,4,0)</f>
        <v>0</v>
      </c>
      <c r="F344">
        <f>$C344*VLOOKUP($B344,FoodDB!$A$2:$I$1014,5,0)</f>
        <v>0</v>
      </c>
      <c r="G344">
        <f>$C344*VLOOKUP($B344,FoodDB!$A$2:$I$1014,6,0)</f>
        <v>0</v>
      </c>
      <c r="H344">
        <f>$C344*VLOOKUP($B344,FoodDB!$A$2:$I$1014,7,0)</f>
        <v>0</v>
      </c>
      <c r="I344">
        <f>$C344*VLOOKUP($B344,FoodDB!$A$2:$I$1014,8,0)</f>
        <v>0</v>
      </c>
      <c r="J344">
        <f>$C344*VLOOKUP($B344,FoodDB!$A$2:$I$1014,9,0)</f>
        <v>0</v>
      </c>
    </row>
    <row r="345" spans="1:19" x14ac:dyDescent="0.25">
      <c r="B345" s="99" t="s">
        <v>107</v>
      </c>
      <c r="C345" s="100">
        <v>0</v>
      </c>
      <c r="D345">
        <f>$C345*VLOOKUP($B345,FoodDB!$A$2:$I$1014,3,0)</f>
        <v>0</v>
      </c>
      <c r="E345">
        <f>$C345*VLOOKUP($B345,FoodDB!$A$2:$I$1014,4,0)</f>
        <v>0</v>
      </c>
      <c r="F345">
        <f>$C345*VLOOKUP($B345,FoodDB!$A$2:$I$1014,5,0)</f>
        <v>0</v>
      </c>
      <c r="G345">
        <f>$C345*VLOOKUP($B345,FoodDB!$A$2:$I$1014,6,0)</f>
        <v>0</v>
      </c>
      <c r="H345">
        <f>$C345*VLOOKUP($B345,FoodDB!$A$2:$I$1014,7,0)</f>
        <v>0</v>
      </c>
      <c r="I345">
        <f>$C345*VLOOKUP($B345,FoodDB!$A$2:$I$1014,8,0)</f>
        <v>0</v>
      </c>
      <c r="J345">
        <f>$C345*VLOOKUP($B345,FoodDB!$A$2:$I$1014,9,0)</f>
        <v>0</v>
      </c>
    </row>
    <row r="346" spans="1:19" x14ac:dyDescent="0.25">
      <c r="B346" s="99" t="s">
        <v>107</v>
      </c>
      <c r="C346" s="100">
        <v>0</v>
      </c>
      <c r="D346">
        <f>$C346*VLOOKUP($B346,FoodDB!$A$2:$I$1014,3,0)</f>
        <v>0</v>
      </c>
      <c r="E346">
        <f>$C346*VLOOKUP($B346,FoodDB!$A$2:$I$1014,4,0)</f>
        <v>0</v>
      </c>
      <c r="F346">
        <f>$C346*VLOOKUP($B346,FoodDB!$A$2:$I$1014,5,0)</f>
        <v>0</v>
      </c>
      <c r="G346">
        <f>$C346*VLOOKUP($B346,FoodDB!$A$2:$I$1014,6,0)</f>
        <v>0</v>
      </c>
      <c r="H346">
        <f>$C346*VLOOKUP($B346,FoodDB!$A$2:$I$1014,7,0)</f>
        <v>0</v>
      </c>
      <c r="I346">
        <f>$C346*VLOOKUP($B346,FoodDB!$A$2:$I$1014,8,0)</f>
        <v>0</v>
      </c>
      <c r="J346">
        <f>$C346*VLOOKUP($B346,FoodDB!$A$2:$I$1014,9,0)</f>
        <v>0</v>
      </c>
    </row>
    <row r="347" spans="1:19" x14ac:dyDescent="0.25">
      <c r="B347" s="99" t="s">
        <v>107</v>
      </c>
      <c r="C347" s="100">
        <v>0</v>
      </c>
      <c r="D347">
        <f>$C347*VLOOKUP($B347,FoodDB!$A$2:$I$1014,3,0)</f>
        <v>0</v>
      </c>
      <c r="E347">
        <f>$C347*VLOOKUP($B347,FoodDB!$A$2:$I$1014,4,0)</f>
        <v>0</v>
      </c>
      <c r="F347">
        <f>$C347*VLOOKUP($B347,FoodDB!$A$2:$I$1014,5,0)</f>
        <v>0</v>
      </c>
      <c r="G347">
        <f>$C347*VLOOKUP($B347,FoodDB!$A$2:$I$1014,6,0)</f>
        <v>0</v>
      </c>
      <c r="H347">
        <f>$C347*VLOOKUP($B347,FoodDB!$A$2:$I$1014,7,0)</f>
        <v>0</v>
      </c>
      <c r="I347">
        <f>$C347*VLOOKUP($B347,FoodDB!$A$2:$I$1014,8,0)</f>
        <v>0</v>
      </c>
      <c r="J347">
        <f>$C347*VLOOKUP($B347,FoodDB!$A$2:$I$1014,9,0)</f>
        <v>0</v>
      </c>
    </row>
    <row r="348" spans="1:19" x14ac:dyDescent="0.25">
      <c r="B348" s="99" t="s">
        <v>107</v>
      </c>
      <c r="C348" s="100">
        <v>0</v>
      </c>
      <c r="D348">
        <f>$C348*VLOOKUP($B348,FoodDB!$A$2:$I$1014,3,0)</f>
        <v>0</v>
      </c>
      <c r="E348">
        <f>$C348*VLOOKUP($B348,FoodDB!$A$2:$I$1014,4,0)</f>
        <v>0</v>
      </c>
      <c r="F348">
        <f>$C348*VLOOKUP($B348,FoodDB!$A$2:$I$1014,5,0)</f>
        <v>0</v>
      </c>
      <c r="G348">
        <f>$C348*VLOOKUP($B348,FoodDB!$A$2:$I$1014,6,0)</f>
        <v>0</v>
      </c>
      <c r="H348">
        <f>$C348*VLOOKUP($B348,FoodDB!$A$2:$I$1014,7,0)</f>
        <v>0</v>
      </c>
      <c r="I348">
        <f>$C348*VLOOKUP($B348,FoodDB!$A$2:$I$1014,8,0)</f>
        <v>0</v>
      </c>
      <c r="J348">
        <f>$C348*VLOOKUP($B348,FoodDB!$A$2:$I$1014,9,0)</f>
        <v>0</v>
      </c>
    </row>
    <row r="349" spans="1:19" x14ac:dyDescent="0.25">
      <c r="A349" t="s">
        <v>97</v>
      </c>
      <c r="G349">
        <f>SUM(G342:G348)</f>
        <v>0</v>
      </c>
      <c r="H349">
        <f>SUM(H342:H348)</f>
        <v>0</v>
      </c>
      <c r="I349">
        <f>SUM(I342:I348)</f>
        <v>0</v>
      </c>
      <c r="J349">
        <f>SUM(G349:I349)</f>
        <v>0</v>
      </c>
    </row>
    <row r="350" spans="1:19" x14ac:dyDescent="0.25">
      <c r="A350" t="s">
        <v>101</v>
      </c>
      <c r="B350" t="s">
        <v>102</v>
      </c>
      <c r="E350" s="103"/>
      <c r="F350" s="103"/>
      <c r="G350" s="103">
        <f>VLOOKUP($A342,LossChart!$A$3:$AB$105,14,0)</f>
        <v>522.30800962898843</v>
      </c>
      <c r="H350" s="103">
        <f>VLOOKUP($A342,LossChart!$A$3:$AB$105,15,0)</f>
        <v>80</v>
      </c>
      <c r="I350" s="103">
        <f>VLOOKUP($A342,LossChart!$A$3:$AB$105,16,0)</f>
        <v>477.30407413615825</v>
      </c>
      <c r="J350" s="103">
        <f>VLOOKUP($A342,LossChart!$A$3:$AB$105,17,0)</f>
        <v>1079.6120837651467</v>
      </c>
      <c r="K350" s="103"/>
    </row>
    <row r="351" spans="1:19" x14ac:dyDescent="0.25">
      <c r="A351" t="s">
        <v>103</v>
      </c>
      <c r="G351">
        <f>G350-G349</f>
        <v>522.30800962898843</v>
      </c>
      <c r="H351">
        <f>H350-H349</f>
        <v>80</v>
      </c>
      <c r="I351">
        <f>I350-I349</f>
        <v>477.30407413615825</v>
      </c>
      <c r="J351">
        <f>J350-J349</f>
        <v>1079.6120837651467</v>
      </c>
    </row>
    <row r="353" spans="1:19" ht="60" x14ac:dyDescent="0.25">
      <c r="A353" s="26" t="s">
        <v>63</v>
      </c>
      <c r="B353" s="26" t="s">
        <v>92</v>
      </c>
      <c r="C353" s="26" t="s">
        <v>93</v>
      </c>
      <c r="D353" s="97" t="str">
        <f>FoodDB!$C$1</f>
        <v>Fat
(g)</v>
      </c>
      <c r="E353" s="97" t="str">
        <f>FoodDB!$D$1</f>
        <v xml:space="preserve"> Carbs
(g)</v>
      </c>
      <c r="F353" s="97" t="str">
        <f>FoodDB!$E$1</f>
        <v>Protein
(g)</v>
      </c>
      <c r="G353" s="97" t="str">
        <f>FoodDB!$F$1</f>
        <v>Fat
(Cal)</v>
      </c>
      <c r="H353" s="97" t="str">
        <f>FoodDB!$G$1</f>
        <v>Carb
(Cal)</v>
      </c>
      <c r="I353" s="97" t="str">
        <f>FoodDB!$H$1</f>
        <v>Protein
(Cal)</v>
      </c>
      <c r="J353" s="97" t="str">
        <f>FoodDB!$I$1</f>
        <v>Total
Calories</v>
      </c>
      <c r="K353" s="97"/>
      <c r="L353" s="97" t="s">
        <v>109</v>
      </c>
      <c r="M353" s="97" t="s">
        <v>110</v>
      </c>
      <c r="N353" s="97" t="s">
        <v>111</v>
      </c>
      <c r="O353" s="97" t="s">
        <v>112</v>
      </c>
      <c r="P353" s="97" t="s">
        <v>117</v>
      </c>
      <c r="Q353" s="97" t="s">
        <v>118</v>
      </c>
      <c r="R353" s="97" t="s">
        <v>119</v>
      </c>
      <c r="S353" s="97" t="s">
        <v>120</v>
      </c>
    </row>
    <row r="354" spans="1:19" x14ac:dyDescent="0.25">
      <c r="A354" s="98">
        <f>A342+1</f>
        <v>43023</v>
      </c>
      <c r="B354" s="99" t="s">
        <v>107</v>
      </c>
      <c r="C354" s="100">
        <v>0</v>
      </c>
      <c r="D354">
        <f>$C354*VLOOKUP($B354,FoodDB!$A$2:$I$1014,3,0)</f>
        <v>0</v>
      </c>
      <c r="E354">
        <f>$C354*VLOOKUP($B354,FoodDB!$A$2:$I$1014,4,0)</f>
        <v>0</v>
      </c>
      <c r="F354">
        <f>$C354*VLOOKUP($B354,FoodDB!$A$2:$I$1014,5,0)</f>
        <v>0</v>
      </c>
      <c r="G354">
        <f>$C354*VLOOKUP($B354,FoodDB!$A$2:$I$1014,6,0)</f>
        <v>0</v>
      </c>
      <c r="H354">
        <f>$C354*VLOOKUP($B354,FoodDB!$A$2:$I$1014,7,0)</f>
        <v>0</v>
      </c>
      <c r="I354">
        <f>$C354*VLOOKUP($B354,FoodDB!$A$2:$I$1014,8,0)</f>
        <v>0</v>
      </c>
      <c r="J354">
        <f>$C354*VLOOKUP($B354,FoodDB!$A$2:$I$1014,9,0)</f>
        <v>0</v>
      </c>
      <c r="L354">
        <f>SUM(G354:G360)</f>
        <v>0</v>
      </c>
      <c r="M354">
        <f>SUM(H354:H360)</f>
        <v>0</v>
      </c>
      <c r="N354">
        <f>SUM(I354:I360)</f>
        <v>0</v>
      </c>
      <c r="O354">
        <f>SUM(L354:N354)</f>
        <v>0</v>
      </c>
      <c r="P354" s="103">
        <f>VLOOKUP($A354,LossChart!$A$3:$AB$105,14,0)-L354</f>
        <v>529.184300467203</v>
      </c>
      <c r="Q354" s="103">
        <f>VLOOKUP($A354,LossChart!$A$3:$AB$105,15,0)-M354</f>
        <v>80</v>
      </c>
      <c r="R354" s="103">
        <f>VLOOKUP($A354,LossChart!$A$3:$AB$105,16,0)-N354</f>
        <v>477.30407413615825</v>
      </c>
      <c r="S354" s="103">
        <f>VLOOKUP($A354,LossChart!$A$3:$AB$105,17,0)-O354</f>
        <v>1086.4883746033613</v>
      </c>
    </row>
    <row r="355" spans="1:19" x14ac:dyDescent="0.25">
      <c r="B355" s="99" t="s">
        <v>107</v>
      </c>
      <c r="C355" s="100">
        <v>0</v>
      </c>
      <c r="D355">
        <f>$C355*VLOOKUP($B355,FoodDB!$A$2:$I$1014,3,0)</f>
        <v>0</v>
      </c>
      <c r="E355">
        <f>$C355*VLOOKUP($B355,FoodDB!$A$2:$I$1014,4,0)</f>
        <v>0</v>
      </c>
      <c r="F355">
        <f>$C355*VLOOKUP($B355,FoodDB!$A$2:$I$1014,5,0)</f>
        <v>0</v>
      </c>
      <c r="G355">
        <f>$C355*VLOOKUP($B355,FoodDB!$A$2:$I$1014,6,0)</f>
        <v>0</v>
      </c>
      <c r="H355">
        <f>$C355*VLOOKUP($B355,FoodDB!$A$2:$I$1014,7,0)</f>
        <v>0</v>
      </c>
      <c r="I355">
        <f>$C355*VLOOKUP($B355,FoodDB!$A$2:$I$1014,8,0)</f>
        <v>0</v>
      </c>
      <c r="J355">
        <f>$C355*VLOOKUP($B355,FoodDB!$A$2:$I$1014,9,0)</f>
        <v>0</v>
      </c>
    </row>
    <row r="356" spans="1:19" x14ac:dyDescent="0.25">
      <c r="B356" s="99" t="s">
        <v>107</v>
      </c>
      <c r="C356" s="100">
        <v>0</v>
      </c>
      <c r="D356">
        <f>$C356*VLOOKUP($B356,FoodDB!$A$2:$I$1014,3,0)</f>
        <v>0</v>
      </c>
      <c r="E356">
        <f>$C356*VLOOKUP($B356,FoodDB!$A$2:$I$1014,4,0)</f>
        <v>0</v>
      </c>
      <c r="F356">
        <f>$C356*VLOOKUP($B356,FoodDB!$A$2:$I$1014,5,0)</f>
        <v>0</v>
      </c>
      <c r="G356">
        <f>$C356*VLOOKUP($B356,FoodDB!$A$2:$I$1014,6,0)</f>
        <v>0</v>
      </c>
      <c r="H356">
        <f>$C356*VLOOKUP($B356,FoodDB!$A$2:$I$1014,7,0)</f>
        <v>0</v>
      </c>
      <c r="I356">
        <f>$C356*VLOOKUP($B356,FoodDB!$A$2:$I$1014,8,0)</f>
        <v>0</v>
      </c>
      <c r="J356">
        <f>$C356*VLOOKUP($B356,FoodDB!$A$2:$I$1014,9,0)</f>
        <v>0</v>
      </c>
    </row>
    <row r="357" spans="1:19" x14ac:dyDescent="0.25">
      <c r="B357" s="99" t="s">
        <v>107</v>
      </c>
      <c r="C357" s="100">
        <v>0</v>
      </c>
      <c r="D357">
        <f>$C357*VLOOKUP($B357,FoodDB!$A$2:$I$1014,3,0)</f>
        <v>0</v>
      </c>
      <c r="E357">
        <f>$C357*VLOOKUP($B357,FoodDB!$A$2:$I$1014,4,0)</f>
        <v>0</v>
      </c>
      <c r="F357">
        <f>$C357*VLOOKUP($B357,FoodDB!$A$2:$I$1014,5,0)</f>
        <v>0</v>
      </c>
      <c r="G357">
        <f>$C357*VLOOKUP($B357,FoodDB!$A$2:$I$1014,6,0)</f>
        <v>0</v>
      </c>
      <c r="H357">
        <f>$C357*VLOOKUP($B357,FoodDB!$A$2:$I$1014,7,0)</f>
        <v>0</v>
      </c>
      <c r="I357">
        <f>$C357*VLOOKUP($B357,FoodDB!$A$2:$I$1014,8,0)</f>
        <v>0</v>
      </c>
      <c r="J357">
        <f>$C357*VLOOKUP($B357,FoodDB!$A$2:$I$1014,9,0)</f>
        <v>0</v>
      </c>
    </row>
    <row r="358" spans="1:19" x14ac:dyDescent="0.25">
      <c r="B358" s="99" t="s">
        <v>107</v>
      </c>
      <c r="C358" s="100">
        <v>0</v>
      </c>
      <c r="D358">
        <f>$C358*VLOOKUP($B358,FoodDB!$A$2:$I$1014,3,0)</f>
        <v>0</v>
      </c>
      <c r="E358">
        <f>$C358*VLOOKUP($B358,FoodDB!$A$2:$I$1014,4,0)</f>
        <v>0</v>
      </c>
      <c r="F358">
        <f>$C358*VLOOKUP($B358,FoodDB!$A$2:$I$1014,5,0)</f>
        <v>0</v>
      </c>
      <c r="G358">
        <f>$C358*VLOOKUP($B358,FoodDB!$A$2:$I$1014,6,0)</f>
        <v>0</v>
      </c>
      <c r="H358">
        <f>$C358*VLOOKUP($B358,FoodDB!$A$2:$I$1014,7,0)</f>
        <v>0</v>
      </c>
      <c r="I358">
        <f>$C358*VLOOKUP($B358,FoodDB!$A$2:$I$1014,8,0)</f>
        <v>0</v>
      </c>
      <c r="J358">
        <f>$C358*VLOOKUP($B358,FoodDB!$A$2:$I$1014,9,0)</f>
        <v>0</v>
      </c>
    </row>
    <row r="359" spans="1:19" x14ac:dyDescent="0.25">
      <c r="B359" s="99" t="s">
        <v>107</v>
      </c>
      <c r="C359" s="100">
        <v>0</v>
      </c>
      <c r="D359">
        <f>$C359*VLOOKUP($B359,FoodDB!$A$2:$I$1014,3,0)</f>
        <v>0</v>
      </c>
      <c r="E359">
        <f>$C359*VLOOKUP($B359,FoodDB!$A$2:$I$1014,4,0)</f>
        <v>0</v>
      </c>
      <c r="F359">
        <f>$C359*VLOOKUP($B359,FoodDB!$A$2:$I$1014,5,0)</f>
        <v>0</v>
      </c>
      <c r="G359">
        <f>$C359*VLOOKUP($B359,FoodDB!$A$2:$I$1014,6,0)</f>
        <v>0</v>
      </c>
      <c r="H359">
        <f>$C359*VLOOKUP($B359,FoodDB!$A$2:$I$1014,7,0)</f>
        <v>0</v>
      </c>
      <c r="I359">
        <f>$C359*VLOOKUP($B359,FoodDB!$A$2:$I$1014,8,0)</f>
        <v>0</v>
      </c>
      <c r="J359">
        <f>$C359*VLOOKUP($B359,FoodDB!$A$2:$I$1014,9,0)</f>
        <v>0</v>
      </c>
    </row>
    <row r="360" spans="1:19" x14ac:dyDescent="0.25">
      <c r="B360" s="99" t="s">
        <v>107</v>
      </c>
      <c r="C360" s="100">
        <v>0</v>
      </c>
      <c r="D360">
        <f>$C360*VLOOKUP($B360,FoodDB!$A$2:$I$1014,3,0)</f>
        <v>0</v>
      </c>
      <c r="E360">
        <f>$C360*VLOOKUP($B360,FoodDB!$A$2:$I$1014,4,0)</f>
        <v>0</v>
      </c>
      <c r="F360">
        <f>$C360*VLOOKUP($B360,FoodDB!$A$2:$I$1014,5,0)</f>
        <v>0</v>
      </c>
      <c r="G360">
        <f>$C360*VLOOKUP($B360,FoodDB!$A$2:$I$1014,6,0)</f>
        <v>0</v>
      </c>
      <c r="H360">
        <f>$C360*VLOOKUP($B360,FoodDB!$A$2:$I$1014,7,0)</f>
        <v>0</v>
      </c>
      <c r="I360">
        <f>$C360*VLOOKUP($B360,FoodDB!$A$2:$I$1014,8,0)</f>
        <v>0</v>
      </c>
      <c r="J360">
        <f>$C360*VLOOKUP($B360,FoodDB!$A$2:$I$1014,9,0)</f>
        <v>0</v>
      </c>
    </row>
    <row r="361" spans="1:19" x14ac:dyDescent="0.25">
      <c r="A361" t="s">
        <v>97</v>
      </c>
      <c r="G361">
        <f>SUM(G354:G360)</f>
        <v>0</v>
      </c>
      <c r="H361">
        <f>SUM(H354:H360)</f>
        <v>0</v>
      </c>
      <c r="I361">
        <f>SUM(I354:I360)</f>
        <v>0</v>
      </c>
      <c r="J361">
        <f>SUM(G361:I361)</f>
        <v>0</v>
      </c>
    </row>
    <row r="362" spans="1:19" x14ac:dyDescent="0.25">
      <c r="A362" t="s">
        <v>101</v>
      </c>
      <c r="B362" t="s">
        <v>102</v>
      </c>
      <c r="E362" s="103"/>
      <c r="F362" s="103"/>
      <c r="G362" s="103">
        <f>VLOOKUP($A354,LossChart!$A$3:$AB$105,14,0)</f>
        <v>529.184300467203</v>
      </c>
      <c r="H362" s="103">
        <f>VLOOKUP($A354,LossChart!$A$3:$AB$105,15,0)</f>
        <v>80</v>
      </c>
      <c r="I362" s="103">
        <f>VLOOKUP($A354,LossChart!$A$3:$AB$105,16,0)</f>
        <v>477.30407413615825</v>
      </c>
      <c r="J362" s="103">
        <f>VLOOKUP($A354,LossChart!$A$3:$AB$105,17,0)</f>
        <v>1086.4883746033613</v>
      </c>
      <c r="K362" s="103"/>
    </row>
    <row r="363" spans="1:19" x14ac:dyDescent="0.25">
      <c r="A363" t="s">
        <v>103</v>
      </c>
      <c r="G363">
        <f>G362-G361</f>
        <v>529.184300467203</v>
      </c>
      <c r="H363">
        <f>H362-H361</f>
        <v>80</v>
      </c>
      <c r="I363">
        <f>I362-I361</f>
        <v>477.30407413615825</v>
      </c>
      <c r="J363">
        <f>J362-J361</f>
        <v>1086.4883746033613</v>
      </c>
    </row>
    <row r="365" spans="1:19" ht="60" x14ac:dyDescent="0.25">
      <c r="A365" s="26" t="s">
        <v>63</v>
      </c>
      <c r="B365" s="26" t="s">
        <v>92</v>
      </c>
      <c r="C365" s="26" t="s">
        <v>93</v>
      </c>
      <c r="D365" s="97" t="str">
        <f>FoodDB!$C$1</f>
        <v>Fat
(g)</v>
      </c>
      <c r="E365" s="97" t="str">
        <f>FoodDB!$D$1</f>
        <v xml:space="preserve"> Carbs
(g)</v>
      </c>
      <c r="F365" s="97" t="str">
        <f>FoodDB!$E$1</f>
        <v>Protein
(g)</v>
      </c>
      <c r="G365" s="97" t="str">
        <f>FoodDB!$F$1</f>
        <v>Fat
(Cal)</v>
      </c>
      <c r="H365" s="97" t="str">
        <f>FoodDB!$G$1</f>
        <v>Carb
(Cal)</v>
      </c>
      <c r="I365" s="97" t="str">
        <f>FoodDB!$H$1</f>
        <v>Protein
(Cal)</v>
      </c>
      <c r="J365" s="97" t="str">
        <f>FoodDB!$I$1</f>
        <v>Total
Calories</v>
      </c>
      <c r="K365" s="97"/>
      <c r="L365" s="97" t="s">
        <v>109</v>
      </c>
      <c r="M365" s="97" t="s">
        <v>110</v>
      </c>
      <c r="N365" s="97" t="s">
        <v>111</v>
      </c>
      <c r="O365" s="97" t="s">
        <v>112</v>
      </c>
      <c r="P365" s="97" t="s">
        <v>117</v>
      </c>
      <c r="Q365" s="97" t="s">
        <v>118</v>
      </c>
      <c r="R365" s="97" t="s">
        <v>119</v>
      </c>
      <c r="S365" s="97" t="s">
        <v>120</v>
      </c>
    </row>
    <row r="366" spans="1:19" x14ac:dyDescent="0.25">
      <c r="A366" s="98">
        <f>A354+1</f>
        <v>43024</v>
      </c>
      <c r="B366" s="99" t="s">
        <v>107</v>
      </c>
      <c r="C366" s="100">
        <v>0</v>
      </c>
      <c r="D366">
        <f>$C366*VLOOKUP($B366,FoodDB!$A$2:$I$1014,3,0)</f>
        <v>0</v>
      </c>
      <c r="E366">
        <f>$C366*VLOOKUP($B366,FoodDB!$A$2:$I$1014,4,0)</f>
        <v>0</v>
      </c>
      <c r="F366">
        <f>$C366*VLOOKUP($B366,FoodDB!$A$2:$I$1014,5,0)</f>
        <v>0</v>
      </c>
      <c r="G366">
        <f>$C366*VLOOKUP($B366,FoodDB!$A$2:$I$1014,6,0)</f>
        <v>0</v>
      </c>
      <c r="H366">
        <f>$C366*VLOOKUP($B366,FoodDB!$A$2:$I$1014,7,0)</f>
        <v>0</v>
      </c>
      <c r="I366">
        <f>$C366*VLOOKUP($B366,FoodDB!$A$2:$I$1014,8,0)</f>
        <v>0</v>
      </c>
      <c r="J366">
        <f>$C366*VLOOKUP($B366,FoodDB!$A$2:$I$1014,9,0)</f>
        <v>0</v>
      </c>
      <c r="L366">
        <f>SUM(G366:G372)</f>
        <v>0</v>
      </c>
      <c r="M366">
        <f>SUM(H366:H372)</f>
        <v>0</v>
      </c>
      <c r="N366">
        <f>SUM(I366:I372)</f>
        <v>0</v>
      </c>
      <c r="O366">
        <f>SUM(L366:N366)</f>
        <v>0</v>
      </c>
      <c r="P366" s="103">
        <f>VLOOKUP($A366,LossChart!$A$3:$AB$105,14,0)-L366</f>
        <v>535.99968701513626</v>
      </c>
      <c r="Q366" s="103">
        <f>VLOOKUP($A366,LossChart!$A$3:$AB$105,15,0)-M366</f>
        <v>80</v>
      </c>
      <c r="R366" s="103">
        <f>VLOOKUP($A366,LossChart!$A$3:$AB$105,16,0)-N366</f>
        <v>477.30407413615825</v>
      </c>
      <c r="S366" s="103">
        <f>VLOOKUP($A366,LossChart!$A$3:$AB$105,17,0)-O366</f>
        <v>1093.3037611512946</v>
      </c>
    </row>
    <row r="367" spans="1:19" x14ac:dyDescent="0.25">
      <c r="B367" s="99" t="s">
        <v>107</v>
      </c>
      <c r="C367" s="100">
        <v>0</v>
      </c>
      <c r="D367">
        <f>$C367*VLOOKUP($B367,FoodDB!$A$2:$I$1014,3,0)</f>
        <v>0</v>
      </c>
      <c r="E367">
        <f>$C367*VLOOKUP($B367,FoodDB!$A$2:$I$1014,4,0)</f>
        <v>0</v>
      </c>
      <c r="F367">
        <f>$C367*VLOOKUP($B367,FoodDB!$A$2:$I$1014,5,0)</f>
        <v>0</v>
      </c>
      <c r="G367">
        <f>$C367*VLOOKUP($B367,FoodDB!$A$2:$I$1014,6,0)</f>
        <v>0</v>
      </c>
      <c r="H367">
        <f>$C367*VLOOKUP($B367,FoodDB!$A$2:$I$1014,7,0)</f>
        <v>0</v>
      </c>
      <c r="I367">
        <f>$C367*VLOOKUP($B367,FoodDB!$A$2:$I$1014,8,0)</f>
        <v>0</v>
      </c>
      <c r="J367">
        <f>$C367*VLOOKUP($B367,FoodDB!$A$2:$I$1014,9,0)</f>
        <v>0</v>
      </c>
    </row>
    <row r="368" spans="1:19" x14ac:dyDescent="0.25">
      <c r="B368" s="99" t="s">
        <v>107</v>
      </c>
      <c r="C368" s="100">
        <v>0</v>
      </c>
      <c r="D368">
        <f>$C368*VLOOKUP($B368,FoodDB!$A$2:$I$1014,3,0)</f>
        <v>0</v>
      </c>
      <c r="E368">
        <f>$C368*VLOOKUP($B368,FoodDB!$A$2:$I$1014,4,0)</f>
        <v>0</v>
      </c>
      <c r="F368">
        <f>$C368*VLOOKUP($B368,FoodDB!$A$2:$I$1014,5,0)</f>
        <v>0</v>
      </c>
      <c r="G368">
        <f>$C368*VLOOKUP($B368,FoodDB!$A$2:$I$1014,6,0)</f>
        <v>0</v>
      </c>
      <c r="H368">
        <f>$C368*VLOOKUP($B368,FoodDB!$A$2:$I$1014,7,0)</f>
        <v>0</v>
      </c>
      <c r="I368">
        <f>$C368*VLOOKUP($B368,FoodDB!$A$2:$I$1014,8,0)</f>
        <v>0</v>
      </c>
      <c r="J368">
        <f>$C368*VLOOKUP($B368,FoodDB!$A$2:$I$1014,9,0)</f>
        <v>0</v>
      </c>
    </row>
    <row r="369" spans="1:19" x14ac:dyDescent="0.25">
      <c r="B369" s="99" t="s">
        <v>107</v>
      </c>
      <c r="C369" s="100">
        <v>0</v>
      </c>
      <c r="D369">
        <f>$C369*VLOOKUP($B369,FoodDB!$A$2:$I$1014,3,0)</f>
        <v>0</v>
      </c>
      <c r="E369">
        <f>$C369*VLOOKUP($B369,FoodDB!$A$2:$I$1014,4,0)</f>
        <v>0</v>
      </c>
      <c r="F369">
        <f>$C369*VLOOKUP($B369,FoodDB!$A$2:$I$1014,5,0)</f>
        <v>0</v>
      </c>
      <c r="G369">
        <f>$C369*VLOOKUP($B369,FoodDB!$A$2:$I$1014,6,0)</f>
        <v>0</v>
      </c>
      <c r="H369">
        <f>$C369*VLOOKUP($B369,FoodDB!$A$2:$I$1014,7,0)</f>
        <v>0</v>
      </c>
      <c r="I369">
        <f>$C369*VLOOKUP($B369,FoodDB!$A$2:$I$1014,8,0)</f>
        <v>0</v>
      </c>
      <c r="J369">
        <f>$C369*VLOOKUP($B369,FoodDB!$A$2:$I$1014,9,0)</f>
        <v>0</v>
      </c>
    </row>
    <row r="370" spans="1:19" x14ac:dyDescent="0.25">
      <c r="B370" s="99" t="s">
        <v>107</v>
      </c>
      <c r="C370" s="100">
        <v>0</v>
      </c>
      <c r="D370">
        <f>$C370*VLOOKUP($B370,FoodDB!$A$2:$I$1014,3,0)</f>
        <v>0</v>
      </c>
      <c r="E370">
        <f>$C370*VLOOKUP($B370,FoodDB!$A$2:$I$1014,4,0)</f>
        <v>0</v>
      </c>
      <c r="F370">
        <f>$C370*VLOOKUP($B370,FoodDB!$A$2:$I$1014,5,0)</f>
        <v>0</v>
      </c>
      <c r="G370">
        <f>$C370*VLOOKUP($B370,FoodDB!$A$2:$I$1014,6,0)</f>
        <v>0</v>
      </c>
      <c r="H370">
        <f>$C370*VLOOKUP($B370,FoodDB!$A$2:$I$1014,7,0)</f>
        <v>0</v>
      </c>
      <c r="I370">
        <f>$C370*VLOOKUP($B370,FoodDB!$A$2:$I$1014,8,0)</f>
        <v>0</v>
      </c>
      <c r="J370">
        <f>$C370*VLOOKUP($B370,FoodDB!$A$2:$I$1014,9,0)</f>
        <v>0</v>
      </c>
    </row>
    <row r="371" spans="1:19" x14ac:dyDescent="0.25">
      <c r="B371" s="99" t="s">
        <v>107</v>
      </c>
      <c r="C371" s="100">
        <v>0</v>
      </c>
      <c r="D371">
        <f>$C371*VLOOKUP($B371,FoodDB!$A$2:$I$1014,3,0)</f>
        <v>0</v>
      </c>
      <c r="E371">
        <f>$C371*VLOOKUP($B371,FoodDB!$A$2:$I$1014,4,0)</f>
        <v>0</v>
      </c>
      <c r="F371">
        <f>$C371*VLOOKUP($B371,FoodDB!$A$2:$I$1014,5,0)</f>
        <v>0</v>
      </c>
      <c r="G371">
        <f>$C371*VLOOKUP($B371,FoodDB!$A$2:$I$1014,6,0)</f>
        <v>0</v>
      </c>
      <c r="H371">
        <f>$C371*VLOOKUP($B371,FoodDB!$A$2:$I$1014,7,0)</f>
        <v>0</v>
      </c>
      <c r="I371">
        <f>$C371*VLOOKUP($B371,FoodDB!$A$2:$I$1014,8,0)</f>
        <v>0</v>
      </c>
      <c r="J371">
        <f>$C371*VLOOKUP($B371,FoodDB!$A$2:$I$1014,9,0)</f>
        <v>0</v>
      </c>
    </row>
    <row r="372" spans="1:19" x14ac:dyDescent="0.25">
      <c r="B372" s="99" t="s">
        <v>107</v>
      </c>
      <c r="C372" s="100">
        <v>0</v>
      </c>
      <c r="D372">
        <f>$C372*VLOOKUP($B372,FoodDB!$A$2:$I$1014,3,0)</f>
        <v>0</v>
      </c>
      <c r="E372">
        <f>$C372*VLOOKUP($B372,FoodDB!$A$2:$I$1014,4,0)</f>
        <v>0</v>
      </c>
      <c r="F372">
        <f>$C372*VLOOKUP($B372,FoodDB!$A$2:$I$1014,5,0)</f>
        <v>0</v>
      </c>
      <c r="G372">
        <f>$C372*VLOOKUP($B372,FoodDB!$A$2:$I$1014,6,0)</f>
        <v>0</v>
      </c>
      <c r="H372">
        <f>$C372*VLOOKUP($B372,FoodDB!$A$2:$I$1014,7,0)</f>
        <v>0</v>
      </c>
      <c r="I372">
        <f>$C372*VLOOKUP($B372,FoodDB!$A$2:$I$1014,8,0)</f>
        <v>0</v>
      </c>
      <c r="J372">
        <f>$C372*VLOOKUP($B372,FoodDB!$A$2:$I$1014,9,0)</f>
        <v>0</v>
      </c>
    </row>
    <row r="373" spans="1:19" x14ac:dyDescent="0.25">
      <c r="A373" t="s">
        <v>97</v>
      </c>
      <c r="G373">
        <f>SUM(G366:G372)</f>
        <v>0</v>
      </c>
      <c r="H373">
        <f>SUM(H366:H372)</f>
        <v>0</v>
      </c>
      <c r="I373">
        <f>SUM(I366:I372)</f>
        <v>0</v>
      </c>
      <c r="J373">
        <f>SUM(G373:I373)</f>
        <v>0</v>
      </c>
    </row>
    <row r="374" spans="1:19" x14ac:dyDescent="0.25">
      <c r="A374" t="s">
        <v>101</v>
      </c>
      <c r="B374" t="s">
        <v>102</v>
      </c>
      <c r="E374" s="103"/>
      <c r="F374" s="103"/>
      <c r="G374" s="103">
        <f>VLOOKUP($A366,LossChart!$A$3:$AB$105,14,0)</f>
        <v>535.99968701513626</v>
      </c>
      <c r="H374" s="103">
        <f>VLOOKUP($A366,LossChart!$A$3:$AB$105,15,0)</f>
        <v>80</v>
      </c>
      <c r="I374" s="103">
        <f>VLOOKUP($A366,LossChart!$A$3:$AB$105,16,0)</f>
        <v>477.30407413615825</v>
      </c>
      <c r="J374" s="103">
        <f>VLOOKUP($A366,LossChart!$A$3:$AB$105,17,0)</f>
        <v>1093.3037611512946</v>
      </c>
      <c r="K374" s="103"/>
    </row>
    <row r="375" spans="1:19" x14ac:dyDescent="0.25">
      <c r="A375" t="s">
        <v>103</v>
      </c>
      <c r="G375">
        <f>G374-G373</f>
        <v>535.99968701513626</v>
      </c>
      <c r="H375">
        <f>H374-H373</f>
        <v>80</v>
      </c>
      <c r="I375">
        <f>I374-I373</f>
        <v>477.30407413615825</v>
      </c>
      <c r="J375">
        <f>J374-J373</f>
        <v>1093.3037611512946</v>
      </c>
    </row>
    <row r="377" spans="1:19" ht="60" x14ac:dyDescent="0.25">
      <c r="A377" s="26" t="s">
        <v>63</v>
      </c>
      <c r="B377" s="26" t="s">
        <v>92</v>
      </c>
      <c r="C377" s="26" t="s">
        <v>93</v>
      </c>
      <c r="D377" s="97" t="str">
        <f>FoodDB!$C$1</f>
        <v>Fat
(g)</v>
      </c>
      <c r="E377" s="97" t="str">
        <f>FoodDB!$D$1</f>
        <v xml:space="preserve"> Carbs
(g)</v>
      </c>
      <c r="F377" s="97" t="str">
        <f>FoodDB!$E$1</f>
        <v>Protein
(g)</v>
      </c>
      <c r="G377" s="97" t="str">
        <f>FoodDB!$F$1</f>
        <v>Fat
(Cal)</v>
      </c>
      <c r="H377" s="97" t="str">
        <f>FoodDB!$G$1</f>
        <v>Carb
(Cal)</v>
      </c>
      <c r="I377" s="97" t="str">
        <f>FoodDB!$H$1</f>
        <v>Protein
(Cal)</v>
      </c>
      <c r="J377" s="97" t="str">
        <f>FoodDB!$I$1</f>
        <v>Total
Calories</v>
      </c>
      <c r="K377" s="97"/>
      <c r="L377" s="97" t="s">
        <v>109</v>
      </c>
      <c r="M377" s="97" t="s">
        <v>110</v>
      </c>
      <c r="N377" s="97" t="s">
        <v>111</v>
      </c>
      <c r="O377" s="97" t="s">
        <v>112</v>
      </c>
      <c r="P377" s="97" t="s">
        <v>117</v>
      </c>
      <c r="Q377" s="97" t="s">
        <v>118</v>
      </c>
      <c r="R377" s="97" t="s">
        <v>119</v>
      </c>
      <c r="S377" s="97" t="s">
        <v>120</v>
      </c>
    </row>
    <row r="378" spans="1:19" x14ac:dyDescent="0.25">
      <c r="A378" s="98">
        <f>A366+1</f>
        <v>43025</v>
      </c>
      <c r="B378" s="99" t="s">
        <v>107</v>
      </c>
      <c r="C378" s="100">
        <v>0</v>
      </c>
      <c r="D378">
        <f>$C378*VLOOKUP($B378,FoodDB!$A$2:$I$1014,3,0)</f>
        <v>0</v>
      </c>
      <c r="E378">
        <f>$C378*VLOOKUP($B378,FoodDB!$A$2:$I$1014,4,0)</f>
        <v>0</v>
      </c>
      <c r="F378">
        <f>$C378*VLOOKUP($B378,FoodDB!$A$2:$I$1014,5,0)</f>
        <v>0</v>
      </c>
      <c r="G378">
        <f>$C378*VLOOKUP($B378,FoodDB!$A$2:$I$1014,6,0)</f>
        <v>0</v>
      </c>
      <c r="H378">
        <f>$C378*VLOOKUP($B378,FoodDB!$A$2:$I$1014,7,0)</f>
        <v>0</v>
      </c>
      <c r="I378">
        <f>$C378*VLOOKUP($B378,FoodDB!$A$2:$I$1014,8,0)</f>
        <v>0</v>
      </c>
      <c r="J378">
        <f>$C378*VLOOKUP($B378,FoodDB!$A$2:$I$1014,9,0)</f>
        <v>0</v>
      </c>
      <c r="L378">
        <f>SUM(G378:G384)</f>
        <v>0</v>
      </c>
      <c r="M378">
        <f>SUM(H378:H384)</f>
        <v>0</v>
      </c>
      <c r="N378">
        <f>SUM(I378:I384)</f>
        <v>0</v>
      </c>
      <c r="O378">
        <f>SUM(L378:N378)</f>
        <v>0</v>
      </c>
      <c r="P378" s="103">
        <f>VLOOKUP($A378,LossChart!$A$3:$AB$105,14,0)-L378</f>
        <v>542.75470871078824</v>
      </c>
      <c r="Q378" s="103">
        <f>VLOOKUP($A378,LossChart!$A$3:$AB$105,15,0)-M378</f>
        <v>80</v>
      </c>
      <c r="R378" s="103">
        <f>VLOOKUP($A378,LossChart!$A$3:$AB$105,16,0)-N378</f>
        <v>477.30407413615825</v>
      </c>
      <c r="S378" s="103">
        <f>VLOOKUP($A378,LossChart!$A$3:$AB$105,17,0)-O378</f>
        <v>1100.0587828469465</v>
      </c>
    </row>
    <row r="379" spans="1:19" x14ac:dyDescent="0.25">
      <c r="B379" s="99" t="s">
        <v>107</v>
      </c>
      <c r="C379" s="100">
        <v>0</v>
      </c>
      <c r="D379">
        <f>$C379*VLOOKUP($B379,FoodDB!$A$2:$I$1014,3,0)</f>
        <v>0</v>
      </c>
      <c r="E379">
        <f>$C379*VLOOKUP($B379,FoodDB!$A$2:$I$1014,4,0)</f>
        <v>0</v>
      </c>
      <c r="F379">
        <f>$C379*VLOOKUP($B379,FoodDB!$A$2:$I$1014,5,0)</f>
        <v>0</v>
      </c>
      <c r="G379">
        <f>$C379*VLOOKUP($B379,FoodDB!$A$2:$I$1014,6,0)</f>
        <v>0</v>
      </c>
      <c r="H379">
        <f>$C379*VLOOKUP($B379,FoodDB!$A$2:$I$1014,7,0)</f>
        <v>0</v>
      </c>
      <c r="I379">
        <f>$C379*VLOOKUP($B379,FoodDB!$A$2:$I$1014,8,0)</f>
        <v>0</v>
      </c>
      <c r="J379">
        <f>$C379*VLOOKUP($B379,FoodDB!$A$2:$I$1014,9,0)</f>
        <v>0</v>
      </c>
    </row>
    <row r="380" spans="1:19" x14ac:dyDescent="0.25">
      <c r="B380" s="99" t="s">
        <v>107</v>
      </c>
      <c r="C380" s="100">
        <v>0</v>
      </c>
      <c r="D380">
        <f>$C380*VLOOKUP($B380,FoodDB!$A$2:$I$1014,3,0)</f>
        <v>0</v>
      </c>
      <c r="E380">
        <f>$C380*VLOOKUP($B380,FoodDB!$A$2:$I$1014,4,0)</f>
        <v>0</v>
      </c>
      <c r="F380">
        <f>$C380*VLOOKUP($B380,FoodDB!$A$2:$I$1014,5,0)</f>
        <v>0</v>
      </c>
      <c r="G380">
        <f>$C380*VLOOKUP($B380,FoodDB!$A$2:$I$1014,6,0)</f>
        <v>0</v>
      </c>
      <c r="H380">
        <f>$C380*VLOOKUP($B380,FoodDB!$A$2:$I$1014,7,0)</f>
        <v>0</v>
      </c>
      <c r="I380">
        <f>$C380*VLOOKUP($B380,FoodDB!$A$2:$I$1014,8,0)</f>
        <v>0</v>
      </c>
      <c r="J380">
        <f>$C380*VLOOKUP($B380,FoodDB!$A$2:$I$1014,9,0)</f>
        <v>0</v>
      </c>
    </row>
    <row r="381" spans="1:19" x14ac:dyDescent="0.25">
      <c r="B381" s="99" t="s">
        <v>107</v>
      </c>
      <c r="C381" s="100">
        <v>0</v>
      </c>
      <c r="D381">
        <f>$C381*VLOOKUP($B381,FoodDB!$A$2:$I$1014,3,0)</f>
        <v>0</v>
      </c>
      <c r="E381">
        <f>$C381*VLOOKUP($B381,FoodDB!$A$2:$I$1014,4,0)</f>
        <v>0</v>
      </c>
      <c r="F381">
        <f>$C381*VLOOKUP($B381,FoodDB!$A$2:$I$1014,5,0)</f>
        <v>0</v>
      </c>
      <c r="G381">
        <f>$C381*VLOOKUP($B381,FoodDB!$A$2:$I$1014,6,0)</f>
        <v>0</v>
      </c>
      <c r="H381">
        <f>$C381*VLOOKUP($B381,FoodDB!$A$2:$I$1014,7,0)</f>
        <v>0</v>
      </c>
      <c r="I381">
        <f>$C381*VLOOKUP($B381,FoodDB!$A$2:$I$1014,8,0)</f>
        <v>0</v>
      </c>
      <c r="J381">
        <f>$C381*VLOOKUP($B381,FoodDB!$A$2:$I$1014,9,0)</f>
        <v>0</v>
      </c>
    </row>
    <row r="382" spans="1:19" x14ac:dyDescent="0.25">
      <c r="B382" s="99" t="s">
        <v>107</v>
      </c>
      <c r="C382" s="100">
        <v>0</v>
      </c>
      <c r="D382">
        <f>$C382*VLOOKUP($B382,FoodDB!$A$2:$I$1014,3,0)</f>
        <v>0</v>
      </c>
      <c r="E382">
        <f>$C382*VLOOKUP($B382,FoodDB!$A$2:$I$1014,4,0)</f>
        <v>0</v>
      </c>
      <c r="F382">
        <f>$C382*VLOOKUP($B382,FoodDB!$A$2:$I$1014,5,0)</f>
        <v>0</v>
      </c>
      <c r="G382">
        <f>$C382*VLOOKUP($B382,FoodDB!$A$2:$I$1014,6,0)</f>
        <v>0</v>
      </c>
      <c r="H382">
        <f>$C382*VLOOKUP($B382,FoodDB!$A$2:$I$1014,7,0)</f>
        <v>0</v>
      </c>
      <c r="I382">
        <f>$C382*VLOOKUP($B382,FoodDB!$A$2:$I$1014,8,0)</f>
        <v>0</v>
      </c>
      <c r="J382">
        <f>$C382*VLOOKUP($B382,FoodDB!$A$2:$I$1014,9,0)</f>
        <v>0</v>
      </c>
    </row>
    <row r="383" spans="1:19" x14ac:dyDescent="0.25">
      <c r="B383" s="99" t="s">
        <v>107</v>
      </c>
      <c r="C383" s="100">
        <v>0</v>
      </c>
      <c r="D383">
        <f>$C383*VLOOKUP($B383,FoodDB!$A$2:$I$1014,3,0)</f>
        <v>0</v>
      </c>
      <c r="E383">
        <f>$C383*VLOOKUP($B383,FoodDB!$A$2:$I$1014,4,0)</f>
        <v>0</v>
      </c>
      <c r="F383">
        <f>$C383*VLOOKUP($B383,FoodDB!$A$2:$I$1014,5,0)</f>
        <v>0</v>
      </c>
      <c r="G383">
        <f>$C383*VLOOKUP($B383,FoodDB!$A$2:$I$1014,6,0)</f>
        <v>0</v>
      </c>
      <c r="H383">
        <f>$C383*VLOOKUP($B383,FoodDB!$A$2:$I$1014,7,0)</f>
        <v>0</v>
      </c>
      <c r="I383">
        <f>$C383*VLOOKUP($B383,FoodDB!$A$2:$I$1014,8,0)</f>
        <v>0</v>
      </c>
      <c r="J383">
        <f>$C383*VLOOKUP($B383,FoodDB!$A$2:$I$1014,9,0)</f>
        <v>0</v>
      </c>
    </row>
    <row r="384" spans="1:19" x14ac:dyDescent="0.25">
      <c r="B384" s="99" t="s">
        <v>107</v>
      </c>
      <c r="C384" s="100">
        <v>0</v>
      </c>
      <c r="D384">
        <f>$C384*VLOOKUP($B384,FoodDB!$A$2:$I$1014,3,0)</f>
        <v>0</v>
      </c>
      <c r="E384">
        <f>$C384*VLOOKUP($B384,FoodDB!$A$2:$I$1014,4,0)</f>
        <v>0</v>
      </c>
      <c r="F384">
        <f>$C384*VLOOKUP($B384,FoodDB!$A$2:$I$1014,5,0)</f>
        <v>0</v>
      </c>
      <c r="G384">
        <f>$C384*VLOOKUP($B384,FoodDB!$A$2:$I$1014,6,0)</f>
        <v>0</v>
      </c>
      <c r="H384">
        <f>$C384*VLOOKUP($B384,FoodDB!$A$2:$I$1014,7,0)</f>
        <v>0</v>
      </c>
      <c r="I384">
        <f>$C384*VLOOKUP($B384,FoodDB!$A$2:$I$1014,8,0)</f>
        <v>0</v>
      </c>
      <c r="J384">
        <f>$C384*VLOOKUP($B384,FoodDB!$A$2:$I$1014,9,0)</f>
        <v>0</v>
      </c>
    </row>
    <row r="385" spans="1:19" x14ac:dyDescent="0.25">
      <c r="A385" t="s">
        <v>97</v>
      </c>
      <c r="G385">
        <f>SUM(G378:G384)</f>
        <v>0</v>
      </c>
      <c r="H385">
        <f>SUM(H378:H384)</f>
        <v>0</v>
      </c>
      <c r="I385">
        <f>SUM(I378:I384)</f>
        <v>0</v>
      </c>
      <c r="J385">
        <f>SUM(G385:I385)</f>
        <v>0</v>
      </c>
    </row>
    <row r="386" spans="1:19" x14ac:dyDescent="0.25">
      <c r="A386" t="s">
        <v>101</v>
      </c>
      <c r="B386" t="s">
        <v>102</v>
      </c>
      <c r="E386" s="103"/>
      <c r="F386" s="103"/>
      <c r="G386" s="103">
        <f>VLOOKUP($A378,LossChart!$A$3:$AB$105,14,0)</f>
        <v>542.75470871078824</v>
      </c>
      <c r="H386" s="103">
        <f>VLOOKUP($A378,LossChart!$A$3:$AB$105,15,0)</f>
        <v>80</v>
      </c>
      <c r="I386" s="103">
        <f>VLOOKUP($A378,LossChart!$A$3:$AB$105,16,0)</f>
        <v>477.30407413615825</v>
      </c>
      <c r="J386" s="103">
        <f>VLOOKUP($A378,LossChart!$A$3:$AB$105,17,0)</f>
        <v>1100.0587828469465</v>
      </c>
      <c r="K386" s="103"/>
    </row>
    <row r="387" spans="1:19" x14ac:dyDescent="0.25">
      <c r="A387" t="s">
        <v>103</v>
      </c>
      <c r="G387">
        <f>G386-G385</f>
        <v>542.75470871078824</v>
      </c>
      <c r="H387">
        <f>H386-H385</f>
        <v>80</v>
      </c>
      <c r="I387">
        <f>I386-I385</f>
        <v>477.30407413615825</v>
      </c>
      <c r="J387">
        <f>J386-J385</f>
        <v>1100.0587828469465</v>
      </c>
    </row>
    <row r="389" spans="1:19" ht="60" x14ac:dyDescent="0.25">
      <c r="A389" s="26" t="s">
        <v>63</v>
      </c>
      <c r="B389" s="26" t="s">
        <v>92</v>
      </c>
      <c r="C389" s="26" t="s">
        <v>93</v>
      </c>
      <c r="D389" s="97" t="str">
        <f>FoodDB!$C$1</f>
        <v>Fat
(g)</v>
      </c>
      <c r="E389" s="97" t="str">
        <f>FoodDB!$D$1</f>
        <v xml:space="preserve"> Carbs
(g)</v>
      </c>
      <c r="F389" s="97" t="str">
        <f>FoodDB!$E$1</f>
        <v>Protein
(g)</v>
      </c>
      <c r="G389" s="97" t="str">
        <f>FoodDB!$F$1</f>
        <v>Fat
(Cal)</v>
      </c>
      <c r="H389" s="97" t="str">
        <f>FoodDB!$G$1</f>
        <v>Carb
(Cal)</v>
      </c>
      <c r="I389" s="97" t="str">
        <f>FoodDB!$H$1</f>
        <v>Protein
(Cal)</v>
      </c>
      <c r="J389" s="97" t="str">
        <f>FoodDB!$I$1</f>
        <v>Total
Calories</v>
      </c>
      <c r="K389" s="97"/>
      <c r="L389" s="97" t="s">
        <v>109</v>
      </c>
      <c r="M389" s="97" t="s">
        <v>110</v>
      </c>
      <c r="N389" s="97" t="s">
        <v>111</v>
      </c>
      <c r="O389" s="97" t="s">
        <v>112</v>
      </c>
      <c r="P389" s="97" t="s">
        <v>117</v>
      </c>
      <c r="Q389" s="97" t="s">
        <v>118</v>
      </c>
      <c r="R389" s="97" t="s">
        <v>119</v>
      </c>
      <c r="S389" s="97" t="s">
        <v>120</v>
      </c>
    </row>
    <row r="390" spans="1:19" x14ac:dyDescent="0.25">
      <c r="A390" s="98">
        <f>A378+1</f>
        <v>43026</v>
      </c>
      <c r="B390" s="99" t="s">
        <v>107</v>
      </c>
      <c r="C390" s="100">
        <v>0</v>
      </c>
      <c r="D390">
        <f>$C390*VLOOKUP($B390,FoodDB!$A$2:$I$1014,3,0)</f>
        <v>0</v>
      </c>
      <c r="E390">
        <f>$C390*VLOOKUP($B390,FoodDB!$A$2:$I$1014,4,0)</f>
        <v>0</v>
      </c>
      <c r="F390">
        <f>$C390*VLOOKUP($B390,FoodDB!$A$2:$I$1014,5,0)</f>
        <v>0</v>
      </c>
      <c r="G390">
        <f>$C390*VLOOKUP($B390,FoodDB!$A$2:$I$1014,6,0)</f>
        <v>0</v>
      </c>
      <c r="H390">
        <f>$C390*VLOOKUP($B390,FoodDB!$A$2:$I$1014,7,0)</f>
        <v>0</v>
      </c>
      <c r="I390">
        <f>$C390*VLOOKUP($B390,FoodDB!$A$2:$I$1014,8,0)</f>
        <v>0</v>
      </c>
      <c r="J390">
        <f>$C390*VLOOKUP($B390,FoodDB!$A$2:$I$1014,9,0)</f>
        <v>0</v>
      </c>
      <c r="L390">
        <f>SUM(G390:G396)</f>
        <v>0</v>
      </c>
      <c r="M390">
        <f>SUM(H390:H396)</f>
        <v>0</v>
      </c>
      <c r="N390">
        <f>SUM(I390:I396)</f>
        <v>0</v>
      </c>
      <c r="O390">
        <f>SUM(L390:N390)</f>
        <v>0</v>
      </c>
      <c r="P390" s="103">
        <f>VLOOKUP($A390,LossChart!$A$3:$AB$105,14,0)-L390</f>
        <v>549.44990021427839</v>
      </c>
      <c r="Q390" s="103">
        <f>VLOOKUP($A390,LossChart!$A$3:$AB$105,15,0)-M390</f>
        <v>80</v>
      </c>
      <c r="R390" s="103">
        <f>VLOOKUP($A390,LossChart!$A$3:$AB$105,16,0)-N390</f>
        <v>477.30407413615825</v>
      </c>
      <c r="S390" s="103">
        <f>VLOOKUP($A390,LossChart!$A$3:$AB$105,17,0)-O390</f>
        <v>1106.7539743504367</v>
      </c>
    </row>
    <row r="391" spans="1:19" x14ac:dyDescent="0.25">
      <c r="B391" s="99" t="s">
        <v>107</v>
      </c>
      <c r="C391" s="100">
        <v>0</v>
      </c>
      <c r="D391">
        <f>$C391*VLOOKUP($B391,FoodDB!$A$2:$I$1014,3,0)</f>
        <v>0</v>
      </c>
      <c r="E391">
        <f>$C391*VLOOKUP($B391,FoodDB!$A$2:$I$1014,4,0)</f>
        <v>0</v>
      </c>
      <c r="F391">
        <f>$C391*VLOOKUP($B391,FoodDB!$A$2:$I$1014,5,0)</f>
        <v>0</v>
      </c>
      <c r="G391">
        <f>$C391*VLOOKUP($B391,FoodDB!$A$2:$I$1014,6,0)</f>
        <v>0</v>
      </c>
      <c r="H391">
        <f>$C391*VLOOKUP($B391,FoodDB!$A$2:$I$1014,7,0)</f>
        <v>0</v>
      </c>
      <c r="I391">
        <f>$C391*VLOOKUP($B391,FoodDB!$A$2:$I$1014,8,0)</f>
        <v>0</v>
      </c>
      <c r="J391">
        <f>$C391*VLOOKUP($B391,FoodDB!$A$2:$I$1014,9,0)</f>
        <v>0</v>
      </c>
    </row>
    <row r="392" spans="1:19" x14ac:dyDescent="0.25">
      <c r="B392" s="99" t="s">
        <v>107</v>
      </c>
      <c r="C392" s="100">
        <v>0</v>
      </c>
      <c r="D392">
        <f>$C392*VLOOKUP($B392,FoodDB!$A$2:$I$1014,3,0)</f>
        <v>0</v>
      </c>
      <c r="E392">
        <f>$C392*VLOOKUP($B392,FoodDB!$A$2:$I$1014,4,0)</f>
        <v>0</v>
      </c>
      <c r="F392">
        <f>$C392*VLOOKUP($B392,FoodDB!$A$2:$I$1014,5,0)</f>
        <v>0</v>
      </c>
      <c r="G392">
        <f>$C392*VLOOKUP($B392,FoodDB!$A$2:$I$1014,6,0)</f>
        <v>0</v>
      </c>
      <c r="H392">
        <f>$C392*VLOOKUP($B392,FoodDB!$A$2:$I$1014,7,0)</f>
        <v>0</v>
      </c>
      <c r="I392">
        <f>$C392*VLOOKUP($B392,FoodDB!$A$2:$I$1014,8,0)</f>
        <v>0</v>
      </c>
      <c r="J392">
        <f>$C392*VLOOKUP($B392,FoodDB!$A$2:$I$1014,9,0)</f>
        <v>0</v>
      </c>
    </row>
    <row r="393" spans="1:19" x14ac:dyDescent="0.25">
      <c r="B393" s="99" t="s">
        <v>107</v>
      </c>
      <c r="C393" s="100">
        <v>0</v>
      </c>
      <c r="D393">
        <f>$C393*VLOOKUP($B393,FoodDB!$A$2:$I$1014,3,0)</f>
        <v>0</v>
      </c>
      <c r="E393">
        <f>$C393*VLOOKUP($B393,FoodDB!$A$2:$I$1014,4,0)</f>
        <v>0</v>
      </c>
      <c r="F393">
        <f>$C393*VLOOKUP($B393,FoodDB!$A$2:$I$1014,5,0)</f>
        <v>0</v>
      </c>
      <c r="G393">
        <f>$C393*VLOOKUP($B393,FoodDB!$A$2:$I$1014,6,0)</f>
        <v>0</v>
      </c>
      <c r="H393">
        <f>$C393*VLOOKUP($B393,FoodDB!$A$2:$I$1014,7,0)</f>
        <v>0</v>
      </c>
      <c r="I393">
        <f>$C393*VLOOKUP($B393,FoodDB!$A$2:$I$1014,8,0)</f>
        <v>0</v>
      </c>
      <c r="J393">
        <f>$C393*VLOOKUP($B393,FoodDB!$A$2:$I$1014,9,0)</f>
        <v>0</v>
      </c>
    </row>
    <row r="394" spans="1:19" x14ac:dyDescent="0.25">
      <c r="B394" s="99" t="s">
        <v>107</v>
      </c>
      <c r="C394" s="100">
        <v>0</v>
      </c>
      <c r="D394">
        <f>$C394*VLOOKUP($B394,FoodDB!$A$2:$I$1014,3,0)</f>
        <v>0</v>
      </c>
      <c r="E394">
        <f>$C394*VLOOKUP($B394,FoodDB!$A$2:$I$1014,4,0)</f>
        <v>0</v>
      </c>
      <c r="F394">
        <f>$C394*VLOOKUP($B394,FoodDB!$A$2:$I$1014,5,0)</f>
        <v>0</v>
      </c>
      <c r="G394">
        <f>$C394*VLOOKUP($B394,FoodDB!$A$2:$I$1014,6,0)</f>
        <v>0</v>
      </c>
      <c r="H394">
        <f>$C394*VLOOKUP($B394,FoodDB!$A$2:$I$1014,7,0)</f>
        <v>0</v>
      </c>
      <c r="I394">
        <f>$C394*VLOOKUP($B394,FoodDB!$A$2:$I$1014,8,0)</f>
        <v>0</v>
      </c>
      <c r="J394">
        <f>$C394*VLOOKUP($B394,FoodDB!$A$2:$I$1014,9,0)</f>
        <v>0</v>
      </c>
    </row>
    <row r="395" spans="1:19" x14ac:dyDescent="0.25">
      <c r="B395" s="99" t="s">
        <v>107</v>
      </c>
      <c r="C395" s="100">
        <v>0</v>
      </c>
      <c r="D395">
        <f>$C395*VLOOKUP($B395,FoodDB!$A$2:$I$1014,3,0)</f>
        <v>0</v>
      </c>
      <c r="E395">
        <f>$C395*VLOOKUP($B395,FoodDB!$A$2:$I$1014,4,0)</f>
        <v>0</v>
      </c>
      <c r="F395">
        <f>$C395*VLOOKUP($B395,FoodDB!$A$2:$I$1014,5,0)</f>
        <v>0</v>
      </c>
      <c r="G395">
        <f>$C395*VLOOKUP($B395,FoodDB!$A$2:$I$1014,6,0)</f>
        <v>0</v>
      </c>
      <c r="H395">
        <f>$C395*VLOOKUP($B395,FoodDB!$A$2:$I$1014,7,0)</f>
        <v>0</v>
      </c>
      <c r="I395">
        <f>$C395*VLOOKUP($B395,FoodDB!$A$2:$I$1014,8,0)</f>
        <v>0</v>
      </c>
      <c r="J395">
        <f>$C395*VLOOKUP($B395,FoodDB!$A$2:$I$1014,9,0)</f>
        <v>0</v>
      </c>
    </row>
    <row r="396" spans="1:19" x14ac:dyDescent="0.25">
      <c r="B396" s="99" t="s">
        <v>107</v>
      </c>
      <c r="C396" s="100">
        <v>0</v>
      </c>
      <c r="D396">
        <f>$C396*VLOOKUP($B396,FoodDB!$A$2:$I$1014,3,0)</f>
        <v>0</v>
      </c>
      <c r="E396">
        <f>$C396*VLOOKUP($B396,FoodDB!$A$2:$I$1014,4,0)</f>
        <v>0</v>
      </c>
      <c r="F396">
        <f>$C396*VLOOKUP($B396,FoodDB!$A$2:$I$1014,5,0)</f>
        <v>0</v>
      </c>
      <c r="G396">
        <f>$C396*VLOOKUP($B396,FoodDB!$A$2:$I$1014,6,0)</f>
        <v>0</v>
      </c>
      <c r="H396">
        <f>$C396*VLOOKUP($B396,FoodDB!$A$2:$I$1014,7,0)</f>
        <v>0</v>
      </c>
      <c r="I396">
        <f>$C396*VLOOKUP($B396,FoodDB!$A$2:$I$1014,8,0)</f>
        <v>0</v>
      </c>
      <c r="J396">
        <f>$C396*VLOOKUP($B396,FoodDB!$A$2:$I$1014,9,0)</f>
        <v>0</v>
      </c>
    </row>
    <row r="397" spans="1:19" x14ac:dyDescent="0.25">
      <c r="A397" t="s">
        <v>97</v>
      </c>
      <c r="G397">
        <f>SUM(G390:G396)</f>
        <v>0</v>
      </c>
      <c r="H397">
        <f>SUM(H390:H396)</f>
        <v>0</v>
      </c>
      <c r="I397">
        <f>SUM(I390:I396)</f>
        <v>0</v>
      </c>
      <c r="J397">
        <f>SUM(G397:I397)</f>
        <v>0</v>
      </c>
    </row>
    <row r="398" spans="1:19" x14ac:dyDescent="0.25">
      <c r="A398" t="s">
        <v>101</v>
      </c>
      <c r="B398" t="s">
        <v>102</v>
      </c>
      <c r="E398" s="103"/>
      <c r="F398" s="103"/>
      <c r="G398" s="103">
        <f>VLOOKUP($A390,LossChart!$A$3:$AB$105,14,0)</f>
        <v>549.44990021427839</v>
      </c>
      <c r="H398" s="103">
        <f>VLOOKUP($A390,LossChart!$A$3:$AB$105,15,0)</f>
        <v>80</v>
      </c>
      <c r="I398" s="103">
        <f>VLOOKUP($A390,LossChart!$A$3:$AB$105,16,0)</f>
        <v>477.30407413615825</v>
      </c>
      <c r="J398" s="103">
        <f>VLOOKUP($A390,LossChart!$A$3:$AB$105,17,0)</f>
        <v>1106.7539743504367</v>
      </c>
      <c r="K398" s="103"/>
    </row>
    <row r="399" spans="1:19" x14ac:dyDescent="0.25">
      <c r="A399" t="s">
        <v>103</v>
      </c>
      <c r="G399">
        <f>G398-G397</f>
        <v>549.44990021427839</v>
      </c>
      <c r="H399">
        <f>H398-H397</f>
        <v>80</v>
      </c>
      <c r="I399">
        <f>I398-I397</f>
        <v>477.30407413615825</v>
      </c>
      <c r="J399">
        <f>J398-J397</f>
        <v>1106.7539743504367</v>
      </c>
    </row>
    <row r="401" spans="1:19" ht="60" x14ac:dyDescent="0.25">
      <c r="A401" s="26" t="s">
        <v>63</v>
      </c>
      <c r="B401" s="26" t="s">
        <v>92</v>
      </c>
      <c r="C401" s="26" t="s">
        <v>93</v>
      </c>
      <c r="D401" s="97" t="str">
        <f>FoodDB!$C$1</f>
        <v>Fat
(g)</v>
      </c>
      <c r="E401" s="97" t="str">
        <f>FoodDB!$D$1</f>
        <v xml:space="preserve"> Carbs
(g)</v>
      </c>
      <c r="F401" s="97" t="str">
        <f>FoodDB!$E$1</f>
        <v>Protein
(g)</v>
      </c>
      <c r="G401" s="97" t="str">
        <f>FoodDB!$F$1</f>
        <v>Fat
(Cal)</v>
      </c>
      <c r="H401" s="97" t="str">
        <f>FoodDB!$G$1</f>
        <v>Carb
(Cal)</v>
      </c>
      <c r="I401" s="97" t="str">
        <f>FoodDB!$H$1</f>
        <v>Protein
(Cal)</v>
      </c>
      <c r="J401" s="97" t="str">
        <f>FoodDB!$I$1</f>
        <v>Total
Calories</v>
      </c>
      <c r="K401" s="97"/>
      <c r="L401" s="97" t="s">
        <v>109</v>
      </c>
      <c r="M401" s="97" t="s">
        <v>110</v>
      </c>
      <c r="N401" s="97" t="s">
        <v>111</v>
      </c>
      <c r="O401" s="97" t="s">
        <v>112</v>
      </c>
      <c r="P401" s="97" t="s">
        <v>117</v>
      </c>
      <c r="Q401" s="97" t="s">
        <v>118</v>
      </c>
      <c r="R401" s="97" t="s">
        <v>119</v>
      </c>
      <c r="S401" s="97" t="s">
        <v>120</v>
      </c>
    </row>
    <row r="402" spans="1:19" x14ac:dyDescent="0.25">
      <c r="A402" s="98">
        <f>A390+1</f>
        <v>43027</v>
      </c>
      <c r="B402" s="99" t="s">
        <v>107</v>
      </c>
      <c r="C402" s="100">
        <v>0</v>
      </c>
      <c r="D402">
        <f>$C402*VLOOKUP($B402,FoodDB!$A$2:$I$1014,3,0)</f>
        <v>0</v>
      </c>
      <c r="E402">
        <f>$C402*VLOOKUP($B402,FoodDB!$A$2:$I$1014,4,0)</f>
        <v>0</v>
      </c>
      <c r="F402">
        <f>$C402*VLOOKUP($B402,FoodDB!$A$2:$I$1014,5,0)</f>
        <v>0</v>
      </c>
      <c r="G402">
        <f>$C402*VLOOKUP($B402,FoodDB!$A$2:$I$1014,6,0)</f>
        <v>0</v>
      </c>
      <c r="H402">
        <f>$C402*VLOOKUP($B402,FoodDB!$A$2:$I$1014,7,0)</f>
        <v>0</v>
      </c>
      <c r="I402">
        <f>$C402*VLOOKUP($B402,FoodDB!$A$2:$I$1014,8,0)</f>
        <v>0</v>
      </c>
      <c r="J402">
        <f>$C402*VLOOKUP($B402,FoodDB!$A$2:$I$1014,9,0)</f>
        <v>0</v>
      </c>
      <c r="L402">
        <f>SUM(G402:G408)</f>
        <v>0</v>
      </c>
      <c r="M402">
        <f>SUM(H402:H408)</f>
        <v>0</v>
      </c>
      <c r="N402">
        <f>SUM(I402:I408)</f>
        <v>0</v>
      </c>
      <c r="O402">
        <f>SUM(L402:N402)</f>
        <v>0</v>
      </c>
      <c r="P402" s="103">
        <f>VLOOKUP($A402,LossChart!$A$3:$AB$105,14,0)-L402</f>
        <v>556.0857914501662</v>
      </c>
      <c r="Q402" s="103">
        <f>VLOOKUP($A402,LossChart!$A$3:$AB$105,15,0)-M402</f>
        <v>80</v>
      </c>
      <c r="R402" s="103">
        <f>VLOOKUP($A402,LossChart!$A$3:$AB$105,16,0)-N402</f>
        <v>477.30407413615825</v>
      </c>
      <c r="S402" s="103">
        <f>VLOOKUP($A402,LossChart!$A$3:$AB$105,17,0)-O402</f>
        <v>1113.3898655863245</v>
      </c>
    </row>
    <row r="403" spans="1:19" x14ac:dyDescent="0.25">
      <c r="B403" s="99" t="s">
        <v>107</v>
      </c>
      <c r="C403" s="100">
        <v>0</v>
      </c>
      <c r="D403">
        <f>$C403*VLOOKUP($B403,FoodDB!$A$2:$I$1014,3,0)</f>
        <v>0</v>
      </c>
      <c r="E403">
        <f>$C403*VLOOKUP($B403,FoodDB!$A$2:$I$1014,4,0)</f>
        <v>0</v>
      </c>
      <c r="F403">
        <f>$C403*VLOOKUP($B403,FoodDB!$A$2:$I$1014,5,0)</f>
        <v>0</v>
      </c>
      <c r="G403">
        <f>$C403*VLOOKUP($B403,FoodDB!$A$2:$I$1014,6,0)</f>
        <v>0</v>
      </c>
      <c r="H403">
        <f>$C403*VLOOKUP($B403,FoodDB!$A$2:$I$1014,7,0)</f>
        <v>0</v>
      </c>
      <c r="I403">
        <f>$C403*VLOOKUP($B403,FoodDB!$A$2:$I$1014,8,0)</f>
        <v>0</v>
      </c>
      <c r="J403">
        <f>$C403*VLOOKUP($B403,FoodDB!$A$2:$I$1014,9,0)</f>
        <v>0</v>
      </c>
    </row>
    <row r="404" spans="1:19" x14ac:dyDescent="0.25">
      <c r="B404" s="99" t="s">
        <v>107</v>
      </c>
      <c r="C404" s="100">
        <v>0</v>
      </c>
      <c r="D404">
        <f>$C404*VLOOKUP($B404,FoodDB!$A$2:$I$1014,3,0)</f>
        <v>0</v>
      </c>
      <c r="E404">
        <f>$C404*VLOOKUP($B404,FoodDB!$A$2:$I$1014,4,0)</f>
        <v>0</v>
      </c>
      <c r="F404">
        <f>$C404*VLOOKUP($B404,FoodDB!$A$2:$I$1014,5,0)</f>
        <v>0</v>
      </c>
      <c r="G404">
        <f>$C404*VLOOKUP($B404,FoodDB!$A$2:$I$1014,6,0)</f>
        <v>0</v>
      </c>
      <c r="H404">
        <f>$C404*VLOOKUP($B404,FoodDB!$A$2:$I$1014,7,0)</f>
        <v>0</v>
      </c>
      <c r="I404">
        <f>$C404*VLOOKUP($B404,FoodDB!$A$2:$I$1014,8,0)</f>
        <v>0</v>
      </c>
      <c r="J404">
        <f>$C404*VLOOKUP($B404,FoodDB!$A$2:$I$1014,9,0)</f>
        <v>0</v>
      </c>
    </row>
    <row r="405" spans="1:19" x14ac:dyDescent="0.25">
      <c r="B405" s="99" t="s">
        <v>107</v>
      </c>
      <c r="C405" s="100">
        <v>0</v>
      </c>
      <c r="D405">
        <f>$C405*VLOOKUP($B405,FoodDB!$A$2:$I$1014,3,0)</f>
        <v>0</v>
      </c>
      <c r="E405">
        <f>$C405*VLOOKUP($B405,FoodDB!$A$2:$I$1014,4,0)</f>
        <v>0</v>
      </c>
      <c r="F405">
        <f>$C405*VLOOKUP($B405,FoodDB!$A$2:$I$1014,5,0)</f>
        <v>0</v>
      </c>
      <c r="G405">
        <f>$C405*VLOOKUP($B405,FoodDB!$A$2:$I$1014,6,0)</f>
        <v>0</v>
      </c>
      <c r="H405">
        <f>$C405*VLOOKUP($B405,FoodDB!$A$2:$I$1014,7,0)</f>
        <v>0</v>
      </c>
      <c r="I405">
        <f>$C405*VLOOKUP($B405,FoodDB!$A$2:$I$1014,8,0)</f>
        <v>0</v>
      </c>
      <c r="J405">
        <f>$C405*VLOOKUP($B405,FoodDB!$A$2:$I$1014,9,0)</f>
        <v>0</v>
      </c>
    </row>
    <row r="406" spans="1:19" x14ac:dyDescent="0.25">
      <c r="B406" s="99" t="s">
        <v>107</v>
      </c>
      <c r="C406" s="100">
        <v>0</v>
      </c>
      <c r="D406">
        <f>$C406*VLOOKUP($B406,FoodDB!$A$2:$I$1014,3,0)</f>
        <v>0</v>
      </c>
      <c r="E406">
        <f>$C406*VLOOKUP($B406,FoodDB!$A$2:$I$1014,4,0)</f>
        <v>0</v>
      </c>
      <c r="F406">
        <f>$C406*VLOOKUP($B406,FoodDB!$A$2:$I$1014,5,0)</f>
        <v>0</v>
      </c>
      <c r="G406">
        <f>$C406*VLOOKUP($B406,FoodDB!$A$2:$I$1014,6,0)</f>
        <v>0</v>
      </c>
      <c r="H406">
        <f>$C406*VLOOKUP($B406,FoodDB!$A$2:$I$1014,7,0)</f>
        <v>0</v>
      </c>
      <c r="I406">
        <f>$C406*VLOOKUP($B406,FoodDB!$A$2:$I$1014,8,0)</f>
        <v>0</v>
      </c>
      <c r="J406">
        <f>$C406*VLOOKUP($B406,FoodDB!$A$2:$I$1014,9,0)</f>
        <v>0</v>
      </c>
    </row>
    <row r="407" spans="1:19" x14ac:dyDescent="0.25">
      <c r="B407" s="99" t="s">
        <v>107</v>
      </c>
      <c r="C407" s="100">
        <v>0</v>
      </c>
      <c r="D407">
        <f>$C407*VLOOKUP($B407,FoodDB!$A$2:$I$1014,3,0)</f>
        <v>0</v>
      </c>
      <c r="E407">
        <f>$C407*VLOOKUP($B407,FoodDB!$A$2:$I$1014,4,0)</f>
        <v>0</v>
      </c>
      <c r="F407">
        <f>$C407*VLOOKUP($B407,FoodDB!$A$2:$I$1014,5,0)</f>
        <v>0</v>
      </c>
      <c r="G407">
        <f>$C407*VLOOKUP($B407,FoodDB!$A$2:$I$1014,6,0)</f>
        <v>0</v>
      </c>
      <c r="H407">
        <f>$C407*VLOOKUP($B407,FoodDB!$A$2:$I$1014,7,0)</f>
        <v>0</v>
      </c>
      <c r="I407">
        <f>$C407*VLOOKUP($B407,FoodDB!$A$2:$I$1014,8,0)</f>
        <v>0</v>
      </c>
      <c r="J407">
        <f>$C407*VLOOKUP($B407,FoodDB!$A$2:$I$1014,9,0)</f>
        <v>0</v>
      </c>
    </row>
    <row r="408" spans="1:19" x14ac:dyDescent="0.25">
      <c r="B408" s="99" t="s">
        <v>107</v>
      </c>
      <c r="C408" s="100">
        <v>0</v>
      </c>
      <c r="D408">
        <f>$C408*VLOOKUP($B408,FoodDB!$A$2:$I$1014,3,0)</f>
        <v>0</v>
      </c>
      <c r="E408">
        <f>$C408*VLOOKUP($B408,FoodDB!$A$2:$I$1014,4,0)</f>
        <v>0</v>
      </c>
      <c r="F408">
        <f>$C408*VLOOKUP($B408,FoodDB!$A$2:$I$1014,5,0)</f>
        <v>0</v>
      </c>
      <c r="G408">
        <f>$C408*VLOOKUP($B408,FoodDB!$A$2:$I$1014,6,0)</f>
        <v>0</v>
      </c>
      <c r="H408">
        <f>$C408*VLOOKUP($B408,FoodDB!$A$2:$I$1014,7,0)</f>
        <v>0</v>
      </c>
      <c r="I408">
        <f>$C408*VLOOKUP($B408,FoodDB!$A$2:$I$1014,8,0)</f>
        <v>0</v>
      </c>
      <c r="J408">
        <f>$C408*VLOOKUP($B408,FoodDB!$A$2:$I$1014,9,0)</f>
        <v>0</v>
      </c>
    </row>
    <row r="409" spans="1:19" x14ac:dyDescent="0.25">
      <c r="A409" t="s">
        <v>97</v>
      </c>
      <c r="G409">
        <f>SUM(G402:G408)</f>
        <v>0</v>
      </c>
      <c r="H409">
        <f>SUM(H402:H408)</f>
        <v>0</v>
      </c>
      <c r="I409">
        <f>SUM(I402:I408)</f>
        <v>0</v>
      </c>
      <c r="J409">
        <f>SUM(G409:I409)</f>
        <v>0</v>
      </c>
    </row>
    <row r="410" spans="1:19" x14ac:dyDescent="0.25">
      <c r="A410" t="s">
        <v>101</v>
      </c>
      <c r="B410" t="s">
        <v>102</v>
      </c>
      <c r="E410" s="103"/>
      <c r="F410" s="103"/>
      <c r="G410" s="103">
        <f>VLOOKUP($A402,LossChart!$A$3:$AB$105,14,0)</f>
        <v>556.0857914501662</v>
      </c>
      <c r="H410" s="103">
        <f>VLOOKUP($A402,LossChart!$A$3:$AB$105,15,0)</f>
        <v>80</v>
      </c>
      <c r="I410" s="103">
        <f>VLOOKUP($A402,LossChart!$A$3:$AB$105,16,0)</f>
        <v>477.30407413615825</v>
      </c>
      <c r="J410" s="103">
        <f>VLOOKUP($A402,LossChart!$A$3:$AB$105,17,0)</f>
        <v>1113.3898655863245</v>
      </c>
      <c r="K410" s="103"/>
    </row>
    <row r="411" spans="1:19" x14ac:dyDescent="0.25">
      <c r="A411" t="s">
        <v>103</v>
      </c>
      <c r="G411">
        <f>G410-G409</f>
        <v>556.0857914501662</v>
      </c>
      <c r="H411">
        <f>H410-H409</f>
        <v>80</v>
      </c>
      <c r="I411">
        <f>I410-I409</f>
        <v>477.30407413615825</v>
      </c>
      <c r="J411">
        <f>J410-J409</f>
        <v>1113.3898655863245</v>
      </c>
    </row>
    <row r="413" spans="1:19" ht="60" x14ac:dyDescent="0.25">
      <c r="A413" s="26" t="s">
        <v>63</v>
      </c>
      <c r="B413" s="26" t="s">
        <v>92</v>
      </c>
      <c r="C413" s="26" t="s">
        <v>93</v>
      </c>
      <c r="D413" s="97" t="str">
        <f>FoodDB!$C$1</f>
        <v>Fat
(g)</v>
      </c>
      <c r="E413" s="97" t="str">
        <f>FoodDB!$D$1</f>
        <v xml:space="preserve"> Carbs
(g)</v>
      </c>
      <c r="F413" s="97" t="str">
        <f>FoodDB!$E$1</f>
        <v>Protein
(g)</v>
      </c>
      <c r="G413" s="97" t="str">
        <f>FoodDB!$F$1</f>
        <v>Fat
(Cal)</v>
      </c>
      <c r="H413" s="97" t="str">
        <f>FoodDB!$G$1</f>
        <v>Carb
(Cal)</v>
      </c>
      <c r="I413" s="97" t="str">
        <f>FoodDB!$H$1</f>
        <v>Protein
(Cal)</v>
      </c>
      <c r="J413" s="97" t="str">
        <f>FoodDB!$I$1</f>
        <v>Total
Calories</v>
      </c>
      <c r="K413" s="97"/>
      <c r="L413" s="97" t="s">
        <v>109</v>
      </c>
      <c r="M413" s="97" t="s">
        <v>110</v>
      </c>
      <c r="N413" s="97" t="s">
        <v>111</v>
      </c>
      <c r="O413" s="97" t="s">
        <v>112</v>
      </c>
      <c r="P413" s="97" t="s">
        <v>117</v>
      </c>
      <c r="Q413" s="97" t="s">
        <v>118</v>
      </c>
      <c r="R413" s="97" t="s">
        <v>119</v>
      </c>
      <c r="S413" s="97" t="s">
        <v>120</v>
      </c>
    </row>
    <row r="414" spans="1:19" x14ac:dyDescent="0.25">
      <c r="A414" s="98">
        <f>A402+1</f>
        <v>43028</v>
      </c>
      <c r="B414" s="99" t="s">
        <v>107</v>
      </c>
      <c r="C414" s="100">
        <v>0</v>
      </c>
      <c r="D414">
        <f>$C414*VLOOKUP($B414,FoodDB!$A$2:$I$1014,3,0)</f>
        <v>0</v>
      </c>
      <c r="E414">
        <f>$C414*VLOOKUP($B414,FoodDB!$A$2:$I$1014,4,0)</f>
        <v>0</v>
      </c>
      <c r="F414">
        <f>$C414*VLOOKUP($B414,FoodDB!$A$2:$I$1014,5,0)</f>
        <v>0</v>
      </c>
      <c r="G414">
        <f>$C414*VLOOKUP($B414,FoodDB!$A$2:$I$1014,6,0)</f>
        <v>0</v>
      </c>
      <c r="H414">
        <f>$C414*VLOOKUP($B414,FoodDB!$A$2:$I$1014,7,0)</f>
        <v>0</v>
      </c>
      <c r="I414">
        <f>$C414*VLOOKUP($B414,FoodDB!$A$2:$I$1014,8,0)</f>
        <v>0</v>
      </c>
      <c r="J414">
        <f>$C414*VLOOKUP($B414,FoodDB!$A$2:$I$1014,9,0)</f>
        <v>0</v>
      </c>
      <c r="L414">
        <f>SUM(G414:G420)</f>
        <v>0</v>
      </c>
      <c r="M414">
        <f>SUM(H414:H420)</f>
        <v>0</v>
      </c>
      <c r="N414">
        <f>SUM(I414:I420)</f>
        <v>0</v>
      </c>
      <c r="O414">
        <f>SUM(L414:N414)</f>
        <v>0</v>
      </c>
      <c r="P414" s="103">
        <f>VLOOKUP($A414,LossChart!$A$3:$AB$105,14,0)-L414</f>
        <v>562.66290764939322</v>
      </c>
      <c r="Q414" s="103">
        <f>VLOOKUP($A414,LossChart!$A$3:$AB$105,15,0)-M414</f>
        <v>80</v>
      </c>
      <c r="R414" s="103">
        <f>VLOOKUP($A414,LossChart!$A$3:$AB$105,16,0)-N414</f>
        <v>477.30407413615825</v>
      </c>
      <c r="S414" s="103">
        <f>VLOOKUP($A414,LossChart!$A$3:$AB$105,17,0)-O414</f>
        <v>1119.9669817855515</v>
      </c>
    </row>
    <row r="415" spans="1:19" x14ac:dyDescent="0.25">
      <c r="B415" s="99" t="s">
        <v>107</v>
      </c>
      <c r="C415" s="100">
        <v>0</v>
      </c>
      <c r="D415">
        <f>$C415*VLOOKUP($B415,FoodDB!$A$2:$I$1014,3,0)</f>
        <v>0</v>
      </c>
      <c r="E415">
        <f>$C415*VLOOKUP($B415,FoodDB!$A$2:$I$1014,4,0)</f>
        <v>0</v>
      </c>
      <c r="F415">
        <f>$C415*VLOOKUP($B415,FoodDB!$A$2:$I$1014,5,0)</f>
        <v>0</v>
      </c>
      <c r="G415">
        <f>$C415*VLOOKUP($B415,FoodDB!$A$2:$I$1014,6,0)</f>
        <v>0</v>
      </c>
      <c r="H415">
        <f>$C415*VLOOKUP($B415,FoodDB!$A$2:$I$1014,7,0)</f>
        <v>0</v>
      </c>
      <c r="I415">
        <f>$C415*VLOOKUP($B415,FoodDB!$A$2:$I$1014,8,0)</f>
        <v>0</v>
      </c>
      <c r="J415">
        <f>$C415*VLOOKUP($B415,FoodDB!$A$2:$I$1014,9,0)</f>
        <v>0</v>
      </c>
    </row>
    <row r="416" spans="1:19" x14ac:dyDescent="0.25">
      <c r="B416" s="99" t="s">
        <v>107</v>
      </c>
      <c r="C416" s="100">
        <v>0</v>
      </c>
      <c r="D416">
        <f>$C416*VLOOKUP($B416,FoodDB!$A$2:$I$1014,3,0)</f>
        <v>0</v>
      </c>
      <c r="E416">
        <f>$C416*VLOOKUP($B416,FoodDB!$A$2:$I$1014,4,0)</f>
        <v>0</v>
      </c>
      <c r="F416">
        <f>$C416*VLOOKUP($B416,FoodDB!$A$2:$I$1014,5,0)</f>
        <v>0</v>
      </c>
      <c r="G416">
        <f>$C416*VLOOKUP($B416,FoodDB!$A$2:$I$1014,6,0)</f>
        <v>0</v>
      </c>
      <c r="H416">
        <f>$C416*VLOOKUP($B416,FoodDB!$A$2:$I$1014,7,0)</f>
        <v>0</v>
      </c>
      <c r="I416">
        <f>$C416*VLOOKUP($B416,FoodDB!$A$2:$I$1014,8,0)</f>
        <v>0</v>
      </c>
      <c r="J416">
        <f>$C416*VLOOKUP($B416,FoodDB!$A$2:$I$1014,9,0)</f>
        <v>0</v>
      </c>
    </row>
    <row r="417" spans="1:19" x14ac:dyDescent="0.25">
      <c r="B417" s="99" t="s">
        <v>107</v>
      </c>
      <c r="C417" s="100">
        <v>0</v>
      </c>
      <c r="D417">
        <f>$C417*VLOOKUP($B417,FoodDB!$A$2:$I$1014,3,0)</f>
        <v>0</v>
      </c>
      <c r="E417">
        <f>$C417*VLOOKUP($B417,FoodDB!$A$2:$I$1014,4,0)</f>
        <v>0</v>
      </c>
      <c r="F417">
        <f>$C417*VLOOKUP($B417,FoodDB!$A$2:$I$1014,5,0)</f>
        <v>0</v>
      </c>
      <c r="G417">
        <f>$C417*VLOOKUP($B417,FoodDB!$A$2:$I$1014,6,0)</f>
        <v>0</v>
      </c>
      <c r="H417">
        <f>$C417*VLOOKUP($B417,FoodDB!$A$2:$I$1014,7,0)</f>
        <v>0</v>
      </c>
      <c r="I417">
        <f>$C417*VLOOKUP($B417,FoodDB!$A$2:$I$1014,8,0)</f>
        <v>0</v>
      </c>
      <c r="J417">
        <f>$C417*VLOOKUP($B417,FoodDB!$A$2:$I$1014,9,0)</f>
        <v>0</v>
      </c>
    </row>
    <row r="418" spans="1:19" x14ac:dyDescent="0.25">
      <c r="B418" s="99" t="s">
        <v>107</v>
      </c>
      <c r="C418" s="100">
        <v>0</v>
      </c>
      <c r="D418">
        <f>$C418*VLOOKUP($B418,FoodDB!$A$2:$I$1014,3,0)</f>
        <v>0</v>
      </c>
      <c r="E418">
        <f>$C418*VLOOKUP($B418,FoodDB!$A$2:$I$1014,4,0)</f>
        <v>0</v>
      </c>
      <c r="F418">
        <f>$C418*VLOOKUP($B418,FoodDB!$A$2:$I$1014,5,0)</f>
        <v>0</v>
      </c>
      <c r="G418">
        <f>$C418*VLOOKUP($B418,FoodDB!$A$2:$I$1014,6,0)</f>
        <v>0</v>
      </c>
      <c r="H418">
        <f>$C418*VLOOKUP($B418,FoodDB!$A$2:$I$1014,7,0)</f>
        <v>0</v>
      </c>
      <c r="I418">
        <f>$C418*VLOOKUP($B418,FoodDB!$A$2:$I$1014,8,0)</f>
        <v>0</v>
      </c>
      <c r="J418">
        <f>$C418*VLOOKUP($B418,FoodDB!$A$2:$I$1014,9,0)</f>
        <v>0</v>
      </c>
    </row>
    <row r="419" spans="1:19" x14ac:dyDescent="0.25">
      <c r="B419" s="99" t="s">
        <v>107</v>
      </c>
      <c r="C419" s="100">
        <v>0</v>
      </c>
      <c r="D419">
        <f>$C419*VLOOKUP($B419,FoodDB!$A$2:$I$1014,3,0)</f>
        <v>0</v>
      </c>
      <c r="E419">
        <f>$C419*VLOOKUP($B419,FoodDB!$A$2:$I$1014,4,0)</f>
        <v>0</v>
      </c>
      <c r="F419">
        <f>$C419*VLOOKUP($B419,FoodDB!$A$2:$I$1014,5,0)</f>
        <v>0</v>
      </c>
      <c r="G419">
        <f>$C419*VLOOKUP($B419,FoodDB!$A$2:$I$1014,6,0)</f>
        <v>0</v>
      </c>
      <c r="H419">
        <f>$C419*VLOOKUP($B419,FoodDB!$A$2:$I$1014,7,0)</f>
        <v>0</v>
      </c>
      <c r="I419">
        <f>$C419*VLOOKUP($B419,FoodDB!$A$2:$I$1014,8,0)</f>
        <v>0</v>
      </c>
      <c r="J419">
        <f>$C419*VLOOKUP($B419,FoodDB!$A$2:$I$1014,9,0)</f>
        <v>0</v>
      </c>
    </row>
    <row r="420" spans="1:19" x14ac:dyDescent="0.25">
      <c r="B420" s="99" t="s">
        <v>107</v>
      </c>
      <c r="C420" s="100">
        <v>0</v>
      </c>
      <c r="D420">
        <f>$C420*VLOOKUP($B420,FoodDB!$A$2:$I$1014,3,0)</f>
        <v>0</v>
      </c>
      <c r="E420">
        <f>$C420*VLOOKUP($B420,FoodDB!$A$2:$I$1014,4,0)</f>
        <v>0</v>
      </c>
      <c r="F420">
        <f>$C420*VLOOKUP($B420,FoodDB!$A$2:$I$1014,5,0)</f>
        <v>0</v>
      </c>
      <c r="G420">
        <f>$C420*VLOOKUP($B420,FoodDB!$A$2:$I$1014,6,0)</f>
        <v>0</v>
      </c>
      <c r="H420">
        <f>$C420*VLOOKUP($B420,FoodDB!$A$2:$I$1014,7,0)</f>
        <v>0</v>
      </c>
      <c r="I420">
        <f>$C420*VLOOKUP($B420,FoodDB!$A$2:$I$1014,8,0)</f>
        <v>0</v>
      </c>
      <c r="J420">
        <f>$C420*VLOOKUP($B420,FoodDB!$A$2:$I$1014,9,0)</f>
        <v>0</v>
      </c>
    </row>
    <row r="421" spans="1:19" x14ac:dyDescent="0.25">
      <c r="A421" t="s">
        <v>97</v>
      </c>
      <c r="G421">
        <f>SUM(G414:G420)</f>
        <v>0</v>
      </c>
      <c r="H421">
        <f>SUM(H414:H420)</f>
        <v>0</v>
      </c>
      <c r="I421">
        <f>SUM(I414:I420)</f>
        <v>0</v>
      </c>
      <c r="J421">
        <f>SUM(G421:I421)</f>
        <v>0</v>
      </c>
    </row>
    <row r="422" spans="1:19" x14ac:dyDescent="0.25">
      <c r="A422" t="s">
        <v>101</v>
      </c>
      <c r="B422" t="s">
        <v>102</v>
      </c>
      <c r="E422" s="103"/>
      <c r="F422" s="103"/>
      <c r="G422" s="103">
        <f>VLOOKUP($A414,LossChart!$A$3:$AB$105,14,0)</f>
        <v>562.66290764939322</v>
      </c>
      <c r="H422" s="103">
        <f>VLOOKUP($A414,LossChart!$A$3:$AB$105,15,0)</f>
        <v>80</v>
      </c>
      <c r="I422" s="103">
        <f>VLOOKUP($A414,LossChart!$A$3:$AB$105,16,0)</f>
        <v>477.30407413615825</v>
      </c>
      <c r="J422" s="103">
        <f>VLOOKUP($A414,LossChart!$A$3:$AB$105,17,0)</f>
        <v>1119.9669817855515</v>
      </c>
      <c r="K422" s="103"/>
    </row>
    <row r="423" spans="1:19" x14ac:dyDescent="0.25">
      <c r="A423" t="s">
        <v>103</v>
      </c>
      <c r="G423">
        <f>G422-G421</f>
        <v>562.66290764939322</v>
      </c>
      <c r="H423">
        <f>H422-H421</f>
        <v>80</v>
      </c>
      <c r="I423">
        <f>I422-I421</f>
        <v>477.30407413615825</v>
      </c>
      <c r="J423">
        <f>J422-J421</f>
        <v>1119.9669817855515</v>
      </c>
    </row>
    <row r="425" spans="1:19" ht="60" x14ac:dyDescent="0.25">
      <c r="A425" s="26" t="s">
        <v>63</v>
      </c>
      <c r="B425" s="26" t="s">
        <v>92</v>
      </c>
      <c r="C425" s="26" t="s">
        <v>93</v>
      </c>
      <c r="D425" s="97" t="str">
        <f>FoodDB!$C$1</f>
        <v>Fat
(g)</v>
      </c>
      <c r="E425" s="97" t="str">
        <f>FoodDB!$D$1</f>
        <v xml:space="preserve"> Carbs
(g)</v>
      </c>
      <c r="F425" s="97" t="str">
        <f>FoodDB!$E$1</f>
        <v>Protein
(g)</v>
      </c>
      <c r="G425" s="97" t="str">
        <f>FoodDB!$F$1</f>
        <v>Fat
(Cal)</v>
      </c>
      <c r="H425" s="97" t="str">
        <f>FoodDB!$G$1</f>
        <v>Carb
(Cal)</v>
      </c>
      <c r="I425" s="97" t="str">
        <f>FoodDB!$H$1</f>
        <v>Protein
(Cal)</v>
      </c>
      <c r="J425" s="97" t="str">
        <f>FoodDB!$I$1</f>
        <v>Total
Calories</v>
      </c>
      <c r="K425" s="97"/>
      <c r="L425" s="97" t="s">
        <v>109</v>
      </c>
      <c r="M425" s="97" t="s">
        <v>110</v>
      </c>
      <c r="N425" s="97" t="s">
        <v>111</v>
      </c>
      <c r="O425" s="97" t="s">
        <v>112</v>
      </c>
      <c r="P425" s="97" t="s">
        <v>117</v>
      </c>
      <c r="Q425" s="97" t="s">
        <v>118</v>
      </c>
      <c r="R425" s="97" t="s">
        <v>119</v>
      </c>
      <c r="S425" s="97" t="s">
        <v>120</v>
      </c>
    </row>
    <row r="426" spans="1:19" x14ac:dyDescent="0.25">
      <c r="A426" s="98">
        <f>A414+1</f>
        <v>43029</v>
      </c>
      <c r="B426" s="99" t="s">
        <v>107</v>
      </c>
      <c r="C426" s="100">
        <v>0</v>
      </c>
      <c r="D426">
        <f>$C426*VLOOKUP($B426,FoodDB!$A$2:$I$1014,3,0)</f>
        <v>0</v>
      </c>
      <c r="E426">
        <f>$C426*VLOOKUP($B426,FoodDB!$A$2:$I$1014,4,0)</f>
        <v>0</v>
      </c>
      <c r="F426">
        <f>$C426*VLOOKUP($B426,FoodDB!$A$2:$I$1014,5,0)</f>
        <v>0</v>
      </c>
      <c r="G426">
        <f>$C426*VLOOKUP($B426,FoodDB!$A$2:$I$1014,6,0)</f>
        <v>0</v>
      </c>
      <c r="H426">
        <f>$C426*VLOOKUP($B426,FoodDB!$A$2:$I$1014,7,0)</f>
        <v>0</v>
      </c>
      <c r="I426">
        <f>$C426*VLOOKUP($B426,FoodDB!$A$2:$I$1014,8,0)</f>
        <v>0</v>
      </c>
      <c r="J426">
        <f>$C426*VLOOKUP($B426,FoodDB!$A$2:$I$1014,9,0)</f>
        <v>0</v>
      </c>
      <c r="L426">
        <f>SUM(G426:G432)</f>
        <v>0</v>
      </c>
      <c r="M426">
        <f>SUM(H426:H432)</f>
        <v>0</v>
      </c>
      <c r="N426">
        <f>SUM(I426:I432)</f>
        <v>0</v>
      </c>
      <c r="O426">
        <f>SUM(L426:N426)</f>
        <v>0</v>
      </c>
      <c r="P426" s="103">
        <f>VLOOKUP($A426,LossChart!$A$3:$AB$105,14,0)-L426</f>
        <v>569.18176939085561</v>
      </c>
      <c r="Q426" s="103">
        <f>VLOOKUP($A426,LossChart!$A$3:$AB$105,15,0)-M426</f>
        <v>80</v>
      </c>
      <c r="R426" s="103">
        <f>VLOOKUP($A426,LossChart!$A$3:$AB$105,16,0)-N426</f>
        <v>477.30407413615825</v>
      </c>
      <c r="S426" s="103">
        <f>VLOOKUP($A426,LossChart!$A$3:$AB$105,17,0)-O426</f>
        <v>1126.4858435270139</v>
      </c>
    </row>
    <row r="427" spans="1:19" x14ac:dyDescent="0.25">
      <c r="B427" s="99" t="s">
        <v>107</v>
      </c>
      <c r="C427" s="100">
        <v>0</v>
      </c>
      <c r="D427">
        <f>$C427*VLOOKUP($B427,FoodDB!$A$2:$I$1014,3,0)</f>
        <v>0</v>
      </c>
      <c r="E427">
        <f>$C427*VLOOKUP($B427,FoodDB!$A$2:$I$1014,4,0)</f>
        <v>0</v>
      </c>
      <c r="F427">
        <f>$C427*VLOOKUP($B427,FoodDB!$A$2:$I$1014,5,0)</f>
        <v>0</v>
      </c>
      <c r="G427">
        <f>$C427*VLOOKUP($B427,FoodDB!$A$2:$I$1014,6,0)</f>
        <v>0</v>
      </c>
      <c r="H427">
        <f>$C427*VLOOKUP($B427,FoodDB!$A$2:$I$1014,7,0)</f>
        <v>0</v>
      </c>
      <c r="I427">
        <f>$C427*VLOOKUP($B427,FoodDB!$A$2:$I$1014,8,0)</f>
        <v>0</v>
      </c>
      <c r="J427">
        <f>$C427*VLOOKUP($B427,FoodDB!$A$2:$I$1014,9,0)</f>
        <v>0</v>
      </c>
    </row>
    <row r="428" spans="1:19" x14ac:dyDescent="0.25">
      <c r="B428" s="99" t="s">
        <v>107</v>
      </c>
      <c r="C428" s="100">
        <v>0</v>
      </c>
      <c r="D428">
        <f>$C428*VLOOKUP($B428,FoodDB!$A$2:$I$1014,3,0)</f>
        <v>0</v>
      </c>
      <c r="E428">
        <f>$C428*VLOOKUP($B428,FoodDB!$A$2:$I$1014,4,0)</f>
        <v>0</v>
      </c>
      <c r="F428">
        <f>$C428*VLOOKUP($B428,FoodDB!$A$2:$I$1014,5,0)</f>
        <v>0</v>
      </c>
      <c r="G428">
        <f>$C428*VLOOKUP($B428,FoodDB!$A$2:$I$1014,6,0)</f>
        <v>0</v>
      </c>
      <c r="H428">
        <f>$C428*VLOOKUP($B428,FoodDB!$A$2:$I$1014,7,0)</f>
        <v>0</v>
      </c>
      <c r="I428">
        <f>$C428*VLOOKUP($B428,FoodDB!$A$2:$I$1014,8,0)</f>
        <v>0</v>
      </c>
      <c r="J428">
        <f>$C428*VLOOKUP($B428,FoodDB!$A$2:$I$1014,9,0)</f>
        <v>0</v>
      </c>
    </row>
    <row r="429" spans="1:19" x14ac:dyDescent="0.25">
      <c r="B429" s="99" t="s">
        <v>107</v>
      </c>
      <c r="C429" s="100">
        <v>0</v>
      </c>
      <c r="D429">
        <f>$C429*VLOOKUP($B429,FoodDB!$A$2:$I$1014,3,0)</f>
        <v>0</v>
      </c>
      <c r="E429">
        <f>$C429*VLOOKUP($B429,FoodDB!$A$2:$I$1014,4,0)</f>
        <v>0</v>
      </c>
      <c r="F429">
        <f>$C429*VLOOKUP($B429,FoodDB!$A$2:$I$1014,5,0)</f>
        <v>0</v>
      </c>
      <c r="G429">
        <f>$C429*VLOOKUP($B429,FoodDB!$A$2:$I$1014,6,0)</f>
        <v>0</v>
      </c>
      <c r="H429">
        <f>$C429*VLOOKUP($B429,FoodDB!$A$2:$I$1014,7,0)</f>
        <v>0</v>
      </c>
      <c r="I429">
        <f>$C429*VLOOKUP($B429,FoodDB!$A$2:$I$1014,8,0)</f>
        <v>0</v>
      </c>
      <c r="J429">
        <f>$C429*VLOOKUP($B429,FoodDB!$A$2:$I$1014,9,0)</f>
        <v>0</v>
      </c>
    </row>
    <row r="430" spans="1:19" x14ac:dyDescent="0.25">
      <c r="B430" s="99" t="s">
        <v>107</v>
      </c>
      <c r="C430" s="100">
        <v>0</v>
      </c>
      <c r="D430">
        <f>$C430*VLOOKUP($B430,FoodDB!$A$2:$I$1014,3,0)</f>
        <v>0</v>
      </c>
      <c r="E430">
        <f>$C430*VLOOKUP($B430,FoodDB!$A$2:$I$1014,4,0)</f>
        <v>0</v>
      </c>
      <c r="F430">
        <f>$C430*VLOOKUP($B430,FoodDB!$A$2:$I$1014,5,0)</f>
        <v>0</v>
      </c>
      <c r="G430">
        <f>$C430*VLOOKUP($B430,FoodDB!$A$2:$I$1014,6,0)</f>
        <v>0</v>
      </c>
      <c r="H430">
        <f>$C430*VLOOKUP($B430,FoodDB!$A$2:$I$1014,7,0)</f>
        <v>0</v>
      </c>
      <c r="I430">
        <f>$C430*VLOOKUP($B430,FoodDB!$A$2:$I$1014,8,0)</f>
        <v>0</v>
      </c>
      <c r="J430">
        <f>$C430*VLOOKUP($B430,FoodDB!$A$2:$I$1014,9,0)</f>
        <v>0</v>
      </c>
    </row>
    <row r="431" spans="1:19" x14ac:dyDescent="0.25">
      <c r="B431" s="99" t="s">
        <v>107</v>
      </c>
      <c r="C431" s="100">
        <v>0</v>
      </c>
      <c r="D431">
        <f>$C431*VLOOKUP($B431,FoodDB!$A$2:$I$1014,3,0)</f>
        <v>0</v>
      </c>
      <c r="E431">
        <f>$C431*VLOOKUP($B431,FoodDB!$A$2:$I$1014,4,0)</f>
        <v>0</v>
      </c>
      <c r="F431">
        <f>$C431*VLOOKUP($B431,FoodDB!$A$2:$I$1014,5,0)</f>
        <v>0</v>
      </c>
      <c r="G431">
        <f>$C431*VLOOKUP($B431,FoodDB!$A$2:$I$1014,6,0)</f>
        <v>0</v>
      </c>
      <c r="H431">
        <f>$C431*VLOOKUP($B431,FoodDB!$A$2:$I$1014,7,0)</f>
        <v>0</v>
      </c>
      <c r="I431">
        <f>$C431*VLOOKUP($B431,FoodDB!$A$2:$I$1014,8,0)</f>
        <v>0</v>
      </c>
      <c r="J431">
        <f>$C431*VLOOKUP($B431,FoodDB!$A$2:$I$1014,9,0)</f>
        <v>0</v>
      </c>
    </row>
    <row r="432" spans="1:19" x14ac:dyDescent="0.25">
      <c r="B432" s="99" t="s">
        <v>107</v>
      </c>
      <c r="C432" s="100">
        <v>0</v>
      </c>
      <c r="D432">
        <f>$C432*VLOOKUP($B432,FoodDB!$A$2:$I$1014,3,0)</f>
        <v>0</v>
      </c>
      <c r="E432">
        <f>$C432*VLOOKUP($B432,FoodDB!$A$2:$I$1014,4,0)</f>
        <v>0</v>
      </c>
      <c r="F432">
        <f>$C432*VLOOKUP($B432,FoodDB!$A$2:$I$1014,5,0)</f>
        <v>0</v>
      </c>
      <c r="G432">
        <f>$C432*VLOOKUP($B432,FoodDB!$A$2:$I$1014,6,0)</f>
        <v>0</v>
      </c>
      <c r="H432">
        <f>$C432*VLOOKUP($B432,FoodDB!$A$2:$I$1014,7,0)</f>
        <v>0</v>
      </c>
      <c r="I432">
        <f>$C432*VLOOKUP($B432,FoodDB!$A$2:$I$1014,8,0)</f>
        <v>0</v>
      </c>
      <c r="J432">
        <f>$C432*VLOOKUP($B432,FoodDB!$A$2:$I$1014,9,0)</f>
        <v>0</v>
      </c>
    </row>
    <row r="433" spans="1:19" x14ac:dyDescent="0.25">
      <c r="A433" t="s">
        <v>97</v>
      </c>
      <c r="G433">
        <f>SUM(G426:G432)</f>
        <v>0</v>
      </c>
      <c r="H433">
        <f>SUM(H426:H432)</f>
        <v>0</v>
      </c>
      <c r="I433">
        <f>SUM(I426:I432)</f>
        <v>0</v>
      </c>
      <c r="J433">
        <f>SUM(G433:I433)</f>
        <v>0</v>
      </c>
    </row>
    <row r="434" spans="1:19" x14ac:dyDescent="0.25">
      <c r="A434" t="s">
        <v>101</v>
      </c>
      <c r="B434" t="s">
        <v>102</v>
      </c>
      <c r="E434" s="103"/>
      <c r="F434" s="103"/>
      <c r="G434" s="103">
        <f>VLOOKUP($A426,LossChart!$A$3:$AB$105,14,0)</f>
        <v>569.18176939085561</v>
      </c>
      <c r="H434" s="103">
        <f>VLOOKUP($A426,LossChart!$A$3:$AB$105,15,0)</f>
        <v>80</v>
      </c>
      <c r="I434" s="103">
        <f>VLOOKUP($A426,LossChart!$A$3:$AB$105,16,0)</f>
        <v>477.30407413615825</v>
      </c>
      <c r="J434" s="103">
        <f>VLOOKUP($A426,LossChart!$A$3:$AB$105,17,0)</f>
        <v>1126.4858435270139</v>
      </c>
      <c r="K434" s="103"/>
    </row>
    <row r="435" spans="1:19" x14ac:dyDescent="0.25">
      <c r="A435" t="s">
        <v>103</v>
      </c>
      <c r="G435">
        <f>G434-G433</f>
        <v>569.18176939085561</v>
      </c>
      <c r="H435">
        <f>H434-H433</f>
        <v>80</v>
      </c>
      <c r="I435">
        <f>I434-I433</f>
        <v>477.30407413615825</v>
      </c>
      <c r="J435">
        <f>J434-J433</f>
        <v>1126.4858435270139</v>
      </c>
    </row>
    <row r="437" spans="1:19" ht="60" x14ac:dyDescent="0.25">
      <c r="A437" s="26" t="s">
        <v>63</v>
      </c>
      <c r="B437" s="26" t="s">
        <v>92</v>
      </c>
      <c r="C437" s="26" t="s">
        <v>93</v>
      </c>
      <c r="D437" s="97" t="str">
        <f>FoodDB!$C$1</f>
        <v>Fat
(g)</v>
      </c>
      <c r="E437" s="97" t="str">
        <f>FoodDB!$D$1</f>
        <v xml:space="preserve"> Carbs
(g)</v>
      </c>
      <c r="F437" s="97" t="str">
        <f>FoodDB!$E$1</f>
        <v>Protein
(g)</v>
      </c>
      <c r="G437" s="97" t="str">
        <f>FoodDB!$F$1</f>
        <v>Fat
(Cal)</v>
      </c>
      <c r="H437" s="97" t="str">
        <f>FoodDB!$G$1</f>
        <v>Carb
(Cal)</v>
      </c>
      <c r="I437" s="97" t="str">
        <f>FoodDB!$H$1</f>
        <v>Protein
(Cal)</v>
      </c>
      <c r="J437" s="97" t="str">
        <f>FoodDB!$I$1</f>
        <v>Total
Calories</v>
      </c>
      <c r="K437" s="97"/>
      <c r="L437" s="97" t="s">
        <v>109</v>
      </c>
      <c r="M437" s="97" t="s">
        <v>110</v>
      </c>
      <c r="N437" s="97" t="s">
        <v>111</v>
      </c>
      <c r="O437" s="97" t="s">
        <v>112</v>
      </c>
      <c r="P437" s="97" t="s">
        <v>117</v>
      </c>
      <c r="Q437" s="97" t="s">
        <v>118</v>
      </c>
      <c r="R437" s="97" t="s">
        <v>119</v>
      </c>
      <c r="S437" s="97" t="s">
        <v>120</v>
      </c>
    </row>
    <row r="438" spans="1:19" x14ac:dyDescent="0.25">
      <c r="A438" s="98">
        <f>A426+1</f>
        <v>43030</v>
      </c>
      <c r="B438" s="99" t="s">
        <v>107</v>
      </c>
      <c r="C438" s="100">
        <v>0</v>
      </c>
      <c r="D438">
        <f>$C438*VLOOKUP($B438,FoodDB!$A$2:$I$1014,3,0)</f>
        <v>0</v>
      </c>
      <c r="E438">
        <f>$C438*VLOOKUP($B438,FoodDB!$A$2:$I$1014,4,0)</f>
        <v>0</v>
      </c>
      <c r="F438">
        <f>$C438*VLOOKUP($B438,FoodDB!$A$2:$I$1014,5,0)</f>
        <v>0</v>
      </c>
      <c r="G438">
        <f>$C438*VLOOKUP($B438,FoodDB!$A$2:$I$1014,6,0)</f>
        <v>0</v>
      </c>
      <c r="H438">
        <f>$C438*VLOOKUP($B438,FoodDB!$A$2:$I$1014,7,0)</f>
        <v>0</v>
      </c>
      <c r="I438">
        <f>$C438*VLOOKUP($B438,FoodDB!$A$2:$I$1014,8,0)</f>
        <v>0</v>
      </c>
      <c r="J438">
        <f>$C438*VLOOKUP($B438,FoodDB!$A$2:$I$1014,9,0)</f>
        <v>0</v>
      </c>
      <c r="L438">
        <f>SUM(G438:G444)</f>
        <v>0</v>
      </c>
      <c r="M438">
        <f>SUM(H438:H444)</f>
        <v>0</v>
      </c>
      <c r="N438">
        <f>SUM(I438:I444)</f>
        <v>0</v>
      </c>
      <c r="O438">
        <f>SUM(L438:N438)</f>
        <v>0</v>
      </c>
      <c r="P438" s="103">
        <f>VLOOKUP($A438,LossChart!$A$3:$AB$105,14,0)-L438</f>
        <v>575.64289264260833</v>
      </c>
      <c r="Q438" s="103">
        <f>VLOOKUP($A438,LossChart!$A$3:$AB$105,15,0)-M438</f>
        <v>80</v>
      </c>
      <c r="R438" s="103">
        <f>VLOOKUP($A438,LossChart!$A$3:$AB$105,16,0)-N438</f>
        <v>477.30407413615825</v>
      </c>
      <c r="S438" s="103">
        <f>VLOOKUP($A438,LossChart!$A$3:$AB$105,17,0)-O438</f>
        <v>1132.9469667787666</v>
      </c>
    </row>
    <row r="439" spans="1:19" x14ac:dyDescent="0.25">
      <c r="B439" s="99" t="s">
        <v>107</v>
      </c>
      <c r="C439" s="100">
        <v>0</v>
      </c>
      <c r="D439">
        <f>$C439*VLOOKUP($B439,FoodDB!$A$2:$I$1014,3,0)</f>
        <v>0</v>
      </c>
      <c r="E439">
        <f>$C439*VLOOKUP($B439,FoodDB!$A$2:$I$1014,4,0)</f>
        <v>0</v>
      </c>
      <c r="F439">
        <f>$C439*VLOOKUP($B439,FoodDB!$A$2:$I$1014,5,0)</f>
        <v>0</v>
      </c>
      <c r="G439">
        <f>$C439*VLOOKUP($B439,FoodDB!$A$2:$I$1014,6,0)</f>
        <v>0</v>
      </c>
      <c r="H439">
        <f>$C439*VLOOKUP($B439,FoodDB!$A$2:$I$1014,7,0)</f>
        <v>0</v>
      </c>
      <c r="I439">
        <f>$C439*VLOOKUP($B439,FoodDB!$A$2:$I$1014,8,0)</f>
        <v>0</v>
      </c>
      <c r="J439">
        <f>$C439*VLOOKUP($B439,FoodDB!$A$2:$I$1014,9,0)</f>
        <v>0</v>
      </c>
    </row>
    <row r="440" spans="1:19" x14ac:dyDescent="0.25">
      <c r="B440" s="99" t="s">
        <v>107</v>
      </c>
      <c r="C440" s="100">
        <v>0</v>
      </c>
      <c r="D440">
        <f>$C440*VLOOKUP($B440,FoodDB!$A$2:$I$1014,3,0)</f>
        <v>0</v>
      </c>
      <c r="E440">
        <f>$C440*VLOOKUP($B440,FoodDB!$A$2:$I$1014,4,0)</f>
        <v>0</v>
      </c>
      <c r="F440">
        <f>$C440*VLOOKUP($B440,FoodDB!$A$2:$I$1014,5,0)</f>
        <v>0</v>
      </c>
      <c r="G440">
        <f>$C440*VLOOKUP($B440,FoodDB!$A$2:$I$1014,6,0)</f>
        <v>0</v>
      </c>
      <c r="H440">
        <f>$C440*VLOOKUP($B440,FoodDB!$A$2:$I$1014,7,0)</f>
        <v>0</v>
      </c>
      <c r="I440">
        <f>$C440*VLOOKUP($B440,FoodDB!$A$2:$I$1014,8,0)</f>
        <v>0</v>
      </c>
      <c r="J440">
        <f>$C440*VLOOKUP($B440,FoodDB!$A$2:$I$1014,9,0)</f>
        <v>0</v>
      </c>
    </row>
    <row r="441" spans="1:19" x14ac:dyDescent="0.25">
      <c r="B441" s="99" t="s">
        <v>107</v>
      </c>
      <c r="C441" s="100">
        <v>0</v>
      </c>
      <c r="D441">
        <f>$C441*VLOOKUP($B441,FoodDB!$A$2:$I$1014,3,0)</f>
        <v>0</v>
      </c>
      <c r="E441">
        <f>$C441*VLOOKUP($B441,FoodDB!$A$2:$I$1014,4,0)</f>
        <v>0</v>
      </c>
      <c r="F441">
        <f>$C441*VLOOKUP($B441,FoodDB!$A$2:$I$1014,5,0)</f>
        <v>0</v>
      </c>
      <c r="G441">
        <f>$C441*VLOOKUP($B441,FoodDB!$A$2:$I$1014,6,0)</f>
        <v>0</v>
      </c>
      <c r="H441">
        <f>$C441*VLOOKUP($B441,FoodDB!$A$2:$I$1014,7,0)</f>
        <v>0</v>
      </c>
      <c r="I441">
        <f>$C441*VLOOKUP($B441,FoodDB!$A$2:$I$1014,8,0)</f>
        <v>0</v>
      </c>
      <c r="J441">
        <f>$C441*VLOOKUP($B441,FoodDB!$A$2:$I$1014,9,0)</f>
        <v>0</v>
      </c>
    </row>
    <row r="442" spans="1:19" x14ac:dyDescent="0.25">
      <c r="B442" s="99" t="s">
        <v>107</v>
      </c>
      <c r="C442" s="100">
        <v>0</v>
      </c>
      <c r="D442">
        <f>$C442*VLOOKUP($B442,FoodDB!$A$2:$I$1014,3,0)</f>
        <v>0</v>
      </c>
      <c r="E442">
        <f>$C442*VLOOKUP($B442,FoodDB!$A$2:$I$1014,4,0)</f>
        <v>0</v>
      </c>
      <c r="F442">
        <f>$C442*VLOOKUP($B442,FoodDB!$A$2:$I$1014,5,0)</f>
        <v>0</v>
      </c>
      <c r="G442">
        <f>$C442*VLOOKUP($B442,FoodDB!$A$2:$I$1014,6,0)</f>
        <v>0</v>
      </c>
      <c r="H442">
        <f>$C442*VLOOKUP($B442,FoodDB!$A$2:$I$1014,7,0)</f>
        <v>0</v>
      </c>
      <c r="I442">
        <f>$C442*VLOOKUP($B442,FoodDB!$A$2:$I$1014,8,0)</f>
        <v>0</v>
      </c>
      <c r="J442">
        <f>$C442*VLOOKUP($B442,FoodDB!$A$2:$I$1014,9,0)</f>
        <v>0</v>
      </c>
    </row>
    <row r="443" spans="1:19" x14ac:dyDescent="0.25">
      <c r="B443" s="99" t="s">
        <v>107</v>
      </c>
      <c r="C443" s="100">
        <v>0</v>
      </c>
      <c r="D443">
        <f>$C443*VLOOKUP($B443,FoodDB!$A$2:$I$1014,3,0)</f>
        <v>0</v>
      </c>
      <c r="E443">
        <f>$C443*VLOOKUP($B443,FoodDB!$A$2:$I$1014,4,0)</f>
        <v>0</v>
      </c>
      <c r="F443">
        <f>$C443*VLOOKUP($B443,FoodDB!$A$2:$I$1014,5,0)</f>
        <v>0</v>
      </c>
      <c r="G443">
        <f>$C443*VLOOKUP($B443,FoodDB!$A$2:$I$1014,6,0)</f>
        <v>0</v>
      </c>
      <c r="H443">
        <f>$C443*VLOOKUP($B443,FoodDB!$A$2:$I$1014,7,0)</f>
        <v>0</v>
      </c>
      <c r="I443">
        <f>$C443*VLOOKUP($B443,FoodDB!$A$2:$I$1014,8,0)</f>
        <v>0</v>
      </c>
      <c r="J443">
        <f>$C443*VLOOKUP($B443,FoodDB!$A$2:$I$1014,9,0)</f>
        <v>0</v>
      </c>
    </row>
    <row r="444" spans="1:19" x14ac:dyDescent="0.25">
      <c r="B444" s="99" t="s">
        <v>107</v>
      </c>
      <c r="C444" s="100">
        <v>0</v>
      </c>
      <c r="D444">
        <f>$C444*VLOOKUP($B444,FoodDB!$A$2:$I$1014,3,0)</f>
        <v>0</v>
      </c>
      <c r="E444">
        <f>$C444*VLOOKUP($B444,FoodDB!$A$2:$I$1014,4,0)</f>
        <v>0</v>
      </c>
      <c r="F444">
        <f>$C444*VLOOKUP($B444,FoodDB!$A$2:$I$1014,5,0)</f>
        <v>0</v>
      </c>
      <c r="G444">
        <f>$C444*VLOOKUP($B444,FoodDB!$A$2:$I$1014,6,0)</f>
        <v>0</v>
      </c>
      <c r="H444">
        <f>$C444*VLOOKUP($B444,FoodDB!$A$2:$I$1014,7,0)</f>
        <v>0</v>
      </c>
      <c r="I444">
        <f>$C444*VLOOKUP($B444,FoodDB!$A$2:$I$1014,8,0)</f>
        <v>0</v>
      </c>
      <c r="J444">
        <f>$C444*VLOOKUP($B444,FoodDB!$A$2:$I$1014,9,0)</f>
        <v>0</v>
      </c>
    </row>
    <row r="445" spans="1:19" x14ac:dyDescent="0.25">
      <c r="A445" t="s">
        <v>97</v>
      </c>
      <c r="G445">
        <f>SUM(G438:G444)</f>
        <v>0</v>
      </c>
      <c r="H445">
        <f>SUM(H438:H444)</f>
        <v>0</v>
      </c>
      <c r="I445">
        <f>SUM(I438:I444)</f>
        <v>0</v>
      </c>
      <c r="J445">
        <f>SUM(G445:I445)</f>
        <v>0</v>
      </c>
    </row>
    <row r="446" spans="1:19" x14ac:dyDescent="0.25">
      <c r="A446" t="s">
        <v>101</v>
      </c>
      <c r="B446" t="s">
        <v>102</v>
      </c>
      <c r="E446" s="103"/>
      <c r="F446" s="103"/>
      <c r="G446" s="103">
        <f>VLOOKUP($A438,LossChart!$A$3:$AB$105,14,0)</f>
        <v>575.64289264260833</v>
      </c>
      <c r="H446" s="103">
        <f>VLOOKUP($A438,LossChart!$A$3:$AB$105,15,0)</f>
        <v>80</v>
      </c>
      <c r="I446" s="103">
        <f>VLOOKUP($A438,LossChart!$A$3:$AB$105,16,0)</f>
        <v>477.30407413615825</v>
      </c>
      <c r="J446" s="103">
        <f>VLOOKUP($A438,LossChart!$A$3:$AB$105,17,0)</f>
        <v>1132.9469667787666</v>
      </c>
      <c r="K446" s="103"/>
    </row>
    <row r="447" spans="1:19" x14ac:dyDescent="0.25">
      <c r="A447" t="s">
        <v>103</v>
      </c>
      <c r="G447">
        <f>G446-G445</f>
        <v>575.64289264260833</v>
      </c>
      <c r="H447">
        <f>H446-H445</f>
        <v>80</v>
      </c>
      <c r="I447">
        <f>I446-I445</f>
        <v>477.30407413615825</v>
      </c>
      <c r="J447">
        <f>J446-J445</f>
        <v>1132.9469667787666</v>
      </c>
    </row>
    <row r="449" spans="1:19" ht="60" x14ac:dyDescent="0.25">
      <c r="A449" s="26" t="s">
        <v>63</v>
      </c>
      <c r="B449" s="26" t="s">
        <v>92</v>
      </c>
      <c r="C449" s="26" t="s">
        <v>93</v>
      </c>
      <c r="D449" s="97" t="str">
        <f>FoodDB!$C$1</f>
        <v>Fat
(g)</v>
      </c>
      <c r="E449" s="97" t="str">
        <f>FoodDB!$D$1</f>
        <v xml:space="preserve"> Carbs
(g)</v>
      </c>
      <c r="F449" s="97" t="str">
        <f>FoodDB!$E$1</f>
        <v>Protein
(g)</v>
      </c>
      <c r="G449" s="97" t="str">
        <f>FoodDB!$F$1</f>
        <v>Fat
(Cal)</v>
      </c>
      <c r="H449" s="97" t="str">
        <f>FoodDB!$G$1</f>
        <v>Carb
(Cal)</v>
      </c>
      <c r="I449" s="97" t="str">
        <f>FoodDB!$H$1</f>
        <v>Protein
(Cal)</v>
      </c>
      <c r="J449" s="97" t="str">
        <f>FoodDB!$I$1</f>
        <v>Total
Calories</v>
      </c>
      <c r="K449" s="97"/>
      <c r="L449" s="97" t="s">
        <v>109</v>
      </c>
      <c r="M449" s="97" t="s">
        <v>110</v>
      </c>
      <c r="N449" s="97" t="s">
        <v>111</v>
      </c>
      <c r="O449" s="97" t="s">
        <v>112</v>
      </c>
      <c r="P449" s="97" t="s">
        <v>117</v>
      </c>
      <c r="Q449" s="97" t="s">
        <v>118</v>
      </c>
      <c r="R449" s="97" t="s">
        <v>119</v>
      </c>
      <c r="S449" s="97" t="s">
        <v>120</v>
      </c>
    </row>
    <row r="450" spans="1:19" x14ac:dyDescent="0.25">
      <c r="A450" s="98">
        <f>A438+1</f>
        <v>43031</v>
      </c>
      <c r="B450" s="99" t="s">
        <v>107</v>
      </c>
      <c r="C450" s="100">
        <v>0</v>
      </c>
      <c r="D450">
        <f>$C450*VLOOKUP($B450,FoodDB!$A$2:$I$1014,3,0)</f>
        <v>0</v>
      </c>
      <c r="E450">
        <f>$C450*VLOOKUP($B450,FoodDB!$A$2:$I$1014,4,0)</f>
        <v>0</v>
      </c>
      <c r="F450">
        <f>$C450*VLOOKUP($B450,FoodDB!$A$2:$I$1014,5,0)</f>
        <v>0</v>
      </c>
      <c r="G450">
        <f>$C450*VLOOKUP($B450,FoodDB!$A$2:$I$1014,6,0)</f>
        <v>0</v>
      </c>
      <c r="H450">
        <f>$C450*VLOOKUP($B450,FoodDB!$A$2:$I$1014,7,0)</f>
        <v>0</v>
      </c>
      <c r="I450">
        <f>$C450*VLOOKUP($B450,FoodDB!$A$2:$I$1014,8,0)</f>
        <v>0</v>
      </c>
      <c r="J450">
        <f>$C450*VLOOKUP($B450,FoodDB!$A$2:$I$1014,9,0)</f>
        <v>0</v>
      </c>
      <c r="L450">
        <f>SUM(G450:G456)</f>
        <v>0</v>
      </c>
      <c r="M450">
        <f>SUM(H450:H456)</f>
        <v>0</v>
      </c>
      <c r="N450">
        <f>SUM(I450:I456)</f>
        <v>0</v>
      </c>
      <c r="O450">
        <f>SUM(L450:N450)</f>
        <v>0</v>
      </c>
      <c r="P450" s="103">
        <f>VLOOKUP($A450,LossChart!$A$3:$AB$105,14,0)-L450</f>
        <v>582.04678880270262</v>
      </c>
      <c r="Q450" s="103">
        <f>VLOOKUP($A450,LossChart!$A$3:$AB$105,15,0)-M450</f>
        <v>80</v>
      </c>
      <c r="R450" s="103">
        <f>VLOOKUP($A450,LossChart!$A$3:$AB$105,16,0)-N450</f>
        <v>477.30407413615825</v>
      </c>
      <c r="S450" s="103">
        <f>VLOOKUP($A450,LossChart!$A$3:$AB$105,17,0)-O450</f>
        <v>1139.3508629388609</v>
      </c>
    </row>
    <row r="451" spans="1:19" x14ac:dyDescent="0.25">
      <c r="B451" s="99" t="s">
        <v>107</v>
      </c>
      <c r="C451" s="100">
        <v>0</v>
      </c>
      <c r="D451">
        <f>$C451*VLOOKUP($B451,FoodDB!$A$2:$I$1014,3,0)</f>
        <v>0</v>
      </c>
      <c r="E451">
        <f>$C451*VLOOKUP($B451,FoodDB!$A$2:$I$1014,4,0)</f>
        <v>0</v>
      </c>
      <c r="F451">
        <f>$C451*VLOOKUP($B451,FoodDB!$A$2:$I$1014,5,0)</f>
        <v>0</v>
      </c>
      <c r="G451">
        <f>$C451*VLOOKUP($B451,FoodDB!$A$2:$I$1014,6,0)</f>
        <v>0</v>
      </c>
      <c r="H451">
        <f>$C451*VLOOKUP($B451,FoodDB!$A$2:$I$1014,7,0)</f>
        <v>0</v>
      </c>
      <c r="I451">
        <f>$C451*VLOOKUP($B451,FoodDB!$A$2:$I$1014,8,0)</f>
        <v>0</v>
      </c>
      <c r="J451">
        <f>$C451*VLOOKUP($B451,FoodDB!$A$2:$I$1014,9,0)</f>
        <v>0</v>
      </c>
    </row>
    <row r="452" spans="1:19" x14ac:dyDescent="0.25">
      <c r="B452" s="99" t="s">
        <v>107</v>
      </c>
      <c r="C452" s="100">
        <v>0</v>
      </c>
      <c r="D452">
        <f>$C452*VLOOKUP($B452,FoodDB!$A$2:$I$1014,3,0)</f>
        <v>0</v>
      </c>
      <c r="E452">
        <f>$C452*VLOOKUP($B452,FoodDB!$A$2:$I$1014,4,0)</f>
        <v>0</v>
      </c>
      <c r="F452">
        <f>$C452*VLOOKUP($B452,FoodDB!$A$2:$I$1014,5,0)</f>
        <v>0</v>
      </c>
      <c r="G452">
        <f>$C452*VLOOKUP($B452,FoodDB!$A$2:$I$1014,6,0)</f>
        <v>0</v>
      </c>
      <c r="H452">
        <f>$C452*VLOOKUP($B452,FoodDB!$A$2:$I$1014,7,0)</f>
        <v>0</v>
      </c>
      <c r="I452">
        <f>$C452*VLOOKUP($B452,FoodDB!$A$2:$I$1014,8,0)</f>
        <v>0</v>
      </c>
      <c r="J452">
        <f>$C452*VLOOKUP($B452,FoodDB!$A$2:$I$1014,9,0)</f>
        <v>0</v>
      </c>
    </row>
    <row r="453" spans="1:19" x14ac:dyDescent="0.25">
      <c r="B453" s="99" t="s">
        <v>107</v>
      </c>
      <c r="C453" s="100">
        <v>0</v>
      </c>
      <c r="D453">
        <f>$C453*VLOOKUP($B453,FoodDB!$A$2:$I$1014,3,0)</f>
        <v>0</v>
      </c>
      <c r="E453">
        <f>$C453*VLOOKUP($B453,FoodDB!$A$2:$I$1014,4,0)</f>
        <v>0</v>
      </c>
      <c r="F453">
        <f>$C453*VLOOKUP($B453,FoodDB!$A$2:$I$1014,5,0)</f>
        <v>0</v>
      </c>
      <c r="G453">
        <f>$C453*VLOOKUP($B453,FoodDB!$A$2:$I$1014,6,0)</f>
        <v>0</v>
      </c>
      <c r="H453">
        <f>$C453*VLOOKUP($B453,FoodDB!$A$2:$I$1014,7,0)</f>
        <v>0</v>
      </c>
      <c r="I453">
        <f>$C453*VLOOKUP($B453,FoodDB!$A$2:$I$1014,8,0)</f>
        <v>0</v>
      </c>
      <c r="J453">
        <f>$C453*VLOOKUP($B453,FoodDB!$A$2:$I$1014,9,0)</f>
        <v>0</v>
      </c>
    </row>
    <row r="454" spans="1:19" x14ac:dyDescent="0.25">
      <c r="B454" s="99" t="s">
        <v>107</v>
      </c>
      <c r="C454" s="100">
        <v>0</v>
      </c>
      <c r="D454">
        <f>$C454*VLOOKUP($B454,FoodDB!$A$2:$I$1014,3,0)</f>
        <v>0</v>
      </c>
      <c r="E454">
        <f>$C454*VLOOKUP($B454,FoodDB!$A$2:$I$1014,4,0)</f>
        <v>0</v>
      </c>
      <c r="F454">
        <f>$C454*VLOOKUP($B454,FoodDB!$A$2:$I$1014,5,0)</f>
        <v>0</v>
      </c>
      <c r="G454">
        <f>$C454*VLOOKUP($B454,FoodDB!$A$2:$I$1014,6,0)</f>
        <v>0</v>
      </c>
      <c r="H454">
        <f>$C454*VLOOKUP($B454,FoodDB!$A$2:$I$1014,7,0)</f>
        <v>0</v>
      </c>
      <c r="I454">
        <f>$C454*VLOOKUP($B454,FoodDB!$A$2:$I$1014,8,0)</f>
        <v>0</v>
      </c>
      <c r="J454">
        <f>$C454*VLOOKUP($B454,FoodDB!$A$2:$I$1014,9,0)</f>
        <v>0</v>
      </c>
    </row>
    <row r="455" spans="1:19" x14ac:dyDescent="0.25">
      <c r="B455" s="99" t="s">
        <v>107</v>
      </c>
      <c r="C455" s="100">
        <v>0</v>
      </c>
      <c r="D455">
        <f>$C455*VLOOKUP($B455,FoodDB!$A$2:$I$1014,3,0)</f>
        <v>0</v>
      </c>
      <c r="E455">
        <f>$C455*VLOOKUP($B455,FoodDB!$A$2:$I$1014,4,0)</f>
        <v>0</v>
      </c>
      <c r="F455">
        <f>$C455*VLOOKUP($B455,FoodDB!$A$2:$I$1014,5,0)</f>
        <v>0</v>
      </c>
      <c r="G455">
        <f>$C455*VLOOKUP($B455,FoodDB!$A$2:$I$1014,6,0)</f>
        <v>0</v>
      </c>
      <c r="H455">
        <f>$C455*VLOOKUP($B455,FoodDB!$A$2:$I$1014,7,0)</f>
        <v>0</v>
      </c>
      <c r="I455">
        <f>$C455*VLOOKUP($B455,FoodDB!$A$2:$I$1014,8,0)</f>
        <v>0</v>
      </c>
      <c r="J455">
        <f>$C455*VLOOKUP($B455,FoodDB!$A$2:$I$1014,9,0)</f>
        <v>0</v>
      </c>
    </row>
    <row r="456" spans="1:19" x14ac:dyDescent="0.25">
      <c r="B456" s="99" t="s">
        <v>107</v>
      </c>
      <c r="C456" s="100">
        <v>0</v>
      </c>
      <c r="D456">
        <f>$C456*VLOOKUP($B456,FoodDB!$A$2:$I$1014,3,0)</f>
        <v>0</v>
      </c>
      <c r="E456">
        <f>$C456*VLOOKUP($B456,FoodDB!$A$2:$I$1014,4,0)</f>
        <v>0</v>
      </c>
      <c r="F456">
        <f>$C456*VLOOKUP($B456,FoodDB!$A$2:$I$1014,5,0)</f>
        <v>0</v>
      </c>
      <c r="G456">
        <f>$C456*VLOOKUP($B456,FoodDB!$A$2:$I$1014,6,0)</f>
        <v>0</v>
      </c>
      <c r="H456">
        <f>$C456*VLOOKUP($B456,FoodDB!$A$2:$I$1014,7,0)</f>
        <v>0</v>
      </c>
      <c r="I456">
        <f>$C456*VLOOKUP($B456,FoodDB!$A$2:$I$1014,8,0)</f>
        <v>0</v>
      </c>
      <c r="J456">
        <f>$C456*VLOOKUP($B456,FoodDB!$A$2:$I$1014,9,0)</f>
        <v>0</v>
      </c>
    </row>
    <row r="457" spans="1:19" x14ac:dyDescent="0.25">
      <c r="A457" t="s">
        <v>97</v>
      </c>
      <c r="G457">
        <f>SUM(G450:G456)</f>
        <v>0</v>
      </c>
      <c r="H457">
        <f>SUM(H450:H456)</f>
        <v>0</v>
      </c>
      <c r="I457">
        <f>SUM(I450:I456)</f>
        <v>0</v>
      </c>
      <c r="J457">
        <f>SUM(G457:I457)</f>
        <v>0</v>
      </c>
    </row>
    <row r="458" spans="1:19" x14ac:dyDescent="0.25">
      <c r="A458" t="s">
        <v>101</v>
      </c>
      <c r="B458" t="s">
        <v>102</v>
      </c>
      <c r="E458" s="103"/>
      <c r="F458" s="103"/>
      <c r="G458" s="103">
        <f>VLOOKUP($A450,LossChart!$A$3:$AB$105,14,0)</f>
        <v>582.04678880270262</v>
      </c>
      <c r="H458" s="103">
        <f>VLOOKUP($A450,LossChart!$A$3:$AB$105,15,0)</f>
        <v>80</v>
      </c>
      <c r="I458" s="103">
        <f>VLOOKUP($A450,LossChart!$A$3:$AB$105,16,0)</f>
        <v>477.30407413615825</v>
      </c>
      <c r="J458" s="103">
        <f>VLOOKUP($A450,LossChart!$A$3:$AB$105,17,0)</f>
        <v>1139.3508629388609</v>
      </c>
      <c r="K458" s="103"/>
    </row>
    <row r="459" spans="1:19" x14ac:dyDescent="0.25">
      <c r="A459" t="s">
        <v>103</v>
      </c>
      <c r="G459">
        <f>G458-G457</f>
        <v>582.04678880270262</v>
      </c>
      <c r="H459">
        <f>H458-H457</f>
        <v>80</v>
      </c>
      <c r="I459">
        <f>I458-I457</f>
        <v>477.30407413615825</v>
      </c>
      <c r="J459">
        <f>J458-J457</f>
        <v>1139.3508629388609</v>
      </c>
    </row>
    <row r="461" spans="1:19" ht="60" x14ac:dyDescent="0.25">
      <c r="A461" s="26" t="s">
        <v>63</v>
      </c>
      <c r="B461" s="26" t="s">
        <v>92</v>
      </c>
      <c r="C461" s="26" t="s">
        <v>93</v>
      </c>
      <c r="D461" s="97" t="str">
        <f>FoodDB!$C$1</f>
        <v>Fat
(g)</v>
      </c>
      <c r="E461" s="97" t="str">
        <f>FoodDB!$D$1</f>
        <v xml:space="preserve"> Carbs
(g)</v>
      </c>
      <c r="F461" s="97" t="str">
        <f>FoodDB!$E$1</f>
        <v>Protein
(g)</v>
      </c>
      <c r="G461" s="97" t="str">
        <f>FoodDB!$F$1</f>
        <v>Fat
(Cal)</v>
      </c>
      <c r="H461" s="97" t="str">
        <f>FoodDB!$G$1</f>
        <v>Carb
(Cal)</v>
      </c>
      <c r="I461" s="97" t="str">
        <f>FoodDB!$H$1</f>
        <v>Protein
(Cal)</v>
      </c>
      <c r="J461" s="97" t="str">
        <f>FoodDB!$I$1</f>
        <v>Total
Calories</v>
      </c>
      <c r="K461" s="97"/>
      <c r="L461" s="97" t="s">
        <v>109</v>
      </c>
      <c r="M461" s="97" t="s">
        <v>110</v>
      </c>
      <c r="N461" s="97" t="s">
        <v>111</v>
      </c>
      <c r="O461" s="97" t="s">
        <v>112</v>
      </c>
      <c r="P461" s="97" t="s">
        <v>117</v>
      </c>
      <c r="Q461" s="97" t="s">
        <v>118</v>
      </c>
      <c r="R461" s="97" t="s">
        <v>119</v>
      </c>
      <c r="S461" s="97" t="s">
        <v>120</v>
      </c>
    </row>
    <row r="462" spans="1:19" x14ac:dyDescent="0.25">
      <c r="A462" s="98">
        <f>A450+1</f>
        <v>43032</v>
      </c>
      <c r="B462" s="99" t="s">
        <v>107</v>
      </c>
      <c r="C462" s="100">
        <v>0</v>
      </c>
      <c r="D462">
        <f>$C462*VLOOKUP($B462,FoodDB!$A$2:$I$1014,3,0)</f>
        <v>0</v>
      </c>
      <c r="E462">
        <f>$C462*VLOOKUP($B462,FoodDB!$A$2:$I$1014,4,0)</f>
        <v>0</v>
      </c>
      <c r="F462">
        <f>$C462*VLOOKUP($B462,FoodDB!$A$2:$I$1014,5,0)</f>
        <v>0</v>
      </c>
      <c r="G462">
        <f>$C462*VLOOKUP($B462,FoodDB!$A$2:$I$1014,6,0)</f>
        <v>0</v>
      </c>
      <c r="H462">
        <f>$C462*VLOOKUP($B462,FoodDB!$A$2:$I$1014,7,0)</f>
        <v>0</v>
      </c>
      <c r="I462">
        <f>$C462*VLOOKUP($B462,FoodDB!$A$2:$I$1014,8,0)</f>
        <v>0</v>
      </c>
      <c r="J462">
        <f>$C462*VLOOKUP($B462,FoodDB!$A$2:$I$1014,9,0)</f>
        <v>0</v>
      </c>
      <c r="L462">
        <f>SUM(G462:G468)</f>
        <v>0</v>
      </c>
      <c r="M462">
        <f>SUM(H462:H468)</f>
        <v>0</v>
      </c>
      <c r="N462">
        <f>SUM(I462:I468)</f>
        <v>0</v>
      </c>
      <c r="O462">
        <f>SUM(L462:N462)</f>
        <v>0</v>
      </c>
      <c r="P462" s="103">
        <f>VLOOKUP($A462,LossChart!$A$3:$AB$105,14,0)-L462</f>
        <v>588.39396473966463</v>
      </c>
      <c r="Q462" s="103">
        <f>VLOOKUP($A462,LossChart!$A$3:$AB$105,15,0)-M462</f>
        <v>80</v>
      </c>
      <c r="R462" s="103">
        <f>VLOOKUP($A462,LossChart!$A$3:$AB$105,16,0)-N462</f>
        <v>477.30407413615825</v>
      </c>
      <c r="S462" s="103">
        <f>VLOOKUP($A462,LossChart!$A$3:$AB$105,17,0)-O462</f>
        <v>1145.6980388758229</v>
      </c>
    </row>
    <row r="463" spans="1:19" x14ac:dyDescent="0.25">
      <c r="B463" s="99" t="s">
        <v>107</v>
      </c>
      <c r="C463" s="100">
        <v>0</v>
      </c>
      <c r="D463">
        <f>$C463*VLOOKUP($B463,FoodDB!$A$2:$I$1014,3,0)</f>
        <v>0</v>
      </c>
      <c r="E463">
        <f>$C463*VLOOKUP($B463,FoodDB!$A$2:$I$1014,4,0)</f>
        <v>0</v>
      </c>
      <c r="F463">
        <f>$C463*VLOOKUP($B463,FoodDB!$A$2:$I$1014,5,0)</f>
        <v>0</v>
      </c>
      <c r="G463">
        <f>$C463*VLOOKUP($B463,FoodDB!$A$2:$I$1014,6,0)</f>
        <v>0</v>
      </c>
      <c r="H463">
        <f>$C463*VLOOKUP($B463,FoodDB!$A$2:$I$1014,7,0)</f>
        <v>0</v>
      </c>
      <c r="I463">
        <f>$C463*VLOOKUP($B463,FoodDB!$A$2:$I$1014,8,0)</f>
        <v>0</v>
      </c>
      <c r="J463">
        <f>$C463*VLOOKUP($B463,FoodDB!$A$2:$I$1014,9,0)</f>
        <v>0</v>
      </c>
    </row>
    <row r="464" spans="1:19" x14ac:dyDescent="0.25">
      <c r="B464" s="99" t="s">
        <v>107</v>
      </c>
      <c r="C464" s="100">
        <v>0</v>
      </c>
      <c r="D464">
        <f>$C464*VLOOKUP($B464,FoodDB!$A$2:$I$1014,3,0)</f>
        <v>0</v>
      </c>
      <c r="E464">
        <f>$C464*VLOOKUP($B464,FoodDB!$A$2:$I$1014,4,0)</f>
        <v>0</v>
      </c>
      <c r="F464">
        <f>$C464*VLOOKUP($B464,FoodDB!$A$2:$I$1014,5,0)</f>
        <v>0</v>
      </c>
      <c r="G464">
        <f>$C464*VLOOKUP($B464,FoodDB!$A$2:$I$1014,6,0)</f>
        <v>0</v>
      </c>
      <c r="H464">
        <f>$C464*VLOOKUP($B464,FoodDB!$A$2:$I$1014,7,0)</f>
        <v>0</v>
      </c>
      <c r="I464">
        <f>$C464*VLOOKUP($B464,FoodDB!$A$2:$I$1014,8,0)</f>
        <v>0</v>
      </c>
      <c r="J464">
        <f>$C464*VLOOKUP($B464,FoodDB!$A$2:$I$1014,9,0)</f>
        <v>0</v>
      </c>
    </row>
    <row r="465" spans="1:19" x14ac:dyDescent="0.25">
      <c r="B465" s="99" t="s">
        <v>107</v>
      </c>
      <c r="C465" s="100">
        <v>0</v>
      </c>
      <c r="D465">
        <f>$C465*VLOOKUP($B465,FoodDB!$A$2:$I$1014,3,0)</f>
        <v>0</v>
      </c>
      <c r="E465">
        <f>$C465*VLOOKUP($B465,FoodDB!$A$2:$I$1014,4,0)</f>
        <v>0</v>
      </c>
      <c r="F465">
        <f>$C465*VLOOKUP($B465,FoodDB!$A$2:$I$1014,5,0)</f>
        <v>0</v>
      </c>
      <c r="G465">
        <f>$C465*VLOOKUP($B465,FoodDB!$A$2:$I$1014,6,0)</f>
        <v>0</v>
      </c>
      <c r="H465">
        <f>$C465*VLOOKUP($B465,FoodDB!$A$2:$I$1014,7,0)</f>
        <v>0</v>
      </c>
      <c r="I465">
        <f>$C465*VLOOKUP($B465,FoodDB!$A$2:$I$1014,8,0)</f>
        <v>0</v>
      </c>
      <c r="J465">
        <f>$C465*VLOOKUP($B465,FoodDB!$A$2:$I$1014,9,0)</f>
        <v>0</v>
      </c>
    </row>
    <row r="466" spans="1:19" x14ac:dyDescent="0.25">
      <c r="B466" s="99" t="s">
        <v>107</v>
      </c>
      <c r="C466" s="100">
        <v>0</v>
      </c>
      <c r="D466">
        <f>$C466*VLOOKUP($B466,FoodDB!$A$2:$I$1014,3,0)</f>
        <v>0</v>
      </c>
      <c r="E466">
        <f>$C466*VLOOKUP($B466,FoodDB!$A$2:$I$1014,4,0)</f>
        <v>0</v>
      </c>
      <c r="F466">
        <f>$C466*VLOOKUP($B466,FoodDB!$A$2:$I$1014,5,0)</f>
        <v>0</v>
      </c>
      <c r="G466">
        <f>$C466*VLOOKUP($B466,FoodDB!$A$2:$I$1014,6,0)</f>
        <v>0</v>
      </c>
      <c r="H466">
        <f>$C466*VLOOKUP($B466,FoodDB!$A$2:$I$1014,7,0)</f>
        <v>0</v>
      </c>
      <c r="I466">
        <f>$C466*VLOOKUP($B466,FoodDB!$A$2:$I$1014,8,0)</f>
        <v>0</v>
      </c>
      <c r="J466">
        <f>$C466*VLOOKUP($B466,FoodDB!$A$2:$I$1014,9,0)</f>
        <v>0</v>
      </c>
    </row>
    <row r="467" spans="1:19" x14ac:dyDescent="0.25">
      <c r="B467" s="99" t="s">
        <v>107</v>
      </c>
      <c r="C467" s="100">
        <v>0</v>
      </c>
      <c r="D467">
        <f>$C467*VLOOKUP($B467,FoodDB!$A$2:$I$1014,3,0)</f>
        <v>0</v>
      </c>
      <c r="E467">
        <f>$C467*VLOOKUP($B467,FoodDB!$A$2:$I$1014,4,0)</f>
        <v>0</v>
      </c>
      <c r="F467">
        <f>$C467*VLOOKUP($B467,FoodDB!$A$2:$I$1014,5,0)</f>
        <v>0</v>
      </c>
      <c r="G467">
        <f>$C467*VLOOKUP($B467,FoodDB!$A$2:$I$1014,6,0)</f>
        <v>0</v>
      </c>
      <c r="H467">
        <f>$C467*VLOOKUP($B467,FoodDB!$A$2:$I$1014,7,0)</f>
        <v>0</v>
      </c>
      <c r="I467">
        <f>$C467*VLOOKUP($B467,FoodDB!$A$2:$I$1014,8,0)</f>
        <v>0</v>
      </c>
      <c r="J467">
        <f>$C467*VLOOKUP($B467,FoodDB!$A$2:$I$1014,9,0)</f>
        <v>0</v>
      </c>
    </row>
    <row r="468" spans="1:19" x14ac:dyDescent="0.25">
      <c r="B468" s="99" t="s">
        <v>107</v>
      </c>
      <c r="C468" s="100">
        <v>0</v>
      </c>
      <c r="D468">
        <f>$C468*VLOOKUP($B468,FoodDB!$A$2:$I$1014,3,0)</f>
        <v>0</v>
      </c>
      <c r="E468">
        <f>$C468*VLOOKUP($B468,FoodDB!$A$2:$I$1014,4,0)</f>
        <v>0</v>
      </c>
      <c r="F468">
        <f>$C468*VLOOKUP($B468,FoodDB!$A$2:$I$1014,5,0)</f>
        <v>0</v>
      </c>
      <c r="G468">
        <f>$C468*VLOOKUP($B468,FoodDB!$A$2:$I$1014,6,0)</f>
        <v>0</v>
      </c>
      <c r="H468">
        <f>$C468*VLOOKUP($B468,FoodDB!$A$2:$I$1014,7,0)</f>
        <v>0</v>
      </c>
      <c r="I468">
        <f>$C468*VLOOKUP($B468,FoodDB!$A$2:$I$1014,8,0)</f>
        <v>0</v>
      </c>
      <c r="J468">
        <f>$C468*VLOOKUP($B468,FoodDB!$A$2:$I$1014,9,0)</f>
        <v>0</v>
      </c>
    </row>
    <row r="469" spans="1:19" x14ac:dyDescent="0.25">
      <c r="A469" t="s">
        <v>97</v>
      </c>
      <c r="G469">
        <f>SUM(G462:G468)</f>
        <v>0</v>
      </c>
      <c r="H469">
        <f>SUM(H462:H468)</f>
        <v>0</v>
      </c>
      <c r="I469">
        <f>SUM(I462:I468)</f>
        <v>0</v>
      </c>
      <c r="J469">
        <f>SUM(G469:I469)</f>
        <v>0</v>
      </c>
    </row>
    <row r="470" spans="1:19" x14ac:dyDescent="0.25">
      <c r="A470" t="s">
        <v>101</v>
      </c>
      <c r="B470" t="s">
        <v>102</v>
      </c>
      <c r="E470" s="103"/>
      <c r="F470" s="103"/>
      <c r="G470" s="103">
        <f>VLOOKUP($A462,LossChart!$A$3:$AB$105,14,0)</f>
        <v>588.39396473966463</v>
      </c>
      <c r="H470" s="103">
        <f>VLOOKUP($A462,LossChart!$A$3:$AB$105,15,0)</f>
        <v>80</v>
      </c>
      <c r="I470" s="103">
        <f>VLOOKUP($A462,LossChart!$A$3:$AB$105,16,0)</f>
        <v>477.30407413615825</v>
      </c>
      <c r="J470" s="103">
        <f>VLOOKUP($A462,LossChart!$A$3:$AB$105,17,0)</f>
        <v>1145.6980388758229</v>
      </c>
      <c r="K470" s="103"/>
    </row>
    <row r="471" spans="1:19" x14ac:dyDescent="0.25">
      <c r="A471" t="s">
        <v>103</v>
      </c>
      <c r="G471">
        <f>G470-G469</f>
        <v>588.39396473966463</v>
      </c>
      <c r="H471">
        <f>H470-H469</f>
        <v>80</v>
      </c>
      <c r="I471">
        <f>I470-I469</f>
        <v>477.30407413615825</v>
      </c>
      <c r="J471">
        <f>J470-J469</f>
        <v>1145.6980388758229</v>
      </c>
    </row>
    <row r="473" spans="1:19" ht="60" x14ac:dyDescent="0.25">
      <c r="A473" s="26" t="s">
        <v>63</v>
      </c>
      <c r="B473" s="26" t="s">
        <v>92</v>
      </c>
      <c r="C473" s="26" t="s">
        <v>93</v>
      </c>
      <c r="D473" s="97" t="str">
        <f>FoodDB!$C$1</f>
        <v>Fat
(g)</v>
      </c>
      <c r="E473" s="97" t="str">
        <f>FoodDB!$D$1</f>
        <v xml:space="preserve"> Carbs
(g)</v>
      </c>
      <c r="F473" s="97" t="str">
        <f>FoodDB!$E$1</f>
        <v>Protein
(g)</v>
      </c>
      <c r="G473" s="97" t="str">
        <f>FoodDB!$F$1</f>
        <v>Fat
(Cal)</v>
      </c>
      <c r="H473" s="97" t="str">
        <f>FoodDB!$G$1</f>
        <v>Carb
(Cal)</v>
      </c>
      <c r="I473" s="97" t="str">
        <f>FoodDB!$H$1</f>
        <v>Protein
(Cal)</v>
      </c>
      <c r="J473" s="97" t="str">
        <f>FoodDB!$I$1</f>
        <v>Total
Calories</v>
      </c>
      <c r="K473" s="97"/>
      <c r="L473" s="97" t="s">
        <v>109</v>
      </c>
      <c r="M473" s="97" t="s">
        <v>110</v>
      </c>
      <c r="N473" s="97" t="s">
        <v>111</v>
      </c>
      <c r="O473" s="97" t="s">
        <v>112</v>
      </c>
      <c r="P473" s="97" t="s">
        <v>117</v>
      </c>
      <c r="Q473" s="97" t="s">
        <v>118</v>
      </c>
      <c r="R473" s="97" t="s">
        <v>119</v>
      </c>
      <c r="S473" s="97" t="s">
        <v>120</v>
      </c>
    </row>
    <row r="474" spans="1:19" x14ac:dyDescent="0.25">
      <c r="A474" s="98">
        <f>A462+1</f>
        <v>43033</v>
      </c>
      <c r="B474" s="99" t="s">
        <v>107</v>
      </c>
      <c r="C474" s="100">
        <v>0</v>
      </c>
      <c r="D474">
        <f>$C474*VLOOKUP($B474,FoodDB!$A$2:$I$1014,3,0)</f>
        <v>0</v>
      </c>
      <c r="E474">
        <f>$C474*VLOOKUP($B474,FoodDB!$A$2:$I$1014,4,0)</f>
        <v>0</v>
      </c>
      <c r="F474">
        <f>$C474*VLOOKUP($B474,FoodDB!$A$2:$I$1014,5,0)</f>
        <v>0</v>
      </c>
      <c r="G474">
        <f>$C474*VLOOKUP($B474,FoodDB!$A$2:$I$1014,6,0)</f>
        <v>0</v>
      </c>
      <c r="H474">
        <f>$C474*VLOOKUP($B474,FoodDB!$A$2:$I$1014,7,0)</f>
        <v>0</v>
      </c>
      <c r="I474">
        <f>$C474*VLOOKUP($B474,FoodDB!$A$2:$I$1014,8,0)</f>
        <v>0</v>
      </c>
      <c r="J474">
        <f>$C474*VLOOKUP($B474,FoodDB!$A$2:$I$1014,9,0)</f>
        <v>0</v>
      </c>
      <c r="L474">
        <f>SUM(G474:G480)</f>
        <v>0</v>
      </c>
      <c r="M474">
        <f>SUM(H474:H480)</f>
        <v>0</v>
      </c>
      <c r="N474">
        <f>SUM(I474:I480)</f>
        <v>0</v>
      </c>
      <c r="O474">
        <f>SUM(L474:N474)</f>
        <v>0</v>
      </c>
      <c r="P474" s="103">
        <f>VLOOKUP($A474,LossChart!$A$3:$AB$105,14,0)-L474</f>
        <v>594.68492283261321</v>
      </c>
      <c r="Q474" s="103">
        <f>VLOOKUP($A474,LossChart!$A$3:$AB$105,15,0)-M474</f>
        <v>80</v>
      </c>
      <c r="R474" s="103">
        <f>VLOOKUP($A474,LossChart!$A$3:$AB$105,16,0)-N474</f>
        <v>477.30407413615825</v>
      </c>
      <c r="S474" s="103">
        <f>VLOOKUP($A474,LossChart!$A$3:$AB$105,17,0)-O474</f>
        <v>1151.9889969687715</v>
      </c>
    </row>
    <row r="475" spans="1:19" x14ac:dyDescent="0.25">
      <c r="B475" s="99" t="s">
        <v>107</v>
      </c>
      <c r="C475" s="100">
        <v>0</v>
      </c>
      <c r="D475">
        <f>$C475*VLOOKUP($B475,FoodDB!$A$2:$I$1014,3,0)</f>
        <v>0</v>
      </c>
      <c r="E475">
        <f>$C475*VLOOKUP($B475,FoodDB!$A$2:$I$1014,4,0)</f>
        <v>0</v>
      </c>
      <c r="F475">
        <f>$C475*VLOOKUP($B475,FoodDB!$A$2:$I$1014,5,0)</f>
        <v>0</v>
      </c>
      <c r="G475">
        <f>$C475*VLOOKUP($B475,FoodDB!$A$2:$I$1014,6,0)</f>
        <v>0</v>
      </c>
      <c r="H475">
        <f>$C475*VLOOKUP($B475,FoodDB!$A$2:$I$1014,7,0)</f>
        <v>0</v>
      </c>
      <c r="I475">
        <f>$C475*VLOOKUP($B475,FoodDB!$A$2:$I$1014,8,0)</f>
        <v>0</v>
      </c>
      <c r="J475">
        <f>$C475*VLOOKUP($B475,FoodDB!$A$2:$I$1014,9,0)</f>
        <v>0</v>
      </c>
    </row>
    <row r="476" spans="1:19" x14ac:dyDescent="0.25">
      <c r="B476" s="99" t="s">
        <v>107</v>
      </c>
      <c r="C476" s="100">
        <v>0</v>
      </c>
      <c r="D476">
        <f>$C476*VLOOKUP($B476,FoodDB!$A$2:$I$1014,3,0)</f>
        <v>0</v>
      </c>
      <c r="E476">
        <f>$C476*VLOOKUP($B476,FoodDB!$A$2:$I$1014,4,0)</f>
        <v>0</v>
      </c>
      <c r="F476">
        <f>$C476*VLOOKUP($B476,FoodDB!$A$2:$I$1014,5,0)</f>
        <v>0</v>
      </c>
      <c r="G476">
        <f>$C476*VLOOKUP($B476,FoodDB!$A$2:$I$1014,6,0)</f>
        <v>0</v>
      </c>
      <c r="H476">
        <f>$C476*VLOOKUP($B476,FoodDB!$A$2:$I$1014,7,0)</f>
        <v>0</v>
      </c>
      <c r="I476">
        <f>$C476*VLOOKUP($B476,FoodDB!$A$2:$I$1014,8,0)</f>
        <v>0</v>
      </c>
      <c r="J476">
        <f>$C476*VLOOKUP($B476,FoodDB!$A$2:$I$1014,9,0)</f>
        <v>0</v>
      </c>
    </row>
    <row r="477" spans="1:19" x14ac:dyDescent="0.25">
      <c r="B477" s="99" t="s">
        <v>107</v>
      </c>
      <c r="C477" s="100">
        <v>0</v>
      </c>
      <c r="D477">
        <f>$C477*VLOOKUP($B477,FoodDB!$A$2:$I$1014,3,0)</f>
        <v>0</v>
      </c>
      <c r="E477">
        <f>$C477*VLOOKUP($B477,FoodDB!$A$2:$I$1014,4,0)</f>
        <v>0</v>
      </c>
      <c r="F477">
        <f>$C477*VLOOKUP($B477,FoodDB!$A$2:$I$1014,5,0)</f>
        <v>0</v>
      </c>
      <c r="G477">
        <f>$C477*VLOOKUP($B477,FoodDB!$A$2:$I$1014,6,0)</f>
        <v>0</v>
      </c>
      <c r="H477">
        <f>$C477*VLOOKUP($B477,FoodDB!$A$2:$I$1014,7,0)</f>
        <v>0</v>
      </c>
      <c r="I477">
        <f>$C477*VLOOKUP($B477,FoodDB!$A$2:$I$1014,8,0)</f>
        <v>0</v>
      </c>
      <c r="J477">
        <f>$C477*VLOOKUP($B477,FoodDB!$A$2:$I$1014,9,0)</f>
        <v>0</v>
      </c>
    </row>
    <row r="478" spans="1:19" x14ac:dyDescent="0.25">
      <c r="B478" s="99" t="s">
        <v>107</v>
      </c>
      <c r="C478" s="100">
        <v>0</v>
      </c>
      <c r="D478">
        <f>$C478*VLOOKUP($B478,FoodDB!$A$2:$I$1014,3,0)</f>
        <v>0</v>
      </c>
      <c r="E478">
        <f>$C478*VLOOKUP($B478,FoodDB!$A$2:$I$1014,4,0)</f>
        <v>0</v>
      </c>
      <c r="F478">
        <f>$C478*VLOOKUP($B478,FoodDB!$A$2:$I$1014,5,0)</f>
        <v>0</v>
      </c>
      <c r="G478">
        <f>$C478*VLOOKUP($B478,FoodDB!$A$2:$I$1014,6,0)</f>
        <v>0</v>
      </c>
      <c r="H478">
        <f>$C478*VLOOKUP($B478,FoodDB!$A$2:$I$1014,7,0)</f>
        <v>0</v>
      </c>
      <c r="I478">
        <f>$C478*VLOOKUP($B478,FoodDB!$A$2:$I$1014,8,0)</f>
        <v>0</v>
      </c>
      <c r="J478">
        <f>$C478*VLOOKUP($B478,FoodDB!$A$2:$I$1014,9,0)</f>
        <v>0</v>
      </c>
    </row>
    <row r="479" spans="1:19" x14ac:dyDescent="0.25">
      <c r="B479" s="99" t="s">
        <v>107</v>
      </c>
      <c r="C479" s="100">
        <v>0</v>
      </c>
      <c r="D479">
        <f>$C479*VLOOKUP($B479,FoodDB!$A$2:$I$1014,3,0)</f>
        <v>0</v>
      </c>
      <c r="E479">
        <f>$C479*VLOOKUP($B479,FoodDB!$A$2:$I$1014,4,0)</f>
        <v>0</v>
      </c>
      <c r="F479">
        <f>$C479*VLOOKUP($B479,FoodDB!$A$2:$I$1014,5,0)</f>
        <v>0</v>
      </c>
      <c r="G479">
        <f>$C479*VLOOKUP($B479,FoodDB!$A$2:$I$1014,6,0)</f>
        <v>0</v>
      </c>
      <c r="H479">
        <f>$C479*VLOOKUP($B479,FoodDB!$A$2:$I$1014,7,0)</f>
        <v>0</v>
      </c>
      <c r="I479">
        <f>$C479*VLOOKUP($B479,FoodDB!$A$2:$I$1014,8,0)</f>
        <v>0</v>
      </c>
      <c r="J479">
        <f>$C479*VLOOKUP($B479,FoodDB!$A$2:$I$1014,9,0)</f>
        <v>0</v>
      </c>
    </row>
    <row r="480" spans="1:19" x14ac:dyDescent="0.25">
      <c r="B480" s="99" t="s">
        <v>107</v>
      </c>
      <c r="C480" s="100">
        <v>0</v>
      </c>
      <c r="D480">
        <f>$C480*VLOOKUP($B480,FoodDB!$A$2:$I$1014,3,0)</f>
        <v>0</v>
      </c>
      <c r="E480">
        <f>$C480*VLOOKUP($B480,FoodDB!$A$2:$I$1014,4,0)</f>
        <v>0</v>
      </c>
      <c r="F480">
        <f>$C480*VLOOKUP($B480,FoodDB!$A$2:$I$1014,5,0)</f>
        <v>0</v>
      </c>
      <c r="G480">
        <f>$C480*VLOOKUP($B480,FoodDB!$A$2:$I$1014,6,0)</f>
        <v>0</v>
      </c>
      <c r="H480">
        <f>$C480*VLOOKUP($B480,FoodDB!$A$2:$I$1014,7,0)</f>
        <v>0</v>
      </c>
      <c r="I480">
        <f>$C480*VLOOKUP($B480,FoodDB!$A$2:$I$1014,8,0)</f>
        <v>0</v>
      </c>
      <c r="J480">
        <f>$C480*VLOOKUP($B480,FoodDB!$A$2:$I$1014,9,0)</f>
        <v>0</v>
      </c>
    </row>
    <row r="481" spans="1:19" x14ac:dyDescent="0.25">
      <c r="A481" t="s">
        <v>97</v>
      </c>
      <c r="G481">
        <f>SUM(G474:G480)</f>
        <v>0</v>
      </c>
      <c r="H481">
        <f>SUM(H474:H480)</f>
        <v>0</v>
      </c>
      <c r="I481">
        <f>SUM(I474:I480)</f>
        <v>0</v>
      </c>
      <c r="J481">
        <f>SUM(G481:I481)</f>
        <v>0</v>
      </c>
    </row>
    <row r="482" spans="1:19" x14ac:dyDescent="0.25">
      <c r="A482" t="s">
        <v>101</v>
      </c>
      <c r="B482" t="s">
        <v>102</v>
      </c>
      <c r="E482" s="103"/>
      <c r="F482" s="103"/>
      <c r="G482" s="103">
        <f>VLOOKUP($A474,LossChart!$A$3:$AB$105,14,0)</f>
        <v>594.68492283261321</v>
      </c>
      <c r="H482" s="103">
        <f>VLOOKUP($A474,LossChart!$A$3:$AB$105,15,0)</f>
        <v>80</v>
      </c>
      <c r="I482" s="103">
        <f>VLOOKUP($A474,LossChart!$A$3:$AB$105,16,0)</f>
        <v>477.30407413615825</v>
      </c>
      <c r="J482" s="103">
        <f>VLOOKUP($A474,LossChart!$A$3:$AB$105,17,0)</f>
        <v>1151.9889969687715</v>
      </c>
      <c r="K482" s="103"/>
    </row>
    <row r="483" spans="1:19" x14ac:dyDescent="0.25">
      <c r="A483" t="s">
        <v>103</v>
      </c>
      <c r="G483">
        <f>G482-G481</f>
        <v>594.68492283261321</v>
      </c>
      <c r="H483">
        <f>H482-H481</f>
        <v>80</v>
      </c>
      <c r="I483">
        <f>I482-I481</f>
        <v>477.30407413615825</v>
      </c>
      <c r="J483">
        <f>J482-J481</f>
        <v>1151.9889969687715</v>
      </c>
    </row>
    <row r="485" spans="1:19" ht="60" x14ac:dyDescent="0.25">
      <c r="A485" s="26" t="s">
        <v>63</v>
      </c>
      <c r="B485" s="26" t="s">
        <v>92</v>
      </c>
      <c r="C485" s="26" t="s">
        <v>93</v>
      </c>
      <c r="D485" s="97" t="str">
        <f>FoodDB!$C$1</f>
        <v>Fat
(g)</v>
      </c>
      <c r="E485" s="97" t="str">
        <f>FoodDB!$D$1</f>
        <v xml:space="preserve"> Carbs
(g)</v>
      </c>
      <c r="F485" s="97" t="str">
        <f>FoodDB!$E$1</f>
        <v>Protein
(g)</v>
      </c>
      <c r="G485" s="97" t="str">
        <f>FoodDB!$F$1</f>
        <v>Fat
(Cal)</v>
      </c>
      <c r="H485" s="97" t="str">
        <f>FoodDB!$G$1</f>
        <v>Carb
(Cal)</v>
      </c>
      <c r="I485" s="97" t="str">
        <f>FoodDB!$H$1</f>
        <v>Protein
(Cal)</v>
      </c>
      <c r="J485" s="97" t="str">
        <f>FoodDB!$I$1</f>
        <v>Total
Calories</v>
      </c>
      <c r="K485" s="97"/>
      <c r="L485" s="97" t="s">
        <v>109</v>
      </c>
      <c r="M485" s="97" t="s">
        <v>110</v>
      </c>
      <c r="N485" s="97" t="s">
        <v>111</v>
      </c>
      <c r="O485" s="97" t="s">
        <v>112</v>
      </c>
      <c r="P485" s="97" t="s">
        <v>117</v>
      </c>
      <c r="Q485" s="97" t="s">
        <v>118</v>
      </c>
      <c r="R485" s="97" t="s">
        <v>119</v>
      </c>
      <c r="S485" s="97" t="s">
        <v>120</v>
      </c>
    </row>
    <row r="486" spans="1:19" x14ac:dyDescent="0.25">
      <c r="A486" s="98">
        <f>A474+1</f>
        <v>43034</v>
      </c>
      <c r="B486" s="99" t="s">
        <v>107</v>
      </c>
      <c r="C486" s="100">
        <v>0</v>
      </c>
      <c r="D486">
        <f>$C486*VLOOKUP($B486,FoodDB!$A$2:$I$1014,3,0)</f>
        <v>0</v>
      </c>
      <c r="E486">
        <f>$C486*VLOOKUP($B486,FoodDB!$A$2:$I$1014,4,0)</f>
        <v>0</v>
      </c>
      <c r="F486">
        <f>$C486*VLOOKUP($B486,FoodDB!$A$2:$I$1014,5,0)</f>
        <v>0</v>
      </c>
      <c r="G486">
        <f>$C486*VLOOKUP($B486,FoodDB!$A$2:$I$1014,6,0)</f>
        <v>0</v>
      </c>
      <c r="H486">
        <f>$C486*VLOOKUP($B486,FoodDB!$A$2:$I$1014,7,0)</f>
        <v>0</v>
      </c>
      <c r="I486">
        <f>$C486*VLOOKUP($B486,FoodDB!$A$2:$I$1014,8,0)</f>
        <v>0</v>
      </c>
      <c r="J486">
        <f>$C486*VLOOKUP($B486,FoodDB!$A$2:$I$1014,9,0)</f>
        <v>0</v>
      </c>
      <c r="L486">
        <f>SUM(G486:G492)</f>
        <v>0</v>
      </c>
      <c r="M486">
        <f>SUM(H486:H492)</f>
        <v>0</v>
      </c>
      <c r="N486">
        <f>SUM(I486:I492)</f>
        <v>0</v>
      </c>
      <c r="O486">
        <f>SUM(L486:N486)</f>
        <v>0</v>
      </c>
      <c r="P486" s="103">
        <f>VLOOKUP($A486,LossChart!$A$3:$AB$105,14,0)-L486</f>
        <v>600.92016101102445</v>
      </c>
      <c r="Q486" s="103">
        <f>VLOOKUP($A486,LossChart!$A$3:$AB$105,15,0)-M486</f>
        <v>80</v>
      </c>
      <c r="R486" s="103">
        <f>VLOOKUP($A486,LossChart!$A$3:$AB$105,16,0)-N486</f>
        <v>477.30407413615825</v>
      </c>
      <c r="S486" s="103">
        <f>VLOOKUP($A486,LossChart!$A$3:$AB$105,17,0)-O486</f>
        <v>1158.2242351471828</v>
      </c>
    </row>
    <row r="487" spans="1:19" x14ac:dyDescent="0.25">
      <c r="B487" s="99" t="s">
        <v>107</v>
      </c>
      <c r="C487" s="100">
        <v>0</v>
      </c>
      <c r="D487">
        <f>$C487*VLOOKUP($B487,FoodDB!$A$2:$I$1014,3,0)</f>
        <v>0</v>
      </c>
      <c r="E487">
        <f>$C487*VLOOKUP($B487,FoodDB!$A$2:$I$1014,4,0)</f>
        <v>0</v>
      </c>
      <c r="F487">
        <f>$C487*VLOOKUP($B487,FoodDB!$A$2:$I$1014,5,0)</f>
        <v>0</v>
      </c>
      <c r="G487">
        <f>$C487*VLOOKUP($B487,FoodDB!$A$2:$I$1014,6,0)</f>
        <v>0</v>
      </c>
      <c r="H487">
        <f>$C487*VLOOKUP($B487,FoodDB!$A$2:$I$1014,7,0)</f>
        <v>0</v>
      </c>
      <c r="I487">
        <f>$C487*VLOOKUP($B487,FoodDB!$A$2:$I$1014,8,0)</f>
        <v>0</v>
      </c>
      <c r="J487">
        <f>$C487*VLOOKUP($B487,FoodDB!$A$2:$I$1014,9,0)</f>
        <v>0</v>
      </c>
    </row>
    <row r="488" spans="1:19" x14ac:dyDescent="0.25">
      <c r="B488" s="99" t="s">
        <v>107</v>
      </c>
      <c r="C488" s="100">
        <v>0</v>
      </c>
      <c r="D488">
        <f>$C488*VLOOKUP($B488,FoodDB!$A$2:$I$1014,3,0)</f>
        <v>0</v>
      </c>
      <c r="E488">
        <f>$C488*VLOOKUP($B488,FoodDB!$A$2:$I$1014,4,0)</f>
        <v>0</v>
      </c>
      <c r="F488">
        <f>$C488*VLOOKUP($B488,FoodDB!$A$2:$I$1014,5,0)</f>
        <v>0</v>
      </c>
      <c r="G488">
        <f>$C488*VLOOKUP($B488,FoodDB!$A$2:$I$1014,6,0)</f>
        <v>0</v>
      </c>
      <c r="H488">
        <f>$C488*VLOOKUP($B488,FoodDB!$A$2:$I$1014,7,0)</f>
        <v>0</v>
      </c>
      <c r="I488">
        <f>$C488*VLOOKUP($B488,FoodDB!$A$2:$I$1014,8,0)</f>
        <v>0</v>
      </c>
      <c r="J488">
        <f>$C488*VLOOKUP($B488,FoodDB!$A$2:$I$1014,9,0)</f>
        <v>0</v>
      </c>
    </row>
    <row r="489" spans="1:19" x14ac:dyDescent="0.25">
      <c r="B489" s="99" t="s">
        <v>107</v>
      </c>
      <c r="C489" s="100">
        <v>0</v>
      </c>
      <c r="D489">
        <f>$C489*VLOOKUP($B489,FoodDB!$A$2:$I$1014,3,0)</f>
        <v>0</v>
      </c>
      <c r="E489">
        <f>$C489*VLOOKUP($B489,FoodDB!$A$2:$I$1014,4,0)</f>
        <v>0</v>
      </c>
      <c r="F489">
        <f>$C489*VLOOKUP($B489,FoodDB!$A$2:$I$1014,5,0)</f>
        <v>0</v>
      </c>
      <c r="G489">
        <f>$C489*VLOOKUP($B489,FoodDB!$A$2:$I$1014,6,0)</f>
        <v>0</v>
      </c>
      <c r="H489">
        <f>$C489*VLOOKUP($B489,FoodDB!$A$2:$I$1014,7,0)</f>
        <v>0</v>
      </c>
      <c r="I489">
        <f>$C489*VLOOKUP($B489,FoodDB!$A$2:$I$1014,8,0)</f>
        <v>0</v>
      </c>
      <c r="J489">
        <f>$C489*VLOOKUP($B489,FoodDB!$A$2:$I$1014,9,0)</f>
        <v>0</v>
      </c>
    </row>
    <row r="490" spans="1:19" x14ac:dyDescent="0.25">
      <c r="B490" s="99" t="s">
        <v>107</v>
      </c>
      <c r="C490" s="100">
        <v>0</v>
      </c>
      <c r="D490">
        <f>$C490*VLOOKUP($B490,FoodDB!$A$2:$I$1014,3,0)</f>
        <v>0</v>
      </c>
      <c r="E490">
        <f>$C490*VLOOKUP($B490,FoodDB!$A$2:$I$1014,4,0)</f>
        <v>0</v>
      </c>
      <c r="F490">
        <f>$C490*VLOOKUP($B490,FoodDB!$A$2:$I$1014,5,0)</f>
        <v>0</v>
      </c>
      <c r="G490">
        <f>$C490*VLOOKUP($B490,FoodDB!$A$2:$I$1014,6,0)</f>
        <v>0</v>
      </c>
      <c r="H490">
        <f>$C490*VLOOKUP($B490,FoodDB!$A$2:$I$1014,7,0)</f>
        <v>0</v>
      </c>
      <c r="I490">
        <f>$C490*VLOOKUP($B490,FoodDB!$A$2:$I$1014,8,0)</f>
        <v>0</v>
      </c>
      <c r="J490">
        <f>$C490*VLOOKUP($B490,FoodDB!$A$2:$I$1014,9,0)</f>
        <v>0</v>
      </c>
    </row>
    <row r="491" spans="1:19" x14ac:dyDescent="0.25">
      <c r="B491" s="99" t="s">
        <v>107</v>
      </c>
      <c r="C491" s="100">
        <v>0</v>
      </c>
      <c r="D491">
        <f>$C491*VLOOKUP($B491,FoodDB!$A$2:$I$1014,3,0)</f>
        <v>0</v>
      </c>
      <c r="E491">
        <f>$C491*VLOOKUP($B491,FoodDB!$A$2:$I$1014,4,0)</f>
        <v>0</v>
      </c>
      <c r="F491">
        <f>$C491*VLOOKUP($B491,FoodDB!$A$2:$I$1014,5,0)</f>
        <v>0</v>
      </c>
      <c r="G491">
        <f>$C491*VLOOKUP($B491,FoodDB!$A$2:$I$1014,6,0)</f>
        <v>0</v>
      </c>
      <c r="H491">
        <f>$C491*VLOOKUP($B491,FoodDB!$A$2:$I$1014,7,0)</f>
        <v>0</v>
      </c>
      <c r="I491">
        <f>$C491*VLOOKUP($B491,FoodDB!$A$2:$I$1014,8,0)</f>
        <v>0</v>
      </c>
      <c r="J491">
        <f>$C491*VLOOKUP($B491,FoodDB!$A$2:$I$1014,9,0)</f>
        <v>0</v>
      </c>
    </row>
    <row r="492" spans="1:19" x14ac:dyDescent="0.25">
      <c r="B492" s="99" t="s">
        <v>107</v>
      </c>
      <c r="C492" s="100">
        <v>0</v>
      </c>
      <c r="D492">
        <f>$C492*VLOOKUP($B492,FoodDB!$A$2:$I$1014,3,0)</f>
        <v>0</v>
      </c>
      <c r="E492">
        <f>$C492*VLOOKUP($B492,FoodDB!$A$2:$I$1014,4,0)</f>
        <v>0</v>
      </c>
      <c r="F492">
        <f>$C492*VLOOKUP($B492,FoodDB!$A$2:$I$1014,5,0)</f>
        <v>0</v>
      </c>
      <c r="G492">
        <f>$C492*VLOOKUP($B492,FoodDB!$A$2:$I$1014,6,0)</f>
        <v>0</v>
      </c>
      <c r="H492">
        <f>$C492*VLOOKUP($B492,FoodDB!$A$2:$I$1014,7,0)</f>
        <v>0</v>
      </c>
      <c r="I492">
        <f>$C492*VLOOKUP($B492,FoodDB!$A$2:$I$1014,8,0)</f>
        <v>0</v>
      </c>
      <c r="J492">
        <f>$C492*VLOOKUP($B492,FoodDB!$A$2:$I$1014,9,0)</f>
        <v>0</v>
      </c>
    </row>
    <row r="493" spans="1:19" x14ac:dyDescent="0.25">
      <c r="A493" t="s">
        <v>97</v>
      </c>
      <c r="G493">
        <f>SUM(G486:G492)</f>
        <v>0</v>
      </c>
      <c r="H493">
        <f>SUM(H486:H492)</f>
        <v>0</v>
      </c>
      <c r="I493">
        <f>SUM(I486:I492)</f>
        <v>0</v>
      </c>
      <c r="J493">
        <f>SUM(G493:I493)</f>
        <v>0</v>
      </c>
    </row>
    <row r="494" spans="1:19" x14ac:dyDescent="0.25">
      <c r="A494" t="s">
        <v>101</v>
      </c>
      <c r="B494" t="s">
        <v>102</v>
      </c>
      <c r="E494" s="103"/>
      <c r="F494" s="103"/>
      <c r="G494" s="103">
        <f>VLOOKUP($A486,LossChart!$A$3:$AB$105,14,0)</f>
        <v>600.92016101102445</v>
      </c>
      <c r="H494" s="103">
        <f>VLOOKUP($A486,LossChart!$A$3:$AB$105,15,0)</f>
        <v>80</v>
      </c>
      <c r="I494" s="103">
        <f>VLOOKUP($A486,LossChart!$A$3:$AB$105,16,0)</f>
        <v>477.30407413615825</v>
      </c>
      <c r="J494" s="103">
        <f>VLOOKUP($A486,LossChart!$A$3:$AB$105,17,0)</f>
        <v>1158.2242351471828</v>
      </c>
      <c r="K494" s="103"/>
    </row>
    <row r="495" spans="1:19" x14ac:dyDescent="0.25">
      <c r="A495" t="s">
        <v>103</v>
      </c>
      <c r="G495">
        <f>G494-G493</f>
        <v>600.92016101102445</v>
      </c>
      <c r="H495">
        <f>H494-H493</f>
        <v>80</v>
      </c>
      <c r="I495">
        <f>I494-I493</f>
        <v>477.30407413615825</v>
      </c>
      <c r="J495">
        <f>J494-J493</f>
        <v>1158.2242351471828</v>
      </c>
    </row>
    <row r="497" spans="1:19" ht="60" x14ac:dyDescent="0.25">
      <c r="A497" s="26" t="s">
        <v>63</v>
      </c>
      <c r="B497" s="26" t="s">
        <v>92</v>
      </c>
      <c r="C497" s="26" t="s">
        <v>93</v>
      </c>
      <c r="D497" s="97" t="str">
        <f>FoodDB!$C$1</f>
        <v>Fat
(g)</v>
      </c>
      <c r="E497" s="97" t="str">
        <f>FoodDB!$D$1</f>
        <v xml:space="preserve"> Carbs
(g)</v>
      </c>
      <c r="F497" s="97" t="str">
        <f>FoodDB!$E$1</f>
        <v>Protein
(g)</v>
      </c>
      <c r="G497" s="97" t="str">
        <f>FoodDB!$F$1</f>
        <v>Fat
(Cal)</v>
      </c>
      <c r="H497" s="97" t="str">
        <f>FoodDB!$G$1</f>
        <v>Carb
(Cal)</v>
      </c>
      <c r="I497" s="97" t="str">
        <f>FoodDB!$H$1</f>
        <v>Protein
(Cal)</v>
      </c>
      <c r="J497" s="97" t="str">
        <f>FoodDB!$I$1</f>
        <v>Total
Calories</v>
      </c>
      <c r="K497" s="97"/>
      <c r="L497" s="97" t="s">
        <v>109</v>
      </c>
      <c r="M497" s="97" t="s">
        <v>110</v>
      </c>
      <c r="N497" s="97" t="s">
        <v>111</v>
      </c>
      <c r="O497" s="97" t="s">
        <v>112</v>
      </c>
      <c r="P497" s="97" t="s">
        <v>117</v>
      </c>
      <c r="Q497" s="97" t="s">
        <v>118</v>
      </c>
      <c r="R497" s="97" t="s">
        <v>119</v>
      </c>
      <c r="S497" s="97" t="s">
        <v>120</v>
      </c>
    </row>
    <row r="498" spans="1:19" x14ac:dyDescent="0.25">
      <c r="A498" s="98">
        <f>A486+1</f>
        <v>43035</v>
      </c>
      <c r="B498" s="99" t="s">
        <v>107</v>
      </c>
      <c r="C498" s="100">
        <v>0</v>
      </c>
      <c r="D498">
        <f>$C498*VLOOKUP($B498,FoodDB!$A$2:$I$1014,3,0)</f>
        <v>0</v>
      </c>
      <c r="E498">
        <f>$C498*VLOOKUP($B498,FoodDB!$A$2:$I$1014,4,0)</f>
        <v>0</v>
      </c>
      <c r="F498">
        <f>$C498*VLOOKUP($B498,FoodDB!$A$2:$I$1014,5,0)</f>
        <v>0</v>
      </c>
      <c r="G498">
        <f>$C498*VLOOKUP($B498,FoodDB!$A$2:$I$1014,6,0)</f>
        <v>0</v>
      </c>
      <c r="H498">
        <f>$C498*VLOOKUP($B498,FoodDB!$A$2:$I$1014,7,0)</f>
        <v>0</v>
      </c>
      <c r="I498">
        <f>$C498*VLOOKUP($B498,FoodDB!$A$2:$I$1014,8,0)</f>
        <v>0</v>
      </c>
      <c r="J498">
        <f>$C498*VLOOKUP($B498,FoodDB!$A$2:$I$1014,9,0)</f>
        <v>0</v>
      </c>
      <c r="L498">
        <f>SUM(G498:G504)</f>
        <v>0</v>
      </c>
      <c r="M498">
        <f>SUM(H498:H504)</f>
        <v>0</v>
      </c>
      <c r="N498">
        <f>SUM(I498:I504)</f>
        <v>0</v>
      </c>
      <c r="O498">
        <f>SUM(L498:N498)</f>
        <v>0</v>
      </c>
      <c r="P498" s="103">
        <f>VLOOKUP($A498,LossChart!$A$3:$AB$105,14,0)-L498</f>
        <v>607.10017279414137</v>
      </c>
      <c r="Q498" s="103">
        <f>VLOOKUP($A498,LossChart!$A$3:$AB$105,15,0)-M498</f>
        <v>80</v>
      </c>
      <c r="R498" s="103">
        <f>VLOOKUP($A498,LossChart!$A$3:$AB$105,16,0)-N498</f>
        <v>477.30407413615825</v>
      </c>
      <c r="S498" s="103">
        <f>VLOOKUP($A498,LossChart!$A$3:$AB$105,17,0)-O498</f>
        <v>1164.4042469302997</v>
      </c>
    </row>
    <row r="499" spans="1:19" x14ac:dyDescent="0.25">
      <c r="B499" s="99" t="s">
        <v>107</v>
      </c>
      <c r="C499" s="100">
        <v>0</v>
      </c>
      <c r="D499">
        <f>$C499*VLOOKUP($B499,FoodDB!$A$2:$I$1014,3,0)</f>
        <v>0</v>
      </c>
      <c r="E499">
        <f>$C499*VLOOKUP($B499,FoodDB!$A$2:$I$1014,4,0)</f>
        <v>0</v>
      </c>
      <c r="F499">
        <f>$C499*VLOOKUP($B499,FoodDB!$A$2:$I$1014,5,0)</f>
        <v>0</v>
      </c>
      <c r="G499">
        <f>$C499*VLOOKUP($B499,FoodDB!$A$2:$I$1014,6,0)</f>
        <v>0</v>
      </c>
      <c r="H499">
        <f>$C499*VLOOKUP($B499,FoodDB!$A$2:$I$1014,7,0)</f>
        <v>0</v>
      </c>
      <c r="I499">
        <f>$C499*VLOOKUP($B499,FoodDB!$A$2:$I$1014,8,0)</f>
        <v>0</v>
      </c>
      <c r="J499">
        <f>$C499*VLOOKUP($B499,FoodDB!$A$2:$I$1014,9,0)</f>
        <v>0</v>
      </c>
    </row>
    <row r="500" spans="1:19" x14ac:dyDescent="0.25">
      <c r="B500" s="99" t="s">
        <v>107</v>
      </c>
      <c r="C500" s="100">
        <v>0</v>
      </c>
      <c r="D500">
        <f>$C500*VLOOKUP($B500,FoodDB!$A$2:$I$1014,3,0)</f>
        <v>0</v>
      </c>
      <c r="E500">
        <f>$C500*VLOOKUP($B500,FoodDB!$A$2:$I$1014,4,0)</f>
        <v>0</v>
      </c>
      <c r="F500">
        <f>$C500*VLOOKUP($B500,FoodDB!$A$2:$I$1014,5,0)</f>
        <v>0</v>
      </c>
      <c r="G500">
        <f>$C500*VLOOKUP($B500,FoodDB!$A$2:$I$1014,6,0)</f>
        <v>0</v>
      </c>
      <c r="H500">
        <f>$C500*VLOOKUP($B500,FoodDB!$A$2:$I$1014,7,0)</f>
        <v>0</v>
      </c>
      <c r="I500">
        <f>$C500*VLOOKUP($B500,FoodDB!$A$2:$I$1014,8,0)</f>
        <v>0</v>
      </c>
      <c r="J500">
        <f>$C500*VLOOKUP($B500,FoodDB!$A$2:$I$1014,9,0)</f>
        <v>0</v>
      </c>
    </row>
    <row r="501" spans="1:19" x14ac:dyDescent="0.25">
      <c r="B501" s="99" t="s">
        <v>107</v>
      </c>
      <c r="C501" s="100">
        <v>0</v>
      </c>
      <c r="D501">
        <f>$C501*VLOOKUP($B501,FoodDB!$A$2:$I$1014,3,0)</f>
        <v>0</v>
      </c>
      <c r="E501">
        <f>$C501*VLOOKUP($B501,FoodDB!$A$2:$I$1014,4,0)</f>
        <v>0</v>
      </c>
      <c r="F501">
        <f>$C501*VLOOKUP($B501,FoodDB!$A$2:$I$1014,5,0)</f>
        <v>0</v>
      </c>
      <c r="G501">
        <f>$C501*VLOOKUP($B501,FoodDB!$A$2:$I$1014,6,0)</f>
        <v>0</v>
      </c>
      <c r="H501">
        <f>$C501*VLOOKUP($B501,FoodDB!$A$2:$I$1014,7,0)</f>
        <v>0</v>
      </c>
      <c r="I501">
        <f>$C501*VLOOKUP($B501,FoodDB!$A$2:$I$1014,8,0)</f>
        <v>0</v>
      </c>
      <c r="J501">
        <f>$C501*VLOOKUP($B501,FoodDB!$A$2:$I$1014,9,0)</f>
        <v>0</v>
      </c>
    </row>
    <row r="502" spans="1:19" x14ac:dyDescent="0.25">
      <c r="B502" s="99" t="s">
        <v>107</v>
      </c>
      <c r="C502" s="100">
        <v>0</v>
      </c>
      <c r="D502">
        <f>$C502*VLOOKUP($B502,FoodDB!$A$2:$I$1014,3,0)</f>
        <v>0</v>
      </c>
      <c r="E502">
        <f>$C502*VLOOKUP($B502,FoodDB!$A$2:$I$1014,4,0)</f>
        <v>0</v>
      </c>
      <c r="F502">
        <f>$C502*VLOOKUP($B502,FoodDB!$A$2:$I$1014,5,0)</f>
        <v>0</v>
      </c>
      <c r="G502">
        <f>$C502*VLOOKUP($B502,FoodDB!$A$2:$I$1014,6,0)</f>
        <v>0</v>
      </c>
      <c r="H502">
        <f>$C502*VLOOKUP($B502,FoodDB!$A$2:$I$1014,7,0)</f>
        <v>0</v>
      </c>
      <c r="I502">
        <f>$C502*VLOOKUP($B502,FoodDB!$A$2:$I$1014,8,0)</f>
        <v>0</v>
      </c>
      <c r="J502">
        <f>$C502*VLOOKUP($B502,FoodDB!$A$2:$I$1014,9,0)</f>
        <v>0</v>
      </c>
    </row>
    <row r="503" spans="1:19" x14ac:dyDescent="0.25">
      <c r="B503" s="99" t="s">
        <v>107</v>
      </c>
      <c r="C503" s="100">
        <v>0</v>
      </c>
      <c r="D503">
        <f>$C503*VLOOKUP($B503,FoodDB!$A$2:$I$1014,3,0)</f>
        <v>0</v>
      </c>
      <c r="E503">
        <f>$C503*VLOOKUP($B503,FoodDB!$A$2:$I$1014,4,0)</f>
        <v>0</v>
      </c>
      <c r="F503">
        <f>$C503*VLOOKUP($B503,FoodDB!$A$2:$I$1014,5,0)</f>
        <v>0</v>
      </c>
      <c r="G503">
        <f>$C503*VLOOKUP($B503,FoodDB!$A$2:$I$1014,6,0)</f>
        <v>0</v>
      </c>
      <c r="H503">
        <f>$C503*VLOOKUP($B503,FoodDB!$A$2:$I$1014,7,0)</f>
        <v>0</v>
      </c>
      <c r="I503">
        <f>$C503*VLOOKUP($B503,FoodDB!$A$2:$I$1014,8,0)</f>
        <v>0</v>
      </c>
      <c r="J503">
        <f>$C503*VLOOKUP($B503,FoodDB!$A$2:$I$1014,9,0)</f>
        <v>0</v>
      </c>
    </row>
    <row r="504" spans="1:19" x14ac:dyDescent="0.25">
      <c r="B504" s="99" t="s">
        <v>107</v>
      </c>
      <c r="C504" s="100">
        <v>0</v>
      </c>
      <c r="D504">
        <f>$C504*VLOOKUP($B504,FoodDB!$A$2:$I$1014,3,0)</f>
        <v>0</v>
      </c>
      <c r="E504">
        <f>$C504*VLOOKUP($B504,FoodDB!$A$2:$I$1014,4,0)</f>
        <v>0</v>
      </c>
      <c r="F504">
        <f>$C504*VLOOKUP($B504,FoodDB!$A$2:$I$1014,5,0)</f>
        <v>0</v>
      </c>
      <c r="G504">
        <f>$C504*VLOOKUP($B504,FoodDB!$A$2:$I$1014,6,0)</f>
        <v>0</v>
      </c>
      <c r="H504">
        <f>$C504*VLOOKUP($B504,FoodDB!$A$2:$I$1014,7,0)</f>
        <v>0</v>
      </c>
      <c r="I504">
        <f>$C504*VLOOKUP($B504,FoodDB!$A$2:$I$1014,8,0)</f>
        <v>0</v>
      </c>
      <c r="J504">
        <f>$C504*VLOOKUP($B504,FoodDB!$A$2:$I$1014,9,0)</f>
        <v>0</v>
      </c>
    </row>
    <row r="505" spans="1:19" x14ac:dyDescent="0.25">
      <c r="A505" t="s">
        <v>97</v>
      </c>
      <c r="G505">
        <f>SUM(G498:G504)</f>
        <v>0</v>
      </c>
      <c r="H505">
        <f>SUM(H498:H504)</f>
        <v>0</v>
      </c>
      <c r="I505">
        <f>SUM(I498:I504)</f>
        <v>0</v>
      </c>
      <c r="J505">
        <f>SUM(G505:I505)</f>
        <v>0</v>
      </c>
    </row>
    <row r="506" spans="1:19" x14ac:dyDescent="0.25">
      <c r="A506" t="s">
        <v>101</v>
      </c>
      <c r="B506" t="s">
        <v>102</v>
      </c>
      <c r="E506" s="103"/>
      <c r="F506" s="103"/>
      <c r="G506" s="103">
        <f>VLOOKUP($A498,LossChart!$A$3:$AB$105,14,0)</f>
        <v>607.10017279414137</v>
      </c>
      <c r="H506" s="103">
        <f>VLOOKUP($A498,LossChart!$A$3:$AB$105,15,0)</f>
        <v>80</v>
      </c>
      <c r="I506" s="103">
        <f>VLOOKUP($A498,LossChart!$A$3:$AB$105,16,0)</f>
        <v>477.30407413615825</v>
      </c>
      <c r="J506" s="103">
        <f>VLOOKUP($A498,LossChart!$A$3:$AB$105,17,0)</f>
        <v>1164.4042469302997</v>
      </c>
      <c r="K506" s="103"/>
    </row>
    <row r="507" spans="1:19" x14ac:dyDescent="0.25">
      <c r="A507" t="s">
        <v>103</v>
      </c>
      <c r="G507">
        <f>G506-G505</f>
        <v>607.10017279414137</v>
      </c>
      <c r="H507">
        <f>H506-H505</f>
        <v>80</v>
      </c>
      <c r="I507">
        <f>I506-I505</f>
        <v>477.30407413615825</v>
      </c>
      <c r="J507">
        <f>J506-J505</f>
        <v>1164.4042469302997</v>
      </c>
    </row>
    <row r="509" spans="1:19" ht="60" x14ac:dyDescent="0.25">
      <c r="A509" s="26" t="s">
        <v>63</v>
      </c>
      <c r="B509" s="26" t="s">
        <v>92</v>
      </c>
      <c r="C509" s="26" t="s">
        <v>93</v>
      </c>
      <c r="D509" s="97" t="str">
        <f>FoodDB!$C$1</f>
        <v>Fat
(g)</v>
      </c>
      <c r="E509" s="97" t="str">
        <f>FoodDB!$D$1</f>
        <v xml:space="preserve"> Carbs
(g)</v>
      </c>
      <c r="F509" s="97" t="str">
        <f>FoodDB!$E$1</f>
        <v>Protein
(g)</v>
      </c>
      <c r="G509" s="97" t="str">
        <f>FoodDB!$F$1</f>
        <v>Fat
(Cal)</v>
      </c>
      <c r="H509" s="97" t="str">
        <f>FoodDB!$G$1</f>
        <v>Carb
(Cal)</v>
      </c>
      <c r="I509" s="97" t="str">
        <f>FoodDB!$H$1</f>
        <v>Protein
(Cal)</v>
      </c>
      <c r="J509" s="97" t="str">
        <f>FoodDB!$I$1</f>
        <v>Total
Calories</v>
      </c>
      <c r="K509" s="97"/>
      <c r="L509" s="97" t="s">
        <v>109</v>
      </c>
      <c r="M509" s="97" t="s">
        <v>110</v>
      </c>
      <c r="N509" s="97" t="s">
        <v>111</v>
      </c>
      <c r="O509" s="97" t="s">
        <v>112</v>
      </c>
      <c r="P509" s="97" t="s">
        <v>117</v>
      </c>
      <c r="Q509" s="97" t="s">
        <v>118</v>
      </c>
      <c r="R509" s="97" t="s">
        <v>119</v>
      </c>
      <c r="S509" s="97" t="s">
        <v>120</v>
      </c>
    </row>
    <row r="510" spans="1:19" x14ac:dyDescent="0.25">
      <c r="A510" s="98">
        <f>A498+1</f>
        <v>43036</v>
      </c>
      <c r="B510" s="99" t="s">
        <v>107</v>
      </c>
      <c r="C510" s="100">
        <v>0</v>
      </c>
      <c r="D510">
        <f>$C510*VLOOKUP($B510,FoodDB!$A$2:$I$1014,3,0)</f>
        <v>0</v>
      </c>
      <c r="E510">
        <f>$C510*VLOOKUP($B510,FoodDB!$A$2:$I$1014,4,0)</f>
        <v>0</v>
      </c>
      <c r="F510">
        <f>$C510*VLOOKUP($B510,FoodDB!$A$2:$I$1014,5,0)</f>
        <v>0</v>
      </c>
      <c r="G510">
        <f>$C510*VLOOKUP($B510,FoodDB!$A$2:$I$1014,6,0)</f>
        <v>0</v>
      </c>
      <c r="H510">
        <f>$C510*VLOOKUP($B510,FoodDB!$A$2:$I$1014,7,0)</f>
        <v>0</v>
      </c>
      <c r="I510">
        <f>$C510*VLOOKUP($B510,FoodDB!$A$2:$I$1014,8,0)</f>
        <v>0</v>
      </c>
      <c r="J510">
        <f>$C510*VLOOKUP($B510,FoodDB!$A$2:$I$1014,9,0)</f>
        <v>0</v>
      </c>
      <c r="L510">
        <f>SUM(G510:G516)</f>
        <v>0</v>
      </c>
      <c r="M510">
        <f>SUM(H510:H516)</f>
        <v>0</v>
      </c>
      <c r="N510">
        <f>SUM(I510:I516)</f>
        <v>0</v>
      </c>
      <c r="O510">
        <f>SUM(L510:N510)</f>
        <v>0</v>
      </c>
      <c r="P510" s="103">
        <f>VLOOKUP($A510,LossChart!$A$3:$AB$105,14,0)-L510</f>
        <v>613.22544733003633</v>
      </c>
      <c r="Q510" s="103">
        <f>VLOOKUP($A510,LossChart!$A$3:$AB$105,15,0)-M510</f>
        <v>80</v>
      </c>
      <c r="R510" s="103">
        <f>VLOOKUP($A510,LossChart!$A$3:$AB$105,16,0)-N510</f>
        <v>477.30407413615825</v>
      </c>
      <c r="S510" s="103">
        <f>VLOOKUP($A510,LossChart!$A$3:$AB$105,17,0)-O510</f>
        <v>1170.5295214661946</v>
      </c>
    </row>
    <row r="511" spans="1:19" x14ac:dyDescent="0.25">
      <c r="B511" s="99" t="s">
        <v>107</v>
      </c>
      <c r="C511" s="100">
        <v>0</v>
      </c>
      <c r="D511">
        <f>$C511*VLOOKUP($B511,FoodDB!$A$2:$I$1014,3,0)</f>
        <v>0</v>
      </c>
      <c r="E511">
        <f>$C511*VLOOKUP($B511,FoodDB!$A$2:$I$1014,4,0)</f>
        <v>0</v>
      </c>
      <c r="F511">
        <f>$C511*VLOOKUP($B511,FoodDB!$A$2:$I$1014,5,0)</f>
        <v>0</v>
      </c>
      <c r="G511">
        <f>$C511*VLOOKUP($B511,FoodDB!$A$2:$I$1014,6,0)</f>
        <v>0</v>
      </c>
      <c r="H511">
        <f>$C511*VLOOKUP($B511,FoodDB!$A$2:$I$1014,7,0)</f>
        <v>0</v>
      </c>
      <c r="I511">
        <f>$C511*VLOOKUP($B511,FoodDB!$A$2:$I$1014,8,0)</f>
        <v>0</v>
      </c>
      <c r="J511">
        <f>$C511*VLOOKUP($B511,FoodDB!$A$2:$I$1014,9,0)</f>
        <v>0</v>
      </c>
    </row>
    <row r="512" spans="1:19" x14ac:dyDescent="0.25">
      <c r="B512" s="99" t="s">
        <v>107</v>
      </c>
      <c r="C512" s="100">
        <v>0</v>
      </c>
      <c r="D512">
        <f>$C512*VLOOKUP($B512,FoodDB!$A$2:$I$1014,3,0)</f>
        <v>0</v>
      </c>
      <c r="E512">
        <f>$C512*VLOOKUP($B512,FoodDB!$A$2:$I$1014,4,0)</f>
        <v>0</v>
      </c>
      <c r="F512">
        <f>$C512*VLOOKUP($B512,FoodDB!$A$2:$I$1014,5,0)</f>
        <v>0</v>
      </c>
      <c r="G512">
        <f>$C512*VLOOKUP($B512,FoodDB!$A$2:$I$1014,6,0)</f>
        <v>0</v>
      </c>
      <c r="H512">
        <f>$C512*VLOOKUP($B512,FoodDB!$A$2:$I$1014,7,0)</f>
        <v>0</v>
      </c>
      <c r="I512">
        <f>$C512*VLOOKUP($B512,FoodDB!$A$2:$I$1014,8,0)</f>
        <v>0</v>
      </c>
      <c r="J512">
        <f>$C512*VLOOKUP($B512,FoodDB!$A$2:$I$1014,9,0)</f>
        <v>0</v>
      </c>
    </row>
    <row r="513" spans="1:19" x14ac:dyDescent="0.25">
      <c r="B513" s="99" t="s">
        <v>107</v>
      </c>
      <c r="C513" s="100">
        <v>0</v>
      </c>
      <c r="D513">
        <f>$C513*VLOOKUP($B513,FoodDB!$A$2:$I$1014,3,0)</f>
        <v>0</v>
      </c>
      <c r="E513">
        <f>$C513*VLOOKUP($B513,FoodDB!$A$2:$I$1014,4,0)</f>
        <v>0</v>
      </c>
      <c r="F513">
        <f>$C513*VLOOKUP($B513,FoodDB!$A$2:$I$1014,5,0)</f>
        <v>0</v>
      </c>
      <c r="G513">
        <f>$C513*VLOOKUP($B513,FoodDB!$A$2:$I$1014,6,0)</f>
        <v>0</v>
      </c>
      <c r="H513">
        <f>$C513*VLOOKUP($B513,FoodDB!$A$2:$I$1014,7,0)</f>
        <v>0</v>
      </c>
      <c r="I513">
        <f>$C513*VLOOKUP($B513,FoodDB!$A$2:$I$1014,8,0)</f>
        <v>0</v>
      </c>
      <c r="J513">
        <f>$C513*VLOOKUP($B513,FoodDB!$A$2:$I$1014,9,0)</f>
        <v>0</v>
      </c>
    </row>
    <row r="514" spans="1:19" x14ac:dyDescent="0.25">
      <c r="B514" s="99" t="s">
        <v>107</v>
      </c>
      <c r="C514" s="100">
        <v>0</v>
      </c>
      <c r="D514">
        <f>$C514*VLOOKUP($B514,FoodDB!$A$2:$I$1014,3,0)</f>
        <v>0</v>
      </c>
      <c r="E514">
        <f>$C514*VLOOKUP($B514,FoodDB!$A$2:$I$1014,4,0)</f>
        <v>0</v>
      </c>
      <c r="F514">
        <f>$C514*VLOOKUP($B514,FoodDB!$A$2:$I$1014,5,0)</f>
        <v>0</v>
      </c>
      <c r="G514">
        <f>$C514*VLOOKUP($B514,FoodDB!$A$2:$I$1014,6,0)</f>
        <v>0</v>
      </c>
      <c r="H514">
        <f>$C514*VLOOKUP($B514,FoodDB!$A$2:$I$1014,7,0)</f>
        <v>0</v>
      </c>
      <c r="I514">
        <f>$C514*VLOOKUP($B514,FoodDB!$A$2:$I$1014,8,0)</f>
        <v>0</v>
      </c>
      <c r="J514">
        <f>$C514*VLOOKUP($B514,FoodDB!$A$2:$I$1014,9,0)</f>
        <v>0</v>
      </c>
    </row>
    <row r="515" spans="1:19" x14ac:dyDescent="0.25">
      <c r="B515" s="99" t="s">
        <v>107</v>
      </c>
      <c r="C515" s="100">
        <v>0</v>
      </c>
      <c r="D515">
        <f>$C515*VLOOKUP($B515,FoodDB!$A$2:$I$1014,3,0)</f>
        <v>0</v>
      </c>
      <c r="E515">
        <f>$C515*VLOOKUP($B515,FoodDB!$A$2:$I$1014,4,0)</f>
        <v>0</v>
      </c>
      <c r="F515">
        <f>$C515*VLOOKUP($B515,FoodDB!$A$2:$I$1014,5,0)</f>
        <v>0</v>
      </c>
      <c r="G515">
        <f>$C515*VLOOKUP($B515,FoodDB!$A$2:$I$1014,6,0)</f>
        <v>0</v>
      </c>
      <c r="H515">
        <f>$C515*VLOOKUP($B515,FoodDB!$A$2:$I$1014,7,0)</f>
        <v>0</v>
      </c>
      <c r="I515">
        <f>$C515*VLOOKUP($B515,FoodDB!$A$2:$I$1014,8,0)</f>
        <v>0</v>
      </c>
      <c r="J515">
        <f>$C515*VLOOKUP($B515,FoodDB!$A$2:$I$1014,9,0)</f>
        <v>0</v>
      </c>
    </row>
    <row r="516" spans="1:19" x14ac:dyDescent="0.25">
      <c r="B516" s="99" t="s">
        <v>107</v>
      </c>
      <c r="C516" s="100">
        <v>0</v>
      </c>
      <c r="D516">
        <f>$C516*VLOOKUP($B516,FoodDB!$A$2:$I$1014,3,0)</f>
        <v>0</v>
      </c>
      <c r="E516">
        <f>$C516*VLOOKUP($B516,FoodDB!$A$2:$I$1014,4,0)</f>
        <v>0</v>
      </c>
      <c r="F516">
        <f>$C516*VLOOKUP($B516,FoodDB!$A$2:$I$1014,5,0)</f>
        <v>0</v>
      </c>
      <c r="G516">
        <f>$C516*VLOOKUP($B516,FoodDB!$A$2:$I$1014,6,0)</f>
        <v>0</v>
      </c>
      <c r="H516">
        <f>$C516*VLOOKUP($B516,FoodDB!$A$2:$I$1014,7,0)</f>
        <v>0</v>
      </c>
      <c r="I516">
        <f>$C516*VLOOKUP($B516,FoodDB!$A$2:$I$1014,8,0)</f>
        <v>0</v>
      </c>
      <c r="J516">
        <f>$C516*VLOOKUP($B516,FoodDB!$A$2:$I$1014,9,0)</f>
        <v>0</v>
      </c>
    </row>
    <row r="517" spans="1:19" x14ac:dyDescent="0.25">
      <c r="A517" t="s">
        <v>97</v>
      </c>
      <c r="G517">
        <f>SUM(G510:G516)</f>
        <v>0</v>
      </c>
      <c r="H517">
        <f>SUM(H510:H516)</f>
        <v>0</v>
      </c>
      <c r="I517">
        <f>SUM(I510:I516)</f>
        <v>0</v>
      </c>
      <c r="J517">
        <f>SUM(G517:I517)</f>
        <v>0</v>
      </c>
    </row>
    <row r="518" spans="1:19" x14ac:dyDescent="0.25">
      <c r="A518" t="s">
        <v>101</v>
      </c>
      <c r="B518" t="s">
        <v>102</v>
      </c>
      <c r="E518" s="103"/>
      <c r="F518" s="103"/>
      <c r="G518" s="103">
        <f>VLOOKUP($A510,LossChart!$A$3:$AB$105,14,0)</f>
        <v>613.22544733003633</v>
      </c>
      <c r="H518" s="103">
        <f>VLOOKUP($A510,LossChart!$A$3:$AB$105,15,0)</f>
        <v>80</v>
      </c>
      <c r="I518" s="103">
        <f>VLOOKUP($A510,LossChart!$A$3:$AB$105,16,0)</f>
        <v>477.30407413615825</v>
      </c>
      <c r="J518" s="103">
        <f>VLOOKUP($A510,LossChart!$A$3:$AB$105,17,0)</f>
        <v>1170.5295214661946</v>
      </c>
      <c r="K518" s="103"/>
    </row>
    <row r="519" spans="1:19" x14ac:dyDescent="0.25">
      <c r="A519" t="s">
        <v>103</v>
      </c>
      <c r="G519">
        <f>G518-G517</f>
        <v>613.22544733003633</v>
      </c>
      <c r="H519">
        <f>H518-H517</f>
        <v>80</v>
      </c>
      <c r="I519">
        <f>I518-I517</f>
        <v>477.30407413615825</v>
      </c>
      <c r="J519">
        <f>J518-J517</f>
        <v>1170.5295214661946</v>
      </c>
    </row>
    <row r="521" spans="1:19" ht="60" x14ac:dyDescent="0.25">
      <c r="A521" s="26" t="s">
        <v>63</v>
      </c>
      <c r="B521" s="26" t="s">
        <v>92</v>
      </c>
      <c r="C521" s="26" t="s">
        <v>93</v>
      </c>
      <c r="D521" s="97" t="str">
        <f>FoodDB!$C$1</f>
        <v>Fat
(g)</v>
      </c>
      <c r="E521" s="97" t="str">
        <f>FoodDB!$D$1</f>
        <v xml:space="preserve"> Carbs
(g)</v>
      </c>
      <c r="F521" s="97" t="str">
        <f>FoodDB!$E$1</f>
        <v>Protein
(g)</v>
      </c>
      <c r="G521" s="97" t="str">
        <f>FoodDB!$F$1</f>
        <v>Fat
(Cal)</v>
      </c>
      <c r="H521" s="97" t="str">
        <f>FoodDB!$G$1</f>
        <v>Carb
(Cal)</v>
      </c>
      <c r="I521" s="97" t="str">
        <f>FoodDB!$H$1</f>
        <v>Protein
(Cal)</v>
      </c>
      <c r="J521" s="97" t="str">
        <f>FoodDB!$I$1</f>
        <v>Total
Calories</v>
      </c>
      <c r="K521" s="97"/>
      <c r="L521" s="97" t="s">
        <v>109</v>
      </c>
      <c r="M521" s="97" t="s">
        <v>110</v>
      </c>
      <c r="N521" s="97" t="s">
        <v>111</v>
      </c>
      <c r="O521" s="97" t="s">
        <v>112</v>
      </c>
      <c r="P521" s="97" t="s">
        <v>117</v>
      </c>
      <c r="Q521" s="97" t="s">
        <v>118</v>
      </c>
      <c r="R521" s="97" t="s">
        <v>119</v>
      </c>
      <c r="S521" s="97" t="s">
        <v>120</v>
      </c>
    </row>
    <row r="522" spans="1:19" x14ac:dyDescent="0.25">
      <c r="A522" s="98">
        <f>A510+1</f>
        <v>43037</v>
      </c>
      <c r="B522" s="99" t="s">
        <v>107</v>
      </c>
      <c r="C522" s="100">
        <v>0</v>
      </c>
      <c r="D522">
        <f>$C522*VLOOKUP($B522,FoodDB!$A$2:$I$1014,3,0)</f>
        <v>0</v>
      </c>
      <c r="E522">
        <f>$C522*VLOOKUP($B522,FoodDB!$A$2:$I$1014,4,0)</f>
        <v>0</v>
      </c>
      <c r="F522">
        <f>$C522*VLOOKUP($B522,FoodDB!$A$2:$I$1014,5,0)</f>
        <v>0</v>
      </c>
      <c r="G522">
        <f>$C522*VLOOKUP($B522,FoodDB!$A$2:$I$1014,6,0)</f>
        <v>0</v>
      </c>
      <c r="H522">
        <f>$C522*VLOOKUP($B522,FoodDB!$A$2:$I$1014,7,0)</f>
        <v>0</v>
      </c>
      <c r="I522">
        <f>$C522*VLOOKUP($B522,FoodDB!$A$2:$I$1014,8,0)</f>
        <v>0</v>
      </c>
      <c r="J522">
        <f>$C522*VLOOKUP($B522,FoodDB!$A$2:$I$1014,9,0)</f>
        <v>0</v>
      </c>
      <c r="L522">
        <f>SUM(G522:G528)</f>
        <v>0</v>
      </c>
      <c r="M522">
        <f>SUM(H522:H528)</f>
        <v>0</v>
      </c>
      <c r="N522">
        <f>SUM(I522:I528)</f>
        <v>0</v>
      </c>
      <c r="O522">
        <f>SUM(L522:N522)</f>
        <v>0</v>
      </c>
      <c r="P522" s="103">
        <f>VLOOKUP($A522,LossChart!$A$3:$AB$105,14,0)-L522</f>
        <v>619.29646943432749</v>
      </c>
      <c r="Q522" s="103">
        <f>VLOOKUP($A522,LossChart!$A$3:$AB$105,15,0)-M522</f>
        <v>80</v>
      </c>
      <c r="R522" s="103">
        <f>VLOOKUP($A522,LossChart!$A$3:$AB$105,16,0)-N522</f>
        <v>477.30407413615825</v>
      </c>
      <c r="S522" s="103">
        <f>VLOOKUP($A522,LossChart!$A$3:$AB$105,17,0)-O522</f>
        <v>1176.6005435704858</v>
      </c>
    </row>
    <row r="523" spans="1:19" x14ac:dyDescent="0.25">
      <c r="B523" s="99" t="s">
        <v>107</v>
      </c>
      <c r="C523" s="100">
        <v>0</v>
      </c>
      <c r="D523">
        <f>$C523*VLOOKUP($B523,FoodDB!$A$2:$I$1014,3,0)</f>
        <v>0</v>
      </c>
      <c r="E523">
        <f>$C523*VLOOKUP($B523,FoodDB!$A$2:$I$1014,4,0)</f>
        <v>0</v>
      </c>
      <c r="F523">
        <f>$C523*VLOOKUP($B523,FoodDB!$A$2:$I$1014,5,0)</f>
        <v>0</v>
      </c>
      <c r="G523">
        <f>$C523*VLOOKUP($B523,FoodDB!$A$2:$I$1014,6,0)</f>
        <v>0</v>
      </c>
      <c r="H523">
        <f>$C523*VLOOKUP($B523,FoodDB!$A$2:$I$1014,7,0)</f>
        <v>0</v>
      </c>
      <c r="I523">
        <f>$C523*VLOOKUP($B523,FoodDB!$A$2:$I$1014,8,0)</f>
        <v>0</v>
      </c>
      <c r="J523">
        <f>$C523*VLOOKUP($B523,FoodDB!$A$2:$I$1014,9,0)</f>
        <v>0</v>
      </c>
    </row>
    <row r="524" spans="1:19" x14ac:dyDescent="0.25">
      <c r="B524" s="99" t="s">
        <v>107</v>
      </c>
      <c r="C524" s="100">
        <v>0</v>
      </c>
      <c r="D524">
        <f>$C524*VLOOKUP($B524,FoodDB!$A$2:$I$1014,3,0)</f>
        <v>0</v>
      </c>
      <c r="E524">
        <f>$C524*VLOOKUP($B524,FoodDB!$A$2:$I$1014,4,0)</f>
        <v>0</v>
      </c>
      <c r="F524">
        <f>$C524*VLOOKUP($B524,FoodDB!$A$2:$I$1014,5,0)</f>
        <v>0</v>
      </c>
      <c r="G524">
        <f>$C524*VLOOKUP($B524,FoodDB!$A$2:$I$1014,6,0)</f>
        <v>0</v>
      </c>
      <c r="H524">
        <f>$C524*VLOOKUP($B524,FoodDB!$A$2:$I$1014,7,0)</f>
        <v>0</v>
      </c>
      <c r="I524">
        <f>$C524*VLOOKUP($B524,FoodDB!$A$2:$I$1014,8,0)</f>
        <v>0</v>
      </c>
      <c r="J524">
        <f>$C524*VLOOKUP($B524,FoodDB!$A$2:$I$1014,9,0)</f>
        <v>0</v>
      </c>
    </row>
    <row r="525" spans="1:19" x14ac:dyDescent="0.25">
      <c r="B525" s="99" t="s">
        <v>107</v>
      </c>
      <c r="C525" s="100">
        <v>0</v>
      </c>
      <c r="D525">
        <f>$C525*VLOOKUP($B525,FoodDB!$A$2:$I$1014,3,0)</f>
        <v>0</v>
      </c>
      <c r="E525">
        <f>$C525*VLOOKUP($B525,FoodDB!$A$2:$I$1014,4,0)</f>
        <v>0</v>
      </c>
      <c r="F525">
        <f>$C525*VLOOKUP($B525,FoodDB!$A$2:$I$1014,5,0)</f>
        <v>0</v>
      </c>
      <c r="G525">
        <f>$C525*VLOOKUP($B525,FoodDB!$A$2:$I$1014,6,0)</f>
        <v>0</v>
      </c>
      <c r="H525">
        <f>$C525*VLOOKUP($B525,FoodDB!$A$2:$I$1014,7,0)</f>
        <v>0</v>
      </c>
      <c r="I525">
        <f>$C525*VLOOKUP($B525,FoodDB!$A$2:$I$1014,8,0)</f>
        <v>0</v>
      </c>
      <c r="J525">
        <f>$C525*VLOOKUP($B525,FoodDB!$A$2:$I$1014,9,0)</f>
        <v>0</v>
      </c>
    </row>
    <row r="526" spans="1:19" x14ac:dyDescent="0.25">
      <c r="B526" s="99" t="s">
        <v>107</v>
      </c>
      <c r="C526" s="100">
        <v>0</v>
      </c>
      <c r="D526">
        <f>$C526*VLOOKUP($B526,FoodDB!$A$2:$I$1014,3,0)</f>
        <v>0</v>
      </c>
      <c r="E526">
        <f>$C526*VLOOKUP($B526,FoodDB!$A$2:$I$1014,4,0)</f>
        <v>0</v>
      </c>
      <c r="F526">
        <f>$C526*VLOOKUP($B526,FoodDB!$A$2:$I$1014,5,0)</f>
        <v>0</v>
      </c>
      <c r="G526">
        <f>$C526*VLOOKUP($B526,FoodDB!$A$2:$I$1014,6,0)</f>
        <v>0</v>
      </c>
      <c r="H526">
        <f>$C526*VLOOKUP($B526,FoodDB!$A$2:$I$1014,7,0)</f>
        <v>0</v>
      </c>
      <c r="I526">
        <f>$C526*VLOOKUP($B526,FoodDB!$A$2:$I$1014,8,0)</f>
        <v>0</v>
      </c>
      <c r="J526">
        <f>$C526*VLOOKUP($B526,FoodDB!$A$2:$I$1014,9,0)</f>
        <v>0</v>
      </c>
    </row>
    <row r="527" spans="1:19" x14ac:dyDescent="0.25">
      <c r="B527" s="99" t="s">
        <v>107</v>
      </c>
      <c r="C527" s="100">
        <v>0</v>
      </c>
      <c r="D527">
        <f>$C527*VLOOKUP($B527,FoodDB!$A$2:$I$1014,3,0)</f>
        <v>0</v>
      </c>
      <c r="E527">
        <f>$C527*VLOOKUP($B527,FoodDB!$A$2:$I$1014,4,0)</f>
        <v>0</v>
      </c>
      <c r="F527">
        <f>$C527*VLOOKUP($B527,FoodDB!$A$2:$I$1014,5,0)</f>
        <v>0</v>
      </c>
      <c r="G527">
        <f>$C527*VLOOKUP($B527,FoodDB!$A$2:$I$1014,6,0)</f>
        <v>0</v>
      </c>
      <c r="H527">
        <f>$C527*VLOOKUP($B527,FoodDB!$A$2:$I$1014,7,0)</f>
        <v>0</v>
      </c>
      <c r="I527">
        <f>$C527*VLOOKUP($B527,FoodDB!$A$2:$I$1014,8,0)</f>
        <v>0</v>
      </c>
      <c r="J527">
        <f>$C527*VLOOKUP($B527,FoodDB!$A$2:$I$1014,9,0)</f>
        <v>0</v>
      </c>
    </row>
    <row r="528" spans="1:19" x14ac:dyDescent="0.25">
      <c r="B528" s="99" t="s">
        <v>107</v>
      </c>
      <c r="C528" s="100">
        <v>0</v>
      </c>
      <c r="D528">
        <f>$C528*VLOOKUP($B528,FoodDB!$A$2:$I$1014,3,0)</f>
        <v>0</v>
      </c>
      <c r="E528">
        <f>$C528*VLOOKUP($B528,FoodDB!$A$2:$I$1014,4,0)</f>
        <v>0</v>
      </c>
      <c r="F528">
        <f>$C528*VLOOKUP($B528,FoodDB!$A$2:$I$1014,5,0)</f>
        <v>0</v>
      </c>
      <c r="G528">
        <f>$C528*VLOOKUP($B528,FoodDB!$A$2:$I$1014,6,0)</f>
        <v>0</v>
      </c>
      <c r="H528">
        <f>$C528*VLOOKUP($B528,FoodDB!$A$2:$I$1014,7,0)</f>
        <v>0</v>
      </c>
      <c r="I528">
        <f>$C528*VLOOKUP($B528,FoodDB!$A$2:$I$1014,8,0)</f>
        <v>0</v>
      </c>
      <c r="J528">
        <f>$C528*VLOOKUP($B528,FoodDB!$A$2:$I$1014,9,0)</f>
        <v>0</v>
      </c>
    </row>
    <row r="529" spans="1:19" x14ac:dyDescent="0.25">
      <c r="A529" t="s">
        <v>97</v>
      </c>
      <c r="G529">
        <f>SUM(G522:G528)</f>
        <v>0</v>
      </c>
      <c r="H529">
        <f>SUM(H522:H528)</f>
        <v>0</v>
      </c>
      <c r="I529">
        <f>SUM(I522:I528)</f>
        <v>0</v>
      </c>
      <c r="J529">
        <f>SUM(G529:I529)</f>
        <v>0</v>
      </c>
    </row>
    <row r="530" spans="1:19" x14ac:dyDescent="0.25">
      <c r="A530" t="s">
        <v>101</v>
      </c>
      <c r="B530" t="s">
        <v>102</v>
      </c>
      <c r="E530" s="103"/>
      <c r="F530" s="103"/>
      <c r="G530" s="103">
        <f>VLOOKUP($A522,LossChart!$A$3:$AB$105,14,0)</f>
        <v>619.29646943432749</v>
      </c>
      <c r="H530" s="103">
        <f>VLOOKUP($A522,LossChart!$A$3:$AB$105,15,0)</f>
        <v>80</v>
      </c>
      <c r="I530" s="103">
        <f>VLOOKUP($A522,LossChart!$A$3:$AB$105,16,0)</f>
        <v>477.30407413615825</v>
      </c>
      <c r="J530" s="103">
        <f>VLOOKUP($A522,LossChart!$A$3:$AB$105,17,0)</f>
        <v>1176.6005435704858</v>
      </c>
      <c r="K530" s="103"/>
    </row>
    <row r="531" spans="1:19" x14ac:dyDescent="0.25">
      <c r="A531" t="s">
        <v>103</v>
      </c>
      <c r="G531">
        <f>G530-G529</f>
        <v>619.29646943432749</v>
      </c>
      <c r="H531">
        <f>H530-H529</f>
        <v>80</v>
      </c>
      <c r="I531">
        <f>I530-I529</f>
        <v>477.30407413615825</v>
      </c>
      <c r="J531">
        <f>J530-J529</f>
        <v>1176.6005435704858</v>
      </c>
    </row>
    <row r="533" spans="1:19" ht="60" x14ac:dyDescent="0.25">
      <c r="A533" s="26" t="s">
        <v>63</v>
      </c>
      <c r="B533" s="26" t="s">
        <v>92</v>
      </c>
      <c r="C533" s="26" t="s">
        <v>93</v>
      </c>
      <c r="D533" s="97" t="str">
        <f>FoodDB!$C$1</f>
        <v>Fat
(g)</v>
      </c>
      <c r="E533" s="97" t="str">
        <f>FoodDB!$D$1</f>
        <v xml:space="preserve"> Carbs
(g)</v>
      </c>
      <c r="F533" s="97" t="str">
        <f>FoodDB!$E$1</f>
        <v>Protein
(g)</v>
      </c>
      <c r="G533" s="97" t="str">
        <f>FoodDB!$F$1</f>
        <v>Fat
(Cal)</v>
      </c>
      <c r="H533" s="97" t="str">
        <f>FoodDB!$G$1</f>
        <v>Carb
(Cal)</v>
      </c>
      <c r="I533" s="97" t="str">
        <f>FoodDB!$H$1</f>
        <v>Protein
(Cal)</v>
      </c>
      <c r="J533" s="97" t="str">
        <f>FoodDB!$I$1</f>
        <v>Total
Calories</v>
      </c>
      <c r="K533" s="97"/>
      <c r="L533" s="97" t="s">
        <v>109</v>
      </c>
      <c r="M533" s="97" t="s">
        <v>110</v>
      </c>
      <c r="N533" s="97" t="s">
        <v>111</v>
      </c>
      <c r="O533" s="97" t="s">
        <v>112</v>
      </c>
      <c r="P533" s="97" t="s">
        <v>117</v>
      </c>
      <c r="Q533" s="97" t="s">
        <v>118</v>
      </c>
      <c r="R533" s="97" t="s">
        <v>119</v>
      </c>
      <c r="S533" s="97" t="s">
        <v>120</v>
      </c>
    </row>
    <row r="534" spans="1:19" x14ac:dyDescent="0.25">
      <c r="A534" s="98">
        <f>A522+1</f>
        <v>43038</v>
      </c>
      <c r="B534" s="99" t="s">
        <v>107</v>
      </c>
      <c r="C534" s="100">
        <v>0</v>
      </c>
      <c r="D534">
        <f>$C534*VLOOKUP($B534,FoodDB!$A$2:$I$1014,3,0)</f>
        <v>0</v>
      </c>
      <c r="E534">
        <f>$C534*VLOOKUP($B534,FoodDB!$A$2:$I$1014,4,0)</f>
        <v>0</v>
      </c>
      <c r="F534">
        <f>$C534*VLOOKUP($B534,FoodDB!$A$2:$I$1014,5,0)</f>
        <v>0</v>
      </c>
      <c r="G534">
        <f>$C534*VLOOKUP($B534,FoodDB!$A$2:$I$1014,6,0)</f>
        <v>0</v>
      </c>
      <c r="H534">
        <f>$C534*VLOOKUP($B534,FoodDB!$A$2:$I$1014,7,0)</f>
        <v>0</v>
      </c>
      <c r="I534">
        <f>$C534*VLOOKUP($B534,FoodDB!$A$2:$I$1014,8,0)</f>
        <v>0</v>
      </c>
      <c r="J534">
        <f>$C534*VLOOKUP($B534,FoodDB!$A$2:$I$1014,9,0)</f>
        <v>0</v>
      </c>
      <c r="L534">
        <f>SUM(G534:G540)</f>
        <v>0</v>
      </c>
      <c r="M534">
        <f>SUM(H534:H540)</f>
        <v>0</v>
      </c>
      <c r="N534">
        <f>SUM(I534:I540)</f>
        <v>0</v>
      </c>
      <c r="O534">
        <f>SUM(L534:N534)</f>
        <v>0</v>
      </c>
      <c r="P534" s="103">
        <f>VLOOKUP($A534,LossChart!$A$3:$AB$105,14,0)-L534</f>
        <v>625.31371962855155</v>
      </c>
      <c r="Q534" s="103">
        <f>VLOOKUP($A534,LossChart!$A$3:$AB$105,15,0)-M534</f>
        <v>80</v>
      </c>
      <c r="R534" s="103">
        <f>VLOOKUP($A534,LossChart!$A$3:$AB$105,16,0)-N534</f>
        <v>477.30407413615825</v>
      </c>
      <c r="S534" s="103">
        <f>VLOOKUP($A534,LossChart!$A$3:$AB$105,17,0)-O534</f>
        <v>1182.6177937647099</v>
      </c>
    </row>
    <row r="535" spans="1:19" x14ac:dyDescent="0.25">
      <c r="B535" s="99" t="s">
        <v>107</v>
      </c>
      <c r="C535" s="100">
        <v>0</v>
      </c>
      <c r="D535">
        <f>$C535*VLOOKUP($B535,FoodDB!$A$2:$I$1014,3,0)</f>
        <v>0</v>
      </c>
      <c r="E535">
        <f>$C535*VLOOKUP($B535,FoodDB!$A$2:$I$1014,4,0)</f>
        <v>0</v>
      </c>
      <c r="F535">
        <f>$C535*VLOOKUP($B535,FoodDB!$A$2:$I$1014,5,0)</f>
        <v>0</v>
      </c>
      <c r="G535">
        <f>$C535*VLOOKUP($B535,FoodDB!$A$2:$I$1014,6,0)</f>
        <v>0</v>
      </c>
      <c r="H535">
        <f>$C535*VLOOKUP($B535,FoodDB!$A$2:$I$1014,7,0)</f>
        <v>0</v>
      </c>
      <c r="I535">
        <f>$C535*VLOOKUP($B535,FoodDB!$A$2:$I$1014,8,0)</f>
        <v>0</v>
      </c>
      <c r="J535">
        <f>$C535*VLOOKUP($B535,FoodDB!$A$2:$I$1014,9,0)</f>
        <v>0</v>
      </c>
    </row>
    <row r="536" spans="1:19" x14ac:dyDescent="0.25">
      <c r="B536" s="99" t="s">
        <v>107</v>
      </c>
      <c r="C536" s="100">
        <v>0</v>
      </c>
      <c r="D536">
        <f>$C536*VLOOKUP($B536,FoodDB!$A$2:$I$1014,3,0)</f>
        <v>0</v>
      </c>
      <c r="E536">
        <f>$C536*VLOOKUP($B536,FoodDB!$A$2:$I$1014,4,0)</f>
        <v>0</v>
      </c>
      <c r="F536">
        <f>$C536*VLOOKUP($B536,FoodDB!$A$2:$I$1014,5,0)</f>
        <v>0</v>
      </c>
      <c r="G536">
        <f>$C536*VLOOKUP($B536,FoodDB!$A$2:$I$1014,6,0)</f>
        <v>0</v>
      </c>
      <c r="H536">
        <f>$C536*VLOOKUP($B536,FoodDB!$A$2:$I$1014,7,0)</f>
        <v>0</v>
      </c>
      <c r="I536">
        <f>$C536*VLOOKUP($B536,FoodDB!$A$2:$I$1014,8,0)</f>
        <v>0</v>
      </c>
      <c r="J536">
        <f>$C536*VLOOKUP($B536,FoodDB!$A$2:$I$1014,9,0)</f>
        <v>0</v>
      </c>
    </row>
    <row r="537" spans="1:19" x14ac:dyDescent="0.25">
      <c r="B537" s="99" t="s">
        <v>107</v>
      </c>
      <c r="C537" s="100">
        <v>0</v>
      </c>
      <c r="D537">
        <f>$C537*VLOOKUP($B537,FoodDB!$A$2:$I$1014,3,0)</f>
        <v>0</v>
      </c>
      <c r="E537">
        <f>$C537*VLOOKUP($B537,FoodDB!$A$2:$I$1014,4,0)</f>
        <v>0</v>
      </c>
      <c r="F537">
        <f>$C537*VLOOKUP($B537,FoodDB!$A$2:$I$1014,5,0)</f>
        <v>0</v>
      </c>
      <c r="G537">
        <f>$C537*VLOOKUP($B537,FoodDB!$A$2:$I$1014,6,0)</f>
        <v>0</v>
      </c>
      <c r="H537">
        <f>$C537*VLOOKUP($B537,FoodDB!$A$2:$I$1014,7,0)</f>
        <v>0</v>
      </c>
      <c r="I537">
        <f>$C537*VLOOKUP($B537,FoodDB!$A$2:$I$1014,8,0)</f>
        <v>0</v>
      </c>
      <c r="J537">
        <f>$C537*VLOOKUP($B537,FoodDB!$A$2:$I$1014,9,0)</f>
        <v>0</v>
      </c>
    </row>
    <row r="538" spans="1:19" x14ac:dyDescent="0.25">
      <c r="B538" s="99" t="s">
        <v>107</v>
      </c>
      <c r="C538" s="100">
        <v>0</v>
      </c>
      <c r="D538">
        <f>$C538*VLOOKUP($B538,FoodDB!$A$2:$I$1014,3,0)</f>
        <v>0</v>
      </c>
      <c r="E538">
        <f>$C538*VLOOKUP($B538,FoodDB!$A$2:$I$1014,4,0)</f>
        <v>0</v>
      </c>
      <c r="F538">
        <f>$C538*VLOOKUP($B538,FoodDB!$A$2:$I$1014,5,0)</f>
        <v>0</v>
      </c>
      <c r="G538">
        <f>$C538*VLOOKUP($B538,FoodDB!$A$2:$I$1014,6,0)</f>
        <v>0</v>
      </c>
      <c r="H538">
        <f>$C538*VLOOKUP($B538,FoodDB!$A$2:$I$1014,7,0)</f>
        <v>0</v>
      </c>
      <c r="I538">
        <f>$C538*VLOOKUP($B538,FoodDB!$A$2:$I$1014,8,0)</f>
        <v>0</v>
      </c>
      <c r="J538">
        <f>$C538*VLOOKUP($B538,FoodDB!$A$2:$I$1014,9,0)</f>
        <v>0</v>
      </c>
    </row>
    <row r="539" spans="1:19" x14ac:dyDescent="0.25">
      <c r="B539" s="99" t="s">
        <v>107</v>
      </c>
      <c r="C539" s="100">
        <v>0</v>
      </c>
      <c r="D539">
        <f>$C539*VLOOKUP($B539,FoodDB!$A$2:$I$1014,3,0)</f>
        <v>0</v>
      </c>
      <c r="E539">
        <f>$C539*VLOOKUP($B539,FoodDB!$A$2:$I$1014,4,0)</f>
        <v>0</v>
      </c>
      <c r="F539">
        <f>$C539*VLOOKUP($B539,FoodDB!$A$2:$I$1014,5,0)</f>
        <v>0</v>
      </c>
      <c r="G539">
        <f>$C539*VLOOKUP($B539,FoodDB!$A$2:$I$1014,6,0)</f>
        <v>0</v>
      </c>
      <c r="H539">
        <f>$C539*VLOOKUP($B539,FoodDB!$A$2:$I$1014,7,0)</f>
        <v>0</v>
      </c>
      <c r="I539">
        <f>$C539*VLOOKUP($B539,FoodDB!$A$2:$I$1014,8,0)</f>
        <v>0</v>
      </c>
      <c r="J539">
        <f>$C539*VLOOKUP($B539,FoodDB!$A$2:$I$1014,9,0)</f>
        <v>0</v>
      </c>
    </row>
    <row r="540" spans="1:19" x14ac:dyDescent="0.25">
      <c r="B540" s="99" t="s">
        <v>107</v>
      </c>
      <c r="C540" s="100">
        <v>0</v>
      </c>
      <c r="D540">
        <f>$C540*VLOOKUP($B540,FoodDB!$A$2:$I$1014,3,0)</f>
        <v>0</v>
      </c>
      <c r="E540">
        <f>$C540*VLOOKUP($B540,FoodDB!$A$2:$I$1014,4,0)</f>
        <v>0</v>
      </c>
      <c r="F540">
        <f>$C540*VLOOKUP($B540,FoodDB!$A$2:$I$1014,5,0)</f>
        <v>0</v>
      </c>
      <c r="G540">
        <f>$C540*VLOOKUP($B540,FoodDB!$A$2:$I$1014,6,0)</f>
        <v>0</v>
      </c>
      <c r="H540">
        <f>$C540*VLOOKUP($B540,FoodDB!$A$2:$I$1014,7,0)</f>
        <v>0</v>
      </c>
      <c r="I540">
        <f>$C540*VLOOKUP($B540,FoodDB!$A$2:$I$1014,8,0)</f>
        <v>0</v>
      </c>
      <c r="J540">
        <f>$C540*VLOOKUP($B540,FoodDB!$A$2:$I$1014,9,0)</f>
        <v>0</v>
      </c>
    </row>
    <row r="541" spans="1:19" x14ac:dyDescent="0.25">
      <c r="A541" t="s">
        <v>97</v>
      </c>
      <c r="G541">
        <f>SUM(G534:G540)</f>
        <v>0</v>
      </c>
      <c r="H541">
        <f>SUM(H534:H540)</f>
        <v>0</v>
      </c>
      <c r="I541">
        <f>SUM(I534:I540)</f>
        <v>0</v>
      </c>
      <c r="J541">
        <f>SUM(G541:I541)</f>
        <v>0</v>
      </c>
    </row>
    <row r="542" spans="1:19" x14ac:dyDescent="0.25">
      <c r="A542" t="s">
        <v>101</v>
      </c>
      <c r="B542" t="s">
        <v>102</v>
      </c>
      <c r="E542" s="103"/>
      <c r="F542" s="103"/>
      <c r="G542" s="103">
        <f>VLOOKUP($A534,LossChart!$A$3:$AB$105,14,0)</f>
        <v>625.31371962855155</v>
      </c>
      <c r="H542" s="103">
        <f>VLOOKUP($A534,LossChart!$A$3:$AB$105,15,0)</f>
        <v>80</v>
      </c>
      <c r="I542" s="103">
        <f>VLOOKUP($A534,LossChart!$A$3:$AB$105,16,0)</f>
        <v>477.30407413615825</v>
      </c>
      <c r="J542" s="103">
        <f>VLOOKUP($A534,LossChart!$A$3:$AB$105,17,0)</f>
        <v>1182.6177937647099</v>
      </c>
      <c r="K542" s="103"/>
    </row>
    <row r="543" spans="1:19" x14ac:dyDescent="0.25">
      <c r="A543" t="s">
        <v>103</v>
      </c>
      <c r="G543">
        <f>G542-G541</f>
        <v>625.31371962855155</v>
      </c>
      <c r="H543">
        <f>H542-H541</f>
        <v>80</v>
      </c>
      <c r="I543">
        <f>I542-I541</f>
        <v>477.30407413615825</v>
      </c>
      <c r="J543">
        <f>J542-J541</f>
        <v>1182.6177937647099</v>
      </c>
    </row>
    <row r="545" spans="1:19" ht="60" x14ac:dyDescent="0.25">
      <c r="A545" s="26" t="s">
        <v>63</v>
      </c>
      <c r="B545" s="26" t="s">
        <v>92</v>
      </c>
      <c r="C545" s="26" t="s">
        <v>93</v>
      </c>
      <c r="D545" s="97" t="str">
        <f>FoodDB!$C$1</f>
        <v>Fat
(g)</v>
      </c>
      <c r="E545" s="97" t="str">
        <f>FoodDB!$D$1</f>
        <v xml:space="preserve"> Carbs
(g)</v>
      </c>
      <c r="F545" s="97" t="str">
        <f>FoodDB!$E$1</f>
        <v>Protein
(g)</v>
      </c>
      <c r="G545" s="97" t="str">
        <f>FoodDB!$F$1</f>
        <v>Fat
(Cal)</v>
      </c>
      <c r="H545" s="97" t="str">
        <f>FoodDB!$G$1</f>
        <v>Carb
(Cal)</v>
      </c>
      <c r="I545" s="97" t="str">
        <f>FoodDB!$H$1</f>
        <v>Protein
(Cal)</v>
      </c>
      <c r="J545" s="97" t="str">
        <f>FoodDB!$I$1</f>
        <v>Total
Calories</v>
      </c>
      <c r="K545" s="97"/>
      <c r="L545" s="97" t="s">
        <v>109</v>
      </c>
      <c r="M545" s="97" t="s">
        <v>110</v>
      </c>
      <c r="N545" s="97" t="s">
        <v>111</v>
      </c>
      <c r="O545" s="97" t="s">
        <v>112</v>
      </c>
      <c r="P545" s="97" t="s">
        <v>117</v>
      </c>
      <c r="Q545" s="97" t="s">
        <v>118</v>
      </c>
      <c r="R545" s="97" t="s">
        <v>119</v>
      </c>
      <c r="S545" s="97" t="s">
        <v>120</v>
      </c>
    </row>
    <row r="546" spans="1:19" x14ac:dyDescent="0.25">
      <c r="A546" s="98">
        <f>A534+1</f>
        <v>43039</v>
      </c>
      <c r="B546" s="99" t="s">
        <v>107</v>
      </c>
      <c r="C546" s="100">
        <v>0</v>
      </c>
      <c r="D546">
        <f>$C546*VLOOKUP($B546,FoodDB!$A$2:$I$1014,3,0)</f>
        <v>0</v>
      </c>
      <c r="E546">
        <f>$C546*VLOOKUP($B546,FoodDB!$A$2:$I$1014,4,0)</f>
        <v>0</v>
      </c>
      <c r="F546">
        <f>$C546*VLOOKUP($B546,FoodDB!$A$2:$I$1014,5,0)</f>
        <v>0</v>
      </c>
      <c r="G546">
        <f>$C546*VLOOKUP($B546,FoodDB!$A$2:$I$1014,6,0)</f>
        <v>0</v>
      </c>
      <c r="H546">
        <f>$C546*VLOOKUP($B546,FoodDB!$A$2:$I$1014,7,0)</f>
        <v>0</v>
      </c>
      <c r="I546">
        <f>$C546*VLOOKUP($B546,FoodDB!$A$2:$I$1014,8,0)</f>
        <v>0</v>
      </c>
      <c r="J546">
        <f>$C546*VLOOKUP($B546,FoodDB!$A$2:$I$1014,9,0)</f>
        <v>0</v>
      </c>
      <c r="L546">
        <f>SUM(G546:G552)</f>
        <v>0</v>
      </c>
      <c r="M546">
        <f>SUM(H546:H552)</f>
        <v>0</v>
      </c>
      <c r="N546">
        <f>SUM(I546:I552)</f>
        <v>0</v>
      </c>
      <c r="O546">
        <f>SUM(L546:N546)</f>
        <v>0</v>
      </c>
      <c r="P546" s="103">
        <f>VLOOKUP($A546,LossChart!$A$3:$AB$105,14,0)-L546</f>
        <v>631.27767417819882</v>
      </c>
      <c r="Q546" s="103">
        <f>VLOOKUP($A546,LossChart!$A$3:$AB$105,15,0)-M546</f>
        <v>80</v>
      </c>
      <c r="R546" s="103">
        <f>VLOOKUP($A546,LossChart!$A$3:$AB$105,16,0)-N546</f>
        <v>477.30407413615825</v>
      </c>
      <c r="S546" s="103">
        <f>VLOOKUP($A546,LossChart!$A$3:$AB$105,17,0)-O546</f>
        <v>1188.5817483143571</v>
      </c>
    </row>
    <row r="547" spans="1:19" x14ac:dyDescent="0.25">
      <c r="B547" s="99" t="s">
        <v>107</v>
      </c>
      <c r="C547" s="100">
        <v>0</v>
      </c>
      <c r="D547">
        <f>$C547*VLOOKUP($B547,FoodDB!$A$2:$I$1014,3,0)</f>
        <v>0</v>
      </c>
      <c r="E547">
        <f>$C547*VLOOKUP($B547,FoodDB!$A$2:$I$1014,4,0)</f>
        <v>0</v>
      </c>
      <c r="F547">
        <f>$C547*VLOOKUP($B547,FoodDB!$A$2:$I$1014,5,0)</f>
        <v>0</v>
      </c>
      <c r="G547">
        <f>$C547*VLOOKUP($B547,FoodDB!$A$2:$I$1014,6,0)</f>
        <v>0</v>
      </c>
      <c r="H547">
        <f>$C547*VLOOKUP($B547,FoodDB!$A$2:$I$1014,7,0)</f>
        <v>0</v>
      </c>
      <c r="I547">
        <f>$C547*VLOOKUP($B547,FoodDB!$A$2:$I$1014,8,0)</f>
        <v>0</v>
      </c>
      <c r="J547">
        <f>$C547*VLOOKUP($B547,FoodDB!$A$2:$I$1014,9,0)</f>
        <v>0</v>
      </c>
    </row>
    <row r="548" spans="1:19" x14ac:dyDescent="0.25">
      <c r="B548" s="99" t="s">
        <v>107</v>
      </c>
      <c r="C548" s="100">
        <v>0</v>
      </c>
      <c r="D548">
        <f>$C548*VLOOKUP($B548,FoodDB!$A$2:$I$1014,3,0)</f>
        <v>0</v>
      </c>
      <c r="E548">
        <f>$C548*VLOOKUP($B548,FoodDB!$A$2:$I$1014,4,0)</f>
        <v>0</v>
      </c>
      <c r="F548">
        <f>$C548*VLOOKUP($B548,FoodDB!$A$2:$I$1014,5,0)</f>
        <v>0</v>
      </c>
      <c r="G548">
        <f>$C548*VLOOKUP($B548,FoodDB!$A$2:$I$1014,6,0)</f>
        <v>0</v>
      </c>
      <c r="H548">
        <f>$C548*VLOOKUP($B548,FoodDB!$A$2:$I$1014,7,0)</f>
        <v>0</v>
      </c>
      <c r="I548">
        <f>$C548*VLOOKUP($B548,FoodDB!$A$2:$I$1014,8,0)</f>
        <v>0</v>
      </c>
      <c r="J548">
        <f>$C548*VLOOKUP($B548,FoodDB!$A$2:$I$1014,9,0)</f>
        <v>0</v>
      </c>
    </row>
    <row r="549" spans="1:19" x14ac:dyDescent="0.25">
      <c r="B549" s="99" t="s">
        <v>107</v>
      </c>
      <c r="C549" s="100">
        <v>0</v>
      </c>
      <c r="D549">
        <f>$C549*VLOOKUP($B549,FoodDB!$A$2:$I$1014,3,0)</f>
        <v>0</v>
      </c>
      <c r="E549">
        <f>$C549*VLOOKUP($B549,FoodDB!$A$2:$I$1014,4,0)</f>
        <v>0</v>
      </c>
      <c r="F549">
        <f>$C549*VLOOKUP($B549,FoodDB!$A$2:$I$1014,5,0)</f>
        <v>0</v>
      </c>
      <c r="G549">
        <f>$C549*VLOOKUP($B549,FoodDB!$A$2:$I$1014,6,0)</f>
        <v>0</v>
      </c>
      <c r="H549">
        <f>$C549*VLOOKUP($B549,FoodDB!$A$2:$I$1014,7,0)</f>
        <v>0</v>
      </c>
      <c r="I549">
        <f>$C549*VLOOKUP($B549,FoodDB!$A$2:$I$1014,8,0)</f>
        <v>0</v>
      </c>
      <c r="J549">
        <f>$C549*VLOOKUP($B549,FoodDB!$A$2:$I$1014,9,0)</f>
        <v>0</v>
      </c>
    </row>
    <row r="550" spans="1:19" x14ac:dyDescent="0.25">
      <c r="B550" s="99" t="s">
        <v>107</v>
      </c>
      <c r="C550" s="100">
        <v>0</v>
      </c>
      <c r="D550">
        <f>$C550*VLOOKUP($B550,FoodDB!$A$2:$I$1014,3,0)</f>
        <v>0</v>
      </c>
      <c r="E550">
        <f>$C550*VLOOKUP($B550,FoodDB!$A$2:$I$1014,4,0)</f>
        <v>0</v>
      </c>
      <c r="F550">
        <f>$C550*VLOOKUP($B550,FoodDB!$A$2:$I$1014,5,0)</f>
        <v>0</v>
      </c>
      <c r="G550">
        <f>$C550*VLOOKUP($B550,FoodDB!$A$2:$I$1014,6,0)</f>
        <v>0</v>
      </c>
      <c r="H550">
        <f>$C550*VLOOKUP($B550,FoodDB!$A$2:$I$1014,7,0)</f>
        <v>0</v>
      </c>
      <c r="I550">
        <f>$C550*VLOOKUP($B550,FoodDB!$A$2:$I$1014,8,0)</f>
        <v>0</v>
      </c>
      <c r="J550">
        <f>$C550*VLOOKUP($B550,FoodDB!$A$2:$I$1014,9,0)</f>
        <v>0</v>
      </c>
    </row>
    <row r="551" spans="1:19" x14ac:dyDescent="0.25">
      <c r="B551" s="99" t="s">
        <v>107</v>
      </c>
      <c r="C551" s="100">
        <v>0</v>
      </c>
      <c r="D551">
        <f>$C551*VLOOKUP($B551,FoodDB!$A$2:$I$1014,3,0)</f>
        <v>0</v>
      </c>
      <c r="E551">
        <f>$C551*VLOOKUP($B551,FoodDB!$A$2:$I$1014,4,0)</f>
        <v>0</v>
      </c>
      <c r="F551">
        <f>$C551*VLOOKUP($B551,FoodDB!$A$2:$I$1014,5,0)</f>
        <v>0</v>
      </c>
      <c r="G551">
        <f>$C551*VLOOKUP($B551,FoodDB!$A$2:$I$1014,6,0)</f>
        <v>0</v>
      </c>
      <c r="H551">
        <f>$C551*VLOOKUP($B551,FoodDB!$A$2:$I$1014,7,0)</f>
        <v>0</v>
      </c>
      <c r="I551">
        <f>$C551*VLOOKUP($B551,FoodDB!$A$2:$I$1014,8,0)</f>
        <v>0</v>
      </c>
      <c r="J551">
        <f>$C551*VLOOKUP($B551,FoodDB!$A$2:$I$1014,9,0)</f>
        <v>0</v>
      </c>
    </row>
    <row r="552" spans="1:19" x14ac:dyDescent="0.25">
      <c r="B552" s="99" t="s">
        <v>107</v>
      </c>
      <c r="C552" s="100">
        <v>0</v>
      </c>
      <c r="D552">
        <f>$C552*VLOOKUP($B552,FoodDB!$A$2:$I$1014,3,0)</f>
        <v>0</v>
      </c>
      <c r="E552">
        <f>$C552*VLOOKUP($B552,FoodDB!$A$2:$I$1014,4,0)</f>
        <v>0</v>
      </c>
      <c r="F552">
        <f>$C552*VLOOKUP($B552,FoodDB!$A$2:$I$1014,5,0)</f>
        <v>0</v>
      </c>
      <c r="G552">
        <f>$C552*VLOOKUP($B552,FoodDB!$A$2:$I$1014,6,0)</f>
        <v>0</v>
      </c>
      <c r="H552">
        <f>$C552*VLOOKUP($B552,FoodDB!$A$2:$I$1014,7,0)</f>
        <v>0</v>
      </c>
      <c r="I552">
        <f>$C552*VLOOKUP($B552,FoodDB!$A$2:$I$1014,8,0)</f>
        <v>0</v>
      </c>
      <c r="J552">
        <f>$C552*VLOOKUP($B552,FoodDB!$A$2:$I$1014,9,0)</f>
        <v>0</v>
      </c>
    </row>
    <row r="553" spans="1:19" x14ac:dyDescent="0.25">
      <c r="A553" t="s">
        <v>97</v>
      </c>
      <c r="G553">
        <f>SUM(G546:G552)</f>
        <v>0</v>
      </c>
      <c r="H553">
        <f>SUM(H546:H552)</f>
        <v>0</v>
      </c>
      <c r="I553">
        <f>SUM(I546:I552)</f>
        <v>0</v>
      </c>
      <c r="J553">
        <f>SUM(G553:I553)</f>
        <v>0</v>
      </c>
    </row>
    <row r="554" spans="1:19" x14ac:dyDescent="0.25">
      <c r="A554" t="s">
        <v>101</v>
      </c>
      <c r="B554" t="s">
        <v>102</v>
      </c>
      <c r="E554" s="103"/>
      <c r="F554" s="103"/>
      <c r="G554" s="103">
        <f>VLOOKUP($A546,LossChart!$A$3:$AB$105,14,0)</f>
        <v>631.27767417819882</v>
      </c>
      <c r="H554" s="103">
        <f>VLOOKUP($A546,LossChart!$A$3:$AB$105,15,0)</f>
        <v>80</v>
      </c>
      <c r="I554" s="103">
        <f>VLOOKUP($A546,LossChart!$A$3:$AB$105,16,0)</f>
        <v>477.30407413615825</v>
      </c>
      <c r="J554" s="103">
        <f>VLOOKUP($A546,LossChart!$A$3:$AB$105,17,0)</f>
        <v>1188.5817483143571</v>
      </c>
      <c r="K554" s="103"/>
    </row>
    <row r="555" spans="1:19" x14ac:dyDescent="0.25">
      <c r="A555" t="s">
        <v>103</v>
      </c>
      <c r="G555">
        <f>G554-G553</f>
        <v>631.27767417819882</v>
      </c>
      <c r="H555">
        <f>H554-H553</f>
        <v>80</v>
      </c>
      <c r="I555">
        <f>I554-I553</f>
        <v>477.30407413615825</v>
      </c>
      <c r="J555">
        <f>J554-J553</f>
        <v>1188.5817483143571</v>
      </c>
    </row>
    <row r="557" spans="1:19" ht="60" x14ac:dyDescent="0.25">
      <c r="A557" s="26" t="s">
        <v>63</v>
      </c>
      <c r="B557" s="26" t="s">
        <v>92</v>
      </c>
      <c r="C557" s="26" t="s">
        <v>93</v>
      </c>
      <c r="D557" s="97" t="str">
        <f>FoodDB!$C$1</f>
        <v>Fat
(g)</v>
      </c>
      <c r="E557" s="97" t="str">
        <f>FoodDB!$D$1</f>
        <v xml:space="preserve"> Carbs
(g)</v>
      </c>
      <c r="F557" s="97" t="str">
        <f>FoodDB!$E$1</f>
        <v>Protein
(g)</v>
      </c>
      <c r="G557" s="97" t="str">
        <f>FoodDB!$F$1</f>
        <v>Fat
(Cal)</v>
      </c>
      <c r="H557" s="97" t="str">
        <f>FoodDB!$G$1</f>
        <v>Carb
(Cal)</v>
      </c>
      <c r="I557" s="97" t="str">
        <f>FoodDB!$H$1</f>
        <v>Protein
(Cal)</v>
      </c>
      <c r="J557" s="97" t="str">
        <f>FoodDB!$I$1</f>
        <v>Total
Calories</v>
      </c>
      <c r="K557" s="97"/>
      <c r="L557" s="97" t="s">
        <v>109</v>
      </c>
      <c r="M557" s="97" t="s">
        <v>110</v>
      </c>
      <c r="N557" s="97" t="s">
        <v>111</v>
      </c>
      <c r="O557" s="97" t="s">
        <v>112</v>
      </c>
      <c r="P557" s="97" t="s">
        <v>117</v>
      </c>
      <c r="Q557" s="97" t="s">
        <v>118</v>
      </c>
      <c r="R557" s="97" t="s">
        <v>119</v>
      </c>
      <c r="S557" s="97" t="s">
        <v>120</v>
      </c>
    </row>
    <row r="558" spans="1:19" x14ac:dyDescent="0.25">
      <c r="A558" s="98">
        <f>A546+1</f>
        <v>43040</v>
      </c>
      <c r="B558" s="99" t="s">
        <v>107</v>
      </c>
      <c r="C558" s="100">
        <v>0</v>
      </c>
      <c r="D558">
        <f>$C558*VLOOKUP($B558,FoodDB!$A$2:$I$1014,3,0)</f>
        <v>0</v>
      </c>
      <c r="E558">
        <f>$C558*VLOOKUP($B558,FoodDB!$A$2:$I$1014,4,0)</f>
        <v>0</v>
      </c>
      <c r="F558">
        <f>$C558*VLOOKUP($B558,FoodDB!$A$2:$I$1014,5,0)</f>
        <v>0</v>
      </c>
      <c r="G558">
        <f>$C558*VLOOKUP($B558,FoodDB!$A$2:$I$1014,6,0)</f>
        <v>0</v>
      </c>
      <c r="H558">
        <f>$C558*VLOOKUP($B558,FoodDB!$A$2:$I$1014,7,0)</f>
        <v>0</v>
      </c>
      <c r="I558">
        <f>$C558*VLOOKUP($B558,FoodDB!$A$2:$I$1014,8,0)</f>
        <v>0</v>
      </c>
      <c r="J558">
        <f>$C558*VLOOKUP($B558,FoodDB!$A$2:$I$1014,9,0)</f>
        <v>0</v>
      </c>
      <c r="L558">
        <f>SUM(G558:G564)</f>
        <v>0</v>
      </c>
      <c r="M558">
        <f>SUM(H558:H564)</f>
        <v>0</v>
      </c>
      <c r="N558">
        <f>SUM(I558:I564)</f>
        <v>0</v>
      </c>
      <c r="O558">
        <f>SUM(L558:N558)</f>
        <v>0</v>
      </c>
      <c r="P558" s="103">
        <f>VLOOKUP($A558,LossChart!$A$3:$AB$105,14,0)-L558</f>
        <v>637.18880513040676</v>
      </c>
      <c r="Q558" s="103">
        <f>VLOOKUP($A558,LossChart!$A$3:$AB$105,15,0)-M558</f>
        <v>80</v>
      </c>
      <c r="R558" s="103">
        <f>VLOOKUP($A558,LossChart!$A$3:$AB$105,16,0)-N558</f>
        <v>477.30407413615825</v>
      </c>
      <c r="S558" s="103">
        <f>VLOOKUP($A558,LossChart!$A$3:$AB$105,17,0)-O558</f>
        <v>1194.4928792665651</v>
      </c>
    </row>
    <row r="559" spans="1:19" x14ac:dyDescent="0.25">
      <c r="B559" s="99" t="s">
        <v>107</v>
      </c>
      <c r="C559" s="100">
        <v>0</v>
      </c>
      <c r="D559">
        <f>$C559*VLOOKUP($B559,FoodDB!$A$2:$I$1014,3,0)</f>
        <v>0</v>
      </c>
      <c r="E559">
        <f>$C559*VLOOKUP($B559,FoodDB!$A$2:$I$1014,4,0)</f>
        <v>0</v>
      </c>
      <c r="F559">
        <f>$C559*VLOOKUP($B559,FoodDB!$A$2:$I$1014,5,0)</f>
        <v>0</v>
      </c>
      <c r="G559">
        <f>$C559*VLOOKUP($B559,FoodDB!$A$2:$I$1014,6,0)</f>
        <v>0</v>
      </c>
      <c r="H559">
        <f>$C559*VLOOKUP($B559,FoodDB!$A$2:$I$1014,7,0)</f>
        <v>0</v>
      </c>
      <c r="I559">
        <f>$C559*VLOOKUP($B559,FoodDB!$A$2:$I$1014,8,0)</f>
        <v>0</v>
      </c>
      <c r="J559">
        <f>$C559*VLOOKUP($B559,FoodDB!$A$2:$I$1014,9,0)</f>
        <v>0</v>
      </c>
    </row>
    <row r="560" spans="1:19" x14ac:dyDescent="0.25">
      <c r="B560" s="99" t="s">
        <v>107</v>
      </c>
      <c r="C560" s="100">
        <v>0</v>
      </c>
      <c r="D560">
        <f>$C560*VLOOKUP($B560,FoodDB!$A$2:$I$1014,3,0)</f>
        <v>0</v>
      </c>
      <c r="E560">
        <f>$C560*VLOOKUP($B560,FoodDB!$A$2:$I$1014,4,0)</f>
        <v>0</v>
      </c>
      <c r="F560">
        <f>$C560*VLOOKUP($B560,FoodDB!$A$2:$I$1014,5,0)</f>
        <v>0</v>
      </c>
      <c r="G560">
        <f>$C560*VLOOKUP($B560,FoodDB!$A$2:$I$1014,6,0)</f>
        <v>0</v>
      </c>
      <c r="H560">
        <f>$C560*VLOOKUP($B560,FoodDB!$A$2:$I$1014,7,0)</f>
        <v>0</v>
      </c>
      <c r="I560">
        <f>$C560*VLOOKUP($B560,FoodDB!$A$2:$I$1014,8,0)</f>
        <v>0</v>
      </c>
      <c r="J560">
        <f>$C560*VLOOKUP($B560,FoodDB!$A$2:$I$1014,9,0)</f>
        <v>0</v>
      </c>
    </row>
    <row r="561" spans="1:19" x14ac:dyDescent="0.25">
      <c r="B561" s="99" t="s">
        <v>107</v>
      </c>
      <c r="C561" s="100">
        <v>0</v>
      </c>
      <c r="D561">
        <f>$C561*VLOOKUP($B561,FoodDB!$A$2:$I$1014,3,0)</f>
        <v>0</v>
      </c>
      <c r="E561">
        <f>$C561*VLOOKUP($B561,FoodDB!$A$2:$I$1014,4,0)</f>
        <v>0</v>
      </c>
      <c r="F561">
        <f>$C561*VLOOKUP($B561,FoodDB!$A$2:$I$1014,5,0)</f>
        <v>0</v>
      </c>
      <c r="G561">
        <f>$C561*VLOOKUP($B561,FoodDB!$A$2:$I$1014,6,0)</f>
        <v>0</v>
      </c>
      <c r="H561">
        <f>$C561*VLOOKUP($B561,FoodDB!$A$2:$I$1014,7,0)</f>
        <v>0</v>
      </c>
      <c r="I561">
        <f>$C561*VLOOKUP($B561,FoodDB!$A$2:$I$1014,8,0)</f>
        <v>0</v>
      </c>
      <c r="J561">
        <f>$C561*VLOOKUP($B561,FoodDB!$A$2:$I$1014,9,0)</f>
        <v>0</v>
      </c>
    </row>
    <row r="562" spans="1:19" x14ac:dyDescent="0.25">
      <c r="B562" s="99" t="s">
        <v>107</v>
      </c>
      <c r="C562" s="100">
        <v>0</v>
      </c>
      <c r="D562">
        <f>$C562*VLOOKUP($B562,FoodDB!$A$2:$I$1014,3,0)</f>
        <v>0</v>
      </c>
      <c r="E562">
        <f>$C562*VLOOKUP($B562,FoodDB!$A$2:$I$1014,4,0)</f>
        <v>0</v>
      </c>
      <c r="F562">
        <f>$C562*VLOOKUP($B562,FoodDB!$A$2:$I$1014,5,0)</f>
        <v>0</v>
      </c>
      <c r="G562">
        <f>$C562*VLOOKUP($B562,FoodDB!$A$2:$I$1014,6,0)</f>
        <v>0</v>
      </c>
      <c r="H562">
        <f>$C562*VLOOKUP($B562,FoodDB!$A$2:$I$1014,7,0)</f>
        <v>0</v>
      </c>
      <c r="I562">
        <f>$C562*VLOOKUP($B562,FoodDB!$A$2:$I$1014,8,0)</f>
        <v>0</v>
      </c>
      <c r="J562">
        <f>$C562*VLOOKUP($B562,FoodDB!$A$2:$I$1014,9,0)</f>
        <v>0</v>
      </c>
    </row>
    <row r="563" spans="1:19" x14ac:dyDescent="0.25">
      <c r="B563" s="99" t="s">
        <v>107</v>
      </c>
      <c r="C563" s="100">
        <v>0</v>
      </c>
      <c r="D563">
        <f>$C563*VLOOKUP($B563,FoodDB!$A$2:$I$1014,3,0)</f>
        <v>0</v>
      </c>
      <c r="E563">
        <f>$C563*VLOOKUP($B563,FoodDB!$A$2:$I$1014,4,0)</f>
        <v>0</v>
      </c>
      <c r="F563">
        <f>$C563*VLOOKUP($B563,FoodDB!$A$2:$I$1014,5,0)</f>
        <v>0</v>
      </c>
      <c r="G563">
        <f>$C563*VLOOKUP($B563,FoodDB!$A$2:$I$1014,6,0)</f>
        <v>0</v>
      </c>
      <c r="H563">
        <f>$C563*VLOOKUP($B563,FoodDB!$A$2:$I$1014,7,0)</f>
        <v>0</v>
      </c>
      <c r="I563">
        <f>$C563*VLOOKUP($B563,FoodDB!$A$2:$I$1014,8,0)</f>
        <v>0</v>
      </c>
      <c r="J563">
        <f>$C563*VLOOKUP($B563,FoodDB!$A$2:$I$1014,9,0)</f>
        <v>0</v>
      </c>
    </row>
    <row r="564" spans="1:19" x14ac:dyDescent="0.25">
      <c r="B564" s="99" t="s">
        <v>107</v>
      </c>
      <c r="C564" s="100">
        <v>0</v>
      </c>
      <c r="D564">
        <f>$C564*VLOOKUP($B564,FoodDB!$A$2:$I$1014,3,0)</f>
        <v>0</v>
      </c>
      <c r="E564">
        <f>$C564*VLOOKUP($B564,FoodDB!$A$2:$I$1014,4,0)</f>
        <v>0</v>
      </c>
      <c r="F564">
        <f>$C564*VLOOKUP($B564,FoodDB!$A$2:$I$1014,5,0)</f>
        <v>0</v>
      </c>
      <c r="G564">
        <f>$C564*VLOOKUP($B564,FoodDB!$A$2:$I$1014,6,0)</f>
        <v>0</v>
      </c>
      <c r="H564">
        <f>$C564*VLOOKUP($B564,FoodDB!$A$2:$I$1014,7,0)</f>
        <v>0</v>
      </c>
      <c r="I564">
        <f>$C564*VLOOKUP($B564,FoodDB!$A$2:$I$1014,8,0)</f>
        <v>0</v>
      </c>
      <c r="J564">
        <f>$C564*VLOOKUP($B564,FoodDB!$A$2:$I$1014,9,0)</f>
        <v>0</v>
      </c>
    </row>
    <row r="565" spans="1:19" x14ac:dyDescent="0.25">
      <c r="A565" t="s">
        <v>97</v>
      </c>
      <c r="G565">
        <f>SUM(G558:G564)</f>
        <v>0</v>
      </c>
      <c r="H565">
        <f>SUM(H558:H564)</f>
        <v>0</v>
      </c>
      <c r="I565">
        <f>SUM(I558:I564)</f>
        <v>0</v>
      </c>
      <c r="J565">
        <f>SUM(G565:I565)</f>
        <v>0</v>
      </c>
    </row>
    <row r="566" spans="1:19" x14ac:dyDescent="0.25">
      <c r="A566" t="s">
        <v>101</v>
      </c>
      <c r="B566" t="s">
        <v>102</v>
      </c>
      <c r="E566" s="103"/>
      <c r="F566" s="103"/>
      <c r="G566" s="103">
        <f>VLOOKUP($A558,LossChart!$A$3:$AB$105,14,0)</f>
        <v>637.18880513040676</v>
      </c>
      <c r="H566" s="103">
        <f>VLOOKUP($A558,LossChart!$A$3:$AB$105,15,0)</f>
        <v>80</v>
      </c>
      <c r="I566" s="103">
        <f>VLOOKUP($A558,LossChart!$A$3:$AB$105,16,0)</f>
        <v>477.30407413615825</v>
      </c>
      <c r="J566" s="103">
        <f>VLOOKUP($A558,LossChart!$A$3:$AB$105,17,0)</f>
        <v>1194.4928792665651</v>
      </c>
      <c r="K566" s="103"/>
    </row>
    <row r="567" spans="1:19" x14ac:dyDescent="0.25">
      <c r="A567" t="s">
        <v>103</v>
      </c>
      <c r="G567">
        <f>G566-G565</f>
        <v>637.18880513040676</v>
      </c>
      <c r="H567">
        <f>H566-H565</f>
        <v>80</v>
      </c>
      <c r="I567">
        <f>I566-I565</f>
        <v>477.30407413615825</v>
      </c>
      <c r="J567">
        <f>J566-J565</f>
        <v>1194.4928792665651</v>
      </c>
    </row>
    <row r="569" spans="1:19" ht="60" x14ac:dyDescent="0.25">
      <c r="A569" s="26" t="s">
        <v>63</v>
      </c>
      <c r="B569" s="26" t="s">
        <v>92</v>
      </c>
      <c r="C569" s="26" t="s">
        <v>93</v>
      </c>
      <c r="D569" s="97" t="str">
        <f>FoodDB!$C$1</f>
        <v>Fat
(g)</v>
      </c>
      <c r="E569" s="97" t="str">
        <f>FoodDB!$D$1</f>
        <v xml:space="preserve"> Carbs
(g)</v>
      </c>
      <c r="F569" s="97" t="str">
        <f>FoodDB!$E$1</f>
        <v>Protein
(g)</v>
      </c>
      <c r="G569" s="97" t="str">
        <f>FoodDB!$F$1</f>
        <v>Fat
(Cal)</v>
      </c>
      <c r="H569" s="97" t="str">
        <f>FoodDB!$G$1</f>
        <v>Carb
(Cal)</v>
      </c>
      <c r="I569" s="97" t="str">
        <f>FoodDB!$H$1</f>
        <v>Protein
(Cal)</v>
      </c>
      <c r="J569" s="97" t="str">
        <f>FoodDB!$I$1</f>
        <v>Total
Calories</v>
      </c>
      <c r="K569" s="97"/>
      <c r="L569" s="97" t="s">
        <v>109</v>
      </c>
      <c r="M569" s="97" t="s">
        <v>110</v>
      </c>
      <c r="N569" s="97" t="s">
        <v>111</v>
      </c>
      <c r="O569" s="97" t="s">
        <v>112</v>
      </c>
      <c r="P569" s="97" t="s">
        <v>117</v>
      </c>
      <c r="Q569" s="97" t="s">
        <v>118</v>
      </c>
      <c r="R569" s="97" t="s">
        <v>119</v>
      </c>
      <c r="S569" s="97" t="s">
        <v>120</v>
      </c>
    </row>
    <row r="570" spans="1:19" x14ac:dyDescent="0.25">
      <c r="A570" s="98">
        <f>A558+1</f>
        <v>43041</v>
      </c>
      <c r="B570" s="99" t="s">
        <v>107</v>
      </c>
      <c r="C570" s="100">
        <v>0</v>
      </c>
      <c r="D570">
        <f>$C570*VLOOKUP($B570,FoodDB!$A$2:$I$1014,3,0)</f>
        <v>0</v>
      </c>
      <c r="E570">
        <f>$C570*VLOOKUP($B570,FoodDB!$A$2:$I$1014,4,0)</f>
        <v>0</v>
      </c>
      <c r="F570">
        <f>$C570*VLOOKUP($B570,FoodDB!$A$2:$I$1014,5,0)</f>
        <v>0</v>
      </c>
      <c r="G570">
        <f>$C570*VLOOKUP($B570,FoodDB!$A$2:$I$1014,6,0)</f>
        <v>0</v>
      </c>
      <c r="H570">
        <f>$C570*VLOOKUP($B570,FoodDB!$A$2:$I$1014,7,0)</f>
        <v>0</v>
      </c>
      <c r="I570">
        <f>$C570*VLOOKUP($B570,FoodDB!$A$2:$I$1014,8,0)</f>
        <v>0</v>
      </c>
      <c r="J570">
        <f>$C570*VLOOKUP($B570,FoodDB!$A$2:$I$1014,9,0)</f>
        <v>0</v>
      </c>
      <c r="L570">
        <f>SUM(G570:G576)</f>
        <v>0</v>
      </c>
      <c r="M570">
        <f>SUM(H570:H576)</f>
        <v>0</v>
      </c>
      <c r="N570">
        <f>SUM(I570:I576)</f>
        <v>0</v>
      </c>
      <c r="O570">
        <f>SUM(L570:N570)</f>
        <v>0</v>
      </c>
      <c r="P570" s="103">
        <f>VLOOKUP($A570,LossChart!$A$3:$AB$105,14,0)-L570</f>
        <v>643.04758035132318</v>
      </c>
      <c r="Q570" s="103">
        <f>VLOOKUP($A570,LossChart!$A$3:$AB$105,15,0)-M570</f>
        <v>80</v>
      </c>
      <c r="R570" s="103">
        <f>VLOOKUP($A570,LossChart!$A$3:$AB$105,16,0)-N570</f>
        <v>477.30407413615825</v>
      </c>
      <c r="S570" s="103">
        <f>VLOOKUP($A570,LossChart!$A$3:$AB$105,17,0)-O570</f>
        <v>1200.3516544874815</v>
      </c>
    </row>
    <row r="571" spans="1:19" x14ac:dyDescent="0.25">
      <c r="B571" s="99" t="s">
        <v>107</v>
      </c>
      <c r="C571" s="100">
        <v>0</v>
      </c>
      <c r="D571">
        <f>$C571*VLOOKUP($B571,FoodDB!$A$2:$I$1014,3,0)</f>
        <v>0</v>
      </c>
      <c r="E571">
        <f>$C571*VLOOKUP($B571,FoodDB!$A$2:$I$1014,4,0)</f>
        <v>0</v>
      </c>
      <c r="F571">
        <f>$C571*VLOOKUP($B571,FoodDB!$A$2:$I$1014,5,0)</f>
        <v>0</v>
      </c>
      <c r="G571">
        <f>$C571*VLOOKUP($B571,FoodDB!$A$2:$I$1014,6,0)</f>
        <v>0</v>
      </c>
      <c r="H571">
        <f>$C571*VLOOKUP($B571,FoodDB!$A$2:$I$1014,7,0)</f>
        <v>0</v>
      </c>
      <c r="I571">
        <f>$C571*VLOOKUP($B571,FoodDB!$A$2:$I$1014,8,0)</f>
        <v>0</v>
      </c>
      <c r="J571">
        <f>$C571*VLOOKUP($B571,FoodDB!$A$2:$I$1014,9,0)</f>
        <v>0</v>
      </c>
    </row>
    <row r="572" spans="1:19" x14ac:dyDescent="0.25">
      <c r="B572" s="99" t="s">
        <v>107</v>
      </c>
      <c r="C572" s="100">
        <v>0</v>
      </c>
      <c r="D572">
        <f>$C572*VLOOKUP($B572,FoodDB!$A$2:$I$1014,3,0)</f>
        <v>0</v>
      </c>
      <c r="E572">
        <f>$C572*VLOOKUP($B572,FoodDB!$A$2:$I$1014,4,0)</f>
        <v>0</v>
      </c>
      <c r="F572">
        <f>$C572*VLOOKUP($B572,FoodDB!$A$2:$I$1014,5,0)</f>
        <v>0</v>
      </c>
      <c r="G572">
        <f>$C572*VLOOKUP($B572,FoodDB!$A$2:$I$1014,6,0)</f>
        <v>0</v>
      </c>
      <c r="H572">
        <f>$C572*VLOOKUP($B572,FoodDB!$A$2:$I$1014,7,0)</f>
        <v>0</v>
      </c>
      <c r="I572">
        <f>$C572*VLOOKUP($B572,FoodDB!$A$2:$I$1014,8,0)</f>
        <v>0</v>
      </c>
      <c r="J572">
        <f>$C572*VLOOKUP($B572,FoodDB!$A$2:$I$1014,9,0)</f>
        <v>0</v>
      </c>
    </row>
    <row r="573" spans="1:19" x14ac:dyDescent="0.25">
      <c r="B573" s="99" t="s">
        <v>107</v>
      </c>
      <c r="C573" s="100">
        <v>0</v>
      </c>
      <c r="D573">
        <f>$C573*VLOOKUP($B573,FoodDB!$A$2:$I$1014,3,0)</f>
        <v>0</v>
      </c>
      <c r="E573">
        <f>$C573*VLOOKUP($B573,FoodDB!$A$2:$I$1014,4,0)</f>
        <v>0</v>
      </c>
      <c r="F573">
        <f>$C573*VLOOKUP($B573,FoodDB!$A$2:$I$1014,5,0)</f>
        <v>0</v>
      </c>
      <c r="G573">
        <f>$C573*VLOOKUP($B573,FoodDB!$A$2:$I$1014,6,0)</f>
        <v>0</v>
      </c>
      <c r="H573">
        <f>$C573*VLOOKUP($B573,FoodDB!$A$2:$I$1014,7,0)</f>
        <v>0</v>
      </c>
      <c r="I573">
        <f>$C573*VLOOKUP($B573,FoodDB!$A$2:$I$1014,8,0)</f>
        <v>0</v>
      </c>
      <c r="J573">
        <f>$C573*VLOOKUP($B573,FoodDB!$A$2:$I$1014,9,0)</f>
        <v>0</v>
      </c>
    </row>
    <row r="574" spans="1:19" x14ac:dyDescent="0.25">
      <c r="B574" s="99" t="s">
        <v>107</v>
      </c>
      <c r="C574" s="100">
        <v>0</v>
      </c>
      <c r="D574">
        <f>$C574*VLOOKUP($B574,FoodDB!$A$2:$I$1014,3,0)</f>
        <v>0</v>
      </c>
      <c r="E574">
        <f>$C574*VLOOKUP($B574,FoodDB!$A$2:$I$1014,4,0)</f>
        <v>0</v>
      </c>
      <c r="F574">
        <f>$C574*VLOOKUP($B574,FoodDB!$A$2:$I$1014,5,0)</f>
        <v>0</v>
      </c>
      <c r="G574">
        <f>$C574*VLOOKUP($B574,FoodDB!$A$2:$I$1014,6,0)</f>
        <v>0</v>
      </c>
      <c r="H574">
        <f>$C574*VLOOKUP($B574,FoodDB!$A$2:$I$1014,7,0)</f>
        <v>0</v>
      </c>
      <c r="I574">
        <f>$C574*VLOOKUP($B574,FoodDB!$A$2:$I$1014,8,0)</f>
        <v>0</v>
      </c>
      <c r="J574">
        <f>$C574*VLOOKUP($B574,FoodDB!$A$2:$I$1014,9,0)</f>
        <v>0</v>
      </c>
    </row>
    <row r="575" spans="1:19" x14ac:dyDescent="0.25">
      <c r="B575" s="99" t="s">
        <v>107</v>
      </c>
      <c r="C575" s="100">
        <v>0</v>
      </c>
      <c r="D575">
        <f>$C575*VLOOKUP($B575,FoodDB!$A$2:$I$1014,3,0)</f>
        <v>0</v>
      </c>
      <c r="E575">
        <f>$C575*VLOOKUP($B575,FoodDB!$A$2:$I$1014,4,0)</f>
        <v>0</v>
      </c>
      <c r="F575">
        <f>$C575*VLOOKUP($B575,FoodDB!$A$2:$I$1014,5,0)</f>
        <v>0</v>
      </c>
      <c r="G575">
        <f>$C575*VLOOKUP($B575,FoodDB!$A$2:$I$1014,6,0)</f>
        <v>0</v>
      </c>
      <c r="H575">
        <f>$C575*VLOOKUP($B575,FoodDB!$A$2:$I$1014,7,0)</f>
        <v>0</v>
      </c>
      <c r="I575">
        <f>$C575*VLOOKUP($B575,FoodDB!$A$2:$I$1014,8,0)</f>
        <v>0</v>
      </c>
      <c r="J575">
        <f>$C575*VLOOKUP($B575,FoodDB!$A$2:$I$1014,9,0)</f>
        <v>0</v>
      </c>
    </row>
    <row r="576" spans="1:19" x14ac:dyDescent="0.25">
      <c r="B576" s="99" t="s">
        <v>107</v>
      </c>
      <c r="C576" s="100">
        <v>0</v>
      </c>
      <c r="D576">
        <f>$C576*VLOOKUP($B576,FoodDB!$A$2:$I$1014,3,0)</f>
        <v>0</v>
      </c>
      <c r="E576">
        <f>$C576*VLOOKUP($B576,FoodDB!$A$2:$I$1014,4,0)</f>
        <v>0</v>
      </c>
      <c r="F576">
        <f>$C576*VLOOKUP($B576,FoodDB!$A$2:$I$1014,5,0)</f>
        <v>0</v>
      </c>
      <c r="G576">
        <f>$C576*VLOOKUP($B576,FoodDB!$A$2:$I$1014,6,0)</f>
        <v>0</v>
      </c>
      <c r="H576">
        <f>$C576*VLOOKUP($B576,FoodDB!$A$2:$I$1014,7,0)</f>
        <v>0</v>
      </c>
      <c r="I576">
        <f>$C576*VLOOKUP($B576,FoodDB!$A$2:$I$1014,8,0)</f>
        <v>0</v>
      </c>
      <c r="J576">
        <f>$C576*VLOOKUP($B576,FoodDB!$A$2:$I$1014,9,0)</f>
        <v>0</v>
      </c>
    </row>
    <row r="577" spans="1:19" x14ac:dyDescent="0.25">
      <c r="A577" t="s">
        <v>97</v>
      </c>
      <c r="G577">
        <f>SUM(G570:G576)</f>
        <v>0</v>
      </c>
      <c r="H577">
        <f>SUM(H570:H576)</f>
        <v>0</v>
      </c>
      <c r="I577">
        <f>SUM(I570:I576)</f>
        <v>0</v>
      </c>
      <c r="J577">
        <f>SUM(G577:I577)</f>
        <v>0</v>
      </c>
    </row>
    <row r="578" spans="1:19" x14ac:dyDescent="0.25">
      <c r="A578" t="s">
        <v>101</v>
      </c>
      <c r="B578" t="s">
        <v>102</v>
      </c>
      <c r="E578" s="103"/>
      <c r="F578" s="103"/>
      <c r="G578" s="103">
        <f>VLOOKUP($A570,LossChart!$A$3:$AB$105,14,0)</f>
        <v>643.04758035132318</v>
      </c>
      <c r="H578" s="103">
        <f>VLOOKUP($A570,LossChart!$A$3:$AB$105,15,0)</f>
        <v>80</v>
      </c>
      <c r="I578" s="103">
        <f>VLOOKUP($A570,LossChart!$A$3:$AB$105,16,0)</f>
        <v>477.30407413615825</v>
      </c>
      <c r="J578" s="103">
        <f>VLOOKUP($A570,LossChart!$A$3:$AB$105,17,0)</f>
        <v>1200.3516544874815</v>
      </c>
      <c r="K578" s="103"/>
    </row>
    <row r="579" spans="1:19" x14ac:dyDescent="0.25">
      <c r="A579" t="s">
        <v>103</v>
      </c>
      <c r="G579">
        <f>G578-G577</f>
        <v>643.04758035132318</v>
      </c>
      <c r="H579">
        <f>H578-H577</f>
        <v>80</v>
      </c>
      <c r="I579">
        <f>I578-I577</f>
        <v>477.30407413615825</v>
      </c>
      <c r="J579">
        <f>J578-J577</f>
        <v>1200.3516544874815</v>
      </c>
    </row>
    <row r="581" spans="1:19" ht="60" x14ac:dyDescent="0.25">
      <c r="A581" s="26" t="s">
        <v>63</v>
      </c>
      <c r="B581" s="26" t="s">
        <v>92</v>
      </c>
      <c r="C581" s="26" t="s">
        <v>93</v>
      </c>
      <c r="D581" s="97" t="str">
        <f>FoodDB!$C$1</f>
        <v>Fat
(g)</v>
      </c>
      <c r="E581" s="97" t="str">
        <f>FoodDB!$D$1</f>
        <v xml:space="preserve"> Carbs
(g)</v>
      </c>
      <c r="F581" s="97" t="str">
        <f>FoodDB!$E$1</f>
        <v>Protein
(g)</v>
      </c>
      <c r="G581" s="97" t="str">
        <f>FoodDB!$F$1</f>
        <v>Fat
(Cal)</v>
      </c>
      <c r="H581" s="97" t="str">
        <f>FoodDB!$G$1</f>
        <v>Carb
(Cal)</v>
      </c>
      <c r="I581" s="97" t="str">
        <f>FoodDB!$H$1</f>
        <v>Protein
(Cal)</v>
      </c>
      <c r="J581" s="97" t="str">
        <f>FoodDB!$I$1</f>
        <v>Total
Calories</v>
      </c>
      <c r="K581" s="97"/>
      <c r="L581" s="97" t="s">
        <v>109</v>
      </c>
      <c r="M581" s="97" t="s">
        <v>110</v>
      </c>
      <c r="N581" s="97" t="s">
        <v>111</v>
      </c>
      <c r="O581" s="97" t="s">
        <v>112</v>
      </c>
      <c r="P581" s="97" t="s">
        <v>117</v>
      </c>
      <c r="Q581" s="97" t="s">
        <v>118</v>
      </c>
      <c r="R581" s="97" t="s">
        <v>119</v>
      </c>
      <c r="S581" s="97" t="s">
        <v>120</v>
      </c>
    </row>
    <row r="582" spans="1:19" x14ac:dyDescent="0.25">
      <c r="A582" s="98">
        <f>A570+1</f>
        <v>43042</v>
      </c>
      <c r="B582" s="99" t="s">
        <v>107</v>
      </c>
      <c r="C582" s="100">
        <v>0</v>
      </c>
      <c r="D582">
        <f>$C582*VLOOKUP($B582,FoodDB!$A$2:$I$1014,3,0)</f>
        <v>0</v>
      </c>
      <c r="E582">
        <f>$C582*VLOOKUP($B582,FoodDB!$A$2:$I$1014,4,0)</f>
        <v>0</v>
      </c>
      <c r="F582">
        <f>$C582*VLOOKUP($B582,FoodDB!$A$2:$I$1014,5,0)</f>
        <v>0</v>
      </c>
      <c r="G582">
        <f>$C582*VLOOKUP($B582,FoodDB!$A$2:$I$1014,6,0)</f>
        <v>0</v>
      </c>
      <c r="H582">
        <f>$C582*VLOOKUP($B582,FoodDB!$A$2:$I$1014,7,0)</f>
        <v>0</v>
      </c>
      <c r="I582">
        <f>$C582*VLOOKUP($B582,FoodDB!$A$2:$I$1014,8,0)</f>
        <v>0</v>
      </c>
      <c r="J582">
        <f>$C582*VLOOKUP($B582,FoodDB!$A$2:$I$1014,9,0)</f>
        <v>0</v>
      </c>
      <c r="L582">
        <f>SUM(G582:G588)</f>
        <v>0</v>
      </c>
      <c r="M582">
        <f>SUM(H582:H588)</f>
        <v>0</v>
      </c>
      <c r="N582">
        <f>SUM(I582:I588)</f>
        <v>0</v>
      </c>
      <c r="O582">
        <f>SUM(L582:N582)</f>
        <v>0</v>
      </c>
      <c r="P582" s="103">
        <f>VLOOKUP($A582,LossChart!$A$3:$AB$105,14,0)-L582</f>
        <v>648.85446356313992</v>
      </c>
      <c r="Q582" s="103">
        <f>VLOOKUP($A582,LossChart!$A$3:$AB$105,15,0)-M582</f>
        <v>80</v>
      </c>
      <c r="R582" s="103">
        <f>VLOOKUP($A582,LossChart!$A$3:$AB$105,16,0)-N582</f>
        <v>477.30407413615825</v>
      </c>
      <c r="S582" s="103">
        <f>VLOOKUP($A582,LossChart!$A$3:$AB$105,17,0)-O582</f>
        <v>1206.1585376992982</v>
      </c>
    </row>
    <row r="583" spans="1:19" x14ac:dyDescent="0.25">
      <c r="B583" s="99" t="s">
        <v>107</v>
      </c>
      <c r="C583" s="100">
        <v>0</v>
      </c>
      <c r="D583">
        <f>$C583*VLOOKUP($B583,FoodDB!$A$2:$I$1014,3,0)</f>
        <v>0</v>
      </c>
      <c r="E583">
        <f>$C583*VLOOKUP($B583,FoodDB!$A$2:$I$1014,4,0)</f>
        <v>0</v>
      </c>
      <c r="F583">
        <f>$C583*VLOOKUP($B583,FoodDB!$A$2:$I$1014,5,0)</f>
        <v>0</v>
      </c>
      <c r="G583">
        <f>$C583*VLOOKUP($B583,FoodDB!$A$2:$I$1014,6,0)</f>
        <v>0</v>
      </c>
      <c r="H583">
        <f>$C583*VLOOKUP($B583,FoodDB!$A$2:$I$1014,7,0)</f>
        <v>0</v>
      </c>
      <c r="I583">
        <f>$C583*VLOOKUP($B583,FoodDB!$A$2:$I$1014,8,0)</f>
        <v>0</v>
      </c>
      <c r="J583">
        <f>$C583*VLOOKUP($B583,FoodDB!$A$2:$I$1014,9,0)</f>
        <v>0</v>
      </c>
    </row>
    <row r="584" spans="1:19" x14ac:dyDescent="0.25">
      <c r="B584" s="99" t="s">
        <v>107</v>
      </c>
      <c r="C584" s="100">
        <v>0</v>
      </c>
      <c r="D584">
        <f>$C584*VLOOKUP($B584,FoodDB!$A$2:$I$1014,3,0)</f>
        <v>0</v>
      </c>
      <c r="E584">
        <f>$C584*VLOOKUP($B584,FoodDB!$A$2:$I$1014,4,0)</f>
        <v>0</v>
      </c>
      <c r="F584">
        <f>$C584*VLOOKUP($B584,FoodDB!$A$2:$I$1014,5,0)</f>
        <v>0</v>
      </c>
      <c r="G584">
        <f>$C584*VLOOKUP($B584,FoodDB!$A$2:$I$1014,6,0)</f>
        <v>0</v>
      </c>
      <c r="H584">
        <f>$C584*VLOOKUP($B584,FoodDB!$A$2:$I$1014,7,0)</f>
        <v>0</v>
      </c>
      <c r="I584">
        <f>$C584*VLOOKUP($B584,FoodDB!$A$2:$I$1014,8,0)</f>
        <v>0</v>
      </c>
      <c r="J584">
        <f>$C584*VLOOKUP($B584,FoodDB!$A$2:$I$1014,9,0)</f>
        <v>0</v>
      </c>
    </row>
    <row r="585" spans="1:19" x14ac:dyDescent="0.25">
      <c r="B585" s="99" t="s">
        <v>107</v>
      </c>
      <c r="C585" s="100">
        <v>0</v>
      </c>
      <c r="D585">
        <f>$C585*VLOOKUP($B585,FoodDB!$A$2:$I$1014,3,0)</f>
        <v>0</v>
      </c>
      <c r="E585">
        <f>$C585*VLOOKUP($B585,FoodDB!$A$2:$I$1014,4,0)</f>
        <v>0</v>
      </c>
      <c r="F585">
        <f>$C585*VLOOKUP($B585,FoodDB!$A$2:$I$1014,5,0)</f>
        <v>0</v>
      </c>
      <c r="G585">
        <f>$C585*VLOOKUP($B585,FoodDB!$A$2:$I$1014,6,0)</f>
        <v>0</v>
      </c>
      <c r="H585">
        <f>$C585*VLOOKUP($B585,FoodDB!$A$2:$I$1014,7,0)</f>
        <v>0</v>
      </c>
      <c r="I585">
        <f>$C585*VLOOKUP($B585,FoodDB!$A$2:$I$1014,8,0)</f>
        <v>0</v>
      </c>
      <c r="J585">
        <f>$C585*VLOOKUP($B585,FoodDB!$A$2:$I$1014,9,0)</f>
        <v>0</v>
      </c>
    </row>
    <row r="586" spans="1:19" x14ac:dyDescent="0.25">
      <c r="B586" s="99" t="s">
        <v>107</v>
      </c>
      <c r="C586" s="100">
        <v>0</v>
      </c>
      <c r="D586">
        <f>$C586*VLOOKUP($B586,FoodDB!$A$2:$I$1014,3,0)</f>
        <v>0</v>
      </c>
      <c r="E586">
        <f>$C586*VLOOKUP($B586,FoodDB!$A$2:$I$1014,4,0)</f>
        <v>0</v>
      </c>
      <c r="F586">
        <f>$C586*VLOOKUP($B586,FoodDB!$A$2:$I$1014,5,0)</f>
        <v>0</v>
      </c>
      <c r="G586">
        <f>$C586*VLOOKUP($B586,FoodDB!$A$2:$I$1014,6,0)</f>
        <v>0</v>
      </c>
      <c r="H586">
        <f>$C586*VLOOKUP($B586,FoodDB!$A$2:$I$1014,7,0)</f>
        <v>0</v>
      </c>
      <c r="I586">
        <f>$C586*VLOOKUP($B586,FoodDB!$A$2:$I$1014,8,0)</f>
        <v>0</v>
      </c>
      <c r="J586">
        <f>$C586*VLOOKUP($B586,FoodDB!$A$2:$I$1014,9,0)</f>
        <v>0</v>
      </c>
    </row>
    <row r="587" spans="1:19" x14ac:dyDescent="0.25">
      <c r="B587" s="99" t="s">
        <v>107</v>
      </c>
      <c r="C587" s="100">
        <v>0</v>
      </c>
      <c r="D587">
        <f>$C587*VLOOKUP($B587,FoodDB!$A$2:$I$1014,3,0)</f>
        <v>0</v>
      </c>
      <c r="E587">
        <f>$C587*VLOOKUP($B587,FoodDB!$A$2:$I$1014,4,0)</f>
        <v>0</v>
      </c>
      <c r="F587">
        <f>$C587*VLOOKUP($B587,FoodDB!$A$2:$I$1014,5,0)</f>
        <v>0</v>
      </c>
      <c r="G587">
        <f>$C587*VLOOKUP($B587,FoodDB!$A$2:$I$1014,6,0)</f>
        <v>0</v>
      </c>
      <c r="H587">
        <f>$C587*VLOOKUP($B587,FoodDB!$A$2:$I$1014,7,0)</f>
        <v>0</v>
      </c>
      <c r="I587">
        <f>$C587*VLOOKUP($B587,FoodDB!$A$2:$I$1014,8,0)</f>
        <v>0</v>
      </c>
      <c r="J587">
        <f>$C587*VLOOKUP($B587,FoodDB!$A$2:$I$1014,9,0)</f>
        <v>0</v>
      </c>
    </row>
    <row r="588" spans="1:19" x14ac:dyDescent="0.25">
      <c r="B588" s="99" t="s">
        <v>107</v>
      </c>
      <c r="C588" s="100">
        <v>0</v>
      </c>
      <c r="D588">
        <f>$C588*VLOOKUP($B588,FoodDB!$A$2:$I$1014,3,0)</f>
        <v>0</v>
      </c>
      <c r="E588">
        <f>$C588*VLOOKUP($B588,FoodDB!$A$2:$I$1014,4,0)</f>
        <v>0</v>
      </c>
      <c r="F588">
        <f>$C588*VLOOKUP($B588,FoodDB!$A$2:$I$1014,5,0)</f>
        <v>0</v>
      </c>
      <c r="G588">
        <f>$C588*VLOOKUP($B588,FoodDB!$A$2:$I$1014,6,0)</f>
        <v>0</v>
      </c>
      <c r="H588">
        <f>$C588*VLOOKUP($B588,FoodDB!$A$2:$I$1014,7,0)</f>
        <v>0</v>
      </c>
      <c r="I588">
        <f>$C588*VLOOKUP($B588,FoodDB!$A$2:$I$1014,8,0)</f>
        <v>0</v>
      </c>
      <c r="J588">
        <f>$C588*VLOOKUP($B588,FoodDB!$A$2:$I$1014,9,0)</f>
        <v>0</v>
      </c>
    </row>
    <row r="589" spans="1:19" x14ac:dyDescent="0.25">
      <c r="A589" t="s">
        <v>97</v>
      </c>
      <c r="G589">
        <f>SUM(G582:G588)</f>
        <v>0</v>
      </c>
      <c r="H589">
        <f>SUM(H582:H588)</f>
        <v>0</v>
      </c>
      <c r="I589">
        <f>SUM(I582:I588)</f>
        <v>0</v>
      </c>
      <c r="J589">
        <f>SUM(G589:I589)</f>
        <v>0</v>
      </c>
    </row>
    <row r="590" spans="1:19" x14ac:dyDescent="0.25">
      <c r="A590" t="s">
        <v>101</v>
      </c>
      <c r="B590" t="s">
        <v>102</v>
      </c>
      <c r="E590" s="103"/>
      <c r="F590" s="103"/>
      <c r="G590" s="103">
        <f>VLOOKUP($A582,LossChart!$A$3:$AB$105,14,0)</f>
        <v>648.85446356313992</v>
      </c>
      <c r="H590" s="103">
        <f>VLOOKUP($A582,LossChart!$A$3:$AB$105,15,0)</f>
        <v>80</v>
      </c>
      <c r="I590" s="103">
        <f>VLOOKUP($A582,LossChart!$A$3:$AB$105,16,0)</f>
        <v>477.30407413615825</v>
      </c>
      <c r="J590" s="103">
        <f>VLOOKUP($A582,LossChart!$A$3:$AB$105,17,0)</f>
        <v>1206.1585376992982</v>
      </c>
      <c r="K590" s="103"/>
    </row>
    <row r="591" spans="1:19" x14ac:dyDescent="0.25">
      <c r="A591" t="s">
        <v>103</v>
      </c>
      <c r="G591">
        <f>G590-G589</f>
        <v>648.85446356313992</v>
      </c>
      <c r="H591">
        <f>H590-H589</f>
        <v>80</v>
      </c>
      <c r="I591">
        <f>I590-I589</f>
        <v>477.30407413615825</v>
      </c>
      <c r="J591">
        <f>J590-J589</f>
        <v>1206.1585376992982</v>
      </c>
    </row>
    <row r="593" spans="1:19" ht="60" x14ac:dyDescent="0.25">
      <c r="A593" s="26" t="s">
        <v>63</v>
      </c>
      <c r="B593" s="26" t="s">
        <v>92</v>
      </c>
      <c r="C593" s="26" t="s">
        <v>93</v>
      </c>
      <c r="D593" s="97" t="str">
        <f>FoodDB!$C$1</f>
        <v>Fat
(g)</v>
      </c>
      <c r="E593" s="97" t="str">
        <f>FoodDB!$D$1</f>
        <v xml:space="preserve"> Carbs
(g)</v>
      </c>
      <c r="F593" s="97" t="str">
        <f>FoodDB!$E$1</f>
        <v>Protein
(g)</v>
      </c>
      <c r="G593" s="97" t="str">
        <f>FoodDB!$F$1</f>
        <v>Fat
(Cal)</v>
      </c>
      <c r="H593" s="97" t="str">
        <f>FoodDB!$G$1</f>
        <v>Carb
(Cal)</v>
      </c>
      <c r="I593" s="97" t="str">
        <f>FoodDB!$H$1</f>
        <v>Protein
(Cal)</v>
      </c>
      <c r="J593" s="97" t="str">
        <f>FoodDB!$I$1</f>
        <v>Total
Calories</v>
      </c>
      <c r="K593" s="97"/>
      <c r="L593" s="97" t="s">
        <v>109</v>
      </c>
      <c r="M593" s="97" t="s">
        <v>110</v>
      </c>
      <c r="N593" s="97" t="s">
        <v>111</v>
      </c>
      <c r="O593" s="97" t="s">
        <v>112</v>
      </c>
      <c r="P593" s="97" t="s">
        <v>117</v>
      </c>
      <c r="Q593" s="97" t="s">
        <v>118</v>
      </c>
      <c r="R593" s="97" t="s">
        <v>119</v>
      </c>
      <c r="S593" s="97" t="s">
        <v>120</v>
      </c>
    </row>
    <row r="594" spans="1:19" x14ac:dyDescent="0.25">
      <c r="A594" s="98">
        <f>A582+1</f>
        <v>43043</v>
      </c>
      <c r="B594" s="99" t="s">
        <v>107</v>
      </c>
      <c r="C594" s="100">
        <v>0</v>
      </c>
      <c r="D594">
        <f>$C594*VLOOKUP($B594,FoodDB!$A$2:$I$1014,3,0)</f>
        <v>0</v>
      </c>
      <c r="E594">
        <f>$C594*VLOOKUP($B594,FoodDB!$A$2:$I$1014,4,0)</f>
        <v>0</v>
      </c>
      <c r="F594">
        <f>$C594*VLOOKUP($B594,FoodDB!$A$2:$I$1014,5,0)</f>
        <v>0</v>
      </c>
      <c r="G594">
        <f>$C594*VLOOKUP($B594,FoodDB!$A$2:$I$1014,6,0)</f>
        <v>0</v>
      </c>
      <c r="H594">
        <f>$C594*VLOOKUP($B594,FoodDB!$A$2:$I$1014,7,0)</f>
        <v>0</v>
      </c>
      <c r="I594">
        <f>$C594*VLOOKUP($B594,FoodDB!$A$2:$I$1014,8,0)</f>
        <v>0</v>
      </c>
      <c r="J594">
        <f>$C594*VLOOKUP($B594,FoodDB!$A$2:$I$1014,9,0)</f>
        <v>0</v>
      </c>
      <c r="L594">
        <f>SUM(G594:G600)</f>
        <v>0</v>
      </c>
      <c r="M594">
        <f>SUM(H594:H600)</f>
        <v>0</v>
      </c>
      <c r="N594">
        <f>SUM(I594:I600)</f>
        <v>0</v>
      </c>
      <c r="O594">
        <f>SUM(L594:N594)</f>
        <v>0</v>
      </c>
      <c r="P594" s="103">
        <f>VLOOKUP($A594,LossChart!$A$3:$AB$105,14,0)-L594</f>
        <v>654.60991438079509</v>
      </c>
      <c r="Q594" s="103">
        <f>VLOOKUP($A594,LossChart!$A$3:$AB$105,15,0)-M594</f>
        <v>80</v>
      </c>
      <c r="R594" s="103">
        <f>VLOOKUP($A594,LossChart!$A$3:$AB$105,16,0)-N594</f>
        <v>477.30407413615825</v>
      </c>
      <c r="S594" s="103">
        <f>VLOOKUP($A594,LossChart!$A$3:$AB$105,17,0)-O594</f>
        <v>1211.9139885169534</v>
      </c>
    </row>
    <row r="595" spans="1:19" x14ac:dyDescent="0.25">
      <c r="B595" s="99" t="s">
        <v>107</v>
      </c>
      <c r="C595" s="100">
        <v>0</v>
      </c>
      <c r="D595">
        <f>$C595*VLOOKUP($B595,FoodDB!$A$2:$I$1014,3,0)</f>
        <v>0</v>
      </c>
      <c r="E595">
        <f>$C595*VLOOKUP($B595,FoodDB!$A$2:$I$1014,4,0)</f>
        <v>0</v>
      </c>
      <c r="F595">
        <f>$C595*VLOOKUP($B595,FoodDB!$A$2:$I$1014,5,0)</f>
        <v>0</v>
      </c>
      <c r="G595">
        <f>$C595*VLOOKUP($B595,FoodDB!$A$2:$I$1014,6,0)</f>
        <v>0</v>
      </c>
      <c r="H595">
        <f>$C595*VLOOKUP($B595,FoodDB!$A$2:$I$1014,7,0)</f>
        <v>0</v>
      </c>
      <c r="I595">
        <f>$C595*VLOOKUP($B595,FoodDB!$A$2:$I$1014,8,0)</f>
        <v>0</v>
      </c>
      <c r="J595">
        <f>$C595*VLOOKUP($B595,FoodDB!$A$2:$I$1014,9,0)</f>
        <v>0</v>
      </c>
    </row>
    <row r="596" spans="1:19" x14ac:dyDescent="0.25">
      <c r="B596" s="99" t="s">
        <v>107</v>
      </c>
      <c r="C596" s="100">
        <v>0</v>
      </c>
      <c r="D596">
        <f>$C596*VLOOKUP($B596,FoodDB!$A$2:$I$1014,3,0)</f>
        <v>0</v>
      </c>
      <c r="E596">
        <f>$C596*VLOOKUP($B596,FoodDB!$A$2:$I$1014,4,0)</f>
        <v>0</v>
      </c>
      <c r="F596">
        <f>$C596*VLOOKUP($B596,FoodDB!$A$2:$I$1014,5,0)</f>
        <v>0</v>
      </c>
      <c r="G596">
        <f>$C596*VLOOKUP($B596,FoodDB!$A$2:$I$1014,6,0)</f>
        <v>0</v>
      </c>
      <c r="H596">
        <f>$C596*VLOOKUP($B596,FoodDB!$A$2:$I$1014,7,0)</f>
        <v>0</v>
      </c>
      <c r="I596">
        <f>$C596*VLOOKUP($B596,FoodDB!$A$2:$I$1014,8,0)</f>
        <v>0</v>
      </c>
      <c r="J596">
        <f>$C596*VLOOKUP($B596,FoodDB!$A$2:$I$1014,9,0)</f>
        <v>0</v>
      </c>
    </row>
    <row r="597" spans="1:19" x14ac:dyDescent="0.25">
      <c r="B597" s="99" t="s">
        <v>107</v>
      </c>
      <c r="C597" s="100">
        <v>0</v>
      </c>
      <c r="D597">
        <f>$C597*VLOOKUP($B597,FoodDB!$A$2:$I$1014,3,0)</f>
        <v>0</v>
      </c>
      <c r="E597">
        <f>$C597*VLOOKUP($B597,FoodDB!$A$2:$I$1014,4,0)</f>
        <v>0</v>
      </c>
      <c r="F597">
        <f>$C597*VLOOKUP($B597,FoodDB!$A$2:$I$1014,5,0)</f>
        <v>0</v>
      </c>
      <c r="G597">
        <f>$C597*VLOOKUP($B597,FoodDB!$A$2:$I$1014,6,0)</f>
        <v>0</v>
      </c>
      <c r="H597">
        <f>$C597*VLOOKUP($B597,FoodDB!$A$2:$I$1014,7,0)</f>
        <v>0</v>
      </c>
      <c r="I597">
        <f>$C597*VLOOKUP($B597,FoodDB!$A$2:$I$1014,8,0)</f>
        <v>0</v>
      </c>
      <c r="J597">
        <f>$C597*VLOOKUP($B597,FoodDB!$A$2:$I$1014,9,0)</f>
        <v>0</v>
      </c>
    </row>
    <row r="598" spans="1:19" x14ac:dyDescent="0.25">
      <c r="B598" s="99" t="s">
        <v>107</v>
      </c>
      <c r="C598" s="100">
        <v>0</v>
      </c>
      <c r="D598">
        <f>$C598*VLOOKUP($B598,FoodDB!$A$2:$I$1014,3,0)</f>
        <v>0</v>
      </c>
      <c r="E598">
        <f>$C598*VLOOKUP($B598,FoodDB!$A$2:$I$1014,4,0)</f>
        <v>0</v>
      </c>
      <c r="F598">
        <f>$C598*VLOOKUP($B598,FoodDB!$A$2:$I$1014,5,0)</f>
        <v>0</v>
      </c>
      <c r="G598">
        <f>$C598*VLOOKUP($B598,FoodDB!$A$2:$I$1014,6,0)</f>
        <v>0</v>
      </c>
      <c r="H598">
        <f>$C598*VLOOKUP($B598,FoodDB!$A$2:$I$1014,7,0)</f>
        <v>0</v>
      </c>
      <c r="I598">
        <f>$C598*VLOOKUP($B598,FoodDB!$A$2:$I$1014,8,0)</f>
        <v>0</v>
      </c>
      <c r="J598">
        <f>$C598*VLOOKUP($B598,FoodDB!$A$2:$I$1014,9,0)</f>
        <v>0</v>
      </c>
    </row>
    <row r="599" spans="1:19" x14ac:dyDescent="0.25">
      <c r="B599" s="99" t="s">
        <v>107</v>
      </c>
      <c r="C599" s="100">
        <v>0</v>
      </c>
      <c r="D599">
        <f>$C599*VLOOKUP($B599,FoodDB!$A$2:$I$1014,3,0)</f>
        <v>0</v>
      </c>
      <c r="E599">
        <f>$C599*VLOOKUP($B599,FoodDB!$A$2:$I$1014,4,0)</f>
        <v>0</v>
      </c>
      <c r="F599">
        <f>$C599*VLOOKUP($B599,FoodDB!$A$2:$I$1014,5,0)</f>
        <v>0</v>
      </c>
      <c r="G599">
        <f>$C599*VLOOKUP($B599,FoodDB!$A$2:$I$1014,6,0)</f>
        <v>0</v>
      </c>
      <c r="H599">
        <f>$C599*VLOOKUP($B599,FoodDB!$A$2:$I$1014,7,0)</f>
        <v>0</v>
      </c>
      <c r="I599">
        <f>$C599*VLOOKUP($B599,FoodDB!$A$2:$I$1014,8,0)</f>
        <v>0</v>
      </c>
      <c r="J599">
        <f>$C599*VLOOKUP($B599,FoodDB!$A$2:$I$1014,9,0)</f>
        <v>0</v>
      </c>
    </row>
    <row r="600" spans="1:19" x14ac:dyDescent="0.25">
      <c r="B600" s="99" t="s">
        <v>107</v>
      </c>
      <c r="C600" s="100">
        <v>0</v>
      </c>
      <c r="D600">
        <f>$C600*VLOOKUP($B600,FoodDB!$A$2:$I$1014,3,0)</f>
        <v>0</v>
      </c>
      <c r="E600">
        <f>$C600*VLOOKUP($B600,FoodDB!$A$2:$I$1014,4,0)</f>
        <v>0</v>
      </c>
      <c r="F600">
        <f>$C600*VLOOKUP($B600,FoodDB!$A$2:$I$1014,5,0)</f>
        <v>0</v>
      </c>
      <c r="G600">
        <f>$C600*VLOOKUP($B600,FoodDB!$A$2:$I$1014,6,0)</f>
        <v>0</v>
      </c>
      <c r="H600">
        <f>$C600*VLOOKUP($B600,FoodDB!$A$2:$I$1014,7,0)</f>
        <v>0</v>
      </c>
      <c r="I600">
        <f>$C600*VLOOKUP($B600,FoodDB!$A$2:$I$1014,8,0)</f>
        <v>0</v>
      </c>
      <c r="J600">
        <f>$C600*VLOOKUP($B600,FoodDB!$A$2:$I$1014,9,0)</f>
        <v>0</v>
      </c>
    </row>
    <row r="601" spans="1:19" x14ac:dyDescent="0.25">
      <c r="A601" t="s">
        <v>97</v>
      </c>
      <c r="G601">
        <f>SUM(G594:G600)</f>
        <v>0</v>
      </c>
      <c r="H601">
        <f>SUM(H594:H600)</f>
        <v>0</v>
      </c>
      <c r="I601">
        <f>SUM(I594:I600)</f>
        <v>0</v>
      </c>
      <c r="J601">
        <f>SUM(G601:I601)</f>
        <v>0</v>
      </c>
    </row>
    <row r="602" spans="1:19" x14ac:dyDescent="0.25">
      <c r="A602" t="s">
        <v>101</v>
      </c>
      <c r="B602" t="s">
        <v>102</v>
      </c>
      <c r="E602" s="103"/>
      <c r="F602" s="103"/>
      <c r="G602" s="103">
        <f>VLOOKUP($A594,LossChart!$A$3:$AB$105,14,0)</f>
        <v>654.60991438079509</v>
      </c>
      <c r="H602" s="103">
        <f>VLOOKUP($A594,LossChart!$A$3:$AB$105,15,0)</f>
        <v>80</v>
      </c>
      <c r="I602" s="103">
        <f>VLOOKUP($A594,LossChart!$A$3:$AB$105,16,0)</f>
        <v>477.30407413615825</v>
      </c>
      <c r="J602" s="103">
        <f>VLOOKUP($A594,LossChart!$A$3:$AB$105,17,0)</f>
        <v>1211.9139885169534</v>
      </c>
      <c r="K602" s="103"/>
    </row>
    <row r="603" spans="1:19" x14ac:dyDescent="0.25">
      <c r="A603" t="s">
        <v>103</v>
      </c>
      <c r="G603">
        <f>G602-G601</f>
        <v>654.60991438079509</v>
      </c>
      <c r="H603">
        <f>H602-H601</f>
        <v>80</v>
      </c>
      <c r="I603">
        <f>I602-I601</f>
        <v>477.30407413615825</v>
      </c>
      <c r="J603">
        <f>J602-J601</f>
        <v>1211.9139885169534</v>
      </c>
    </row>
    <row r="605" spans="1:19" ht="60" x14ac:dyDescent="0.25">
      <c r="A605" s="26" t="s">
        <v>63</v>
      </c>
      <c r="B605" s="26" t="s">
        <v>92</v>
      </c>
      <c r="C605" s="26" t="s">
        <v>93</v>
      </c>
      <c r="D605" s="97" t="str">
        <f>FoodDB!$C$1</f>
        <v>Fat
(g)</v>
      </c>
      <c r="E605" s="97" t="str">
        <f>FoodDB!$D$1</f>
        <v xml:space="preserve"> Carbs
(g)</v>
      </c>
      <c r="F605" s="97" t="str">
        <f>FoodDB!$E$1</f>
        <v>Protein
(g)</v>
      </c>
      <c r="G605" s="97" t="str">
        <f>FoodDB!$F$1</f>
        <v>Fat
(Cal)</v>
      </c>
      <c r="H605" s="97" t="str">
        <f>FoodDB!$G$1</f>
        <v>Carb
(Cal)</v>
      </c>
      <c r="I605" s="97" t="str">
        <f>FoodDB!$H$1</f>
        <v>Protein
(Cal)</v>
      </c>
      <c r="J605" s="97" t="str">
        <f>FoodDB!$I$1</f>
        <v>Total
Calories</v>
      </c>
      <c r="K605" s="97"/>
      <c r="L605" s="97" t="s">
        <v>109</v>
      </c>
      <c r="M605" s="97" t="s">
        <v>110</v>
      </c>
      <c r="N605" s="97" t="s">
        <v>111</v>
      </c>
      <c r="O605" s="97" t="s">
        <v>112</v>
      </c>
      <c r="P605" s="97" t="s">
        <v>117</v>
      </c>
      <c r="Q605" s="97" t="s">
        <v>118</v>
      </c>
      <c r="R605" s="97" t="s">
        <v>119</v>
      </c>
      <c r="S605" s="97" t="s">
        <v>120</v>
      </c>
    </row>
    <row r="606" spans="1:19" x14ac:dyDescent="0.25">
      <c r="A606" s="98">
        <f>A594+1</f>
        <v>43044</v>
      </c>
      <c r="B606" s="99" t="s">
        <v>107</v>
      </c>
      <c r="C606" s="100">
        <v>0</v>
      </c>
      <c r="D606">
        <f>$C606*VLOOKUP($B606,FoodDB!$A$2:$I$1014,3,0)</f>
        <v>0</v>
      </c>
      <c r="E606">
        <f>$C606*VLOOKUP($B606,FoodDB!$A$2:$I$1014,4,0)</f>
        <v>0</v>
      </c>
      <c r="F606">
        <f>$C606*VLOOKUP($B606,FoodDB!$A$2:$I$1014,5,0)</f>
        <v>0</v>
      </c>
      <c r="G606">
        <f>$C606*VLOOKUP($B606,FoodDB!$A$2:$I$1014,6,0)</f>
        <v>0</v>
      </c>
      <c r="H606">
        <f>$C606*VLOOKUP($B606,FoodDB!$A$2:$I$1014,7,0)</f>
        <v>0</v>
      </c>
      <c r="I606">
        <f>$C606*VLOOKUP($B606,FoodDB!$A$2:$I$1014,8,0)</f>
        <v>0</v>
      </c>
      <c r="J606">
        <f>$C606*VLOOKUP($B606,FoodDB!$A$2:$I$1014,9,0)</f>
        <v>0</v>
      </c>
      <c r="L606">
        <f>SUM(G606:G612)</f>
        <v>0</v>
      </c>
      <c r="M606">
        <f>SUM(H606:H612)</f>
        <v>0</v>
      </c>
      <c r="N606">
        <f>SUM(I606:I612)</f>
        <v>0</v>
      </c>
      <c r="O606">
        <f>SUM(L606:N606)</f>
        <v>0</v>
      </c>
      <c r="P606" s="103">
        <f>VLOOKUP($A606,LossChart!$A$3:$AB$105,14,0)-L606</f>
        <v>660.31438834835149</v>
      </c>
      <c r="Q606" s="103">
        <f>VLOOKUP($A606,LossChart!$A$3:$AB$105,15,0)-M606</f>
        <v>80</v>
      </c>
      <c r="R606" s="103">
        <f>VLOOKUP($A606,LossChart!$A$3:$AB$105,16,0)-N606</f>
        <v>477.30407413615825</v>
      </c>
      <c r="S606" s="103">
        <f>VLOOKUP($A606,LossChart!$A$3:$AB$105,17,0)-O606</f>
        <v>1217.6184624845098</v>
      </c>
    </row>
    <row r="607" spans="1:19" x14ac:dyDescent="0.25">
      <c r="B607" s="99" t="s">
        <v>107</v>
      </c>
      <c r="C607" s="100">
        <v>0</v>
      </c>
      <c r="D607">
        <f>$C607*VLOOKUP($B607,FoodDB!$A$2:$I$1014,3,0)</f>
        <v>0</v>
      </c>
      <c r="E607">
        <f>$C607*VLOOKUP($B607,FoodDB!$A$2:$I$1014,4,0)</f>
        <v>0</v>
      </c>
      <c r="F607">
        <f>$C607*VLOOKUP($B607,FoodDB!$A$2:$I$1014,5,0)</f>
        <v>0</v>
      </c>
      <c r="G607">
        <f>$C607*VLOOKUP($B607,FoodDB!$A$2:$I$1014,6,0)</f>
        <v>0</v>
      </c>
      <c r="H607">
        <f>$C607*VLOOKUP($B607,FoodDB!$A$2:$I$1014,7,0)</f>
        <v>0</v>
      </c>
      <c r="I607">
        <f>$C607*VLOOKUP($B607,FoodDB!$A$2:$I$1014,8,0)</f>
        <v>0</v>
      </c>
      <c r="J607">
        <f>$C607*VLOOKUP($B607,FoodDB!$A$2:$I$1014,9,0)</f>
        <v>0</v>
      </c>
    </row>
    <row r="608" spans="1:19" x14ac:dyDescent="0.25">
      <c r="B608" s="99" t="s">
        <v>107</v>
      </c>
      <c r="C608" s="100">
        <v>0</v>
      </c>
      <c r="D608">
        <f>$C608*VLOOKUP($B608,FoodDB!$A$2:$I$1014,3,0)</f>
        <v>0</v>
      </c>
      <c r="E608">
        <f>$C608*VLOOKUP($B608,FoodDB!$A$2:$I$1014,4,0)</f>
        <v>0</v>
      </c>
      <c r="F608">
        <f>$C608*VLOOKUP($B608,FoodDB!$A$2:$I$1014,5,0)</f>
        <v>0</v>
      </c>
      <c r="G608">
        <f>$C608*VLOOKUP($B608,FoodDB!$A$2:$I$1014,6,0)</f>
        <v>0</v>
      </c>
      <c r="H608">
        <f>$C608*VLOOKUP($B608,FoodDB!$A$2:$I$1014,7,0)</f>
        <v>0</v>
      </c>
      <c r="I608">
        <f>$C608*VLOOKUP($B608,FoodDB!$A$2:$I$1014,8,0)</f>
        <v>0</v>
      </c>
      <c r="J608">
        <f>$C608*VLOOKUP($B608,FoodDB!$A$2:$I$1014,9,0)</f>
        <v>0</v>
      </c>
    </row>
    <row r="609" spans="1:19" x14ac:dyDescent="0.25">
      <c r="B609" s="99" t="s">
        <v>107</v>
      </c>
      <c r="C609" s="100">
        <v>0</v>
      </c>
      <c r="D609">
        <f>$C609*VLOOKUP($B609,FoodDB!$A$2:$I$1014,3,0)</f>
        <v>0</v>
      </c>
      <c r="E609">
        <f>$C609*VLOOKUP($B609,FoodDB!$A$2:$I$1014,4,0)</f>
        <v>0</v>
      </c>
      <c r="F609">
        <f>$C609*VLOOKUP($B609,FoodDB!$A$2:$I$1014,5,0)</f>
        <v>0</v>
      </c>
      <c r="G609">
        <f>$C609*VLOOKUP($B609,FoodDB!$A$2:$I$1014,6,0)</f>
        <v>0</v>
      </c>
      <c r="H609">
        <f>$C609*VLOOKUP($B609,FoodDB!$A$2:$I$1014,7,0)</f>
        <v>0</v>
      </c>
      <c r="I609">
        <f>$C609*VLOOKUP($B609,FoodDB!$A$2:$I$1014,8,0)</f>
        <v>0</v>
      </c>
      <c r="J609">
        <f>$C609*VLOOKUP($B609,FoodDB!$A$2:$I$1014,9,0)</f>
        <v>0</v>
      </c>
    </row>
    <row r="610" spans="1:19" x14ac:dyDescent="0.25">
      <c r="B610" s="99" t="s">
        <v>107</v>
      </c>
      <c r="C610" s="100">
        <v>0</v>
      </c>
      <c r="D610">
        <f>$C610*VLOOKUP($B610,FoodDB!$A$2:$I$1014,3,0)</f>
        <v>0</v>
      </c>
      <c r="E610">
        <f>$C610*VLOOKUP($B610,FoodDB!$A$2:$I$1014,4,0)</f>
        <v>0</v>
      </c>
      <c r="F610">
        <f>$C610*VLOOKUP($B610,FoodDB!$A$2:$I$1014,5,0)</f>
        <v>0</v>
      </c>
      <c r="G610">
        <f>$C610*VLOOKUP($B610,FoodDB!$A$2:$I$1014,6,0)</f>
        <v>0</v>
      </c>
      <c r="H610">
        <f>$C610*VLOOKUP($B610,FoodDB!$A$2:$I$1014,7,0)</f>
        <v>0</v>
      </c>
      <c r="I610">
        <f>$C610*VLOOKUP($B610,FoodDB!$A$2:$I$1014,8,0)</f>
        <v>0</v>
      </c>
      <c r="J610">
        <f>$C610*VLOOKUP($B610,FoodDB!$A$2:$I$1014,9,0)</f>
        <v>0</v>
      </c>
    </row>
    <row r="611" spans="1:19" x14ac:dyDescent="0.25">
      <c r="B611" s="99" t="s">
        <v>107</v>
      </c>
      <c r="C611" s="100">
        <v>0</v>
      </c>
      <c r="D611">
        <f>$C611*VLOOKUP($B611,FoodDB!$A$2:$I$1014,3,0)</f>
        <v>0</v>
      </c>
      <c r="E611">
        <f>$C611*VLOOKUP($B611,FoodDB!$A$2:$I$1014,4,0)</f>
        <v>0</v>
      </c>
      <c r="F611">
        <f>$C611*VLOOKUP($B611,FoodDB!$A$2:$I$1014,5,0)</f>
        <v>0</v>
      </c>
      <c r="G611">
        <f>$C611*VLOOKUP($B611,FoodDB!$A$2:$I$1014,6,0)</f>
        <v>0</v>
      </c>
      <c r="H611">
        <f>$C611*VLOOKUP($B611,FoodDB!$A$2:$I$1014,7,0)</f>
        <v>0</v>
      </c>
      <c r="I611">
        <f>$C611*VLOOKUP($B611,FoodDB!$A$2:$I$1014,8,0)</f>
        <v>0</v>
      </c>
      <c r="J611">
        <f>$C611*VLOOKUP($B611,FoodDB!$A$2:$I$1014,9,0)</f>
        <v>0</v>
      </c>
    </row>
    <row r="612" spans="1:19" x14ac:dyDescent="0.25">
      <c r="B612" s="99" t="s">
        <v>107</v>
      </c>
      <c r="C612" s="100">
        <v>0</v>
      </c>
      <c r="D612">
        <f>$C612*VLOOKUP($B612,FoodDB!$A$2:$I$1014,3,0)</f>
        <v>0</v>
      </c>
      <c r="E612">
        <f>$C612*VLOOKUP($B612,FoodDB!$A$2:$I$1014,4,0)</f>
        <v>0</v>
      </c>
      <c r="F612">
        <f>$C612*VLOOKUP($B612,FoodDB!$A$2:$I$1014,5,0)</f>
        <v>0</v>
      </c>
      <c r="G612">
        <f>$C612*VLOOKUP($B612,FoodDB!$A$2:$I$1014,6,0)</f>
        <v>0</v>
      </c>
      <c r="H612">
        <f>$C612*VLOOKUP($B612,FoodDB!$A$2:$I$1014,7,0)</f>
        <v>0</v>
      </c>
      <c r="I612">
        <f>$C612*VLOOKUP($B612,FoodDB!$A$2:$I$1014,8,0)</f>
        <v>0</v>
      </c>
      <c r="J612">
        <f>$C612*VLOOKUP($B612,FoodDB!$A$2:$I$1014,9,0)</f>
        <v>0</v>
      </c>
    </row>
    <row r="613" spans="1:19" x14ac:dyDescent="0.25">
      <c r="A613" t="s">
        <v>97</v>
      </c>
      <c r="G613">
        <f>SUM(G606:G612)</f>
        <v>0</v>
      </c>
      <c r="H613">
        <f>SUM(H606:H612)</f>
        <v>0</v>
      </c>
      <c r="I613">
        <f>SUM(I606:I612)</f>
        <v>0</v>
      </c>
      <c r="J613">
        <f>SUM(G613:I613)</f>
        <v>0</v>
      </c>
    </row>
    <row r="614" spans="1:19" x14ac:dyDescent="0.25">
      <c r="A614" t="s">
        <v>101</v>
      </c>
      <c r="B614" t="s">
        <v>102</v>
      </c>
      <c r="E614" s="103"/>
      <c r="F614" s="103"/>
      <c r="G614" s="103">
        <f>VLOOKUP($A606,LossChart!$A$3:$AB$105,14,0)</f>
        <v>660.31438834835149</v>
      </c>
      <c r="H614" s="103">
        <f>VLOOKUP($A606,LossChart!$A$3:$AB$105,15,0)</f>
        <v>80</v>
      </c>
      <c r="I614" s="103">
        <f>VLOOKUP($A606,LossChart!$A$3:$AB$105,16,0)</f>
        <v>477.30407413615825</v>
      </c>
      <c r="J614" s="103">
        <f>VLOOKUP($A606,LossChart!$A$3:$AB$105,17,0)</f>
        <v>1217.6184624845098</v>
      </c>
      <c r="K614" s="103"/>
    </row>
    <row r="615" spans="1:19" x14ac:dyDescent="0.25">
      <c r="A615" t="s">
        <v>103</v>
      </c>
      <c r="G615">
        <f>G614-G613</f>
        <v>660.31438834835149</v>
      </c>
      <c r="H615">
        <f>H614-H613</f>
        <v>80</v>
      </c>
      <c r="I615">
        <f>I614-I613</f>
        <v>477.30407413615825</v>
      </c>
      <c r="J615">
        <f>J614-J613</f>
        <v>1217.6184624845098</v>
      </c>
    </row>
    <row r="617" spans="1:19" ht="60" x14ac:dyDescent="0.25">
      <c r="A617" s="26" t="s">
        <v>63</v>
      </c>
      <c r="B617" s="26" t="s">
        <v>92</v>
      </c>
      <c r="C617" s="26" t="s">
        <v>93</v>
      </c>
      <c r="D617" s="97" t="str">
        <f>FoodDB!$C$1</f>
        <v>Fat
(g)</v>
      </c>
      <c r="E617" s="97" t="str">
        <f>FoodDB!$D$1</f>
        <v xml:space="preserve"> Carbs
(g)</v>
      </c>
      <c r="F617" s="97" t="str">
        <f>FoodDB!$E$1</f>
        <v>Protein
(g)</v>
      </c>
      <c r="G617" s="97" t="str">
        <f>FoodDB!$F$1</f>
        <v>Fat
(Cal)</v>
      </c>
      <c r="H617" s="97" t="str">
        <f>FoodDB!$G$1</f>
        <v>Carb
(Cal)</v>
      </c>
      <c r="I617" s="97" t="str">
        <f>FoodDB!$H$1</f>
        <v>Protein
(Cal)</v>
      </c>
      <c r="J617" s="97" t="str">
        <f>FoodDB!$I$1</f>
        <v>Total
Calories</v>
      </c>
      <c r="K617" s="97"/>
      <c r="L617" s="97" t="s">
        <v>109</v>
      </c>
      <c r="M617" s="97" t="s">
        <v>110</v>
      </c>
      <c r="N617" s="97" t="s">
        <v>111</v>
      </c>
      <c r="O617" s="97" t="s">
        <v>112</v>
      </c>
      <c r="P617" s="97" t="s">
        <v>117</v>
      </c>
      <c r="Q617" s="97" t="s">
        <v>118</v>
      </c>
      <c r="R617" s="97" t="s">
        <v>119</v>
      </c>
      <c r="S617" s="97" t="s">
        <v>120</v>
      </c>
    </row>
    <row r="618" spans="1:19" x14ac:dyDescent="0.25">
      <c r="A618" s="98">
        <f>A606+1</f>
        <v>43045</v>
      </c>
      <c r="B618" s="99" t="s">
        <v>107</v>
      </c>
      <c r="C618" s="100">
        <v>0</v>
      </c>
      <c r="D618">
        <f>$C618*VLOOKUP($B618,FoodDB!$A$2:$I$1014,3,0)</f>
        <v>0</v>
      </c>
      <c r="E618">
        <f>$C618*VLOOKUP($B618,FoodDB!$A$2:$I$1014,4,0)</f>
        <v>0</v>
      </c>
      <c r="F618">
        <f>$C618*VLOOKUP($B618,FoodDB!$A$2:$I$1014,5,0)</f>
        <v>0</v>
      </c>
      <c r="G618">
        <f>$C618*VLOOKUP($B618,FoodDB!$A$2:$I$1014,6,0)</f>
        <v>0</v>
      </c>
      <c r="H618">
        <f>$C618*VLOOKUP($B618,FoodDB!$A$2:$I$1014,7,0)</f>
        <v>0</v>
      </c>
      <c r="I618">
        <f>$C618*VLOOKUP($B618,FoodDB!$A$2:$I$1014,8,0)</f>
        <v>0</v>
      </c>
      <c r="J618">
        <f>$C618*VLOOKUP($B618,FoodDB!$A$2:$I$1014,9,0)</f>
        <v>0</v>
      </c>
      <c r="L618">
        <f>SUM(G618:G624)</f>
        <v>0</v>
      </c>
      <c r="M618">
        <f>SUM(H618:H624)</f>
        <v>0</v>
      </c>
      <c r="N618">
        <f>SUM(I618:I624)</f>
        <v>0</v>
      </c>
      <c r="O618">
        <f>SUM(L618:N618)</f>
        <v>0</v>
      </c>
      <c r="P618" s="103">
        <f>VLOOKUP($A618,LossChart!$A$3:$AB$105,14,0)-L618</f>
        <v>665.96833697505167</v>
      </c>
      <c r="Q618" s="103">
        <f>VLOOKUP($A618,LossChart!$A$3:$AB$105,15,0)-M618</f>
        <v>80</v>
      </c>
      <c r="R618" s="103">
        <f>VLOOKUP($A618,LossChart!$A$3:$AB$105,16,0)-N618</f>
        <v>477.30407413615825</v>
      </c>
      <c r="S618" s="103">
        <f>VLOOKUP($A618,LossChart!$A$3:$AB$105,17,0)-O618</f>
        <v>1223.27241111121</v>
      </c>
    </row>
    <row r="619" spans="1:19" x14ac:dyDescent="0.25">
      <c r="B619" s="99" t="s">
        <v>107</v>
      </c>
      <c r="C619" s="100">
        <v>0</v>
      </c>
      <c r="D619">
        <f>$C619*VLOOKUP($B619,FoodDB!$A$2:$I$1014,3,0)</f>
        <v>0</v>
      </c>
      <c r="E619">
        <f>$C619*VLOOKUP($B619,FoodDB!$A$2:$I$1014,4,0)</f>
        <v>0</v>
      </c>
      <c r="F619">
        <f>$C619*VLOOKUP($B619,FoodDB!$A$2:$I$1014,5,0)</f>
        <v>0</v>
      </c>
      <c r="G619">
        <f>$C619*VLOOKUP($B619,FoodDB!$A$2:$I$1014,6,0)</f>
        <v>0</v>
      </c>
      <c r="H619">
        <f>$C619*VLOOKUP($B619,FoodDB!$A$2:$I$1014,7,0)</f>
        <v>0</v>
      </c>
      <c r="I619">
        <f>$C619*VLOOKUP($B619,FoodDB!$A$2:$I$1014,8,0)</f>
        <v>0</v>
      </c>
      <c r="J619">
        <f>$C619*VLOOKUP($B619,FoodDB!$A$2:$I$1014,9,0)</f>
        <v>0</v>
      </c>
    </row>
    <row r="620" spans="1:19" x14ac:dyDescent="0.25">
      <c r="B620" s="99" t="s">
        <v>107</v>
      </c>
      <c r="C620" s="100">
        <v>0</v>
      </c>
      <c r="D620">
        <f>$C620*VLOOKUP($B620,FoodDB!$A$2:$I$1014,3,0)</f>
        <v>0</v>
      </c>
      <c r="E620">
        <f>$C620*VLOOKUP($B620,FoodDB!$A$2:$I$1014,4,0)</f>
        <v>0</v>
      </c>
      <c r="F620">
        <f>$C620*VLOOKUP($B620,FoodDB!$A$2:$I$1014,5,0)</f>
        <v>0</v>
      </c>
      <c r="G620">
        <f>$C620*VLOOKUP($B620,FoodDB!$A$2:$I$1014,6,0)</f>
        <v>0</v>
      </c>
      <c r="H620">
        <f>$C620*VLOOKUP($B620,FoodDB!$A$2:$I$1014,7,0)</f>
        <v>0</v>
      </c>
      <c r="I620">
        <f>$C620*VLOOKUP($B620,FoodDB!$A$2:$I$1014,8,0)</f>
        <v>0</v>
      </c>
      <c r="J620">
        <f>$C620*VLOOKUP($B620,FoodDB!$A$2:$I$1014,9,0)</f>
        <v>0</v>
      </c>
    </row>
    <row r="621" spans="1:19" x14ac:dyDescent="0.25">
      <c r="B621" s="99" t="s">
        <v>107</v>
      </c>
      <c r="C621" s="100">
        <v>0</v>
      </c>
      <c r="D621">
        <f>$C621*VLOOKUP($B621,FoodDB!$A$2:$I$1014,3,0)</f>
        <v>0</v>
      </c>
      <c r="E621">
        <f>$C621*VLOOKUP($B621,FoodDB!$A$2:$I$1014,4,0)</f>
        <v>0</v>
      </c>
      <c r="F621">
        <f>$C621*VLOOKUP($B621,FoodDB!$A$2:$I$1014,5,0)</f>
        <v>0</v>
      </c>
      <c r="G621">
        <f>$C621*VLOOKUP($B621,FoodDB!$A$2:$I$1014,6,0)</f>
        <v>0</v>
      </c>
      <c r="H621">
        <f>$C621*VLOOKUP($B621,FoodDB!$A$2:$I$1014,7,0)</f>
        <v>0</v>
      </c>
      <c r="I621">
        <f>$C621*VLOOKUP($B621,FoodDB!$A$2:$I$1014,8,0)</f>
        <v>0</v>
      </c>
      <c r="J621">
        <f>$C621*VLOOKUP($B621,FoodDB!$A$2:$I$1014,9,0)</f>
        <v>0</v>
      </c>
    </row>
    <row r="622" spans="1:19" x14ac:dyDescent="0.25">
      <c r="B622" s="99" t="s">
        <v>107</v>
      </c>
      <c r="C622" s="100">
        <v>0</v>
      </c>
      <c r="D622">
        <f>$C622*VLOOKUP($B622,FoodDB!$A$2:$I$1014,3,0)</f>
        <v>0</v>
      </c>
      <c r="E622">
        <f>$C622*VLOOKUP($B622,FoodDB!$A$2:$I$1014,4,0)</f>
        <v>0</v>
      </c>
      <c r="F622">
        <f>$C622*VLOOKUP($B622,FoodDB!$A$2:$I$1014,5,0)</f>
        <v>0</v>
      </c>
      <c r="G622">
        <f>$C622*VLOOKUP($B622,FoodDB!$A$2:$I$1014,6,0)</f>
        <v>0</v>
      </c>
      <c r="H622">
        <f>$C622*VLOOKUP($B622,FoodDB!$A$2:$I$1014,7,0)</f>
        <v>0</v>
      </c>
      <c r="I622">
        <f>$C622*VLOOKUP($B622,FoodDB!$A$2:$I$1014,8,0)</f>
        <v>0</v>
      </c>
      <c r="J622">
        <f>$C622*VLOOKUP($B622,FoodDB!$A$2:$I$1014,9,0)</f>
        <v>0</v>
      </c>
    </row>
    <row r="623" spans="1:19" x14ac:dyDescent="0.25">
      <c r="B623" s="99" t="s">
        <v>107</v>
      </c>
      <c r="C623" s="100">
        <v>0</v>
      </c>
      <c r="D623">
        <f>$C623*VLOOKUP($B623,FoodDB!$A$2:$I$1014,3,0)</f>
        <v>0</v>
      </c>
      <c r="E623">
        <f>$C623*VLOOKUP($B623,FoodDB!$A$2:$I$1014,4,0)</f>
        <v>0</v>
      </c>
      <c r="F623">
        <f>$C623*VLOOKUP($B623,FoodDB!$A$2:$I$1014,5,0)</f>
        <v>0</v>
      </c>
      <c r="G623">
        <f>$C623*VLOOKUP($B623,FoodDB!$A$2:$I$1014,6,0)</f>
        <v>0</v>
      </c>
      <c r="H623">
        <f>$C623*VLOOKUP($B623,FoodDB!$A$2:$I$1014,7,0)</f>
        <v>0</v>
      </c>
      <c r="I623">
        <f>$C623*VLOOKUP($B623,FoodDB!$A$2:$I$1014,8,0)</f>
        <v>0</v>
      </c>
      <c r="J623">
        <f>$C623*VLOOKUP($B623,FoodDB!$A$2:$I$1014,9,0)</f>
        <v>0</v>
      </c>
    </row>
    <row r="624" spans="1:19" x14ac:dyDescent="0.25">
      <c r="B624" s="99" t="s">
        <v>107</v>
      </c>
      <c r="C624" s="100">
        <v>0</v>
      </c>
      <c r="D624">
        <f>$C624*VLOOKUP($B624,FoodDB!$A$2:$I$1014,3,0)</f>
        <v>0</v>
      </c>
      <c r="E624">
        <f>$C624*VLOOKUP($B624,FoodDB!$A$2:$I$1014,4,0)</f>
        <v>0</v>
      </c>
      <c r="F624">
        <f>$C624*VLOOKUP($B624,FoodDB!$A$2:$I$1014,5,0)</f>
        <v>0</v>
      </c>
      <c r="G624">
        <f>$C624*VLOOKUP($B624,FoodDB!$A$2:$I$1014,6,0)</f>
        <v>0</v>
      </c>
      <c r="H624">
        <f>$C624*VLOOKUP($B624,FoodDB!$A$2:$I$1014,7,0)</f>
        <v>0</v>
      </c>
      <c r="I624">
        <f>$C624*VLOOKUP($B624,FoodDB!$A$2:$I$1014,8,0)</f>
        <v>0</v>
      </c>
      <c r="J624">
        <f>$C624*VLOOKUP($B624,FoodDB!$A$2:$I$1014,9,0)</f>
        <v>0</v>
      </c>
    </row>
    <row r="625" spans="1:19" x14ac:dyDescent="0.25">
      <c r="A625" t="s">
        <v>97</v>
      </c>
      <c r="G625">
        <f>SUM(G618:G624)</f>
        <v>0</v>
      </c>
      <c r="H625">
        <f>SUM(H618:H624)</f>
        <v>0</v>
      </c>
      <c r="I625">
        <f>SUM(I618:I624)</f>
        <v>0</v>
      </c>
      <c r="J625">
        <f>SUM(G625:I625)</f>
        <v>0</v>
      </c>
    </row>
    <row r="626" spans="1:19" x14ac:dyDescent="0.25">
      <c r="A626" t="s">
        <v>101</v>
      </c>
      <c r="B626" t="s">
        <v>102</v>
      </c>
      <c r="E626" s="103"/>
      <c r="F626" s="103"/>
      <c r="G626" s="103">
        <f>VLOOKUP($A618,LossChart!$A$3:$AB$105,14,0)</f>
        <v>665.96833697505167</v>
      </c>
      <c r="H626" s="103">
        <f>VLOOKUP($A618,LossChart!$A$3:$AB$105,15,0)</f>
        <v>80</v>
      </c>
      <c r="I626" s="103">
        <f>VLOOKUP($A618,LossChart!$A$3:$AB$105,16,0)</f>
        <v>477.30407413615825</v>
      </c>
      <c r="J626" s="103">
        <f>VLOOKUP($A618,LossChart!$A$3:$AB$105,17,0)</f>
        <v>1223.27241111121</v>
      </c>
      <c r="K626" s="103"/>
    </row>
    <row r="627" spans="1:19" x14ac:dyDescent="0.25">
      <c r="A627" t="s">
        <v>103</v>
      </c>
      <c r="G627">
        <f>G626-G625</f>
        <v>665.96833697505167</v>
      </c>
      <c r="H627">
        <f>H626-H625</f>
        <v>80</v>
      </c>
      <c r="I627">
        <f>I626-I625</f>
        <v>477.30407413615825</v>
      </c>
      <c r="J627">
        <f>J626-J625</f>
        <v>1223.27241111121</v>
      </c>
    </row>
    <row r="629" spans="1:19" ht="60" x14ac:dyDescent="0.25">
      <c r="A629" s="26" t="s">
        <v>63</v>
      </c>
      <c r="B629" s="26" t="s">
        <v>92</v>
      </c>
      <c r="C629" s="26" t="s">
        <v>93</v>
      </c>
      <c r="D629" s="97" t="str">
        <f>FoodDB!$C$1</f>
        <v>Fat
(g)</v>
      </c>
      <c r="E629" s="97" t="str">
        <f>FoodDB!$D$1</f>
        <v xml:space="preserve"> Carbs
(g)</v>
      </c>
      <c r="F629" s="97" t="str">
        <f>FoodDB!$E$1</f>
        <v>Protein
(g)</v>
      </c>
      <c r="G629" s="97" t="str">
        <f>FoodDB!$F$1</f>
        <v>Fat
(Cal)</v>
      </c>
      <c r="H629" s="97" t="str">
        <f>FoodDB!$G$1</f>
        <v>Carb
(Cal)</v>
      </c>
      <c r="I629" s="97" t="str">
        <f>FoodDB!$H$1</f>
        <v>Protein
(Cal)</v>
      </c>
      <c r="J629" s="97" t="str">
        <f>FoodDB!$I$1</f>
        <v>Total
Calories</v>
      </c>
      <c r="K629" s="97"/>
      <c r="L629" s="97" t="s">
        <v>109</v>
      </c>
      <c r="M629" s="97" t="s">
        <v>110</v>
      </c>
      <c r="N629" s="97" t="s">
        <v>111</v>
      </c>
      <c r="O629" s="97" t="s">
        <v>112</v>
      </c>
      <c r="P629" s="97" t="s">
        <v>117</v>
      </c>
      <c r="Q629" s="97" t="s">
        <v>118</v>
      </c>
      <c r="R629" s="97" t="s">
        <v>119</v>
      </c>
      <c r="S629" s="97" t="s">
        <v>120</v>
      </c>
    </row>
    <row r="630" spans="1:19" x14ac:dyDescent="0.25">
      <c r="A630" s="98">
        <f>A618+1</f>
        <v>43046</v>
      </c>
      <c r="B630" s="99" t="s">
        <v>107</v>
      </c>
      <c r="C630" s="100">
        <v>0</v>
      </c>
      <c r="D630">
        <f>$C630*VLOOKUP($B630,FoodDB!$A$2:$I$1014,3,0)</f>
        <v>0</v>
      </c>
      <c r="E630">
        <f>$C630*VLOOKUP($B630,FoodDB!$A$2:$I$1014,4,0)</f>
        <v>0</v>
      </c>
      <c r="F630">
        <f>$C630*VLOOKUP($B630,FoodDB!$A$2:$I$1014,5,0)</f>
        <v>0</v>
      </c>
      <c r="G630">
        <f>$C630*VLOOKUP($B630,FoodDB!$A$2:$I$1014,6,0)</f>
        <v>0</v>
      </c>
      <c r="H630">
        <f>$C630*VLOOKUP($B630,FoodDB!$A$2:$I$1014,7,0)</f>
        <v>0</v>
      </c>
      <c r="I630">
        <f>$C630*VLOOKUP($B630,FoodDB!$A$2:$I$1014,8,0)</f>
        <v>0</v>
      </c>
      <c r="J630">
        <f>$C630*VLOOKUP($B630,FoodDB!$A$2:$I$1014,9,0)</f>
        <v>0</v>
      </c>
      <c r="L630">
        <f>SUM(G630:G636)</f>
        <v>0</v>
      </c>
      <c r="M630">
        <f>SUM(H630:H636)</f>
        <v>0</v>
      </c>
      <c r="N630">
        <f>SUM(I630:I636)</f>
        <v>0</v>
      </c>
      <c r="O630">
        <f>SUM(L630:N630)</f>
        <v>0</v>
      </c>
      <c r="P630" s="103">
        <f>VLOOKUP($A630,LossChart!$A$3:$AB$105,14,0)-L630</f>
        <v>671.5722077710584</v>
      </c>
      <c r="Q630" s="103">
        <f>VLOOKUP($A630,LossChart!$A$3:$AB$105,15,0)-M630</f>
        <v>80</v>
      </c>
      <c r="R630" s="103">
        <f>VLOOKUP($A630,LossChart!$A$3:$AB$105,16,0)-N630</f>
        <v>477.30407413615825</v>
      </c>
      <c r="S630" s="103">
        <f>VLOOKUP($A630,LossChart!$A$3:$AB$105,17,0)-O630</f>
        <v>1228.8762819072167</v>
      </c>
    </row>
    <row r="631" spans="1:19" x14ac:dyDescent="0.25">
      <c r="B631" s="99" t="s">
        <v>107</v>
      </c>
      <c r="C631" s="100">
        <v>0</v>
      </c>
      <c r="D631">
        <f>$C631*VLOOKUP($B631,FoodDB!$A$2:$I$1014,3,0)</f>
        <v>0</v>
      </c>
      <c r="E631">
        <f>$C631*VLOOKUP($B631,FoodDB!$A$2:$I$1014,4,0)</f>
        <v>0</v>
      </c>
      <c r="F631">
        <f>$C631*VLOOKUP($B631,FoodDB!$A$2:$I$1014,5,0)</f>
        <v>0</v>
      </c>
      <c r="G631">
        <f>$C631*VLOOKUP($B631,FoodDB!$A$2:$I$1014,6,0)</f>
        <v>0</v>
      </c>
      <c r="H631">
        <f>$C631*VLOOKUP($B631,FoodDB!$A$2:$I$1014,7,0)</f>
        <v>0</v>
      </c>
      <c r="I631">
        <f>$C631*VLOOKUP($B631,FoodDB!$A$2:$I$1014,8,0)</f>
        <v>0</v>
      </c>
      <c r="J631">
        <f>$C631*VLOOKUP($B631,FoodDB!$A$2:$I$1014,9,0)</f>
        <v>0</v>
      </c>
    </row>
    <row r="632" spans="1:19" x14ac:dyDescent="0.25">
      <c r="B632" s="99" t="s">
        <v>107</v>
      </c>
      <c r="C632" s="100">
        <v>0</v>
      </c>
      <c r="D632">
        <f>$C632*VLOOKUP($B632,FoodDB!$A$2:$I$1014,3,0)</f>
        <v>0</v>
      </c>
      <c r="E632">
        <f>$C632*VLOOKUP($B632,FoodDB!$A$2:$I$1014,4,0)</f>
        <v>0</v>
      </c>
      <c r="F632">
        <f>$C632*VLOOKUP($B632,FoodDB!$A$2:$I$1014,5,0)</f>
        <v>0</v>
      </c>
      <c r="G632">
        <f>$C632*VLOOKUP($B632,FoodDB!$A$2:$I$1014,6,0)</f>
        <v>0</v>
      </c>
      <c r="H632">
        <f>$C632*VLOOKUP($B632,FoodDB!$A$2:$I$1014,7,0)</f>
        <v>0</v>
      </c>
      <c r="I632">
        <f>$C632*VLOOKUP($B632,FoodDB!$A$2:$I$1014,8,0)</f>
        <v>0</v>
      </c>
      <c r="J632">
        <f>$C632*VLOOKUP($B632,FoodDB!$A$2:$I$1014,9,0)</f>
        <v>0</v>
      </c>
    </row>
    <row r="633" spans="1:19" x14ac:dyDescent="0.25">
      <c r="B633" s="99" t="s">
        <v>107</v>
      </c>
      <c r="C633" s="100">
        <v>0</v>
      </c>
      <c r="D633">
        <f>$C633*VLOOKUP($B633,FoodDB!$A$2:$I$1014,3,0)</f>
        <v>0</v>
      </c>
      <c r="E633">
        <f>$C633*VLOOKUP($B633,FoodDB!$A$2:$I$1014,4,0)</f>
        <v>0</v>
      </c>
      <c r="F633">
        <f>$C633*VLOOKUP($B633,FoodDB!$A$2:$I$1014,5,0)</f>
        <v>0</v>
      </c>
      <c r="G633">
        <f>$C633*VLOOKUP($B633,FoodDB!$A$2:$I$1014,6,0)</f>
        <v>0</v>
      </c>
      <c r="H633">
        <f>$C633*VLOOKUP($B633,FoodDB!$A$2:$I$1014,7,0)</f>
        <v>0</v>
      </c>
      <c r="I633">
        <f>$C633*VLOOKUP($B633,FoodDB!$A$2:$I$1014,8,0)</f>
        <v>0</v>
      </c>
      <c r="J633">
        <f>$C633*VLOOKUP($B633,FoodDB!$A$2:$I$1014,9,0)</f>
        <v>0</v>
      </c>
    </row>
    <row r="634" spans="1:19" x14ac:dyDescent="0.25">
      <c r="B634" s="99" t="s">
        <v>107</v>
      </c>
      <c r="C634" s="100">
        <v>0</v>
      </c>
      <c r="D634">
        <f>$C634*VLOOKUP($B634,FoodDB!$A$2:$I$1014,3,0)</f>
        <v>0</v>
      </c>
      <c r="E634">
        <f>$C634*VLOOKUP($B634,FoodDB!$A$2:$I$1014,4,0)</f>
        <v>0</v>
      </c>
      <c r="F634">
        <f>$C634*VLOOKUP($B634,FoodDB!$A$2:$I$1014,5,0)</f>
        <v>0</v>
      </c>
      <c r="G634">
        <f>$C634*VLOOKUP($B634,FoodDB!$A$2:$I$1014,6,0)</f>
        <v>0</v>
      </c>
      <c r="H634">
        <f>$C634*VLOOKUP($B634,FoodDB!$A$2:$I$1014,7,0)</f>
        <v>0</v>
      </c>
      <c r="I634">
        <f>$C634*VLOOKUP($B634,FoodDB!$A$2:$I$1014,8,0)</f>
        <v>0</v>
      </c>
      <c r="J634">
        <f>$C634*VLOOKUP($B634,FoodDB!$A$2:$I$1014,9,0)</f>
        <v>0</v>
      </c>
    </row>
    <row r="635" spans="1:19" x14ac:dyDescent="0.25">
      <c r="B635" s="99" t="s">
        <v>107</v>
      </c>
      <c r="C635" s="100">
        <v>0</v>
      </c>
      <c r="D635">
        <f>$C635*VLOOKUP($B635,FoodDB!$A$2:$I$1014,3,0)</f>
        <v>0</v>
      </c>
      <c r="E635">
        <f>$C635*VLOOKUP($B635,FoodDB!$A$2:$I$1014,4,0)</f>
        <v>0</v>
      </c>
      <c r="F635">
        <f>$C635*VLOOKUP($B635,FoodDB!$A$2:$I$1014,5,0)</f>
        <v>0</v>
      </c>
      <c r="G635">
        <f>$C635*VLOOKUP($B635,FoodDB!$A$2:$I$1014,6,0)</f>
        <v>0</v>
      </c>
      <c r="H635">
        <f>$C635*VLOOKUP($B635,FoodDB!$A$2:$I$1014,7,0)</f>
        <v>0</v>
      </c>
      <c r="I635">
        <f>$C635*VLOOKUP($B635,FoodDB!$A$2:$I$1014,8,0)</f>
        <v>0</v>
      </c>
      <c r="J635">
        <f>$C635*VLOOKUP($B635,FoodDB!$A$2:$I$1014,9,0)</f>
        <v>0</v>
      </c>
    </row>
    <row r="636" spans="1:19" x14ac:dyDescent="0.25">
      <c r="B636" s="99" t="s">
        <v>107</v>
      </c>
      <c r="C636" s="100">
        <v>0</v>
      </c>
      <c r="D636">
        <f>$C636*VLOOKUP($B636,FoodDB!$A$2:$I$1014,3,0)</f>
        <v>0</v>
      </c>
      <c r="E636">
        <f>$C636*VLOOKUP($B636,FoodDB!$A$2:$I$1014,4,0)</f>
        <v>0</v>
      </c>
      <c r="F636">
        <f>$C636*VLOOKUP($B636,FoodDB!$A$2:$I$1014,5,0)</f>
        <v>0</v>
      </c>
      <c r="G636">
        <f>$C636*VLOOKUP($B636,FoodDB!$A$2:$I$1014,6,0)</f>
        <v>0</v>
      </c>
      <c r="H636">
        <f>$C636*VLOOKUP($B636,FoodDB!$A$2:$I$1014,7,0)</f>
        <v>0</v>
      </c>
      <c r="I636">
        <f>$C636*VLOOKUP($B636,FoodDB!$A$2:$I$1014,8,0)</f>
        <v>0</v>
      </c>
      <c r="J636">
        <f>$C636*VLOOKUP($B636,FoodDB!$A$2:$I$1014,9,0)</f>
        <v>0</v>
      </c>
    </row>
    <row r="637" spans="1:19" x14ac:dyDescent="0.25">
      <c r="A637" t="s">
        <v>97</v>
      </c>
      <c r="G637">
        <f>SUM(G630:G636)</f>
        <v>0</v>
      </c>
      <c r="H637">
        <f>SUM(H630:H636)</f>
        <v>0</v>
      </c>
      <c r="I637">
        <f>SUM(I630:I636)</f>
        <v>0</v>
      </c>
      <c r="J637">
        <f>SUM(G637:I637)</f>
        <v>0</v>
      </c>
    </row>
    <row r="638" spans="1:19" x14ac:dyDescent="0.25">
      <c r="A638" t="s">
        <v>101</v>
      </c>
      <c r="B638" t="s">
        <v>102</v>
      </c>
      <c r="E638" s="103"/>
      <c r="F638" s="103"/>
      <c r="G638" s="103">
        <f>VLOOKUP($A630,LossChart!$A$3:$AB$105,14,0)</f>
        <v>671.5722077710584</v>
      </c>
      <c r="H638" s="103">
        <f>VLOOKUP($A630,LossChart!$A$3:$AB$105,15,0)</f>
        <v>80</v>
      </c>
      <c r="I638" s="103">
        <f>VLOOKUP($A630,LossChart!$A$3:$AB$105,16,0)</f>
        <v>477.30407413615825</v>
      </c>
      <c r="J638" s="103">
        <f>VLOOKUP($A630,LossChart!$A$3:$AB$105,17,0)</f>
        <v>1228.8762819072167</v>
      </c>
      <c r="K638" s="103"/>
    </row>
    <row r="639" spans="1:19" x14ac:dyDescent="0.25">
      <c r="A639" t="s">
        <v>103</v>
      </c>
      <c r="G639">
        <f>G638-G637</f>
        <v>671.5722077710584</v>
      </c>
      <c r="H639">
        <f>H638-H637</f>
        <v>80</v>
      </c>
      <c r="I639">
        <f>I638-I637</f>
        <v>477.30407413615825</v>
      </c>
      <c r="J639">
        <f>J638-J637</f>
        <v>1228.8762819072167</v>
      </c>
    </row>
    <row r="641" spans="1:19" ht="60" x14ac:dyDescent="0.25">
      <c r="A641" s="26" t="s">
        <v>63</v>
      </c>
      <c r="B641" s="26" t="s">
        <v>92</v>
      </c>
      <c r="C641" s="26" t="s">
        <v>93</v>
      </c>
      <c r="D641" s="97" t="str">
        <f>FoodDB!$C$1</f>
        <v>Fat
(g)</v>
      </c>
      <c r="E641" s="97" t="str">
        <f>FoodDB!$D$1</f>
        <v xml:space="preserve"> Carbs
(g)</v>
      </c>
      <c r="F641" s="97" t="str">
        <f>FoodDB!$E$1</f>
        <v>Protein
(g)</v>
      </c>
      <c r="G641" s="97" t="str">
        <f>FoodDB!$F$1</f>
        <v>Fat
(Cal)</v>
      </c>
      <c r="H641" s="97" t="str">
        <f>FoodDB!$G$1</f>
        <v>Carb
(Cal)</v>
      </c>
      <c r="I641" s="97" t="str">
        <f>FoodDB!$H$1</f>
        <v>Protein
(Cal)</v>
      </c>
      <c r="J641" s="97" t="str">
        <f>FoodDB!$I$1</f>
        <v>Total
Calories</v>
      </c>
      <c r="K641" s="97"/>
      <c r="L641" s="97" t="s">
        <v>109</v>
      </c>
      <c r="M641" s="97" t="s">
        <v>110</v>
      </c>
      <c r="N641" s="97" t="s">
        <v>111</v>
      </c>
      <c r="O641" s="97" t="s">
        <v>112</v>
      </c>
      <c r="P641" s="97" t="s">
        <v>117</v>
      </c>
      <c r="Q641" s="97" t="s">
        <v>118</v>
      </c>
      <c r="R641" s="97" t="s">
        <v>119</v>
      </c>
      <c r="S641" s="97" t="s">
        <v>120</v>
      </c>
    </row>
    <row r="642" spans="1:19" x14ac:dyDescent="0.25">
      <c r="A642" s="98">
        <f>A630+1</f>
        <v>43047</v>
      </c>
      <c r="B642" s="99" t="s">
        <v>107</v>
      </c>
      <c r="C642" s="100">
        <v>0</v>
      </c>
      <c r="D642">
        <f>$C642*VLOOKUP($B642,FoodDB!$A$2:$I$1014,3,0)</f>
        <v>0</v>
      </c>
      <c r="E642">
        <f>$C642*VLOOKUP($B642,FoodDB!$A$2:$I$1014,4,0)</f>
        <v>0</v>
      </c>
      <c r="F642">
        <f>$C642*VLOOKUP($B642,FoodDB!$A$2:$I$1014,5,0)</f>
        <v>0</v>
      </c>
      <c r="G642">
        <f>$C642*VLOOKUP($B642,FoodDB!$A$2:$I$1014,6,0)</f>
        <v>0</v>
      </c>
      <c r="H642">
        <f>$C642*VLOOKUP($B642,FoodDB!$A$2:$I$1014,7,0)</f>
        <v>0</v>
      </c>
      <c r="I642">
        <f>$C642*VLOOKUP($B642,FoodDB!$A$2:$I$1014,8,0)</f>
        <v>0</v>
      </c>
      <c r="J642">
        <f>$C642*VLOOKUP($B642,FoodDB!$A$2:$I$1014,9,0)</f>
        <v>0</v>
      </c>
      <c r="L642">
        <f>SUM(G642:G648)</f>
        <v>0</v>
      </c>
      <c r="M642">
        <f>SUM(H642:H648)</f>
        <v>0</v>
      </c>
      <c r="N642">
        <f>SUM(I642:I648)</f>
        <v>0</v>
      </c>
      <c r="O642">
        <f>SUM(L642:N642)</f>
        <v>0</v>
      </c>
      <c r="P642" s="103">
        <f>VLOOKUP($A642,LossChart!$A$3:$AB$105,14,0)-L642</f>
        <v>677.12644428287172</v>
      </c>
      <c r="Q642" s="103">
        <f>VLOOKUP($A642,LossChart!$A$3:$AB$105,15,0)-M642</f>
        <v>80</v>
      </c>
      <c r="R642" s="103">
        <f>VLOOKUP($A642,LossChart!$A$3:$AB$105,16,0)-N642</f>
        <v>477.30407413615825</v>
      </c>
      <c r="S642" s="103">
        <f>VLOOKUP($A642,LossChart!$A$3:$AB$105,17,0)-O642</f>
        <v>1234.43051841903</v>
      </c>
    </row>
    <row r="643" spans="1:19" x14ac:dyDescent="0.25">
      <c r="B643" s="99" t="s">
        <v>107</v>
      </c>
      <c r="C643" s="100">
        <v>0</v>
      </c>
      <c r="D643">
        <f>$C643*VLOOKUP($B643,FoodDB!$A$2:$I$1014,3,0)</f>
        <v>0</v>
      </c>
      <c r="E643">
        <f>$C643*VLOOKUP($B643,FoodDB!$A$2:$I$1014,4,0)</f>
        <v>0</v>
      </c>
      <c r="F643">
        <f>$C643*VLOOKUP($B643,FoodDB!$A$2:$I$1014,5,0)</f>
        <v>0</v>
      </c>
      <c r="G643">
        <f>$C643*VLOOKUP($B643,FoodDB!$A$2:$I$1014,6,0)</f>
        <v>0</v>
      </c>
      <c r="H643">
        <f>$C643*VLOOKUP($B643,FoodDB!$A$2:$I$1014,7,0)</f>
        <v>0</v>
      </c>
      <c r="I643">
        <f>$C643*VLOOKUP($B643,FoodDB!$A$2:$I$1014,8,0)</f>
        <v>0</v>
      </c>
      <c r="J643">
        <f>$C643*VLOOKUP($B643,FoodDB!$A$2:$I$1014,9,0)</f>
        <v>0</v>
      </c>
    </row>
    <row r="644" spans="1:19" x14ac:dyDescent="0.25">
      <c r="B644" s="99" t="s">
        <v>107</v>
      </c>
      <c r="C644" s="100">
        <v>0</v>
      </c>
      <c r="D644">
        <f>$C644*VLOOKUP($B644,FoodDB!$A$2:$I$1014,3,0)</f>
        <v>0</v>
      </c>
      <c r="E644">
        <f>$C644*VLOOKUP($B644,FoodDB!$A$2:$I$1014,4,0)</f>
        <v>0</v>
      </c>
      <c r="F644">
        <f>$C644*VLOOKUP($B644,FoodDB!$A$2:$I$1014,5,0)</f>
        <v>0</v>
      </c>
      <c r="G644">
        <f>$C644*VLOOKUP($B644,FoodDB!$A$2:$I$1014,6,0)</f>
        <v>0</v>
      </c>
      <c r="H644">
        <f>$C644*VLOOKUP($B644,FoodDB!$A$2:$I$1014,7,0)</f>
        <v>0</v>
      </c>
      <c r="I644">
        <f>$C644*VLOOKUP($B644,FoodDB!$A$2:$I$1014,8,0)</f>
        <v>0</v>
      </c>
      <c r="J644">
        <f>$C644*VLOOKUP($B644,FoodDB!$A$2:$I$1014,9,0)</f>
        <v>0</v>
      </c>
    </row>
    <row r="645" spans="1:19" x14ac:dyDescent="0.25">
      <c r="B645" s="99" t="s">
        <v>107</v>
      </c>
      <c r="C645" s="100">
        <v>0</v>
      </c>
      <c r="D645">
        <f>$C645*VLOOKUP($B645,FoodDB!$A$2:$I$1014,3,0)</f>
        <v>0</v>
      </c>
      <c r="E645">
        <f>$C645*VLOOKUP($B645,FoodDB!$A$2:$I$1014,4,0)</f>
        <v>0</v>
      </c>
      <c r="F645">
        <f>$C645*VLOOKUP($B645,FoodDB!$A$2:$I$1014,5,0)</f>
        <v>0</v>
      </c>
      <c r="G645">
        <f>$C645*VLOOKUP($B645,FoodDB!$A$2:$I$1014,6,0)</f>
        <v>0</v>
      </c>
      <c r="H645">
        <f>$C645*VLOOKUP($B645,FoodDB!$A$2:$I$1014,7,0)</f>
        <v>0</v>
      </c>
      <c r="I645">
        <f>$C645*VLOOKUP($B645,FoodDB!$A$2:$I$1014,8,0)</f>
        <v>0</v>
      </c>
      <c r="J645">
        <f>$C645*VLOOKUP($B645,FoodDB!$A$2:$I$1014,9,0)</f>
        <v>0</v>
      </c>
    </row>
    <row r="646" spans="1:19" x14ac:dyDescent="0.25">
      <c r="B646" s="99" t="s">
        <v>107</v>
      </c>
      <c r="C646" s="100">
        <v>0</v>
      </c>
      <c r="D646">
        <f>$C646*VLOOKUP($B646,FoodDB!$A$2:$I$1014,3,0)</f>
        <v>0</v>
      </c>
      <c r="E646">
        <f>$C646*VLOOKUP($B646,FoodDB!$A$2:$I$1014,4,0)</f>
        <v>0</v>
      </c>
      <c r="F646">
        <f>$C646*VLOOKUP($B646,FoodDB!$A$2:$I$1014,5,0)</f>
        <v>0</v>
      </c>
      <c r="G646">
        <f>$C646*VLOOKUP($B646,FoodDB!$A$2:$I$1014,6,0)</f>
        <v>0</v>
      </c>
      <c r="H646">
        <f>$C646*VLOOKUP($B646,FoodDB!$A$2:$I$1014,7,0)</f>
        <v>0</v>
      </c>
      <c r="I646">
        <f>$C646*VLOOKUP($B646,FoodDB!$A$2:$I$1014,8,0)</f>
        <v>0</v>
      </c>
      <c r="J646">
        <f>$C646*VLOOKUP($B646,FoodDB!$A$2:$I$1014,9,0)</f>
        <v>0</v>
      </c>
    </row>
    <row r="647" spans="1:19" x14ac:dyDescent="0.25">
      <c r="B647" s="99" t="s">
        <v>107</v>
      </c>
      <c r="C647" s="100">
        <v>0</v>
      </c>
      <c r="D647">
        <f>$C647*VLOOKUP($B647,FoodDB!$A$2:$I$1014,3,0)</f>
        <v>0</v>
      </c>
      <c r="E647">
        <f>$C647*VLOOKUP($B647,FoodDB!$A$2:$I$1014,4,0)</f>
        <v>0</v>
      </c>
      <c r="F647">
        <f>$C647*VLOOKUP($B647,FoodDB!$A$2:$I$1014,5,0)</f>
        <v>0</v>
      </c>
      <c r="G647">
        <f>$C647*VLOOKUP($B647,FoodDB!$A$2:$I$1014,6,0)</f>
        <v>0</v>
      </c>
      <c r="H647">
        <f>$C647*VLOOKUP($B647,FoodDB!$A$2:$I$1014,7,0)</f>
        <v>0</v>
      </c>
      <c r="I647">
        <f>$C647*VLOOKUP($B647,FoodDB!$A$2:$I$1014,8,0)</f>
        <v>0</v>
      </c>
      <c r="J647">
        <f>$C647*VLOOKUP($B647,FoodDB!$A$2:$I$1014,9,0)</f>
        <v>0</v>
      </c>
    </row>
    <row r="648" spans="1:19" x14ac:dyDescent="0.25">
      <c r="B648" s="99" t="s">
        <v>107</v>
      </c>
      <c r="C648" s="100">
        <v>0</v>
      </c>
      <c r="D648">
        <f>$C648*VLOOKUP($B648,FoodDB!$A$2:$I$1014,3,0)</f>
        <v>0</v>
      </c>
      <c r="E648">
        <f>$C648*VLOOKUP($B648,FoodDB!$A$2:$I$1014,4,0)</f>
        <v>0</v>
      </c>
      <c r="F648">
        <f>$C648*VLOOKUP($B648,FoodDB!$A$2:$I$1014,5,0)</f>
        <v>0</v>
      </c>
      <c r="G648">
        <f>$C648*VLOOKUP($B648,FoodDB!$A$2:$I$1014,6,0)</f>
        <v>0</v>
      </c>
      <c r="H648">
        <f>$C648*VLOOKUP($B648,FoodDB!$A$2:$I$1014,7,0)</f>
        <v>0</v>
      </c>
      <c r="I648">
        <f>$C648*VLOOKUP($B648,FoodDB!$A$2:$I$1014,8,0)</f>
        <v>0</v>
      </c>
      <c r="J648">
        <f>$C648*VLOOKUP($B648,FoodDB!$A$2:$I$1014,9,0)</f>
        <v>0</v>
      </c>
    </row>
    <row r="649" spans="1:19" x14ac:dyDescent="0.25">
      <c r="A649" t="s">
        <v>97</v>
      </c>
      <c r="G649">
        <f>SUM(G642:G648)</f>
        <v>0</v>
      </c>
      <c r="H649">
        <f>SUM(H642:H648)</f>
        <v>0</v>
      </c>
      <c r="I649">
        <f>SUM(I642:I648)</f>
        <v>0</v>
      </c>
      <c r="J649">
        <f>SUM(G649:I649)</f>
        <v>0</v>
      </c>
    </row>
    <row r="650" spans="1:19" x14ac:dyDescent="0.25">
      <c r="A650" t="s">
        <v>101</v>
      </c>
      <c r="B650" t="s">
        <v>102</v>
      </c>
      <c r="E650" s="103"/>
      <c r="F650" s="103"/>
      <c r="G650" s="103">
        <f>VLOOKUP($A642,LossChart!$A$3:$AB$105,14,0)</f>
        <v>677.12644428287172</v>
      </c>
      <c r="H650" s="103">
        <f>VLOOKUP($A642,LossChart!$A$3:$AB$105,15,0)</f>
        <v>80</v>
      </c>
      <c r="I650" s="103">
        <f>VLOOKUP($A642,LossChart!$A$3:$AB$105,16,0)</f>
        <v>477.30407413615825</v>
      </c>
      <c r="J650" s="103">
        <f>VLOOKUP($A642,LossChart!$A$3:$AB$105,17,0)</f>
        <v>1234.43051841903</v>
      </c>
      <c r="K650" s="103"/>
    </row>
    <row r="651" spans="1:19" x14ac:dyDescent="0.25">
      <c r="A651" t="s">
        <v>103</v>
      </c>
      <c r="G651">
        <f>G650-G649</f>
        <v>677.12644428287172</v>
      </c>
      <c r="H651">
        <f>H650-H649</f>
        <v>80</v>
      </c>
      <c r="I651">
        <f>I650-I649</f>
        <v>477.30407413615825</v>
      </c>
      <c r="J651">
        <f>J650-J649</f>
        <v>1234.43051841903</v>
      </c>
    </row>
    <row r="653" spans="1:19" ht="60" x14ac:dyDescent="0.25">
      <c r="A653" s="26" t="s">
        <v>63</v>
      </c>
      <c r="B653" s="26" t="s">
        <v>92</v>
      </c>
      <c r="C653" s="26" t="s">
        <v>93</v>
      </c>
      <c r="D653" s="97" t="str">
        <f>FoodDB!$C$1</f>
        <v>Fat
(g)</v>
      </c>
      <c r="E653" s="97" t="str">
        <f>FoodDB!$D$1</f>
        <v xml:space="preserve"> Carbs
(g)</v>
      </c>
      <c r="F653" s="97" t="str">
        <f>FoodDB!$E$1</f>
        <v>Protein
(g)</v>
      </c>
      <c r="G653" s="97" t="str">
        <f>FoodDB!$F$1</f>
        <v>Fat
(Cal)</v>
      </c>
      <c r="H653" s="97" t="str">
        <f>FoodDB!$G$1</f>
        <v>Carb
(Cal)</v>
      </c>
      <c r="I653" s="97" t="str">
        <f>FoodDB!$H$1</f>
        <v>Protein
(Cal)</v>
      </c>
      <c r="J653" s="97" t="str">
        <f>FoodDB!$I$1</f>
        <v>Total
Calories</v>
      </c>
      <c r="K653" s="97"/>
      <c r="L653" s="97" t="s">
        <v>109</v>
      </c>
      <c r="M653" s="97" t="s">
        <v>110</v>
      </c>
      <c r="N653" s="97" t="s">
        <v>111</v>
      </c>
      <c r="O653" s="97" t="s">
        <v>112</v>
      </c>
      <c r="P653" s="97" t="s">
        <v>117</v>
      </c>
      <c r="Q653" s="97" t="s">
        <v>118</v>
      </c>
      <c r="R653" s="97" t="s">
        <v>119</v>
      </c>
      <c r="S653" s="97" t="s">
        <v>120</v>
      </c>
    </row>
    <row r="654" spans="1:19" x14ac:dyDescent="0.25">
      <c r="A654" s="98">
        <f>A642+1</f>
        <v>43048</v>
      </c>
      <c r="B654" s="99" t="s">
        <v>107</v>
      </c>
      <c r="C654" s="100">
        <v>0</v>
      </c>
      <c r="D654">
        <f>$C654*VLOOKUP($B654,FoodDB!$A$2:$I$1014,3,0)</f>
        <v>0</v>
      </c>
      <c r="E654">
        <f>$C654*VLOOKUP($B654,FoodDB!$A$2:$I$1014,4,0)</f>
        <v>0</v>
      </c>
      <c r="F654">
        <f>$C654*VLOOKUP($B654,FoodDB!$A$2:$I$1014,5,0)</f>
        <v>0</v>
      </c>
      <c r="G654">
        <f>$C654*VLOOKUP($B654,FoodDB!$A$2:$I$1014,6,0)</f>
        <v>0</v>
      </c>
      <c r="H654">
        <f>$C654*VLOOKUP($B654,FoodDB!$A$2:$I$1014,7,0)</f>
        <v>0</v>
      </c>
      <c r="I654">
        <f>$C654*VLOOKUP($B654,FoodDB!$A$2:$I$1014,8,0)</f>
        <v>0</v>
      </c>
      <c r="J654">
        <f>$C654*VLOOKUP($B654,FoodDB!$A$2:$I$1014,9,0)</f>
        <v>0</v>
      </c>
      <c r="L654">
        <f>SUM(G654:G660)</f>
        <v>0</v>
      </c>
      <c r="M654">
        <f>SUM(H654:H660)</f>
        <v>0</v>
      </c>
      <c r="N654">
        <f>SUM(I654:I660)</f>
        <v>0</v>
      </c>
      <c r="O654">
        <f>SUM(L654:N654)</f>
        <v>0</v>
      </c>
      <c r="P654" s="103">
        <f>VLOOKUP($A654,LossChart!$A$3:$AB$105,14,0)-L654</f>
        <v>682.6314861284377</v>
      </c>
      <c r="Q654" s="103">
        <f>VLOOKUP($A654,LossChart!$A$3:$AB$105,15,0)-M654</f>
        <v>80</v>
      </c>
      <c r="R654" s="103">
        <f>VLOOKUP($A654,LossChart!$A$3:$AB$105,16,0)-N654</f>
        <v>477.30407413615825</v>
      </c>
      <c r="S654" s="103">
        <f>VLOOKUP($A654,LossChart!$A$3:$AB$105,17,0)-O654</f>
        <v>1239.935560264596</v>
      </c>
    </row>
    <row r="655" spans="1:19" x14ac:dyDescent="0.25">
      <c r="B655" s="99" t="s">
        <v>107</v>
      </c>
      <c r="C655" s="100">
        <v>0</v>
      </c>
      <c r="D655">
        <f>$C655*VLOOKUP($B655,FoodDB!$A$2:$I$1014,3,0)</f>
        <v>0</v>
      </c>
      <c r="E655">
        <f>$C655*VLOOKUP($B655,FoodDB!$A$2:$I$1014,4,0)</f>
        <v>0</v>
      </c>
      <c r="F655">
        <f>$C655*VLOOKUP($B655,FoodDB!$A$2:$I$1014,5,0)</f>
        <v>0</v>
      </c>
      <c r="G655">
        <f>$C655*VLOOKUP($B655,FoodDB!$A$2:$I$1014,6,0)</f>
        <v>0</v>
      </c>
      <c r="H655">
        <f>$C655*VLOOKUP($B655,FoodDB!$A$2:$I$1014,7,0)</f>
        <v>0</v>
      </c>
      <c r="I655">
        <f>$C655*VLOOKUP($B655,FoodDB!$A$2:$I$1014,8,0)</f>
        <v>0</v>
      </c>
      <c r="J655">
        <f>$C655*VLOOKUP($B655,FoodDB!$A$2:$I$1014,9,0)</f>
        <v>0</v>
      </c>
    </row>
    <row r="656" spans="1:19" x14ac:dyDescent="0.25">
      <c r="B656" s="99" t="s">
        <v>107</v>
      </c>
      <c r="C656" s="100">
        <v>0</v>
      </c>
      <c r="D656">
        <f>$C656*VLOOKUP($B656,FoodDB!$A$2:$I$1014,3,0)</f>
        <v>0</v>
      </c>
      <c r="E656">
        <f>$C656*VLOOKUP($B656,FoodDB!$A$2:$I$1014,4,0)</f>
        <v>0</v>
      </c>
      <c r="F656">
        <f>$C656*VLOOKUP($B656,FoodDB!$A$2:$I$1014,5,0)</f>
        <v>0</v>
      </c>
      <c r="G656">
        <f>$C656*VLOOKUP($B656,FoodDB!$A$2:$I$1014,6,0)</f>
        <v>0</v>
      </c>
      <c r="H656">
        <f>$C656*VLOOKUP($B656,FoodDB!$A$2:$I$1014,7,0)</f>
        <v>0</v>
      </c>
      <c r="I656">
        <f>$C656*VLOOKUP($B656,FoodDB!$A$2:$I$1014,8,0)</f>
        <v>0</v>
      </c>
      <c r="J656">
        <f>$C656*VLOOKUP($B656,FoodDB!$A$2:$I$1014,9,0)</f>
        <v>0</v>
      </c>
    </row>
    <row r="657" spans="1:19" x14ac:dyDescent="0.25">
      <c r="B657" s="99" t="s">
        <v>107</v>
      </c>
      <c r="C657" s="100">
        <v>0</v>
      </c>
      <c r="D657">
        <f>$C657*VLOOKUP($B657,FoodDB!$A$2:$I$1014,3,0)</f>
        <v>0</v>
      </c>
      <c r="E657">
        <f>$C657*VLOOKUP($B657,FoodDB!$A$2:$I$1014,4,0)</f>
        <v>0</v>
      </c>
      <c r="F657">
        <f>$C657*VLOOKUP($B657,FoodDB!$A$2:$I$1014,5,0)</f>
        <v>0</v>
      </c>
      <c r="G657">
        <f>$C657*VLOOKUP($B657,FoodDB!$A$2:$I$1014,6,0)</f>
        <v>0</v>
      </c>
      <c r="H657">
        <f>$C657*VLOOKUP($B657,FoodDB!$A$2:$I$1014,7,0)</f>
        <v>0</v>
      </c>
      <c r="I657">
        <f>$C657*VLOOKUP($B657,FoodDB!$A$2:$I$1014,8,0)</f>
        <v>0</v>
      </c>
      <c r="J657">
        <f>$C657*VLOOKUP($B657,FoodDB!$A$2:$I$1014,9,0)</f>
        <v>0</v>
      </c>
    </row>
    <row r="658" spans="1:19" x14ac:dyDescent="0.25">
      <c r="B658" s="99" t="s">
        <v>107</v>
      </c>
      <c r="C658" s="100">
        <v>0</v>
      </c>
      <c r="D658">
        <f>$C658*VLOOKUP($B658,FoodDB!$A$2:$I$1014,3,0)</f>
        <v>0</v>
      </c>
      <c r="E658">
        <f>$C658*VLOOKUP($B658,FoodDB!$A$2:$I$1014,4,0)</f>
        <v>0</v>
      </c>
      <c r="F658">
        <f>$C658*VLOOKUP($B658,FoodDB!$A$2:$I$1014,5,0)</f>
        <v>0</v>
      </c>
      <c r="G658">
        <f>$C658*VLOOKUP($B658,FoodDB!$A$2:$I$1014,6,0)</f>
        <v>0</v>
      </c>
      <c r="H658">
        <f>$C658*VLOOKUP($B658,FoodDB!$A$2:$I$1014,7,0)</f>
        <v>0</v>
      </c>
      <c r="I658">
        <f>$C658*VLOOKUP($B658,FoodDB!$A$2:$I$1014,8,0)</f>
        <v>0</v>
      </c>
      <c r="J658">
        <f>$C658*VLOOKUP($B658,FoodDB!$A$2:$I$1014,9,0)</f>
        <v>0</v>
      </c>
    </row>
    <row r="659" spans="1:19" x14ac:dyDescent="0.25">
      <c r="B659" s="99" t="s">
        <v>107</v>
      </c>
      <c r="C659" s="100">
        <v>0</v>
      </c>
      <c r="D659">
        <f>$C659*VLOOKUP($B659,FoodDB!$A$2:$I$1014,3,0)</f>
        <v>0</v>
      </c>
      <c r="E659">
        <f>$C659*VLOOKUP($B659,FoodDB!$A$2:$I$1014,4,0)</f>
        <v>0</v>
      </c>
      <c r="F659">
        <f>$C659*VLOOKUP($B659,FoodDB!$A$2:$I$1014,5,0)</f>
        <v>0</v>
      </c>
      <c r="G659">
        <f>$C659*VLOOKUP($B659,FoodDB!$A$2:$I$1014,6,0)</f>
        <v>0</v>
      </c>
      <c r="H659">
        <f>$C659*VLOOKUP($B659,FoodDB!$A$2:$I$1014,7,0)</f>
        <v>0</v>
      </c>
      <c r="I659">
        <f>$C659*VLOOKUP($B659,FoodDB!$A$2:$I$1014,8,0)</f>
        <v>0</v>
      </c>
      <c r="J659">
        <f>$C659*VLOOKUP($B659,FoodDB!$A$2:$I$1014,9,0)</f>
        <v>0</v>
      </c>
    </row>
    <row r="660" spans="1:19" x14ac:dyDescent="0.25">
      <c r="B660" s="99" t="s">
        <v>107</v>
      </c>
      <c r="C660" s="100">
        <v>0</v>
      </c>
      <c r="D660">
        <f>$C660*VLOOKUP($B660,FoodDB!$A$2:$I$1014,3,0)</f>
        <v>0</v>
      </c>
      <c r="E660">
        <f>$C660*VLOOKUP($B660,FoodDB!$A$2:$I$1014,4,0)</f>
        <v>0</v>
      </c>
      <c r="F660">
        <f>$C660*VLOOKUP($B660,FoodDB!$A$2:$I$1014,5,0)</f>
        <v>0</v>
      </c>
      <c r="G660">
        <f>$C660*VLOOKUP($B660,FoodDB!$A$2:$I$1014,6,0)</f>
        <v>0</v>
      </c>
      <c r="H660">
        <f>$C660*VLOOKUP($B660,FoodDB!$A$2:$I$1014,7,0)</f>
        <v>0</v>
      </c>
      <c r="I660">
        <f>$C660*VLOOKUP($B660,FoodDB!$A$2:$I$1014,8,0)</f>
        <v>0</v>
      </c>
      <c r="J660">
        <f>$C660*VLOOKUP($B660,FoodDB!$A$2:$I$1014,9,0)</f>
        <v>0</v>
      </c>
    </row>
    <row r="661" spans="1:19" x14ac:dyDescent="0.25">
      <c r="A661" t="s">
        <v>97</v>
      </c>
      <c r="G661">
        <f>SUM(G654:G660)</f>
        <v>0</v>
      </c>
      <c r="H661">
        <f>SUM(H654:H660)</f>
        <v>0</v>
      </c>
      <c r="I661">
        <f>SUM(I654:I660)</f>
        <v>0</v>
      </c>
      <c r="J661">
        <f>SUM(G661:I661)</f>
        <v>0</v>
      </c>
    </row>
    <row r="662" spans="1:19" x14ac:dyDescent="0.25">
      <c r="A662" t="s">
        <v>101</v>
      </c>
      <c r="B662" t="s">
        <v>102</v>
      </c>
      <c r="E662" s="103"/>
      <c r="F662" s="103"/>
      <c r="G662" s="103">
        <f>VLOOKUP($A654,LossChart!$A$3:$AB$105,14,0)</f>
        <v>682.6314861284377</v>
      </c>
      <c r="H662" s="103">
        <f>VLOOKUP($A654,LossChart!$A$3:$AB$105,15,0)</f>
        <v>80</v>
      </c>
      <c r="I662" s="103">
        <f>VLOOKUP($A654,LossChart!$A$3:$AB$105,16,0)</f>
        <v>477.30407413615825</v>
      </c>
      <c r="J662" s="103">
        <f>VLOOKUP($A654,LossChart!$A$3:$AB$105,17,0)</f>
        <v>1239.935560264596</v>
      </c>
      <c r="K662" s="103"/>
    </row>
    <row r="663" spans="1:19" x14ac:dyDescent="0.25">
      <c r="A663" t="s">
        <v>103</v>
      </c>
      <c r="G663">
        <f>G662-G661</f>
        <v>682.6314861284377</v>
      </c>
      <c r="H663">
        <f>H662-H661</f>
        <v>80</v>
      </c>
      <c r="I663">
        <f>I662-I661</f>
        <v>477.30407413615825</v>
      </c>
      <c r="J663">
        <f>J662-J661</f>
        <v>1239.935560264596</v>
      </c>
    </row>
    <row r="665" spans="1:19" ht="60" x14ac:dyDescent="0.25">
      <c r="A665" s="26" t="s">
        <v>63</v>
      </c>
      <c r="B665" s="26" t="s">
        <v>92</v>
      </c>
      <c r="C665" s="26" t="s">
        <v>93</v>
      </c>
      <c r="D665" s="97" t="str">
        <f>FoodDB!$C$1</f>
        <v>Fat
(g)</v>
      </c>
      <c r="E665" s="97" t="str">
        <f>FoodDB!$D$1</f>
        <v xml:space="preserve"> Carbs
(g)</v>
      </c>
      <c r="F665" s="97" t="str">
        <f>FoodDB!$E$1</f>
        <v>Protein
(g)</v>
      </c>
      <c r="G665" s="97" t="str">
        <f>FoodDB!$F$1</f>
        <v>Fat
(Cal)</v>
      </c>
      <c r="H665" s="97" t="str">
        <f>FoodDB!$G$1</f>
        <v>Carb
(Cal)</v>
      </c>
      <c r="I665" s="97" t="str">
        <f>FoodDB!$H$1</f>
        <v>Protein
(Cal)</v>
      </c>
      <c r="J665" s="97" t="str">
        <f>FoodDB!$I$1</f>
        <v>Total
Calories</v>
      </c>
      <c r="K665" s="97"/>
      <c r="L665" s="97" t="s">
        <v>109</v>
      </c>
      <c r="M665" s="97" t="s">
        <v>110</v>
      </c>
      <c r="N665" s="97" t="s">
        <v>111</v>
      </c>
      <c r="O665" s="97" t="s">
        <v>112</v>
      </c>
      <c r="P665" s="97" t="s">
        <v>117</v>
      </c>
      <c r="Q665" s="97" t="s">
        <v>118</v>
      </c>
      <c r="R665" s="97" t="s">
        <v>119</v>
      </c>
      <c r="S665" s="97" t="s">
        <v>120</v>
      </c>
    </row>
    <row r="666" spans="1:19" x14ac:dyDescent="0.25">
      <c r="A666" s="98">
        <f>A654+1</f>
        <v>43049</v>
      </c>
      <c r="B666" s="99" t="s">
        <v>107</v>
      </c>
      <c r="C666" s="100">
        <v>0</v>
      </c>
      <c r="D666">
        <f>$C666*VLOOKUP($B666,FoodDB!$A$2:$I$1014,3,0)</f>
        <v>0</v>
      </c>
      <c r="E666">
        <f>$C666*VLOOKUP($B666,FoodDB!$A$2:$I$1014,4,0)</f>
        <v>0</v>
      </c>
      <c r="F666">
        <f>$C666*VLOOKUP($B666,FoodDB!$A$2:$I$1014,5,0)</f>
        <v>0</v>
      </c>
      <c r="G666">
        <f>$C666*VLOOKUP($B666,FoodDB!$A$2:$I$1014,6,0)</f>
        <v>0</v>
      </c>
      <c r="H666">
        <f>$C666*VLOOKUP($B666,FoodDB!$A$2:$I$1014,7,0)</f>
        <v>0</v>
      </c>
      <c r="I666">
        <f>$C666*VLOOKUP($B666,FoodDB!$A$2:$I$1014,8,0)</f>
        <v>0</v>
      </c>
      <c r="J666">
        <f>$C666*VLOOKUP($B666,FoodDB!$A$2:$I$1014,9,0)</f>
        <v>0</v>
      </c>
      <c r="L666">
        <f>SUM(G666:G672)</f>
        <v>0</v>
      </c>
      <c r="M666">
        <f>SUM(H666:H672)</f>
        <v>0</v>
      </c>
      <c r="N666">
        <f>SUM(I666:I672)</f>
        <v>0</v>
      </c>
      <c r="O666">
        <f>SUM(L666:N666)</f>
        <v>0</v>
      </c>
      <c r="P666" s="103">
        <f>VLOOKUP($A666,LossChart!$A$3:$AB$105,14,0)-L666</f>
        <v>688.08776903194303</v>
      </c>
      <c r="Q666" s="103">
        <f>VLOOKUP($A666,LossChart!$A$3:$AB$105,15,0)-M666</f>
        <v>80</v>
      </c>
      <c r="R666" s="103">
        <f>VLOOKUP($A666,LossChart!$A$3:$AB$105,16,0)-N666</f>
        <v>477.30407413615825</v>
      </c>
      <c r="S666" s="103">
        <f>VLOOKUP($A666,LossChart!$A$3:$AB$105,17,0)-O666</f>
        <v>1245.3918431681013</v>
      </c>
    </row>
    <row r="667" spans="1:19" x14ac:dyDescent="0.25">
      <c r="B667" s="99" t="s">
        <v>107</v>
      </c>
      <c r="C667" s="100">
        <v>0</v>
      </c>
      <c r="D667">
        <f>$C667*VLOOKUP($B667,FoodDB!$A$2:$I$1014,3,0)</f>
        <v>0</v>
      </c>
      <c r="E667">
        <f>$C667*VLOOKUP($B667,FoodDB!$A$2:$I$1014,4,0)</f>
        <v>0</v>
      </c>
      <c r="F667">
        <f>$C667*VLOOKUP($B667,FoodDB!$A$2:$I$1014,5,0)</f>
        <v>0</v>
      </c>
      <c r="G667">
        <f>$C667*VLOOKUP($B667,FoodDB!$A$2:$I$1014,6,0)</f>
        <v>0</v>
      </c>
      <c r="H667">
        <f>$C667*VLOOKUP($B667,FoodDB!$A$2:$I$1014,7,0)</f>
        <v>0</v>
      </c>
      <c r="I667">
        <f>$C667*VLOOKUP($B667,FoodDB!$A$2:$I$1014,8,0)</f>
        <v>0</v>
      </c>
      <c r="J667">
        <f>$C667*VLOOKUP($B667,FoodDB!$A$2:$I$1014,9,0)</f>
        <v>0</v>
      </c>
    </row>
    <row r="668" spans="1:19" x14ac:dyDescent="0.25">
      <c r="B668" s="99" t="s">
        <v>107</v>
      </c>
      <c r="C668" s="100">
        <v>0</v>
      </c>
      <c r="D668">
        <f>$C668*VLOOKUP($B668,FoodDB!$A$2:$I$1014,3,0)</f>
        <v>0</v>
      </c>
      <c r="E668">
        <f>$C668*VLOOKUP($B668,FoodDB!$A$2:$I$1014,4,0)</f>
        <v>0</v>
      </c>
      <c r="F668">
        <f>$C668*VLOOKUP($B668,FoodDB!$A$2:$I$1014,5,0)</f>
        <v>0</v>
      </c>
      <c r="G668">
        <f>$C668*VLOOKUP($B668,FoodDB!$A$2:$I$1014,6,0)</f>
        <v>0</v>
      </c>
      <c r="H668">
        <f>$C668*VLOOKUP($B668,FoodDB!$A$2:$I$1014,7,0)</f>
        <v>0</v>
      </c>
      <c r="I668">
        <f>$C668*VLOOKUP($B668,FoodDB!$A$2:$I$1014,8,0)</f>
        <v>0</v>
      </c>
      <c r="J668">
        <f>$C668*VLOOKUP($B668,FoodDB!$A$2:$I$1014,9,0)</f>
        <v>0</v>
      </c>
    </row>
    <row r="669" spans="1:19" x14ac:dyDescent="0.25">
      <c r="B669" s="99" t="s">
        <v>107</v>
      </c>
      <c r="C669" s="100">
        <v>0</v>
      </c>
      <c r="D669">
        <f>$C669*VLOOKUP($B669,FoodDB!$A$2:$I$1014,3,0)</f>
        <v>0</v>
      </c>
      <c r="E669">
        <f>$C669*VLOOKUP($B669,FoodDB!$A$2:$I$1014,4,0)</f>
        <v>0</v>
      </c>
      <c r="F669">
        <f>$C669*VLOOKUP($B669,FoodDB!$A$2:$I$1014,5,0)</f>
        <v>0</v>
      </c>
      <c r="G669">
        <f>$C669*VLOOKUP($B669,FoodDB!$A$2:$I$1014,6,0)</f>
        <v>0</v>
      </c>
      <c r="H669">
        <f>$C669*VLOOKUP($B669,FoodDB!$A$2:$I$1014,7,0)</f>
        <v>0</v>
      </c>
      <c r="I669">
        <f>$C669*VLOOKUP($B669,FoodDB!$A$2:$I$1014,8,0)</f>
        <v>0</v>
      </c>
      <c r="J669">
        <f>$C669*VLOOKUP($B669,FoodDB!$A$2:$I$1014,9,0)</f>
        <v>0</v>
      </c>
    </row>
    <row r="670" spans="1:19" x14ac:dyDescent="0.25">
      <c r="B670" s="99" t="s">
        <v>107</v>
      </c>
      <c r="C670" s="100">
        <v>0</v>
      </c>
      <c r="D670">
        <f>$C670*VLOOKUP($B670,FoodDB!$A$2:$I$1014,3,0)</f>
        <v>0</v>
      </c>
      <c r="E670">
        <f>$C670*VLOOKUP($B670,FoodDB!$A$2:$I$1014,4,0)</f>
        <v>0</v>
      </c>
      <c r="F670">
        <f>$C670*VLOOKUP($B670,FoodDB!$A$2:$I$1014,5,0)</f>
        <v>0</v>
      </c>
      <c r="G670">
        <f>$C670*VLOOKUP($B670,FoodDB!$A$2:$I$1014,6,0)</f>
        <v>0</v>
      </c>
      <c r="H670">
        <f>$C670*VLOOKUP($B670,FoodDB!$A$2:$I$1014,7,0)</f>
        <v>0</v>
      </c>
      <c r="I670">
        <f>$C670*VLOOKUP($B670,FoodDB!$A$2:$I$1014,8,0)</f>
        <v>0</v>
      </c>
      <c r="J670">
        <f>$C670*VLOOKUP($B670,FoodDB!$A$2:$I$1014,9,0)</f>
        <v>0</v>
      </c>
    </row>
    <row r="671" spans="1:19" x14ac:dyDescent="0.25">
      <c r="B671" s="99" t="s">
        <v>107</v>
      </c>
      <c r="C671" s="100">
        <v>0</v>
      </c>
      <c r="D671">
        <f>$C671*VLOOKUP($B671,FoodDB!$A$2:$I$1014,3,0)</f>
        <v>0</v>
      </c>
      <c r="E671">
        <f>$C671*VLOOKUP($B671,FoodDB!$A$2:$I$1014,4,0)</f>
        <v>0</v>
      </c>
      <c r="F671">
        <f>$C671*VLOOKUP($B671,FoodDB!$A$2:$I$1014,5,0)</f>
        <v>0</v>
      </c>
      <c r="G671">
        <f>$C671*VLOOKUP($B671,FoodDB!$A$2:$I$1014,6,0)</f>
        <v>0</v>
      </c>
      <c r="H671">
        <f>$C671*VLOOKUP($B671,FoodDB!$A$2:$I$1014,7,0)</f>
        <v>0</v>
      </c>
      <c r="I671">
        <f>$C671*VLOOKUP($B671,FoodDB!$A$2:$I$1014,8,0)</f>
        <v>0</v>
      </c>
      <c r="J671">
        <f>$C671*VLOOKUP($B671,FoodDB!$A$2:$I$1014,9,0)</f>
        <v>0</v>
      </c>
    </row>
    <row r="672" spans="1:19" x14ac:dyDescent="0.25">
      <c r="B672" s="99" t="s">
        <v>107</v>
      </c>
      <c r="C672" s="100">
        <v>0</v>
      </c>
      <c r="D672">
        <f>$C672*VLOOKUP($B672,FoodDB!$A$2:$I$1014,3,0)</f>
        <v>0</v>
      </c>
      <c r="E672">
        <f>$C672*VLOOKUP($B672,FoodDB!$A$2:$I$1014,4,0)</f>
        <v>0</v>
      </c>
      <c r="F672">
        <f>$C672*VLOOKUP($B672,FoodDB!$A$2:$I$1014,5,0)</f>
        <v>0</v>
      </c>
      <c r="G672">
        <f>$C672*VLOOKUP($B672,FoodDB!$A$2:$I$1014,6,0)</f>
        <v>0</v>
      </c>
      <c r="H672">
        <f>$C672*VLOOKUP($B672,FoodDB!$A$2:$I$1014,7,0)</f>
        <v>0</v>
      </c>
      <c r="I672">
        <f>$C672*VLOOKUP($B672,FoodDB!$A$2:$I$1014,8,0)</f>
        <v>0</v>
      </c>
      <c r="J672">
        <f>$C672*VLOOKUP($B672,FoodDB!$A$2:$I$1014,9,0)</f>
        <v>0</v>
      </c>
    </row>
    <row r="673" spans="1:19" x14ac:dyDescent="0.25">
      <c r="A673" t="s">
        <v>97</v>
      </c>
      <c r="G673">
        <f>SUM(G666:G672)</f>
        <v>0</v>
      </c>
      <c r="H673">
        <f>SUM(H666:H672)</f>
        <v>0</v>
      </c>
      <c r="I673">
        <f>SUM(I666:I672)</f>
        <v>0</v>
      </c>
      <c r="J673">
        <f>SUM(G673:I673)</f>
        <v>0</v>
      </c>
    </row>
    <row r="674" spans="1:19" x14ac:dyDescent="0.25">
      <c r="A674" t="s">
        <v>101</v>
      </c>
      <c r="B674" t="s">
        <v>102</v>
      </c>
      <c r="E674" s="103"/>
      <c r="F674" s="103"/>
      <c r="G674" s="103">
        <f>VLOOKUP($A666,LossChart!$A$3:$AB$105,14,0)</f>
        <v>688.08776903194303</v>
      </c>
      <c r="H674" s="103">
        <f>VLOOKUP($A666,LossChart!$A$3:$AB$105,15,0)</f>
        <v>80</v>
      </c>
      <c r="I674" s="103">
        <f>VLOOKUP($A666,LossChart!$A$3:$AB$105,16,0)</f>
        <v>477.30407413615825</v>
      </c>
      <c r="J674" s="103">
        <f>VLOOKUP($A666,LossChart!$A$3:$AB$105,17,0)</f>
        <v>1245.3918431681013</v>
      </c>
      <c r="K674" s="103"/>
    </row>
    <row r="675" spans="1:19" x14ac:dyDescent="0.25">
      <c r="A675" t="s">
        <v>103</v>
      </c>
      <c r="G675">
        <f>G674-G673</f>
        <v>688.08776903194303</v>
      </c>
      <c r="H675">
        <f>H674-H673</f>
        <v>80</v>
      </c>
      <c r="I675">
        <f>I674-I673</f>
        <v>477.30407413615825</v>
      </c>
      <c r="J675">
        <f>J674-J673</f>
        <v>1245.3918431681013</v>
      </c>
    </row>
    <row r="677" spans="1:19" ht="60" x14ac:dyDescent="0.25">
      <c r="A677" s="26" t="s">
        <v>63</v>
      </c>
      <c r="B677" s="26" t="s">
        <v>92</v>
      </c>
      <c r="C677" s="26" t="s">
        <v>93</v>
      </c>
      <c r="D677" s="97" t="str">
        <f>FoodDB!$C$1</f>
        <v>Fat
(g)</v>
      </c>
      <c r="E677" s="97" t="str">
        <f>FoodDB!$D$1</f>
        <v xml:space="preserve"> Carbs
(g)</v>
      </c>
      <c r="F677" s="97" t="str">
        <f>FoodDB!$E$1</f>
        <v>Protein
(g)</v>
      </c>
      <c r="G677" s="97" t="str">
        <f>FoodDB!$F$1</f>
        <v>Fat
(Cal)</v>
      </c>
      <c r="H677" s="97" t="str">
        <f>FoodDB!$G$1</f>
        <v>Carb
(Cal)</v>
      </c>
      <c r="I677" s="97" t="str">
        <f>FoodDB!$H$1</f>
        <v>Protein
(Cal)</v>
      </c>
      <c r="J677" s="97" t="str">
        <f>FoodDB!$I$1</f>
        <v>Total
Calories</v>
      </c>
      <c r="K677" s="97"/>
      <c r="L677" s="97" t="s">
        <v>109</v>
      </c>
      <c r="M677" s="97" t="s">
        <v>110</v>
      </c>
      <c r="N677" s="97" t="s">
        <v>111</v>
      </c>
      <c r="O677" s="97" t="s">
        <v>112</v>
      </c>
      <c r="P677" s="97" t="s">
        <v>117</v>
      </c>
      <c r="Q677" s="97" t="s">
        <v>118</v>
      </c>
      <c r="R677" s="97" t="s">
        <v>119</v>
      </c>
      <c r="S677" s="97" t="s">
        <v>120</v>
      </c>
    </row>
    <row r="678" spans="1:19" x14ac:dyDescent="0.25">
      <c r="A678" s="98">
        <f>A666+1</f>
        <v>43050</v>
      </c>
      <c r="B678" s="99" t="s">
        <v>107</v>
      </c>
      <c r="C678" s="100">
        <v>0</v>
      </c>
      <c r="D678">
        <f>$C678*VLOOKUP($B678,FoodDB!$A$2:$I$1014,3,0)</f>
        <v>0</v>
      </c>
      <c r="E678">
        <f>$C678*VLOOKUP($B678,FoodDB!$A$2:$I$1014,4,0)</f>
        <v>0</v>
      </c>
      <c r="F678">
        <f>$C678*VLOOKUP($B678,FoodDB!$A$2:$I$1014,5,0)</f>
        <v>0</v>
      </c>
      <c r="G678">
        <f>$C678*VLOOKUP($B678,FoodDB!$A$2:$I$1014,6,0)</f>
        <v>0</v>
      </c>
      <c r="H678">
        <f>$C678*VLOOKUP($B678,FoodDB!$A$2:$I$1014,7,0)</f>
        <v>0</v>
      </c>
      <c r="I678">
        <f>$C678*VLOOKUP($B678,FoodDB!$A$2:$I$1014,8,0)</f>
        <v>0</v>
      </c>
      <c r="J678">
        <f>$C678*VLOOKUP($B678,FoodDB!$A$2:$I$1014,9,0)</f>
        <v>0</v>
      </c>
      <c r="L678">
        <f>SUM(G678:G684)</f>
        <v>0</v>
      </c>
      <c r="M678">
        <f>SUM(H678:H684)</f>
        <v>0</v>
      </c>
      <c r="N678">
        <f>SUM(I678:I684)</f>
        <v>0</v>
      </c>
      <c r="O678">
        <f>SUM(L678:N678)</f>
        <v>0</v>
      </c>
      <c r="P678" s="103">
        <f>VLOOKUP($A678,LossChart!$A$3:$AB$105,14,0)-L678</f>
        <v>693.49572485830276</v>
      </c>
      <c r="Q678" s="103">
        <f>VLOOKUP($A678,LossChart!$A$3:$AB$105,15,0)-M678</f>
        <v>80</v>
      </c>
      <c r="R678" s="103">
        <f>VLOOKUP($A678,LossChart!$A$3:$AB$105,16,0)-N678</f>
        <v>477.30407413615825</v>
      </c>
      <c r="S678" s="103">
        <f>VLOOKUP($A678,LossChart!$A$3:$AB$105,17,0)-O678</f>
        <v>1250.7997989944611</v>
      </c>
    </row>
    <row r="679" spans="1:19" x14ac:dyDescent="0.25">
      <c r="B679" s="99" t="s">
        <v>107</v>
      </c>
      <c r="C679" s="100">
        <v>0</v>
      </c>
      <c r="D679">
        <f>$C679*VLOOKUP($B679,FoodDB!$A$2:$I$1014,3,0)</f>
        <v>0</v>
      </c>
      <c r="E679">
        <f>$C679*VLOOKUP($B679,FoodDB!$A$2:$I$1014,4,0)</f>
        <v>0</v>
      </c>
      <c r="F679">
        <f>$C679*VLOOKUP($B679,FoodDB!$A$2:$I$1014,5,0)</f>
        <v>0</v>
      </c>
      <c r="G679">
        <f>$C679*VLOOKUP($B679,FoodDB!$A$2:$I$1014,6,0)</f>
        <v>0</v>
      </c>
      <c r="H679">
        <f>$C679*VLOOKUP($B679,FoodDB!$A$2:$I$1014,7,0)</f>
        <v>0</v>
      </c>
      <c r="I679">
        <f>$C679*VLOOKUP($B679,FoodDB!$A$2:$I$1014,8,0)</f>
        <v>0</v>
      </c>
      <c r="J679">
        <f>$C679*VLOOKUP($B679,FoodDB!$A$2:$I$1014,9,0)</f>
        <v>0</v>
      </c>
    </row>
    <row r="680" spans="1:19" x14ac:dyDescent="0.25">
      <c r="B680" s="99" t="s">
        <v>107</v>
      </c>
      <c r="C680" s="100">
        <v>0</v>
      </c>
      <c r="D680">
        <f>$C680*VLOOKUP($B680,FoodDB!$A$2:$I$1014,3,0)</f>
        <v>0</v>
      </c>
      <c r="E680">
        <f>$C680*VLOOKUP($B680,FoodDB!$A$2:$I$1014,4,0)</f>
        <v>0</v>
      </c>
      <c r="F680">
        <f>$C680*VLOOKUP($B680,FoodDB!$A$2:$I$1014,5,0)</f>
        <v>0</v>
      </c>
      <c r="G680">
        <f>$C680*VLOOKUP($B680,FoodDB!$A$2:$I$1014,6,0)</f>
        <v>0</v>
      </c>
      <c r="H680">
        <f>$C680*VLOOKUP($B680,FoodDB!$A$2:$I$1014,7,0)</f>
        <v>0</v>
      </c>
      <c r="I680">
        <f>$C680*VLOOKUP($B680,FoodDB!$A$2:$I$1014,8,0)</f>
        <v>0</v>
      </c>
      <c r="J680">
        <f>$C680*VLOOKUP($B680,FoodDB!$A$2:$I$1014,9,0)</f>
        <v>0</v>
      </c>
    </row>
    <row r="681" spans="1:19" x14ac:dyDescent="0.25">
      <c r="B681" s="99" t="s">
        <v>107</v>
      </c>
      <c r="C681" s="100">
        <v>0</v>
      </c>
      <c r="D681">
        <f>$C681*VLOOKUP($B681,FoodDB!$A$2:$I$1014,3,0)</f>
        <v>0</v>
      </c>
      <c r="E681">
        <f>$C681*VLOOKUP($B681,FoodDB!$A$2:$I$1014,4,0)</f>
        <v>0</v>
      </c>
      <c r="F681">
        <f>$C681*VLOOKUP($B681,FoodDB!$A$2:$I$1014,5,0)</f>
        <v>0</v>
      </c>
      <c r="G681">
        <f>$C681*VLOOKUP($B681,FoodDB!$A$2:$I$1014,6,0)</f>
        <v>0</v>
      </c>
      <c r="H681">
        <f>$C681*VLOOKUP($B681,FoodDB!$A$2:$I$1014,7,0)</f>
        <v>0</v>
      </c>
      <c r="I681">
        <f>$C681*VLOOKUP($B681,FoodDB!$A$2:$I$1014,8,0)</f>
        <v>0</v>
      </c>
      <c r="J681">
        <f>$C681*VLOOKUP($B681,FoodDB!$A$2:$I$1014,9,0)</f>
        <v>0</v>
      </c>
    </row>
    <row r="682" spans="1:19" x14ac:dyDescent="0.25">
      <c r="B682" s="99" t="s">
        <v>107</v>
      </c>
      <c r="C682" s="100">
        <v>0</v>
      </c>
      <c r="D682">
        <f>$C682*VLOOKUP($B682,FoodDB!$A$2:$I$1014,3,0)</f>
        <v>0</v>
      </c>
      <c r="E682">
        <f>$C682*VLOOKUP($B682,FoodDB!$A$2:$I$1014,4,0)</f>
        <v>0</v>
      </c>
      <c r="F682">
        <f>$C682*VLOOKUP($B682,FoodDB!$A$2:$I$1014,5,0)</f>
        <v>0</v>
      </c>
      <c r="G682">
        <f>$C682*VLOOKUP($B682,FoodDB!$A$2:$I$1014,6,0)</f>
        <v>0</v>
      </c>
      <c r="H682">
        <f>$C682*VLOOKUP($B682,FoodDB!$A$2:$I$1014,7,0)</f>
        <v>0</v>
      </c>
      <c r="I682">
        <f>$C682*VLOOKUP($B682,FoodDB!$A$2:$I$1014,8,0)</f>
        <v>0</v>
      </c>
      <c r="J682">
        <f>$C682*VLOOKUP($B682,FoodDB!$A$2:$I$1014,9,0)</f>
        <v>0</v>
      </c>
    </row>
    <row r="683" spans="1:19" x14ac:dyDescent="0.25">
      <c r="B683" s="99" t="s">
        <v>107</v>
      </c>
      <c r="C683" s="100">
        <v>0</v>
      </c>
      <c r="D683">
        <f>$C683*VLOOKUP($B683,FoodDB!$A$2:$I$1014,3,0)</f>
        <v>0</v>
      </c>
      <c r="E683">
        <f>$C683*VLOOKUP($B683,FoodDB!$A$2:$I$1014,4,0)</f>
        <v>0</v>
      </c>
      <c r="F683">
        <f>$C683*VLOOKUP($B683,FoodDB!$A$2:$I$1014,5,0)</f>
        <v>0</v>
      </c>
      <c r="G683">
        <f>$C683*VLOOKUP($B683,FoodDB!$A$2:$I$1014,6,0)</f>
        <v>0</v>
      </c>
      <c r="H683">
        <f>$C683*VLOOKUP($B683,FoodDB!$A$2:$I$1014,7,0)</f>
        <v>0</v>
      </c>
      <c r="I683">
        <f>$C683*VLOOKUP($B683,FoodDB!$A$2:$I$1014,8,0)</f>
        <v>0</v>
      </c>
      <c r="J683">
        <f>$C683*VLOOKUP($B683,FoodDB!$A$2:$I$1014,9,0)</f>
        <v>0</v>
      </c>
    </row>
    <row r="684" spans="1:19" x14ac:dyDescent="0.25">
      <c r="B684" s="99" t="s">
        <v>107</v>
      </c>
      <c r="C684" s="100">
        <v>0</v>
      </c>
      <c r="D684">
        <f>$C684*VLOOKUP($B684,FoodDB!$A$2:$I$1014,3,0)</f>
        <v>0</v>
      </c>
      <c r="E684">
        <f>$C684*VLOOKUP($B684,FoodDB!$A$2:$I$1014,4,0)</f>
        <v>0</v>
      </c>
      <c r="F684">
        <f>$C684*VLOOKUP($B684,FoodDB!$A$2:$I$1014,5,0)</f>
        <v>0</v>
      </c>
      <c r="G684">
        <f>$C684*VLOOKUP($B684,FoodDB!$A$2:$I$1014,6,0)</f>
        <v>0</v>
      </c>
      <c r="H684">
        <f>$C684*VLOOKUP($B684,FoodDB!$A$2:$I$1014,7,0)</f>
        <v>0</v>
      </c>
      <c r="I684">
        <f>$C684*VLOOKUP($B684,FoodDB!$A$2:$I$1014,8,0)</f>
        <v>0</v>
      </c>
      <c r="J684">
        <f>$C684*VLOOKUP($B684,FoodDB!$A$2:$I$1014,9,0)</f>
        <v>0</v>
      </c>
    </row>
    <row r="685" spans="1:19" x14ac:dyDescent="0.25">
      <c r="A685" t="s">
        <v>97</v>
      </c>
      <c r="G685">
        <f>SUM(G678:G684)</f>
        <v>0</v>
      </c>
      <c r="H685">
        <f>SUM(H678:H684)</f>
        <v>0</v>
      </c>
      <c r="I685">
        <f>SUM(I678:I684)</f>
        <v>0</v>
      </c>
      <c r="J685">
        <f>SUM(G685:I685)</f>
        <v>0</v>
      </c>
    </row>
    <row r="686" spans="1:19" x14ac:dyDescent="0.25">
      <c r="A686" t="s">
        <v>101</v>
      </c>
      <c r="B686" t="s">
        <v>102</v>
      </c>
      <c r="E686" s="103"/>
      <c r="F686" s="103"/>
      <c r="G686" s="103">
        <f>VLOOKUP($A678,LossChart!$A$3:$AB$105,14,0)</f>
        <v>693.49572485830276</v>
      </c>
      <c r="H686" s="103">
        <f>VLOOKUP($A678,LossChart!$A$3:$AB$105,15,0)</f>
        <v>80</v>
      </c>
      <c r="I686" s="103">
        <f>VLOOKUP($A678,LossChart!$A$3:$AB$105,16,0)</f>
        <v>477.30407413615825</v>
      </c>
      <c r="J686" s="103">
        <f>VLOOKUP($A678,LossChart!$A$3:$AB$105,17,0)</f>
        <v>1250.7997989944611</v>
      </c>
      <c r="K686" s="103"/>
    </row>
    <row r="687" spans="1:19" x14ac:dyDescent="0.25">
      <c r="A687" t="s">
        <v>103</v>
      </c>
      <c r="G687">
        <f>G686-G685</f>
        <v>693.49572485830276</v>
      </c>
      <c r="H687">
        <f>H686-H685</f>
        <v>80</v>
      </c>
      <c r="I687">
        <f>I686-I685</f>
        <v>477.30407413615825</v>
      </c>
      <c r="J687">
        <f>J686-J685</f>
        <v>1250.7997989944611</v>
      </c>
    </row>
    <row r="689" spans="1:19" ht="60" x14ac:dyDescent="0.25">
      <c r="A689" s="26" t="s">
        <v>63</v>
      </c>
      <c r="B689" s="26" t="s">
        <v>92</v>
      </c>
      <c r="C689" s="26" t="s">
        <v>93</v>
      </c>
      <c r="D689" s="97" t="str">
        <f>FoodDB!$C$1</f>
        <v>Fat
(g)</v>
      </c>
      <c r="E689" s="97" t="str">
        <f>FoodDB!$D$1</f>
        <v xml:space="preserve"> Carbs
(g)</v>
      </c>
      <c r="F689" s="97" t="str">
        <f>FoodDB!$E$1</f>
        <v>Protein
(g)</v>
      </c>
      <c r="G689" s="97" t="str">
        <f>FoodDB!$F$1</f>
        <v>Fat
(Cal)</v>
      </c>
      <c r="H689" s="97" t="str">
        <f>FoodDB!$G$1</f>
        <v>Carb
(Cal)</v>
      </c>
      <c r="I689" s="97" t="str">
        <f>FoodDB!$H$1</f>
        <v>Protein
(Cal)</v>
      </c>
      <c r="J689" s="97" t="str">
        <f>FoodDB!$I$1</f>
        <v>Total
Calories</v>
      </c>
      <c r="K689" s="97"/>
      <c r="L689" s="97" t="s">
        <v>109</v>
      </c>
      <c r="M689" s="97" t="s">
        <v>110</v>
      </c>
      <c r="N689" s="97" t="s">
        <v>111</v>
      </c>
      <c r="O689" s="97" t="s">
        <v>112</v>
      </c>
      <c r="P689" s="97" t="s">
        <v>117</v>
      </c>
      <c r="Q689" s="97" t="s">
        <v>118</v>
      </c>
      <c r="R689" s="97" t="s">
        <v>119</v>
      </c>
      <c r="S689" s="97" t="s">
        <v>120</v>
      </c>
    </row>
    <row r="690" spans="1:19" x14ac:dyDescent="0.25">
      <c r="A690" s="98">
        <f>A678+1</f>
        <v>43051</v>
      </c>
      <c r="B690" s="99" t="s">
        <v>107</v>
      </c>
      <c r="C690" s="100">
        <v>0</v>
      </c>
      <c r="D690">
        <f>$C690*VLOOKUP($B690,FoodDB!$A$2:$I$1014,3,0)</f>
        <v>0</v>
      </c>
      <c r="E690">
        <f>$C690*VLOOKUP($B690,FoodDB!$A$2:$I$1014,4,0)</f>
        <v>0</v>
      </c>
      <c r="F690">
        <f>$C690*VLOOKUP($B690,FoodDB!$A$2:$I$1014,5,0)</f>
        <v>0</v>
      </c>
      <c r="G690">
        <f>$C690*VLOOKUP($B690,FoodDB!$A$2:$I$1014,6,0)</f>
        <v>0</v>
      </c>
      <c r="H690">
        <f>$C690*VLOOKUP($B690,FoodDB!$A$2:$I$1014,7,0)</f>
        <v>0</v>
      </c>
      <c r="I690">
        <f>$C690*VLOOKUP($B690,FoodDB!$A$2:$I$1014,8,0)</f>
        <v>0</v>
      </c>
      <c r="J690">
        <f>$C690*VLOOKUP($B690,FoodDB!$A$2:$I$1014,9,0)</f>
        <v>0</v>
      </c>
      <c r="L690">
        <f>SUM(G690:G696)</f>
        <v>0</v>
      </c>
      <c r="M690">
        <f>SUM(H690:H696)</f>
        <v>0</v>
      </c>
      <c r="N690">
        <f>SUM(I690:I696)</f>
        <v>0</v>
      </c>
      <c r="O690">
        <f>SUM(L690:N690)</f>
        <v>0</v>
      </c>
      <c r="P690" s="103">
        <f>VLOOKUP($A690,LossChart!$A$3:$AB$105,14,0)-L690</f>
        <v>698.85578164734397</v>
      </c>
      <c r="Q690" s="103">
        <f>VLOOKUP($A690,LossChart!$A$3:$AB$105,15,0)-M690</f>
        <v>80</v>
      </c>
      <c r="R690" s="103">
        <f>VLOOKUP($A690,LossChart!$A$3:$AB$105,16,0)-N690</f>
        <v>477.30407413615825</v>
      </c>
      <c r="S690" s="103">
        <f>VLOOKUP($A690,LossChart!$A$3:$AB$105,17,0)-O690</f>
        <v>1256.1598557835023</v>
      </c>
    </row>
    <row r="691" spans="1:19" x14ac:dyDescent="0.25">
      <c r="B691" s="99" t="s">
        <v>107</v>
      </c>
      <c r="C691" s="100">
        <v>0</v>
      </c>
      <c r="D691">
        <f>$C691*VLOOKUP($B691,FoodDB!$A$2:$I$1014,3,0)</f>
        <v>0</v>
      </c>
      <c r="E691">
        <f>$C691*VLOOKUP($B691,FoodDB!$A$2:$I$1014,4,0)</f>
        <v>0</v>
      </c>
      <c r="F691">
        <f>$C691*VLOOKUP($B691,FoodDB!$A$2:$I$1014,5,0)</f>
        <v>0</v>
      </c>
      <c r="G691">
        <f>$C691*VLOOKUP($B691,FoodDB!$A$2:$I$1014,6,0)</f>
        <v>0</v>
      </c>
      <c r="H691">
        <f>$C691*VLOOKUP($B691,FoodDB!$A$2:$I$1014,7,0)</f>
        <v>0</v>
      </c>
      <c r="I691">
        <f>$C691*VLOOKUP($B691,FoodDB!$A$2:$I$1014,8,0)</f>
        <v>0</v>
      </c>
      <c r="J691">
        <f>$C691*VLOOKUP($B691,FoodDB!$A$2:$I$1014,9,0)</f>
        <v>0</v>
      </c>
    </row>
    <row r="692" spans="1:19" x14ac:dyDescent="0.25">
      <c r="B692" s="99" t="s">
        <v>107</v>
      </c>
      <c r="C692" s="100">
        <v>0</v>
      </c>
      <c r="D692">
        <f>$C692*VLOOKUP($B692,FoodDB!$A$2:$I$1014,3,0)</f>
        <v>0</v>
      </c>
      <c r="E692">
        <f>$C692*VLOOKUP($B692,FoodDB!$A$2:$I$1014,4,0)</f>
        <v>0</v>
      </c>
      <c r="F692">
        <f>$C692*VLOOKUP($B692,FoodDB!$A$2:$I$1014,5,0)</f>
        <v>0</v>
      </c>
      <c r="G692">
        <f>$C692*VLOOKUP($B692,FoodDB!$A$2:$I$1014,6,0)</f>
        <v>0</v>
      </c>
      <c r="H692">
        <f>$C692*VLOOKUP($B692,FoodDB!$A$2:$I$1014,7,0)</f>
        <v>0</v>
      </c>
      <c r="I692">
        <f>$C692*VLOOKUP($B692,FoodDB!$A$2:$I$1014,8,0)</f>
        <v>0</v>
      </c>
      <c r="J692">
        <f>$C692*VLOOKUP($B692,FoodDB!$A$2:$I$1014,9,0)</f>
        <v>0</v>
      </c>
    </row>
    <row r="693" spans="1:19" x14ac:dyDescent="0.25">
      <c r="B693" s="99" t="s">
        <v>107</v>
      </c>
      <c r="C693" s="100">
        <v>0</v>
      </c>
      <c r="D693">
        <f>$C693*VLOOKUP($B693,FoodDB!$A$2:$I$1014,3,0)</f>
        <v>0</v>
      </c>
      <c r="E693">
        <f>$C693*VLOOKUP($B693,FoodDB!$A$2:$I$1014,4,0)</f>
        <v>0</v>
      </c>
      <c r="F693">
        <f>$C693*VLOOKUP($B693,FoodDB!$A$2:$I$1014,5,0)</f>
        <v>0</v>
      </c>
      <c r="G693">
        <f>$C693*VLOOKUP($B693,FoodDB!$A$2:$I$1014,6,0)</f>
        <v>0</v>
      </c>
      <c r="H693">
        <f>$C693*VLOOKUP($B693,FoodDB!$A$2:$I$1014,7,0)</f>
        <v>0</v>
      </c>
      <c r="I693">
        <f>$C693*VLOOKUP($B693,FoodDB!$A$2:$I$1014,8,0)</f>
        <v>0</v>
      </c>
      <c r="J693">
        <f>$C693*VLOOKUP($B693,FoodDB!$A$2:$I$1014,9,0)</f>
        <v>0</v>
      </c>
    </row>
    <row r="694" spans="1:19" x14ac:dyDescent="0.25">
      <c r="B694" s="99" t="s">
        <v>107</v>
      </c>
      <c r="C694" s="100">
        <v>0</v>
      </c>
      <c r="D694">
        <f>$C694*VLOOKUP($B694,FoodDB!$A$2:$I$1014,3,0)</f>
        <v>0</v>
      </c>
      <c r="E694">
        <f>$C694*VLOOKUP($B694,FoodDB!$A$2:$I$1014,4,0)</f>
        <v>0</v>
      </c>
      <c r="F694">
        <f>$C694*VLOOKUP($B694,FoodDB!$A$2:$I$1014,5,0)</f>
        <v>0</v>
      </c>
      <c r="G694">
        <f>$C694*VLOOKUP($B694,FoodDB!$A$2:$I$1014,6,0)</f>
        <v>0</v>
      </c>
      <c r="H694">
        <f>$C694*VLOOKUP($B694,FoodDB!$A$2:$I$1014,7,0)</f>
        <v>0</v>
      </c>
      <c r="I694">
        <f>$C694*VLOOKUP($B694,FoodDB!$A$2:$I$1014,8,0)</f>
        <v>0</v>
      </c>
      <c r="J694">
        <f>$C694*VLOOKUP($B694,FoodDB!$A$2:$I$1014,9,0)</f>
        <v>0</v>
      </c>
    </row>
    <row r="695" spans="1:19" x14ac:dyDescent="0.25">
      <c r="B695" s="99" t="s">
        <v>107</v>
      </c>
      <c r="C695" s="100">
        <v>0</v>
      </c>
      <c r="D695">
        <f>$C695*VLOOKUP($B695,FoodDB!$A$2:$I$1014,3,0)</f>
        <v>0</v>
      </c>
      <c r="E695">
        <f>$C695*VLOOKUP($B695,FoodDB!$A$2:$I$1014,4,0)</f>
        <v>0</v>
      </c>
      <c r="F695">
        <f>$C695*VLOOKUP($B695,FoodDB!$A$2:$I$1014,5,0)</f>
        <v>0</v>
      </c>
      <c r="G695">
        <f>$C695*VLOOKUP($B695,FoodDB!$A$2:$I$1014,6,0)</f>
        <v>0</v>
      </c>
      <c r="H695">
        <f>$C695*VLOOKUP($B695,FoodDB!$A$2:$I$1014,7,0)</f>
        <v>0</v>
      </c>
      <c r="I695">
        <f>$C695*VLOOKUP($B695,FoodDB!$A$2:$I$1014,8,0)</f>
        <v>0</v>
      </c>
      <c r="J695">
        <f>$C695*VLOOKUP($B695,FoodDB!$A$2:$I$1014,9,0)</f>
        <v>0</v>
      </c>
    </row>
    <row r="696" spans="1:19" x14ac:dyDescent="0.25">
      <c r="B696" s="99" t="s">
        <v>107</v>
      </c>
      <c r="C696" s="100">
        <v>0</v>
      </c>
      <c r="D696">
        <f>$C696*VLOOKUP($B696,FoodDB!$A$2:$I$1014,3,0)</f>
        <v>0</v>
      </c>
      <c r="E696">
        <f>$C696*VLOOKUP($B696,FoodDB!$A$2:$I$1014,4,0)</f>
        <v>0</v>
      </c>
      <c r="F696">
        <f>$C696*VLOOKUP($B696,FoodDB!$A$2:$I$1014,5,0)</f>
        <v>0</v>
      </c>
      <c r="G696">
        <f>$C696*VLOOKUP($B696,FoodDB!$A$2:$I$1014,6,0)</f>
        <v>0</v>
      </c>
      <c r="H696">
        <f>$C696*VLOOKUP($B696,FoodDB!$A$2:$I$1014,7,0)</f>
        <v>0</v>
      </c>
      <c r="I696">
        <f>$C696*VLOOKUP($B696,FoodDB!$A$2:$I$1014,8,0)</f>
        <v>0</v>
      </c>
      <c r="J696">
        <f>$C696*VLOOKUP($B696,FoodDB!$A$2:$I$1014,9,0)</f>
        <v>0</v>
      </c>
    </row>
    <row r="697" spans="1:19" x14ac:dyDescent="0.25">
      <c r="A697" t="s">
        <v>97</v>
      </c>
      <c r="G697">
        <f>SUM(G690:G696)</f>
        <v>0</v>
      </c>
      <c r="H697">
        <f>SUM(H690:H696)</f>
        <v>0</v>
      </c>
      <c r="I697">
        <f>SUM(I690:I696)</f>
        <v>0</v>
      </c>
      <c r="J697">
        <f>SUM(G697:I697)</f>
        <v>0</v>
      </c>
    </row>
    <row r="698" spans="1:19" x14ac:dyDescent="0.25">
      <c r="A698" t="s">
        <v>101</v>
      </c>
      <c r="B698" t="s">
        <v>102</v>
      </c>
      <c r="E698" s="103"/>
      <c r="F698" s="103"/>
      <c r="G698" s="103">
        <f>VLOOKUP($A690,LossChart!$A$3:$AB$105,14,0)</f>
        <v>698.85578164734397</v>
      </c>
      <c r="H698" s="103">
        <f>VLOOKUP($A690,LossChart!$A$3:$AB$105,15,0)</f>
        <v>80</v>
      </c>
      <c r="I698" s="103">
        <f>VLOOKUP($A690,LossChart!$A$3:$AB$105,16,0)</f>
        <v>477.30407413615825</v>
      </c>
      <c r="J698" s="103">
        <f>VLOOKUP($A690,LossChart!$A$3:$AB$105,17,0)</f>
        <v>1256.1598557835023</v>
      </c>
      <c r="K698" s="103"/>
    </row>
    <row r="699" spans="1:19" x14ac:dyDescent="0.25">
      <c r="A699" t="s">
        <v>103</v>
      </c>
      <c r="G699">
        <f>G698-G697</f>
        <v>698.85578164734397</v>
      </c>
      <c r="H699">
        <f>H698-H697</f>
        <v>80</v>
      </c>
      <c r="I699">
        <f>I698-I697</f>
        <v>477.30407413615825</v>
      </c>
      <c r="J699">
        <f>J698-J697</f>
        <v>1256.1598557835023</v>
      </c>
    </row>
    <row r="701" spans="1:19" ht="60" x14ac:dyDescent="0.25">
      <c r="A701" s="26" t="s">
        <v>63</v>
      </c>
      <c r="B701" s="26" t="s">
        <v>92</v>
      </c>
      <c r="C701" s="26" t="s">
        <v>93</v>
      </c>
      <c r="D701" s="97" t="str">
        <f>FoodDB!$C$1</f>
        <v>Fat
(g)</v>
      </c>
      <c r="E701" s="97" t="str">
        <f>FoodDB!$D$1</f>
        <v xml:space="preserve"> Carbs
(g)</v>
      </c>
      <c r="F701" s="97" t="str">
        <f>FoodDB!$E$1</f>
        <v>Protein
(g)</v>
      </c>
      <c r="G701" s="97" t="str">
        <f>FoodDB!$F$1</f>
        <v>Fat
(Cal)</v>
      </c>
      <c r="H701" s="97" t="str">
        <f>FoodDB!$G$1</f>
        <v>Carb
(Cal)</v>
      </c>
      <c r="I701" s="97" t="str">
        <f>FoodDB!$H$1</f>
        <v>Protein
(Cal)</v>
      </c>
      <c r="J701" s="97" t="str">
        <f>FoodDB!$I$1</f>
        <v>Total
Calories</v>
      </c>
      <c r="K701" s="97"/>
      <c r="L701" s="97" t="s">
        <v>109</v>
      </c>
      <c r="M701" s="97" t="s">
        <v>110</v>
      </c>
      <c r="N701" s="97" t="s">
        <v>111</v>
      </c>
      <c r="O701" s="97" t="s">
        <v>112</v>
      </c>
      <c r="P701" s="97" t="s">
        <v>117</v>
      </c>
      <c r="Q701" s="97" t="s">
        <v>118</v>
      </c>
      <c r="R701" s="97" t="s">
        <v>119</v>
      </c>
      <c r="S701" s="97" t="s">
        <v>120</v>
      </c>
    </row>
    <row r="702" spans="1:19" x14ac:dyDescent="0.25">
      <c r="A702" s="98">
        <f>A690+1</f>
        <v>43052</v>
      </c>
      <c r="B702" s="99" t="s">
        <v>107</v>
      </c>
      <c r="C702" s="100">
        <v>0</v>
      </c>
      <c r="D702">
        <f>$C702*VLOOKUP($B702,FoodDB!$A$2:$I$1014,3,0)</f>
        <v>0</v>
      </c>
      <c r="E702">
        <f>$C702*VLOOKUP($B702,FoodDB!$A$2:$I$1014,4,0)</f>
        <v>0</v>
      </c>
      <c r="F702">
        <f>$C702*VLOOKUP($B702,FoodDB!$A$2:$I$1014,5,0)</f>
        <v>0</v>
      </c>
      <c r="G702">
        <f>$C702*VLOOKUP($B702,FoodDB!$A$2:$I$1014,6,0)</f>
        <v>0</v>
      </c>
      <c r="H702">
        <f>$C702*VLOOKUP($B702,FoodDB!$A$2:$I$1014,7,0)</f>
        <v>0</v>
      </c>
      <c r="I702">
        <f>$C702*VLOOKUP($B702,FoodDB!$A$2:$I$1014,8,0)</f>
        <v>0</v>
      </c>
      <c r="J702">
        <f>$C702*VLOOKUP($B702,FoodDB!$A$2:$I$1014,9,0)</f>
        <v>0</v>
      </c>
      <c r="L702">
        <f>SUM(G702:G708)</f>
        <v>0</v>
      </c>
      <c r="M702">
        <f>SUM(H702:H708)</f>
        <v>0</v>
      </c>
      <c r="N702">
        <f>SUM(I702:I708)</f>
        <v>0</v>
      </c>
      <c r="O702">
        <f>SUM(L702:N702)</f>
        <v>0</v>
      </c>
      <c r="P702" s="103">
        <f>VLOOKUP($A702,LossChart!$A$3:$AB$105,14,0)-L702</f>
        <v>704.16836364768119</v>
      </c>
      <c r="Q702" s="103">
        <f>VLOOKUP($A702,LossChart!$A$3:$AB$105,15,0)-M702</f>
        <v>80</v>
      </c>
      <c r="R702" s="103">
        <f>VLOOKUP($A702,LossChart!$A$3:$AB$105,16,0)-N702</f>
        <v>477.30407413615825</v>
      </c>
      <c r="S702" s="103">
        <f>VLOOKUP($A702,LossChart!$A$3:$AB$105,17,0)-O702</f>
        <v>1261.4724377838395</v>
      </c>
    </row>
    <row r="703" spans="1:19" x14ac:dyDescent="0.25">
      <c r="B703" s="99" t="s">
        <v>107</v>
      </c>
      <c r="C703" s="100">
        <v>0</v>
      </c>
      <c r="D703">
        <f>$C703*VLOOKUP($B703,FoodDB!$A$2:$I$1014,3,0)</f>
        <v>0</v>
      </c>
      <c r="E703">
        <f>$C703*VLOOKUP($B703,FoodDB!$A$2:$I$1014,4,0)</f>
        <v>0</v>
      </c>
      <c r="F703">
        <f>$C703*VLOOKUP($B703,FoodDB!$A$2:$I$1014,5,0)</f>
        <v>0</v>
      </c>
      <c r="G703">
        <f>$C703*VLOOKUP($B703,FoodDB!$A$2:$I$1014,6,0)</f>
        <v>0</v>
      </c>
      <c r="H703">
        <f>$C703*VLOOKUP($B703,FoodDB!$A$2:$I$1014,7,0)</f>
        <v>0</v>
      </c>
      <c r="I703">
        <f>$C703*VLOOKUP($B703,FoodDB!$A$2:$I$1014,8,0)</f>
        <v>0</v>
      </c>
      <c r="J703">
        <f>$C703*VLOOKUP($B703,FoodDB!$A$2:$I$1014,9,0)</f>
        <v>0</v>
      </c>
    </row>
    <row r="704" spans="1:19" x14ac:dyDescent="0.25">
      <c r="B704" s="99" t="s">
        <v>107</v>
      </c>
      <c r="C704" s="100">
        <v>0</v>
      </c>
      <c r="D704">
        <f>$C704*VLOOKUP($B704,FoodDB!$A$2:$I$1014,3,0)</f>
        <v>0</v>
      </c>
      <c r="E704">
        <f>$C704*VLOOKUP($B704,FoodDB!$A$2:$I$1014,4,0)</f>
        <v>0</v>
      </c>
      <c r="F704">
        <f>$C704*VLOOKUP($B704,FoodDB!$A$2:$I$1014,5,0)</f>
        <v>0</v>
      </c>
      <c r="G704">
        <f>$C704*VLOOKUP($B704,FoodDB!$A$2:$I$1014,6,0)</f>
        <v>0</v>
      </c>
      <c r="H704">
        <f>$C704*VLOOKUP($B704,FoodDB!$A$2:$I$1014,7,0)</f>
        <v>0</v>
      </c>
      <c r="I704">
        <f>$C704*VLOOKUP($B704,FoodDB!$A$2:$I$1014,8,0)</f>
        <v>0</v>
      </c>
      <c r="J704">
        <f>$C704*VLOOKUP($B704,FoodDB!$A$2:$I$1014,9,0)</f>
        <v>0</v>
      </c>
    </row>
    <row r="705" spans="1:19" x14ac:dyDescent="0.25">
      <c r="B705" s="99" t="s">
        <v>107</v>
      </c>
      <c r="C705" s="100">
        <v>0</v>
      </c>
      <c r="D705">
        <f>$C705*VLOOKUP($B705,FoodDB!$A$2:$I$1014,3,0)</f>
        <v>0</v>
      </c>
      <c r="E705">
        <f>$C705*VLOOKUP($B705,FoodDB!$A$2:$I$1014,4,0)</f>
        <v>0</v>
      </c>
      <c r="F705">
        <f>$C705*VLOOKUP($B705,FoodDB!$A$2:$I$1014,5,0)</f>
        <v>0</v>
      </c>
      <c r="G705">
        <f>$C705*VLOOKUP($B705,FoodDB!$A$2:$I$1014,6,0)</f>
        <v>0</v>
      </c>
      <c r="H705">
        <f>$C705*VLOOKUP($B705,FoodDB!$A$2:$I$1014,7,0)</f>
        <v>0</v>
      </c>
      <c r="I705">
        <f>$C705*VLOOKUP($B705,FoodDB!$A$2:$I$1014,8,0)</f>
        <v>0</v>
      </c>
      <c r="J705">
        <f>$C705*VLOOKUP($B705,FoodDB!$A$2:$I$1014,9,0)</f>
        <v>0</v>
      </c>
    </row>
    <row r="706" spans="1:19" x14ac:dyDescent="0.25">
      <c r="B706" s="99" t="s">
        <v>107</v>
      </c>
      <c r="C706" s="100">
        <v>0</v>
      </c>
      <c r="D706">
        <f>$C706*VLOOKUP($B706,FoodDB!$A$2:$I$1014,3,0)</f>
        <v>0</v>
      </c>
      <c r="E706">
        <f>$C706*VLOOKUP($B706,FoodDB!$A$2:$I$1014,4,0)</f>
        <v>0</v>
      </c>
      <c r="F706">
        <f>$C706*VLOOKUP($B706,FoodDB!$A$2:$I$1014,5,0)</f>
        <v>0</v>
      </c>
      <c r="G706">
        <f>$C706*VLOOKUP($B706,FoodDB!$A$2:$I$1014,6,0)</f>
        <v>0</v>
      </c>
      <c r="H706">
        <f>$C706*VLOOKUP($B706,FoodDB!$A$2:$I$1014,7,0)</f>
        <v>0</v>
      </c>
      <c r="I706">
        <f>$C706*VLOOKUP($B706,FoodDB!$A$2:$I$1014,8,0)</f>
        <v>0</v>
      </c>
      <c r="J706">
        <f>$C706*VLOOKUP($B706,FoodDB!$A$2:$I$1014,9,0)</f>
        <v>0</v>
      </c>
    </row>
    <row r="707" spans="1:19" x14ac:dyDescent="0.25">
      <c r="B707" s="99" t="s">
        <v>107</v>
      </c>
      <c r="C707" s="100">
        <v>0</v>
      </c>
      <c r="D707">
        <f>$C707*VLOOKUP($B707,FoodDB!$A$2:$I$1014,3,0)</f>
        <v>0</v>
      </c>
      <c r="E707">
        <f>$C707*VLOOKUP($B707,FoodDB!$A$2:$I$1014,4,0)</f>
        <v>0</v>
      </c>
      <c r="F707">
        <f>$C707*VLOOKUP($B707,FoodDB!$A$2:$I$1014,5,0)</f>
        <v>0</v>
      </c>
      <c r="G707">
        <f>$C707*VLOOKUP($B707,FoodDB!$A$2:$I$1014,6,0)</f>
        <v>0</v>
      </c>
      <c r="H707">
        <f>$C707*VLOOKUP($B707,FoodDB!$A$2:$I$1014,7,0)</f>
        <v>0</v>
      </c>
      <c r="I707">
        <f>$C707*VLOOKUP($B707,FoodDB!$A$2:$I$1014,8,0)</f>
        <v>0</v>
      </c>
      <c r="J707">
        <f>$C707*VLOOKUP($B707,FoodDB!$A$2:$I$1014,9,0)</f>
        <v>0</v>
      </c>
    </row>
    <row r="708" spans="1:19" x14ac:dyDescent="0.25">
      <c r="B708" s="99" t="s">
        <v>107</v>
      </c>
      <c r="C708" s="100">
        <v>0</v>
      </c>
      <c r="D708">
        <f>$C708*VLOOKUP($B708,FoodDB!$A$2:$I$1014,3,0)</f>
        <v>0</v>
      </c>
      <c r="E708">
        <f>$C708*VLOOKUP($B708,FoodDB!$A$2:$I$1014,4,0)</f>
        <v>0</v>
      </c>
      <c r="F708">
        <f>$C708*VLOOKUP($B708,FoodDB!$A$2:$I$1014,5,0)</f>
        <v>0</v>
      </c>
      <c r="G708">
        <f>$C708*VLOOKUP($B708,FoodDB!$A$2:$I$1014,6,0)</f>
        <v>0</v>
      </c>
      <c r="H708">
        <f>$C708*VLOOKUP($B708,FoodDB!$A$2:$I$1014,7,0)</f>
        <v>0</v>
      </c>
      <c r="I708">
        <f>$C708*VLOOKUP($B708,FoodDB!$A$2:$I$1014,8,0)</f>
        <v>0</v>
      </c>
      <c r="J708">
        <f>$C708*VLOOKUP($B708,FoodDB!$A$2:$I$1014,9,0)</f>
        <v>0</v>
      </c>
    </row>
    <row r="709" spans="1:19" x14ac:dyDescent="0.25">
      <c r="A709" t="s">
        <v>97</v>
      </c>
      <c r="G709">
        <f>SUM(G702:G708)</f>
        <v>0</v>
      </c>
      <c r="H709">
        <f>SUM(H702:H708)</f>
        <v>0</v>
      </c>
      <c r="I709">
        <f>SUM(I702:I708)</f>
        <v>0</v>
      </c>
      <c r="J709">
        <f>SUM(G709:I709)</f>
        <v>0</v>
      </c>
    </row>
    <row r="710" spans="1:19" x14ac:dyDescent="0.25">
      <c r="A710" t="s">
        <v>101</v>
      </c>
      <c r="B710" t="s">
        <v>102</v>
      </c>
      <c r="E710" s="103"/>
      <c r="F710" s="103"/>
      <c r="G710" s="103">
        <f>VLOOKUP($A702,LossChart!$A$3:$AB$105,14,0)</f>
        <v>704.16836364768119</v>
      </c>
      <c r="H710" s="103">
        <f>VLOOKUP($A702,LossChart!$A$3:$AB$105,15,0)</f>
        <v>80</v>
      </c>
      <c r="I710" s="103">
        <f>VLOOKUP($A702,LossChart!$A$3:$AB$105,16,0)</f>
        <v>477.30407413615825</v>
      </c>
      <c r="J710" s="103">
        <f>VLOOKUP($A702,LossChart!$A$3:$AB$105,17,0)</f>
        <v>1261.4724377838395</v>
      </c>
      <c r="K710" s="103"/>
    </row>
    <row r="711" spans="1:19" x14ac:dyDescent="0.25">
      <c r="A711" t="s">
        <v>103</v>
      </c>
      <c r="G711">
        <f>G710-G709</f>
        <v>704.16836364768119</v>
      </c>
      <c r="H711">
        <f>H710-H709</f>
        <v>80</v>
      </c>
      <c r="I711">
        <f>I710-I709</f>
        <v>477.30407413615825</v>
      </c>
      <c r="J711">
        <f>J710-J709</f>
        <v>1261.4724377838395</v>
      </c>
    </row>
    <row r="713" spans="1:19" ht="60" x14ac:dyDescent="0.25">
      <c r="A713" s="26" t="s">
        <v>63</v>
      </c>
      <c r="B713" s="26" t="s">
        <v>92</v>
      </c>
      <c r="C713" s="26" t="s">
        <v>93</v>
      </c>
      <c r="D713" s="97" t="str">
        <f>FoodDB!$C$1</f>
        <v>Fat
(g)</v>
      </c>
      <c r="E713" s="97" t="str">
        <f>FoodDB!$D$1</f>
        <v xml:space="preserve"> Carbs
(g)</v>
      </c>
      <c r="F713" s="97" t="str">
        <f>FoodDB!$E$1</f>
        <v>Protein
(g)</v>
      </c>
      <c r="G713" s="97" t="str">
        <f>FoodDB!$F$1</f>
        <v>Fat
(Cal)</v>
      </c>
      <c r="H713" s="97" t="str">
        <f>FoodDB!$G$1</f>
        <v>Carb
(Cal)</v>
      </c>
      <c r="I713" s="97" t="str">
        <f>FoodDB!$H$1</f>
        <v>Protein
(Cal)</v>
      </c>
      <c r="J713" s="97" t="str">
        <f>FoodDB!$I$1</f>
        <v>Total
Calories</v>
      </c>
      <c r="K713" s="97"/>
      <c r="L713" s="97" t="s">
        <v>109</v>
      </c>
      <c r="M713" s="97" t="s">
        <v>110</v>
      </c>
      <c r="N713" s="97" t="s">
        <v>111</v>
      </c>
      <c r="O713" s="97" t="s">
        <v>112</v>
      </c>
      <c r="P713" s="97" t="s">
        <v>117</v>
      </c>
      <c r="Q713" s="97" t="s">
        <v>118</v>
      </c>
      <c r="R713" s="97" t="s">
        <v>119</v>
      </c>
      <c r="S713" s="97" t="s">
        <v>120</v>
      </c>
    </row>
    <row r="714" spans="1:19" x14ac:dyDescent="0.25">
      <c r="A714" s="98">
        <f>A702+1</f>
        <v>43053</v>
      </c>
      <c r="B714" s="99" t="s">
        <v>107</v>
      </c>
      <c r="C714" s="100">
        <v>0</v>
      </c>
      <c r="D714">
        <f>$C714*VLOOKUP($B714,FoodDB!$A$2:$I$1014,3,0)</f>
        <v>0</v>
      </c>
      <c r="E714">
        <f>$C714*VLOOKUP($B714,FoodDB!$A$2:$I$1014,4,0)</f>
        <v>0</v>
      </c>
      <c r="F714">
        <f>$C714*VLOOKUP($B714,FoodDB!$A$2:$I$1014,5,0)</f>
        <v>0</v>
      </c>
      <c r="G714">
        <f>$C714*VLOOKUP($B714,FoodDB!$A$2:$I$1014,6,0)</f>
        <v>0</v>
      </c>
      <c r="H714">
        <f>$C714*VLOOKUP($B714,FoodDB!$A$2:$I$1014,7,0)</f>
        <v>0</v>
      </c>
      <c r="I714">
        <f>$C714*VLOOKUP($B714,FoodDB!$A$2:$I$1014,8,0)</f>
        <v>0</v>
      </c>
      <c r="J714">
        <f>$C714*VLOOKUP($B714,FoodDB!$A$2:$I$1014,9,0)</f>
        <v>0</v>
      </c>
      <c r="L714">
        <f>SUM(G714:G720)</f>
        <v>0</v>
      </c>
      <c r="M714">
        <f>SUM(H714:H720)</f>
        <v>0</v>
      </c>
      <c r="N714">
        <f>SUM(I714:I720)</f>
        <v>0</v>
      </c>
      <c r="O714">
        <f>SUM(L714:N714)</f>
        <v>0</v>
      </c>
      <c r="P714" s="103">
        <f>VLOOKUP($A714,LossChart!$A$3:$AB$105,14,0)-L714</f>
        <v>709.43389135030202</v>
      </c>
      <c r="Q714" s="103">
        <f>VLOOKUP($A714,LossChart!$A$3:$AB$105,15,0)-M714</f>
        <v>80</v>
      </c>
      <c r="R714" s="103">
        <f>VLOOKUP($A714,LossChart!$A$3:$AB$105,16,0)-N714</f>
        <v>477.30407413615825</v>
      </c>
      <c r="S714" s="103">
        <f>VLOOKUP($A714,LossChart!$A$3:$AB$105,17,0)-O714</f>
        <v>1266.7379654864603</v>
      </c>
    </row>
    <row r="715" spans="1:19" x14ac:dyDescent="0.25">
      <c r="B715" s="99" t="s">
        <v>107</v>
      </c>
      <c r="C715" s="100">
        <v>0</v>
      </c>
      <c r="D715">
        <f>$C715*VLOOKUP($B715,FoodDB!$A$2:$I$1014,3,0)</f>
        <v>0</v>
      </c>
      <c r="E715">
        <f>$C715*VLOOKUP($B715,FoodDB!$A$2:$I$1014,4,0)</f>
        <v>0</v>
      </c>
      <c r="F715">
        <f>$C715*VLOOKUP($B715,FoodDB!$A$2:$I$1014,5,0)</f>
        <v>0</v>
      </c>
      <c r="G715">
        <f>$C715*VLOOKUP($B715,FoodDB!$A$2:$I$1014,6,0)</f>
        <v>0</v>
      </c>
      <c r="H715">
        <f>$C715*VLOOKUP($B715,FoodDB!$A$2:$I$1014,7,0)</f>
        <v>0</v>
      </c>
      <c r="I715">
        <f>$C715*VLOOKUP($B715,FoodDB!$A$2:$I$1014,8,0)</f>
        <v>0</v>
      </c>
      <c r="J715">
        <f>$C715*VLOOKUP($B715,FoodDB!$A$2:$I$1014,9,0)</f>
        <v>0</v>
      </c>
    </row>
    <row r="716" spans="1:19" x14ac:dyDescent="0.25">
      <c r="B716" s="99" t="s">
        <v>107</v>
      </c>
      <c r="C716" s="100">
        <v>0</v>
      </c>
      <c r="D716">
        <f>$C716*VLOOKUP($B716,FoodDB!$A$2:$I$1014,3,0)</f>
        <v>0</v>
      </c>
      <c r="E716">
        <f>$C716*VLOOKUP($B716,FoodDB!$A$2:$I$1014,4,0)</f>
        <v>0</v>
      </c>
      <c r="F716">
        <f>$C716*VLOOKUP($B716,FoodDB!$A$2:$I$1014,5,0)</f>
        <v>0</v>
      </c>
      <c r="G716">
        <f>$C716*VLOOKUP($B716,FoodDB!$A$2:$I$1014,6,0)</f>
        <v>0</v>
      </c>
      <c r="H716">
        <f>$C716*VLOOKUP($B716,FoodDB!$A$2:$I$1014,7,0)</f>
        <v>0</v>
      </c>
      <c r="I716">
        <f>$C716*VLOOKUP($B716,FoodDB!$A$2:$I$1014,8,0)</f>
        <v>0</v>
      </c>
      <c r="J716">
        <f>$C716*VLOOKUP($B716,FoodDB!$A$2:$I$1014,9,0)</f>
        <v>0</v>
      </c>
    </row>
    <row r="717" spans="1:19" x14ac:dyDescent="0.25">
      <c r="B717" s="99" t="s">
        <v>107</v>
      </c>
      <c r="C717" s="100">
        <v>0</v>
      </c>
      <c r="D717">
        <f>$C717*VLOOKUP($B717,FoodDB!$A$2:$I$1014,3,0)</f>
        <v>0</v>
      </c>
      <c r="E717">
        <f>$C717*VLOOKUP($B717,FoodDB!$A$2:$I$1014,4,0)</f>
        <v>0</v>
      </c>
      <c r="F717">
        <f>$C717*VLOOKUP($B717,FoodDB!$A$2:$I$1014,5,0)</f>
        <v>0</v>
      </c>
      <c r="G717">
        <f>$C717*VLOOKUP($B717,FoodDB!$A$2:$I$1014,6,0)</f>
        <v>0</v>
      </c>
      <c r="H717">
        <f>$C717*VLOOKUP($B717,FoodDB!$A$2:$I$1014,7,0)</f>
        <v>0</v>
      </c>
      <c r="I717">
        <f>$C717*VLOOKUP($B717,FoodDB!$A$2:$I$1014,8,0)</f>
        <v>0</v>
      </c>
      <c r="J717">
        <f>$C717*VLOOKUP($B717,FoodDB!$A$2:$I$1014,9,0)</f>
        <v>0</v>
      </c>
    </row>
    <row r="718" spans="1:19" x14ac:dyDescent="0.25">
      <c r="B718" s="99" t="s">
        <v>107</v>
      </c>
      <c r="C718" s="100">
        <v>0</v>
      </c>
      <c r="D718">
        <f>$C718*VLOOKUP($B718,FoodDB!$A$2:$I$1014,3,0)</f>
        <v>0</v>
      </c>
      <c r="E718">
        <f>$C718*VLOOKUP($B718,FoodDB!$A$2:$I$1014,4,0)</f>
        <v>0</v>
      </c>
      <c r="F718">
        <f>$C718*VLOOKUP($B718,FoodDB!$A$2:$I$1014,5,0)</f>
        <v>0</v>
      </c>
      <c r="G718">
        <f>$C718*VLOOKUP($B718,FoodDB!$A$2:$I$1014,6,0)</f>
        <v>0</v>
      </c>
      <c r="H718">
        <f>$C718*VLOOKUP($B718,FoodDB!$A$2:$I$1014,7,0)</f>
        <v>0</v>
      </c>
      <c r="I718">
        <f>$C718*VLOOKUP($B718,FoodDB!$A$2:$I$1014,8,0)</f>
        <v>0</v>
      </c>
      <c r="J718">
        <f>$C718*VLOOKUP($B718,FoodDB!$A$2:$I$1014,9,0)</f>
        <v>0</v>
      </c>
    </row>
    <row r="719" spans="1:19" x14ac:dyDescent="0.25">
      <c r="B719" s="99" t="s">
        <v>107</v>
      </c>
      <c r="C719" s="100">
        <v>0</v>
      </c>
      <c r="D719">
        <f>$C719*VLOOKUP($B719,FoodDB!$A$2:$I$1014,3,0)</f>
        <v>0</v>
      </c>
      <c r="E719">
        <f>$C719*VLOOKUP($B719,FoodDB!$A$2:$I$1014,4,0)</f>
        <v>0</v>
      </c>
      <c r="F719">
        <f>$C719*VLOOKUP($B719,FoodDB!$A$2:$I$1014,5,0)</f>
        <v>0</v>
      </c>
      <c r="G719">
        <f>$C719*VLOOKUP($B719,FoodDB!$A$2:$I$1014,6,0)</f>
        <v>0</v>
      </c>
      <c r="H719">
        <f>$C719*VLOOKUP($B719,FoodDB!$A$2:$I$1014,7,0)</f>
        <v>0</v>
      </c>
      <c r="I719">
        <f>$C719*VLOOKUP($B719,FoodDB!$A$2:$I$1014,8,0)</f>
        <v>0</v>
      </c>
      <c r="J719">
        <f>$C719*VLOOKUP($B719,FoodDB!$A$2:$I$1014,9,0)</f>
        <v>0</v>
      </c>
    </row>
    <row r="720" spans="1:19" x14ac:dyDescent="0.25">
      <c r="B720" s="99" t="s">
        <v>107</v>
      </c>
      <c r="C720" s="100">
        <v>0</v>
      </c>
      <c r="D720">
        <f>$C720*VLOOKUP($B720,FoodDB!$A$2:$I$1014,3,0)</f>
        <v>0</v>
      </c>
      <c r="E720">
        <f>$C720*VLOOKUP($B720,FoodDB!$A$2:$I$1014,4,0)</f>
        <v>0</v>
      </c>
      <c r="F720">
        <f>$C720*VLOOKUP($B720,FoodDB!$A$2:$I$1014,5,0)</f>
        <v>0</v>
      </c>
      <c r="G720">
        <f>$C720*VLOOKUP($B720,FoodDB!$A$2:$I$1014,6,0)</f>
        <v>0</v>
      </c>
      <c r="H720">
        <f>$C720*VLOOKUP($B720,FoodDB!$A$2:$I$1014,7,0)</f>
        <v>0</v>
      </c>
      <c r="I720">
        <f>$C720*VLOOKUP($B720,FoodDB!$A$2:$I$1014,8,0)</f>
        <v>0</v>
      </c>
      <c r="J720">
        <f>$C720*VLOOKUP($B720,FoodDB!$A$2:$I$1014,9,0)</f>
        <v>0</v>
      </c>
    </row>
    <row r="721" spans="1:19" x14ac:dyDescent="0.25">
      <c r="A721" t="s">
        <v>97</v>
      </c>
      <c r="G721">
        <f>SUM(G714:G720)</f>
        <v>0</v>
      </c>
      <c r="H721">
        <f>SUM(H714:H720)</f>
        <v>0</v>
      </c>
      <c r="I721">
        <f>SUM(I714:I720)</f>
        <v>0</v>
      </c>
      <c r="J721">
        <f>SUM(G721:I721)</f>
        <v>0</v>
      </c>
    </row>
    <row r="722" spans="1:19" x14ac:dyDescent="0.25">
      <c r="A722" t="s">
        <v>101</v>
      </c>
      <c r="B722" t="s">
        <v>102</v>
      </c>
      <c r="E722" s="103"/>
      <c r="F722" s="103"/>
      <c r="G722" s="103">
        <f>VLOOKUP($A714,LossChart!$A$3:$AB$105,14,0)</f>
        <v>709.43389135030202</v>
      </c>
      <c r="H722" s="103">
        <f>VLOOKUP($A714,LossChart!$A$3:$AB$105,15,0)</f>
        <v>80</v>
      </c>
      <c r="I722" s="103">
        <f>VLOOKUP($A714,LossChart!$A$3:$AB$105,16,0)</f>
        <v>477.30407413615825</v>
      </c>
      <c r="J722" s="103">
        <f>VLOOKUP($A714,LossChart!$A$3:$AB$105,17,0)</f>
        <v>1266.7379654864603</v>
      </c>
      <c r="K722" s="103"/>
    </row>
    <row r="723" spans="1:19" x14ac:dyDescent="0.25">
      <c r="A723" t="s">
        <v>103</v>
      </c>
      <c r="G723">
        <f>G722-G721</f>
        <v>709.43389135030202</v>
      </c>
      <c r="H723">
        <f>H722-H721</f>
        <v>80</v>
      </c>
      <c r="I723">
        <f>I722-I721</f>
        <v>477.30407413615825</v>
      </c>
      <c r="J723">
        <f>J722-J721</f>
        <v>1266.7379654864603</v>
      </c>
    </row>
    <row r="725" spans="1:19" ht="60" x14ac:dyDescent="0.25">
      <c r="A725" s="26" t="s">
        <v>63</v>
      </c>
      <c r="B725" s="26" t="s">
        <v>92</v>
      </c>
      <c r="C725" s="26" t="s">
        <v>93</v>
      </c>
      <c r="D725" s="97" t="str">
        <f>FoodDB!$C$1</f>
        <v>Fat
(g)</v>
      </c>
      <c r="E725" s="97" t="str">
        <f>FoodDB!$D$1</f>
        <v xml:space="preserve"> Carbs
(g)</v>
      </c>
      <c r="F725" s="97" t="str">
        <f>FoodDB!$E$1</f>
        <v>Protein
(g)</v>
      </c>
      <c r="G725" s="97" t="str">
        <f>FoodDB!$F$1</f>
        <v>Fat
(Cal)</v>
      </c>
      <c r="H725" s="97" t="str">
        <f>FoodDB!$G$1</f>
        <v>Carb
(Cal)</v>
      </c>
      <c r="I725" s="97" t="str">
        <f>FoodDB!$H$1</f>
        <v>Protein
(Cal)</v>
      </c>
      <c r="J725" s="97" t="str">
        <f>FoodDB!$I$1</f>
        <v>Total
Calories</v>
      </c>
      <c r="K725" s="97"/>
      <c r="L725" s="97" t="s">
        <v>109</v>
      </c>
      <c r="M725" s="97" t="s">
        <v>110</v>
      </c>
      <c r="N725" s="97" t="s">
        <v>111</v>
      </c>
      <c r="O725" s="97" t="s">
        <v>112</v>
      </c>
      <c r="P725" s="97" t="s">
        <v>117</v>
      </c>
      <c r="Q725" s="97" t="s">
        <v>118</v>
      </c>
      <c r="R725" s="97" t="s">
        <v>119</v>
      </c>
      <c r="S725" s="97" t="s">
        <v>120</v>
      </c>
    </row>
    <row r="726" spans="1:19" x14ac:dyDescent="0.25">
      <c r="A726" s="98">
        <f>A714+1</f>
        <v>43054</v>
      </c>
      <c r="B726" s="99" t="s">
        <v>107</v>
      </c>
      <c r="C726" s="100">
        <v>0</v>
      </c>
      <c r="D726">
        <f>$C726*VLOOKUP($B726,FoodDB!$A$2:$I$1014,3,0)</f>
        <v>0</v>
      </c>
      <c r="E726">
        <f>$C726*VLOOKUP($B726,FoodDB!$A$2:$I$1014,4,0)</f>
        <v>0</v>
      </c>
      <c r="F726">
        <f>$C726*VLOOKUP($B726,FoodDB!$A$2:$I$1014,5,0)</f>
        <v>0</v>
      </c>
      <c r="G726">
        <f>$C726*VLOOKUP($B726,FoodDB!$A$2:$I$1014,6,0)</f>
        <v>0</v>
      </c>
      <c r="H726">
        <f>$C726*VLOOKUP($B726,FoodDB!$A$2:$I$1014,7,0)</f>
        <v>0</v>
      </c>
      <c r="I726">
        <f>$C726*VLOOKUP($B726,FoodDB!$A$2:$I$1014,8,0)</f>
        <v>0</v>
      </c>
      <c r="J726">
        <f>$C726*VLOOKUP($B726,FoodDB!$A$2:$I$1014,9,0)</f>
        <v>0</v>
      </c>
      <c r="L726">
        <f>SUM(G726:G732)</f>
        <v>0</v>
      </c>
      <c r="M726">
        <f>SUM(H726:H732)</f>
        <v>0</v>
      </c>
      <c r="N726">
        <f>SUM(I726:I732)</f>
        <v>0</v>
      </c>
      <c r="O726">
        <f>SUM(L726:N726)</f>
        <v>0</v>
      </c>
      <c r="P726" s="103">
        <f>VLOOKUP($A726,LossChart!$A$3:$AB$105,14,0)-L726</f>
        <v>714.65278152184192</v>
      </c>
      <c r="Q726" s="103">
        <f>VLOOKUP($A726,LossChart!$A$3:$AB$105,15,0)-M726</f>
        <v>80</v>
      </c>
      <c r="R726" s="103">
        <f>VLOOKUP($A726,LossChart!$A$3:$AB$105,16,0)-N726</f>
        <v>477.30407413615825</v>
      </c>
      <c r="S726" s="103">
        <f>VLOOKUP($A726,LossChart!$A$3:$AB$105,17,0)-O726</f>
        <v>1271.9568556580002</v>
      </c>
    </row>
    <row r="727" spans="1:19" x14ac:dyDescent="0.25">
      <c r="B727" s="99" t="s">
        <v>107</v>
      </c>
      <c r="C727" s="100">
        <v>0</v>
      </c>
      <c r="D727">
        <f>$C727*VLOOKUP($B727,FoodDB!$A$2:$I$1014,3,0)</f>
        <v>0</v>
      </c>
      <c r="E727">
        <f>$C727*VLOOKUP($B727,FoodDB!$A$2:$I$1014,4,0)</f>
        <v>0</v>
      </c>
      <c r="F727">
        <f>$C727*VLOOKUP($B727,FoodDB!$A$2:$I$1014,5,0)</f>
        <v>0</v>
      </c>
      <c r="G727">
        <f>$C727*VLOOKUP($B727,FoodDB!$A$2:$I$1014,6,0)</f>
        <v>0</v>
      </c>
      <c r="H727">
        <f>$C727*VLOOKUP($B727,FoodDB!$A$2:$I$1014,7,0)</f>
        <v>0</v>
      </c>
      <c r="I727">
        <f>$C727*VLOOKUP($B727,FoodDB!$A$2:$I$1014,8,0)</f>
        <v>0</v>
      </c>
      <c r="J727">
        <f>$C727*VLOOKUP($B727,FoodDB!$A$2:$I$1014,9,0)</f>
        <v>0</v>
      </c>
    </row>
    <row r="728" spans="1:19" x14ac:dyDescent="0.25">
      <c r="B728" s="99" t="s">
        <v>107</v>
      </c>
      <c r="C728" s="100">
        <v>0</v>
      </c>
      <c r="D728">
        <f>$C728*VLOOKUP($B728,FoodDB!$A$2:$I$1014,3,0)</f>
        <v>0</v>
      </c>
      <c r="E728">
        <f>$C728*VLOOKUP($B728,FoodDB!$A$2:$I$1014,4,0)</f>
        <v>0</v>
      </c>
      <c r="F728">
        <f>$C728*VLOOKUP($B728,FoodDB!$A$2:$I$1014,5,0)</f>
        <v>0</v>
      </c>
      <c r="G728">
        <f>$C728*VLOOKUP($B728,FoodDB!$A$2:$I$1014,6,0)</f>
        <v>0</v>
      </c>
      <c r="H728">
        <f>$C728*VLOOKUP($B728,FoodDB!$A$2:$I$1014,7,0)</f>
        <v>0</v>
      </c>
      <c r="I728">
        <f>$C728*VLOOKUP($B728,FoodDB!$A$2:$I$1014,8,0)</f>
        <v>0</v>
      </c>
      <c r="J728">
        <f>$C728*VLOOKUP($B728,FoodDB!$A$2:$I$1014,9,0)</f>
        <v>0</v>
      </c>
    </row>
    <row r="729" spans="1:19" x14ac:dyDescent="0.25">
      <c r="B729" s="99" t="s">
        <v>107</v>
      </c>
      <c r="C729" s="100">
        <v>0</v>
      </c>
      <c r="D729">
        <f>$C729*VLOOKUP($B729,FoodDB!$A$2:$I$1014,3,0)</f>
        <v>0</v>
      </c>
      <c r="E729">
        <f>$C729*VLOOKUP($B729,FoodDB!$A$2:$I$1014,4,0)</f>
        <v>0</v>
      </c>
      <c r="F729">
        <f>$C729*VLOOKUP($B729,FoodDB!$A$2:$I$1014,5,0)</f>
        <v>0</v>
      </c>
      <c r="G729">
        <f>$C729*VLOOKUP($B729,FoodDB!$A$2:$I$1014,6,0)</f>
        <v>0</v>
      </c>
      <c r="H729">
        <f>$C729*VLOOKUP($B729,FoodDB!$A$2:$I$1014,7,0)</f>
        <v>0</v>
      </c>
      <c r="I729">
        <f>$C729*VLOOKUP($B729,FoodDB!$A$2:$I$1014,8,0)</f>
        <v>0</v>
      </c>
      <c r="J729">
        <f>$C729*VLOOKUP($B729,FoodDB!$A$2:$I$1014,9,0)</f>
        <v>0</v>
      </c>
    </row>
    <row r="730" spans="1:19" x14ac:dyDescent="0.25">
      <c r="B730" s="99" t="s">
        <v>107</v>
      </c>
      <c r="C730" s="100">
        <v>0</v>
      </c>
      <c r="D730">
        <f>$C730*VLOOKUP($B730,FoodDB!$A$2:$I$1014,3,0)</f>
        <v>0</v>
      </c>
      <c r="E730">
        <f>$C730*VLOOKUP($B730,FoodDB!$A$2:$I$1014,4,0)</f>
        <v>0</v>
      </c>
      <c r="F730">
        <f>$C730*VLOOKUP($B730,FoodDB!$A$2:$I$1014,5,0)</f>
        <v>0</v>
      </c>
      <c r="G730">
        <f>$C730*VLOOKUP($B730,FoodDB!$A$2:$I$1014,6,0)</f>
        <v>0</v>
      </c>
      <c r="H730">
        <f>$C730*VLOOKUP($B730,FoodDB!$A$2:$I$1014,7,0)</f>
        <v>0</v>
      </c>
      <c r="I730">
        <f>$C730*VLOOKUP($B730,FoodDB!$A$2:$I$1014,8,0)</f>
        <v>0</v>
      </c>
      <c r="J730">
        <f>$C730*VLOOKUP($B730,FoodDB!$A$2:$I$1014,9,0)</f>
        <v>0</v>
      </c>
    </row>
    <row r="731" spans="1:19" x14ac:dyDescent="0.25">
      <c r="B731" s="99" t="s">
        <v>107</v>
      </c>
      <c r="C731" s="100">
        <v>0</v>
      </c>
      <c r="D731">
        <f>$C731*VLOOKUP($B731,FoodDB!$A$2:$I$1014,3,0)</f>
        <v>0</v>
      </c>
      <c r="E731">
        <f>$C731*VLOOKUP($B731,FoodDB!$A$2:$I$1014,4,0)</f>
        <v>0</v>
      </c>
      <c r="F731">
        <f>$C731*VLOOKUP($B731,FoodDB!$A$2:$I$1014,5,0)</f>
        <v>0</v>
      </c>
      <c r="G731">
        <f>$C731*VLOOKUP($B731,FoodDB!$A$2:$I$1014,6,0)</f>
        <v>0</v>
      </c>
      <c r="H731">
        <f>$C731*VLOOKUP($B731,FoodDB!$A$2:$I$1014,7,0)</f>
        <v>0</v>
      </c>
      <c r="I731">
        <f>$C731*VLOOKUP($B731,FoodDB!$A$2:$I$1014,8,0)</f>
        <v>0</v>
      </c>
      <c r="J731">
        <f>$C731*VLOOKUP($B731,FoodDB!$A$2:$I$1014,9,0)</f>
        <v>0</v>
      </c>
    </row>
    <row r="732" spans="1:19" x14ac:dyDescent="0.25">
      <c r="B732" s="99" t="s">
        <v>107</v>
      </c>
      <c r="C732" s="100">
        <v>0</v>
      </c>
      <c r="D732">
        <f>$C732*VLOOKUP($B732,FoodDB!$A$2:$I$1014,3,0)</f>
        <v>0</v>
      </c>
      <c r="E732">
        <f>$C732*VLOOKUP($B732,FoodDB!$A$2:$I$1014,4,0)</f>
        <v>0</v>
      </c>
      <c r="F732">
        <f>$C732*VLOOKUP($B732,FoodDB!$A$2:$I$1014,5,0)</f>
        <v>0</v>
      </c>
      <c r="G732">
        <f>$C732*VLOOKUP($B732,FoodDB!$A$2:$I$1014,6,0)</f>
        <v>0</v>
      </c>
      <c r="H732">
        <f>$C732*VLOOKUP($B732,FoodDB!$A$2:$I$1014,7,0)</f>
        <v>0</v>
      </c>
      <c r="I732">
        <f>$C732*VLOOKUP($B732,FoodDB!$A$2:$I$1014,8,0)</f>
        <v>0</v>
      </c>
      <c r="J732">
        <f>$C732*VLOOKUP($B732,FoodDB!$A$2:$I$1014,9,0)</f>
        <v>0</v>
      </c>
    </row>
    <row r="733" spans="1:19" x14ac:dyDescent="0.25">
      <c r="A733" t="s">
        <v>97</v>
      </c>
      <c r="G733">
        <f>SUM(G726:G732)</f>
        <v>0</v>
      </c>
      <c r="H733">
        <f>SUM(H726:H732)</f>
        <v>0</v>
      </c>
      <c r="I733">
        <f>SUM(I726:I732)</f>
        <v>0</v>
      </c>
      <c r="J733">
        <f>SUM(G733:I733)</f>
        <v>0</v>
      </c>
    </row>
    <row r="734" spans="1:19" x14ac:dyDescent="0.25">
      <c r="A734" t="s">
        <v>101</v>
      </c>
      <c r="B734" t="s">
        <v>102</v>
      </c>
      <c r="E734" s="103"/>
      <c r="F734" s="103"/>
      <c r="G734" s="103">
        <f>VLOOKUP($A726,LossChart!$A$3:$AB$105,14,0)</f>
        <v>714.65278152184192</v>
      </c>
      <c r="H734" s="103">
        <f>VLOOKUP($A726,LossChart!$A$3:$AB$105,15,0)</f>
        <v>80</v>
      </c>
      <c r="I734" s="103">
        <f>VLOOKUP($A726,LossChart!$A$3:$AB$105,16,0)</f>
        <v>477.30407413615825</v>
      </c>
      <c r="J734" s="103">
        <f>VLOOKUP($A726,LossChart!$A$3:$AB$105,17,0)</f>
        <v>1271.9568556580002</v>
      </c>
      <c r="K734" s="103"/>
    </row>
    <row r="735" spans="1:19" x14ac:dyDescent="0.25">
      <c r="A735" t="s">
        <v>103</v>
      </c>
      <c r="G735">
        <f>G734-G733</f>
        <v>714.65278152184192</v>
      </c>
      <c r="H735">
        <f>H734-H733</f>
        <v>80</v>
      </c>
      <c r="I735">
        <f>I734-I733</f>
        <v>477.30407413615825</v>
      </c>
      <c r="J735">
        <f>J734-J733</f>
        <v>1271.9568556580002</v>
      </c>
    </row>
    <row r="737" spans="1:19" ht="60" x14ac:dyDescent="0.25">
      <c r="A737" s="26" t="s">
        <v>63</v>
      </c>
      <c r="B737" s="26" t="s">
        <v>92</v>
      </c>
      <c r="C737" s="26" t="s">
        <v>93</v>
      </c>
      <c r="D737" s="97" t="str">
        <f>FoodDB!$C$1</f>
        <v>Fat
(g)</v>
      </c>
      <c r="E737" s="97" t="str">
        <f>FoodDB!$D$1</f>
        <v xml:space="preserve"> Carbs
(g)</v>
      </c>
      <c r="F737" s="97" t="str">
        <f>FoodDB!$E$1</f>
        <v>Protein
(g)</v>
      </c>
      <c r="G737" s="97" t="str">
        <f>FoodDB!$F$1</f>
        <v>Fat
(Cal)</v>
      </c>
      <c r="H737" s="97" t="str">
        <f>FoodDB!$G$1</f>
        <v>Carb
(Cal)</v>
      </c>
      <c r="I737" s="97" t="str">
        <f>FoodDB!$H$1</f>
        <v>Protein
(Cal)</v>
      </c>
      <c r="J737" s="97" t="str">
        <f>FoodDB!$I$1</f>
        <v>Total
Calories</v>
      </c>
      <c r="K737" s="97"/>
      <c r="L737" s="97" t="s">
        <v>109</v>
      </c>
      <c r="M737" s="97" t="s">
        <v>110</v>
      </c>
      <c r="N737" s="97" t="s">
        <v>111</v>
      </c>
      <c r="O737" s="97" t="s">
        <v>112</v>
      </c>
      <c r="P737" s="97" t="s">
        <v>117</v>
      </c>
      <c r="Q737" s="97" t="s">
        <v>118</v>
      </c>
      <c r="R737" s="97" t="s">
        <v>119</v>
      </c>
      <c r="S737" s="97" t="s">
        <v>120</v>
      </c>
    </row>
    <row r="738" spans="1:19" x14ac:dyDescent="0.25">
      <c r="A738" s="98">
        <f>A726+1</f>
        <v>43055</v>
      </c>
      <c r="B738" s="99" t="s">
        <v>107</v>
      </c>
      <c r="C738" s="100">
        <v>0</v>
      </c>
      <c r="D738">
        <f>$C738*VLOOKUP($B738,FoodDB!$A$2:$I$1014,3,0)</f>
        <v>0</v>
      </c>
      <c r="E738">
        <f>$C738*VLOOKUP($B738,FoodDB!$A$2:$I$1014,4,0)</f>
        <v>0</v>
      </c>
      <c r="F738">
        <f>$C738*VLOOKUP($B738,FoodDB!$A$2:$I$1014,5,0)</f>
        <v>0</v>
      </c>
      <c r="G738">
        <f>$C738*VLOOKUP($B738,FoodDB!$A$2:$I$1014,6,0)</f>
        <v>0</v>
      </c>
      <c r="H738">
        <f>$C738*VLOOKUP($B738,FoodDB!$A$2:$I$1014,7,0)</f>
        <v>0</v>
      </c>
      <c r="I738">
        <f>$C738*VLOOKUP($B738,FoodDB!$A$2:$I$1014,8,0)</f>
        <v>0</v>
      </c>
      <c r="J738">
        <f>$C738*VLOOKUP($B738,FoodDB!$A$2:$I$1014,9,0)</f>
        <v>0</v>
      </c>
      <c r="L738">
        <f>SUM(G738:G744)</f>
        <v>0</v>
      </c>
      <c r="M738">
        <f>SUM(H738:H744)</f>
        <v>0</v>
      </c>
      <c r="N738">
        <f>SUM(I738:I744)</f>
        <v>0</v>
      </c>
      <c r="O738">
        <f>SUM(L738:N738)</f>
        <v>0</v>
      </c>
      <c r="P738" s="103">
        <f>VLOOKUP($A738,LossChart!$A$3:$AB$105,14,0)-L738</f>
        <v>719.82544723757724</v>
      </c>
      <c r="Q738" s="103">
        <f>VLOOKUP($A738,LossChart!$A$3:$AB$105,15,0)-M738</f>
        <v>80</v>
      </c>
      <c r="R738" s="103">
        <f>VLOOKUP($A738,LossChart!$A$3:$AB$105,16,0)-N738</f>
        <v>477.30407413615825</v>
      </c>
      <c r="S738" s="103">
        <f>VLOOKUP($A738,LossChart!$A$3:$AB$105,17,0)-O738</f>
        <v>1277.1295213737355</v>
      </c>
    </row>
    <row r="739" spans="1:19" x14ac:dyDescent="0.25">
      <c r="B739" s="99" t="s">
        <v>107</v>
      </c>
      <c r="C739" s="100">
        <v>0</v>
      </c>
      <c r="D739">
        <f>$C739*VLOOKUP($B739,FoodDB!$A$2:$I$1014,3,0)</f>
        <v>0</v>
      </c>
      <c r="E739">
        <f>$C739*VLOOKUP($B739,FoodDB!$A$2:$I$1014,4,0)</f>
        <v>0</v>
      </c>
      <c r="F739">
        <f>$C739*VLOOKUP($B739,FoodDB!$A$2:$I$1014,5,0)</f>
        <v>0</v>
      </c>
      <c r="G739">
        <f>$C739*VLOOKUP($B739,FoodDB!$A$2:$I$1014,6,0)</f>
        <v>0</v>
      </c>
      <c r="H739">
        <f>$C739*VLOOKUP($B739,FoodDB!$A$2:$I$1014,7,0)</f>
        <v>0</v>
      </c>
      <c r="I739">
        <f>$C739*VLOOKUP($B739,FoodDB!$A$2:$I$1014,8,0)</f>
        <v>0</v>
      </c>
      <c r="J739">
        <f>$C739*VLOOKUP($B739,FoodDB!$A$2:$I$1014,9,0)</f>
        <v>0</v>
      </c>
    </row>
    <row r="740" spans="1:19" x14ac:dyDescent="0.25">
      <c r="B740" s="99" t="s">
        <v>107</v>
      </c>
      <c r="C740" s="100">
        <v>0</v>
      </c>
      <c r="D740">
        <f>$C740*VLOOKUP($B740,FoodDB!$A$2:$I$1014,3,0)</f>
        <v>0</v>
      </c>
      <c r="E740">
        <f>$C740*VLOOKUP($B740,FoodDB!$A$2:$I$1014,4,0)</f>
        <v>0</v>
      </c>
      <c r="F740">
        <f>$C740*VLOOKUP($B740,FoodDB!$A$2:$I$1014,5,0)</f>
        <v>0</v>
      </c>
      <c r="G740">
        <f>$C740*VLOOKUP($B740,FoodDB!$A$2:$I$1014,6,0)</f>
        <v>0</v>
      </c>
      <c r="H740">
        <f>$C740*VLOOKUP($B740,FoodDB!$A$2:$I$1014,7,0)</f>
        <v>0</v>
      </c>
      <c r="I740">
        <f>$C740*VLOOKUP($B740,FoodDB!$A$2:$I$1014,8,0)</f>
        <v>0</v>
      </c>
      <c r="J740">
        <f>$C740*VLOOKUP($B740,FoodDB!$A$2:$I$1014,9,0)</f>
        <v>0</v>
      </c>
    </row>
    <row r="741" spans="1:19" x14ac:dyDescent="0.25">
      <c r="B741" s="99" t="s">
        <v>107</v>
      </c>
      <c r="C741" s="100">
        <v>0</v>
      </c>
      <c r="D741">
        <f>$C741*VLOOKUP($B741,FoodDB!$A$2:$I$1014,3,0)</f>
        <v>0</v>
      </c>
      <c r="E741">
        <f>$C741*VLOOKUP($B741,FoodDB!$A$2:$I$1014,4,0)</f>
        <v>0</v>
      </c>
      <c r="F741">
        <f>$C741*VLOOKUP($B741,FoodDB!$A$2:$I$1014,5,0)</f>
        <v>0</v>
      </c>
      <c r="G741">
        <f>$C741*VLOOKUP($B741,FoodDB!$A$2:$I$1014,6,0)</f>
        <v>0</v>
      </c>
      <c r="H741">
        <f>$C741*VLOOKUP($B741,FoodDB!$A$2:$I$1014,7,0)</f>
        <v>0</v>
      </c>
      <c r="I741">
        <f>$C741*VLOOKUP($B741,FoodDB!$A$2:$I$1014,8,0)</f>
        <v>0</v>
      </c>
      <c r="J741">
        <f>$C741*VLOOKUP($B741,FoodDB!$A$2:$I$1014,9,0)</f>
        <v>0</v>
      </c>
    </row>
    <row r="742" spans="1:19" x14ac:dyDescent="0.25">
      <c r="B742" s="99" t="s">
        <v>107</v>
      </c>
      <c r="C742" s="100">
        <v>0</v>
      </c>
      <c r="D742">
        <f>$C742*VLOOKUP($B742,FoodDB!$A$2:$I$1014,3,0)</f>
        <v>0</v>
      </c>
      <c r="E742">
        <f>$C742*VLOOKUP($B742,FoodDB!$A$2:$I$1014,4,0)</f>
        <v>0</v>
      </c>
      <c r="F742">
        <f>$C742*VLOOKUP($B742,FoodDB!$A$2:$I$1014,5,0)</f>
        <v>0</v>
      </c>
      <c r="G742">
        <f>$C742*VLOOKUP($B742,FoodDB!$A$2:$I$1014,6,0)</f>
        <v>0</v>
      </c>
      <c r="H742">
        <f>$C742*VLOOKUP($B742,FoodDB!$A$2:$I$1014,7,0)</f>
        <v>0</v>
      </c>
      <c r="I742">
        <f>$C742*VLOOKUP($B742,FoodDB!$A$2:$I$1014,8,0)</f>
        <v>0</v>
      </c>
      <c r="J742">
        <f>$C742*VLOOKUP($B742,FoodDB!$A$2:$I$1014,9,0)</f>
        <v>0</v>
      </c>
    </row>
    <row r="743" spans="1:19" x14ac:dyDescent="0.25">
      <c r="B743" s="99" t="s">
        <v>107</v>
      </c>
      <c r="C743" s="100">
        <v>0</v>
      </c>
      <c r="D743">
        <f>$C743*VLOOKUP($B743,FoodDB!$A$2:$I$1014,3,0)</f>
        <v>0</v>
      </c>
      <c r="E743">
        <f>$C743*VLOOKUP($B743,FoodDB!$A$2:$I$1014,4,0)</f>
        <v>0</v>
      </c>
      <c r="F743">
        <f>$C743*VLOOKUP($B743,FoodDB!$A$2:$I$1014,5,0)</f>
        <v>0</v>
      </c>
      <c r="G743">
        <f>$C743*VLOOKUP($B743,FoodDB!$A$2:$I$1014,6,0)</f>
        <v>0</v>
      </c>
      <c r="H743">
        <f>$C743*VLOOKUP($B743,FoodDB!$A$2:$I$1014,7,0)</f>
        <v>0</v>
      </c>
      <c r="I743">
        <f>$C743*VLOOKUP($B743,FoodDB!$A$2:$I$1014,8,0)</f>
        <v>0</v>
      </c>
      <c r="J743">
        <f>$C743*VLOOKUP($B743,FoodDB!$A$2:$I$1014,9,0)</f>
        <v>0</v>
      </c>
    </row>
    <row r="744" spans="1:19" x14ac:dyDescent="0.25">
      <c r="B744" s="99" t="s">
        <v>107</v>
      </c>
      <c r="C744" s="100">
        <v>0</v>
      </c>
      <c r="D744">
        <f>$C744*VLOOKUP($B744,FoodDB!$A$2:$I$1014,3,0)</f>
        <v>0</v>
      </c>
      <c r="E744">
        <f>$C744*VLOOKUP($B744,FoodDB!$A$2:$I$1014,4,0)</f>
        <v>0</v>
      </c>
      <c r="F744">
        <f>$C744*VLOOKUP($B744,FoodDB!$A$2:$I$1014,5,0)</f>
        <v>0</v>
      </c>
      <c r="G744">
        <f>$C744*VLOOKUP($B744,FoodDB!$A$2:$I$1014,6,0)</f>
        <v>0</v>
      </c>
      <c r="H744">
        <f>$C744*VLOOKUP($B744,FoodDB!$A$2:$I$1014,7,0)</f>
        <v>0</v>
      </c>
      <c r="I744">
        <f>$C744*VLOOKUP($B744,FoodDB!$A$2:$I$1014,8,0)</f>
        <v>0</v>
      </c>
      <c r="J744">
        <f>$C744*VLOOKUP($B744,FoodDB!$A$2:$I$1014,9,0)</f>
        <v>0</v>
      </c>
    </row>
    <row r="745" spans="1:19" x14ac:dyDescent="0.25">
      <c r="A745" t="s">
        <v>97</v>
      </c>
      <c r="G745">
        <f>SUM(G738:G744)</f>
        <v>0</v>
      </c>
      <c r="H745">
        <f>SUM(H738:H744)</f>
        <v>0</v>
      </c>
      <c r="I745">
        <f>SUM(I738:I744)</f>
        <v>0</v>
      </c>
      <c r="J745">
        <f>SUM(G745:I745)</f>
        <v>0</v>
      </c>
    </row>
    <row r="746" spans="1:19" x14ac:dyDescent="0.25">
      <c r="A746" t="s">
        <v>101</v>
      </c>
      <c r="B746" t="s">
        <v>102</v>
      </c>
      <c r="E746" s="103"/>
      <c r="F746" s="103"/>
      <c r="G746" s="103">
        <f>VLOOKUP($A738,LossChart!$A$3:$AB$105,14,0)</f>
        <v>719.82544723757724</v>
      </c>
      <c r="H746" s="103">
        <f>VLOOKUP($A738,LossChart!$A$3:$AB$105,15,0)</f>
        <v>80</v>
      </c>
      <c r="I746" s="103">
        <f>VLOOKUP($A738,LossChart!$A$3:$AB$105,16,0)</f>
        <v>477.30407413615825</v>
      </c>
      <c r="J746" s="103">
        <f>VLOOKUP($A738,LossChart!$A$3:$AB$105,17,0)</f>
        <v>1277.1295213737355</v>
      </c>
      <c r="K746" s="103"/>
    </row>
    <row r="747" spans="1:19" x14ac:dyDescent="0.25">
      <c r="A747" t="s">
        <v>103</v>
      </c>
      <c r="G747">
        <f>G746-G745</f>
        <v>719.82544723757724</v>
      </c>
      <c r="H747">
        <f>H746-H745</f>
        <v>80</v>
      </c>
      <c r="I747">
        <f>I746-I745</f>
        <v>477.30407413615825</v>
      </c>
      <c r="J747">
        <f>J746-J745</f>
        <v>1277.1295213737355</v>
      </c>
    </row>
    <row r="749" spans="1:19" ht="60" x14ac:dyDescent="0.25">
      <c r="A749" s="26" t="s">
        <v>63</v>
      </c>
      <c r="B749" s="26" t="s">
        <v>92</v>
      </c>
      <c r="C749" s="26" t="s">
        <v>93</v>
      </c>
      <c r="D749" s="97" t="str">
        <f>FoodDB!$C$1</f>
        <v>Fat
(g)</v>
      </c>
      <c r="E749" s="97" t="str">
        <f>FoodDB!$D$1</f>
        <v xml:space="preserve"> Carbs
(g)</v>
      </c>
      <c r="F749" s="97" t="str">
        <f>FoodDB!$E$1</f>
        <v>Protein
(g)</v>
      </c>
      <c r="G749" s="97" t="str">
        <f>FoodDB!$F$1</f>
        <v>Fat
(Cal)</v>
      </c>
      <c r="H749" s="97" t="str">
        <f>FoodDB!$G$1</f>
        <v>Carb
(Cal)</v>
      </c>
      <c r="I749" s="97" t="str">
        <f>FoodDB!$H$1</f>
        <v>Protein
(Cal)</v>
      </c>
      <c r="J749" s="97" t="str">
        <f>FoodDB!$I$1</f>
        <v>Total
Calories</v>
      </c>
      <c r="K749" s="97"/>
      <c r="L749" s="97" t="s">
        <v>109</v>
      </c>
      <c r="M749" s="97" t="s">
        <v>110</v>
      </c>
      <c r="N749" s="97" t="s">
        <v>111</v>
      </c>
      <c r="O749" s="97" t="s">
        <v>112</v>
      </c>
      <c r="P749" s="97" t="s">
        <v>117</v>
      </c>
      <c r="Q749" s="97" t="s">
        <v>118</v>
      </c>
      <c r="R749" s="97" t="s">
        <v>119</v>
      </c>
      <c r="S749" s="97" t="s">
        <v>120</v>
      </c>
    </row>
    <row r="750" spans="1:19" x14ac:dyDescent="0.25">
      <c r="A750" s="98">
        <f>A738+1</f>
        <v>43056</v>
      </c>
      <c r="B750" s="99" t="s">
        <v>107</v>
      </c>
      <c r="C750" s="100">
        <v>0</v>
      </c>
      <c r="D750">
        <f>$C750*VLOOKUP($B750,FoodDB!$A$2:$I$1014,3,0)</f>
        <v>0</v>
      </c>
      <c r="E750">
        <f>$C750*VLOOKUP($B750,FoodDB!$A$2:$I$1014,4,0)</f>
        <v>0</v>
      </c>
      <c r="F750">
        <f>$C750*VLOOKUP($B750,FoodDB!$A$2:$I$1014,5,0)</f>
        <v>0</v>
      </c>
      <c r="G750">
        <f>$C750*VLOOKUP($B750,FoodDB!$A$2:$I$1014,6,0)</f>
        <v>0</v>
      </c>
      <c r="H750">
        <f>$C750*VLOOKUP($B750,FoodDB!$A$2:$I$1014,7,0)</f>
        <v>0</v>
      </c>
      <c r="I750">
        <f>$C750*VLOOKUP($B750,FoodDB!$A$2:$I$1014,8,0)</f>
        <v>0</v>
      </c>
      <c r="J750">
        <f>$C750*VLOOKUP($B750,FoodDB!$A$2:$I$1014,9,0)</f>
        <v>0</v>
      </c>
      <c r="L750">
        <f>SUM(G750:G756)</f>
        <v>0</v>
      </c>
      <c r="M750">
        <f>SUM(H750:H756)</f>
        <v>0</v>
      </c>
      <c r="N750">
        <f>SUM(I750:I756)</f>
        <v>0</v>
      </c>
      <c r="O750">
        <f>SUM(L750:N750)</f>
        <v>0</v>
      </c>
      <c r="P750" s="103">
        <f>VLOOKUP($A750,LossChart!$A$3:$AB$105,14,0)-L750</f>
        <v>724.95229791411566</v>
      </c>
      <c r="Q750" s="103">
        <f>VLOOKUP($A750,LossChart!$A$3:$AB$105,15,0)-M750</f>
        <v>80</v>
      </c>
      <c r="R750" s="103">
        <f>VLOOKUP($A750,LossChart!$A$3:$AB$105,16,0)-N750</f>
        <v>477.30407413615825</v>
      </c>
      <c r="S750" s="103">
        <f>VLOOKUP($A750,LossChart!$A$3:$AB$105,17,0)-O750</f>
        <v>1282.256372050274</v>
      </c>
    </row>
    <row r="751" spans="1:19" x14ac:dyDescent="0.25">
      <c r="B751" s="99" t="s">
        <v>107</v>
      </c>
      <c r="C751" s="100">
        <v>0</v>
      </c>
      <c r="D751">
        <f>$C751*VLOOKUP($B751,FoodDB!$A$2:$I$1014,3,0)</f>
        <v>0</v>
      </c>
      <c r="E751">
        <f>$C751*VLOOKUP($B751,FoodDB!$A$2:$I$1014,4,0)</f>
        <v>0</v>
      </c>
      <c r="F751">
        <f>$C751*VLOOKUP($B751,FoodDB!$A$2:$I$1014,5,0)</f>
        <v>0</v>
      </c>
      <c r="G751">
        <f>$C751*VLOOKUP($B751,FoodDB!$A$2:$I$1014,6,0)</f>
        <v>0</v>
      </c>
      <c r="H751">
        <f>$C751*VLOOKUP($B751,FoodDB!$A$2:$I$1014,7,0)</f>
        <v>0</v>
      </c>
      <c r="I751">
        <f>$C751*VLOOKUP($B751,FoodDB!$A$2:$I$1014,8,0)</f>
        <v>0</v>
      </c>
      <c r="J751">
        <f>$C751*VLOOKUP($B751,FoodDB!$A$2:$I$1014,9,0)</f>
        <v>0</v>
      </c>
    </row>
    <row r="752" spans="1:19" x14ac:dyDescent="0.25">
      <c r="B752" s="99" t="s">
        <v>107</v>
      </c>
      <c r="C752" s="100">
        <v>0</v>
      </c>
      <c r="D752">
        <f>$C752*VLOOKUP($B752,FoodDB!$A$2:$I$1014,3,0)</f>
        <v>0</v>
      </c>
      <c r="E752">
        <f>$C752*VLOOKUP($B752,FoodDB!$A$2:$I$1014,4,0)</f>
        <v>0</v>
      </c>
      <c r="F752">
        <f>$C752*VLOOKUP($B752,FoodDB!$A$2:$I$1014,5,0)</f>
        <v>0</v>
      </c>
      <c r="G752">
        <f>$C752*VLOOKUP($B752,FoodDB!$A$2:$I$1014,6,0)</f>
        <v>0</v>
      </c>
      <c r="H752">
        <f>$C752*VLOOKUP($B752,FoodDB!$A$2:$I$1014,7,0)</f>
        <v>0</v>
      </c>
      <c r="I752">
        <f>$C752*VLOOKUP($B752,FoodDB!$A$2:$I$1014,8,0)</f>
        <v>0</v>
      </c>
      <c r="J752">
        <f>$C752*VLOOKUP($B752,FoodDB!$A$2:$I$1014,9,0)</f>
        <v>0</v>
      </c>
    </row>
    <row r="753" spans="1:19" x14ac:dyDescent="0.25">
      <c r="B753" s="99" t="s">
        <v>107</v>
      </c>
      <c r="C753" s="100">
        <v>0</v>
      </c>
      <c r="D753">
        <f>$C753*VLOOKUP($B753,FoodDB!$A$2:$I$1014,3,0)</f>
        <v>0</v>
      </c>
      <c r="E753">
        <f>$C753*VLOOKUP($B753,FoodDB!$A$2:$I$1014,4,0)</f>
        <v>0</v>
      </c>
      <c r="F753">
        <f>$C753*VLOOKUP($B753,FoodDB!$A$2:$I$1014,5,0)</f>
        <v>0</v>
      </c>
      <c r="G753">
        <f>$C753*VLOOKUP($B753,FoodDB!$A$2:$I$1014,6,0)</f>
        <v>0</v>
      </c>
      <c r="H753">
        <f>$C753*VLOOKUP($B753,FoodDB!$A$2:$I$1014,7,0)</f>
        <v>0</v>
      </c>
      <c r="I753">
        <f>$C753*VLOOKUP($B753,FoodDB!$A$2:$I$1014,8,0)</f>
        <v>0</v>
      </c>
      <c r="J753">
        <f>$C753*VLOOKUP($B753,FoodDB!$A$2:$I$1014,9,0)</f>
        <v>0</v>
      </c>
    </row>
    <row r="754" spans="1:19" x14ac:dyDescent="0.25">
      <c r="B754" s="99" t="s">
        <v>107</v>
      </c>
      <c r="C754" s="100">
        <v>0</v>
      </c>
      <c r="D754">
        <f>$C754*VLOOKUP($B754,FoodDB!$A$2:$I$1014,3,0)</f>
        <v>0</v>
      </c>
      <c r="E754">
        <f>$C754*VLOOKUP($B754,FoodDB!$A$2:$I$1014,4,0)</f>
        <v>0</v>
      </c>
      <c r="F754">
        <f>$C754*VLOOKUP($B754,FoodDB!$A$2:$I$1014,5,0)</f>
        <v>0</v>
      </c>
      <c r="G754">
        <f>$C754*VLOOKUP($B754,FoodDB!$A$2:$I$1014,6,0)</f>
        <v>0</v>
      </c>
      <c r="H754">
        <f>$C754*VLOOKUP($B754,FoodDB!$A$2:$I$1014,7,0)</f>
        <v>0</v>
      </c>
      <c r="I754">
        <f>$C754*VLOOKUP($B754,FoodDB!$A$2:$I$1014,8,0)</f>
        <v>0</v>
      </c>
      <c r="J754">
        <f>$C754*VLOOKUP($B754,FoodDB!$A$2:$I$1014,9,0)</f>
        <v>0</v>
      </c>
    </row>
    <row r="755" spans="1:19" x14ac:dyDescent="0.25">
      <c r="B755" s="99" t="s">
        <v>107</v>
      </c>
      <c r="C755" s="100">
        <v>0</v>
      </c>
      <c r="D755">
        <f>$C755*VLOOKUP($B755,FoodDB!$A$2:$I$1014,3,0)</f>
        <v>0</v>
      </c>
      <c r="E755">
        <f>$C755*VLOOKUP($B755,FoodDB!$A$2:$I$1014,4,0)</f>
        <v>0</v>
      </c>
      <c r="F755">
        <f>$C755*VLOOKUP($B755,FoodDB!$A$2:$I$1014,5,0)</f>
        <v>0</v>
      </c>
      <c r="G755">
        <f>$C755*VLOOKUP($B755,FoodDB!$A$2:$I$1014,6,0)</f>
        <v>0</v>
      </c>
      <c r="H755">
        <f>$C755*VLOOKUP($B755,FoodDB!$A$2:$I$1014,7,0)</f>
        <v>0</v>
      </c>
      <c r="I755">
        <f>$C755*VLOOKUP($B755,FoodDB!$A$2:$I$1014,8,0)</f>
        <v>0</v>
      </c>
      <c r="J755">
        <f>$C755*VLOOKUP($B755,FoodDB!$A$2:$I$1014,9,0)</f>
        <v>0</v>
      </c>
    </row>
    <row r="756" spans="1:19" x14ac:dyDescent="0.25">
      <c r="B756" s="99" t="s">
        <v>107</v>
      </c>
      <c r="C756" s="100">
        <v>0</v>
      </c>
      <c r="D756">
        <f>$C756*VLOOKUP($B756,FoodDB!$A$2:$I$1014,3,0)</f>
        <v>0</v>
      </c>
      <c r="E756">
        <f>$C756*VLOOKUP($B756,FoodDB!$A$2:$I$1014,4,0)</f>
        <v>0</v>
      </c>
      <c r="F756">
        <f>$C756*VLOOKUP($B756,FoodDB!$A$2:$I$1014,5,0)</f>
        <v>0</v>
      </c>
      <c r="G756">
        <f>$C756*VLOOKUP($B756,FoodDB!$A$2:$I$1014,6,0)</f>
        <v>0</v>
      </c>
      <c r="H756">
        <f>$C756*VLOOKUP($B756,FoodDB!$A$2:$I$1014,7,0)</f>
        <v>0</v>
      </c>
      <c r="I756">
        <f>$C756*VLOOKUP($B756,FoodDB!$A$2:$I$1014,8,0)</f>
        <v>0</v>
      </c>
      <c r="J756">
        <f>$C756*VLOOKUP($B756,FoodDB!$A$2:$I$1014,9,0)</f>
        <v>0</v>
      </c>
    </row>
    <row r="757" spans="1:19" x14ac:dyDescent="0.25">
      <c r="A757" t="s">
        <v>97</v>
      </c>
      <c r="G757">
        <f>SUM(G750:G756)</f>
        <v>0</v>
      </c>
      <c r="H757">
        <f>SUM(H750:H756)</f>
        <v>0</v>
      </c>
      <c r="I757">
        <f>SUM(I750:I756)</f>
        <v>0</v>
      </c>
      <c r="J757">
        <f>SUM(G757:I757)</f>
        <v>0</v>
      </c>
    </row>
    <row r="758" spans="1:19" x14ac:dyDescent="0.25">
      <c r="A758" t="s">
        <v>101</v>
      </c>
      <c r="B758" t="s">
        <v>102</v>
      </c>
      <c r="E758" s="103"/>
      <c r="F758" s="103"/>
      <c r="G758" s="103">
        <f>VLOOKUP($A750,LossChart!$A$3:$AB$105,14,0)</f>
        <v>724.95229791411566</v>
      </c>
      <c r="H758" s="103">
        <f>VLOOKUP($A750,LossChart!$A$3:$AB$105,15,0)</f>
        <v>80</v>
      </c>
      <c r="I758" s="103">
        <f>VLOOKUP($A750,LossChart!$A$3:$AB$105,16,0)</f>
        <v>477.30407413615825</v>
      </c>
      <c r="J758" s="103">
        <f>VLOOKUP($A750,LossChart!$A$3:$AB$105,17,0)</f>
        <v>1282.256372050274</v>
      </c>
      <c r="K758" s="103"/>
    </row>
    <row r="759" spans="1:19" x14ac:dyDescent="0.25">
      <c r="A759" t="s">
        <v>103</v>
      </c>
      <c r="G759">
        <f>G758-G757</f>
        <v>724.95229791411566</v>
      </c>
      <c r="H759">
        <f>H758-H757</f>
        <v>80</v>
      </c>
      <c r="I759">
        <f>I758-I757</f>
        <v>477.30407413615825</v>
      </c>
      <c r="J759">
        <f>J758-J757</f>
        <v>1282.256372050274</v>
      </c>
    </row>
    <row r="761" spans="1:19" ht="60" x14ac:dyDescent="0.25">
      <c r="A761" s="26" t="s">
        <v>63</v>
      </c>
      <c r="B761" s="26" t="s">
        <v>92</v>
      </c>
      <c r="C761" s="26" t="s">
        <v>93</v>
      </c>
      <c r="D761" s="97" t="str">
        <f>FoodDB!$C$1</f>
        <v>Fat
(g)</v>
      </c>
      <c r="E761" s="97" t="str">
        <f>FoodDB!$D$1</f>
        <v xml:space="preserve"> Carbs
(g)</v>
      </c>
      <c r="F761" s="97" t="str">
        <f>FoodDB!$E$1</f>
        <v>Protein
(g)</v>
      </c>
      <c r="G761" s="97" t="str">
        <f>FoodDB!$F$1</f>
        <v>Fat
(Cal)</v>
      </c>
      <c r="H761" s="97" t="str">
        <f>FoodDB!$G$1</f>
        <v>Carb
(Cal)</v>
      </c>
      <c r="I761" s="97" t="str">
        <f>FoodDB!$H$1</f>
        <v>Protein
(Cal)</v>
      </c>
      <c r="J761" s="97" t="str">
        <f>FoodDB!$I$1</f>
        <v>Total
Calories</v>
      </c>
      <c r="K761" s="97"/>
      <c r="L761" s="97" t="s">
        <v>109</v>
      </c>
      <c r="M761" s="97" t="s">
        <v>110</v>
      </c>
      <c r="N761" s="97" t="s">
        <v>111</v>
      </c>
      <c r="O761" s="97" t="s">
        <v>112</v>
      </c>
      <c r="P761" s="97" t="s">
        <v>117</v>
      </c>
      <c r="Q761" s="97" t="s">
        <v>118</v>
      </c>
      <c r="R761" s="97" t="s">
        <v>119</v>
      </c>
      <c r="S761" s="97" t="s">
        <v>120</v>
      </c>
    </row>
    <row r="762" spans="1:19" x14ac:dyDescent="0.25">
      <c r="A762" s="98">
        <f>A750+1</f>
        <v>43057</v>
      </c>
      <c r="B762" s="99" t="s">
        <v>107</v>
      </c>
      <c r="C762" s="100">
        <v>0</v>
      </c>
      <c r="D762">
        <f>$C762*VLOOKUP($B762,FoodDB!$A$2:$I$1014,3,0)</f>
        <v>0</v>
      </c>
      <c r="E762">
        <f>$C762*VLOOKUP($B762,FoodDB!$A$2:$I$1014,4,0)</f>
        <v>0</v>
      </c>
      <c r="F762">
        <f>$C762*VLOOKUP($B762,FoodDB!$A$2:$I$1014,5,0)</f>
        <v>0</v>
      </c>
      <c r="G762">
        <f>$C762*VLOOKUP($B762,FoodDB!$A$2:$I$1014,6,0)</f>
        <v>0</v>
      </c>
      <c r="H762">
        <f>$C762*VLOOKUP($B762,FoodDB!$A$2:$I$1014,7,0)</f>
        <v>0</v>
      </c>
      <c r="I762">
        <f>$C762*VLOOKUP($B762,FoodDB!$A$2:$I$1014,8,0)</f>
        <v>0</v>
      </c>
      <c r="J762">
        <f>$C762*VLOOKUP($B762,FoodDB!$A$2:$I$1014,9,0)</f>
        <v>0</v>
      </c>
      <c r="L762">
        <f>SUM(G762:G768)</f>
        <v>0</v>
      </c>
      <c r="M762">
        <f>SUM(H762:H768)</f>
        <v>0</v>
      </c>
      <c r="N762">
        <f>SUM(I762:I768)</f>
        <v>0</v>
      </c>
      <c r="O762">
        <f>SUM(L762:N762)</f>
        <v>0</v>
      </c>
      <c r="P762" s="103">
        <f>VLOOKUP($A762,LossChart!$A$3:$AB$105,14,0)-L762</f>
        <v>730.03373934180513</v>
      </c>
      <c r="Q762" s="103">
        <f>VLOOKUP($A762,LossChart!$A$3:$AB$105,15,0)-M762</f>
        <v>80</v>
      </c>
      <c r="R762" s="103">
        <f>VLOOKUP($A762,LossChart!$A$3:$AB$105,16,0)-N762</f>
        <v>477.30407413615825</v>
      </c>
      <c r="S762" s="103">
        <f>VLOOKUP($A762,LossChart!$A$3:$AB$105,17,0)-O762</f>
        <v>1287.3378134779634</v>
      </c>
    </row>
    <row r="763" spans="1:19" x14ac:dyDescent="0.25">
      <c r="B763" s="99" t="s">
        <v>107</v>
      </c>
      <c r="C763" s="100">
        <v>0</v>
      </c>
      <c r="D763">
        <f>$C763*VLOOKUP($B763,FoodDB!$A$2:$I$1014,3,0)</f>
        <v>0</v>
      </c>
      <c r="E763">
        <f>$C763*VLOOKUP($B763,FoodDB!$A$2:$I$1014,4,0)</f>
        <v>0</v>
      </c>
      <c r="F763">
        <f>$C763*VLOOKUP($B763,FoodDB!$A$2:$I$1014,5,0)</f>
        <v>0</v>
      </c>
      <c r="G763">
        <f>$C763*VLOOKUP($B763,FoodDB!$A$2:$I$1014,6,0)</f>
        <v>0</v>
      </c>
      <c r="H763">
        <f>$C763*VLOOKUP($B763,FoodDB!$A$2:$I$1014,7,0)</f>
        <v>0</v>
      </c>
      <c r="I763">
        <f>$C763*VLOOKUP($B763,FoodDB!$A$2:$I$1014,8,0)</f>
        <v>0</v>
      </c>
      <c r="J763">
        <f>$C763*VLOOKUP($B763,FoodDB!$A$2:$I$1014,9,0)</f>
        <v>0</v>
      </c>
    </row>
    <row r="764" spans="1:19" x14ac:dyDescent="0.25">
      <c r="B764" s="99" t="s">
        <v>107</v>
      </c>
      <c r="C764" s="100">
        <v>0</v>
      </c>
      <c r="D764">
        <f>$C764*VLOOKUP($B764,FoodDB!$A$2:$I$1014,3,0)</f>
        <v>0</v>
      </c>
      <c r="E764">
        <f>$C764*VLOOKUP($B764,FoodDB!$A$2:$I$1014,4,0)</f>
        <v>0</v>
      </c>
      <c r="F764">
        <f>$C764*VLOOKUP($B764,FoodDB!$A$2:$I$1014,5,0)</f>
        <v>0</v>
      </c>
      <c r="G764">
        <f>$C764*VLOOKUP($B764,FoodDB!$A$2:$I$1014,6,0)</f>
        <v>0</v>
      </c>
      <c r="H764">
        <f>$C764*VLOOKUP($B764,FoodDB!$A$2:$I$1014,7,0)</f>
        <v>0</v>
      </c>
      <c r="I764">
        <f>$C764*VLOOKUP($B764,FoodDB!$A$2:$I$1014,8,0)</f>
        <v>0</v>
      </c>
      <c r="J764">
        <f>$C764*VLOOKUP($B764,FoodDB!$A$2:$I$1014,9,0)</f>
        <v>0</v>
      </c>
    </row>
    <row r="765" spans="1:19" x14ac:dyDescent="0.25">
      <c r="B765" s="99" t="s">
        <v>107</v>
      </c>
      <c r="C765" s="100">
        <v>0</v>
      </c>
      <c r="D765">
        <f>$C765*VLOOKUP($B765,FoodDB!$A$2:$I$1014,3,0)</f>
        <v>0</v>
      </c>
      <c r="E765">
        <f>$C765*VLOOKUP($B765,FoodDB!$A$2:$I$1014,4,0)</f>
        <v>0</v>
      </c>
      <c r="F765">
        <f>$C765*VLOOKUP($B765,FoodDB!$A$2:$I$1014,5,0)</f>
        <v>0</v>
      </c>
      <c r="G765">
        <f>$C765*VLOOKUP($B765,FoodDB!$A$2:$I$1014,6,0)</f>
        <v>0</v>
      </c>
      <c r="H765">
        <f>$C765*VLOOKUP($B765,FoodDB!$A$2:$I$1014,7,0)</f>
        <v>0</v>
      </c>
      <c r="I765">
        <f>$C765*VLOOKUP($B765,FoodDB!$A$2:$I$1014,8,0)</f>
        <v>0</v>
      </c>
      <c r="J765">
        <f>$C765*VLOOKUP($B765,FoodDB!$A$2:$I$1014,9,0)</f>
        <v>0</v>
      </c>
    </row>
    <row r="766" spans="1:19" x14ac:dyDescent="0.25">
      <c r="B766" s="99" t="s">
        <v>107</v>
      </c>
      <c r="C766" s="100">
        <v>0</v>
      </c>
      <c r="D766">
        <f>$C766*VLOOKUP($B766,FoodDB!$A$2:$I$1014,3,0)</f>
        <v>0</v>
      </c>
      <c r="E766">
        <f>$C766*VLOOKUP($B766,FoodDB!$A$2:$I$1014,4,0)</f>
        <v>0</v>
      </c>
      <c r="F766">
        <f>$C766*VLOOKUP($B766,FoodDB!$A$2:$I$1014,5,0)</f>
        <v>0</v>
      </c>
      <c r="G766">
        <f>$C766*VLOOKUP($B766,FoodDB!$A$2:$I$1014,6,0)</f>
        <v>0</v>
      </c>
      <c r="H766">
        <f>$C766*VLOOKUP($B766,FoodDB!$A$2:$I$1014,7,0)</f>
        <v>0</v>
      </c>
      <c r="I766">
        <f>$C766*VLOOKUP($B766,FoodDB!$A$2:$I$1014,8,0)</f>
        <v>0</v>
      </c>
      <c r="J766">
        <f>$C766*VLOOKUP($B766,FoodDB!$A$2:$I$1014,9,0)</f>
        <v>0</v>
      </c>
    </row>
    <row r="767" spans="1:19" x14ac:dyDescent="0.25">
      <c r="B767" s="99" t="s">
        <v>107</v>
      </c>
      <c r="C767" s="100">
        <v>0</v>
      </c>
      <c r="D767">
        <f>$C767*VLOOKUP($B767,FoodDB!$A$2:$I$1014,3,0)</f>
        <v>0</v>
      </c>
      <c r="E767">
        <f>$C767*VLOOKUP($B767,FoodDB!$A$2:$I$1014,4,0)</f>
        <v>0</v>
      </c>
      <c r="F767">
        <f>$C767*VLOOKUP($B767,FoodDB!$A$2:$I$1014,5,0)</f>
        <v>0</v>
      </c>
      <c r="G767">
        <f>$C767*VLOOKUP($B767,FoodDB!$A$2:$I$1014,6,0)</f>
        <v>0</v>
      </c>
      <c r="H767">
        <f>$C767*VLOOKUP($B767,FoodDB!$A$2:$I$1014,7,0)</f>
        <v>0</v>
      </c>
      <c r="I767">
        <f>$C767*VLOOKUP($B767,FoodDB!$A$2:$I$1014,8,0)</f>
        <v>0</v>
      </c>
      <c r="J767">
        <f>$C767*VLOOKUP($B767,FoodDB!$A$2:$I$1014,9,0)</f>
        <v>0</v>
      </c>
    </row>
    <row r="768" spans="1:19" x14ac:dyDescent="0.25">
      <c r="B768" s="99" t="s">
        <v>107</v>
      </c>
      <c r="C768" s="100">
        <v>0</v>
      </c>
      <c r="D768">
        <f>$C768*VLOOKUP($B768,FoodDB!$A$2:$I$1014,3,0)</f>
        <v>0</v>
      </c>
      <c r="E768">
        <f>$C768*VLOOKUP($B768,FoodDB!$A$2:$I$1014,4,0)</f>
        <v>0</v>
      </c>
      <c r="F768">
        <f>$C768*VLOOKUP($B768,FoodDB!$A$2:$I$1014,5,0)</f>
        <v>0</v>
      </c>
      <c r="G768">
        <f>$C768*VLOOKUP($B768,FoodDB!$A$2:$I$1014,6,0)</f>
        <v>0</v>
      </c>
      <c r="H768">
        <f>$C768*VLOOKUP($B768,FoodDB!$A$2:$I$1014,7,0)</f>
        <v>0</v>
      </c>
      <c r="I768">
        <f>$C768*VLOOKUP($B768,FoodDB!$A$2:$I$1014,8,0)</f>
        <v>0</v>
      </c>
      <c r="J768">
        <f>$C768*VLOOKUP($B768,FoodDB!$A$2:$I$1014,9,0)</f>
        <v>0</v>
      </c>
    </row>
    <row r="769" spans="1:19" x14ac:dyDescent="0.25">
      <c r="A769" t="s">
        <v>97</v>
      </c>
      <c r="G769">
        <f>SUM(G762:G768)</f>
        <v>0</v>
      </c>
      <c r="H769">
        <f>SUM(H762:H768)</f>
        <v>0</v>
      </c>
      <c r="I769">
        <f>SUM(I762:I768)</f>
        <v>0</v>
      </c>
      <c r="J769">
        <f>SUM(G769:I769)</f>
        <v>0</v>
      </c>
    </row>
    <row r="770" spans="1:19" x14ac:dyDescent="0.25">
      <c r="A770" t="s">
        <v>101</v>
      </c>
      <c r="B770" t="s">
        <v>102</v>
      </c>
      <c r="E770" s="103"/>
      <c r="F770" s="103"/>
      <c r="G770" s="103">
        <f>VLOOKUP($A762,LossChart!$A$3:$AB$105,14,0)</f>
        <v>730.03373934180513</v>
      </c>
      <c r="H770" s="103">
        <f>VLOOKUP($A762,LossChart!$A$3:$AB$105,15,0)</f>
        <v>80</v>
      </c>
      <c r="I770" s="103">
        <f>VLOOKUP($A762,LossChart!$A$3:$AB$105,16,0)</f>
        <v>477.30407413615825</v>
      </c>
      <c r="J770" s="103">
        <f>VLOOKUP($A762,LossChart!$A$3:$AB$105,17,0)</f>
        <v>1287.3378134779634</v>
      </c>
      <c r="K770" s="103"/>
    </row>
    <row r="771" spans="1:19" x14ac:dyDescent="0.25">
      <c r="A771" t="s">
        <v>103</v>
      </c>
      <c r="G771">
        <f>G770-G769</f>
        <v>730.03373934180513</v>
      </c>
      <c r="H771">
        <f>H770-H769</f>
        <v>80</v>
      </c>
      <c r="I771">
        <f>I770-I769</f>
        <v>477.30407413615825</v>
      </c>
      <c r="J771">
        <f>J770-J769</f>
        <v>1287.3378134779634</v>
      </c>
    </row>
    <row r="773" spans="1:19" ht="60" x14ac:dyDescent="0.25">
      <c r="A773" s="26" t="s">
        <v>63</v>
      </c>
      <c r="B773" s="26" t="s">
        <v>92</v>
      </c>
      <c r="C773" s="26" t="s">
        <v>93</v>
      </c>
      <c r="D773" s="97" t="str">
        <f>FoodDB!$C$1</f>
        <v>Fat
(g)</v>
      </c>
      <c r="E773" s="97" t="str">
        <f>FoodDB!$D$1</f>
        <v xml:space="preserve"> Carbs
(g)</v>
      </c>
      <c r="F773" s="97" t="str">
        <f>FoodDB!$E$1</f>
        <v>Protein
(g)</v>
      </c>
      <c r="G773" s="97" t="str">
        <f>FoodDB!$F$1</f>
        <v>Fat
(Cal)</v>
      </c>
      <c r="H773" s="97" t="str">
        <f>FoodDB!$G$1</f>
        <v>Carb
(Cal)</v>
      </c>
      <c r="I773" s="97" t="str">
        <f>FoodDB!$H$1</f>
        <v>Protein
(Cal)</v>
      </c>
      <c r="J773" s="97" t="str">
        <f>FoodDB!$I$1</f>
        <v>Total
Calories</v>
      </c>
      <c r="K773" s="97"/>
      <c r="L773" s="97" t="s">
        <v>109</v>
      </c>
      <c r="M773" s="97" t="s">
        <v>110</v>
      </c>
      <c r="N773" s="97" t="s">
        <v>111</v>
      </c>
      <c r="O773" s="97" t="s">
        <v>112</v>
      </c>
      <c r="P773" s="97" t="s">
        <v>117</v>
      </c>
      <c r="Q773" s="97" t="s">
        <v>118</v>
      </c>
      <c r="R773" s="97" t="s">
        <v>119</v>
      </c>
      <c r="S773" s="97" t="s">
        <v>120</v>
      </c>
    </row>
    <row r="774" spans="1:19" x14ac:dyDescent="0.25">
      <c r="A774" s="98">
        <f>A762+1</f>
        <v>43058</v>
      </c>
      <c r="B774" s="99" t="s">
        <v>107</v>
      </c>
      <c r="C774" s="100">
        <v>0</v>
      </c>
      <c r="D774">
        <f>$C774*VLOOKUP($B774,FoodDB!$A$2:$I$1014,3,0)</f>
        <v>0</v>
      </c>
      <c r="E774">
        <f>$C774*VLOOKUP($B774,FoodDB!$A$2:$I$1014,4,0)</f>
        <v>0</v>
      </c>
      <c r="F774">
        <f>$C774*VLOOKUP($B774,FoodDB!$A$2:$I$1014,5,0)</f>
        <v>0</v>
      </c>
      <c r="G774">
        <f>$C774*VLOOKUP($B774,FoodDB!$A$2:$I$1014,6,0)</f>
        <v>0</v>
      </c>
      <c r="H774">
        <f>$C774*VLOOKUP($B774,FoodDB!$A$2:$I$1014,7,0)</f>
        <v>0</v>
      </c>
      <c r="I774">
        <f>$C774*VLOOKUP($B774,FoodDB!$A$2:$I$1014,8,0)</f>
        <v>0</v>
      </c>
      <c r="J774">
        <f>$C774*VLOOKUP($B774,FoodDB!$A$2:$I$1014,9,0)</f>
        <v>0</v>
      </c>
      <c r="L774">
        <f>SUM(G774:G780)</f>
        <v>0</v>
      </c>
      <c r="M774">
        <f>SUM(H774:H780)</f>
        <v>0</v>
      </c>
      <c r="N774">
        <f>SUM(I774:I780)</f>
        <v>0</v>
      </c>
      <c r="O774">
        <f>SUM(L774:N774)</f>
        <v>0</v>
      </c>
      <c r="P774" s="103">
        <f>VLOOKUP($A774,LossChart!$A$3:$AB$105,14,0)-L774</f>
        <v>735.07017371684924</v>
      </c>
      <c r="Q774" s="103">
        <f>VLOOKUP($A774,LossChart!$A$3:$AB$105,15,0)-M774</f>
        <v>80</v>
      </c>
      <c r="R774" s="103">
        <f>VLOOKUP($A774,LossChart!$A$3:$AB$105,16,0)-N774</f>
        <v>477.30407413615825</v>
      </c>
      <c r="S774" s="103">
        <f>VLOOKUP($A774,LossChart!$A$3:$AB$105,17,0)-O774</f>
        <v>1292.3742478530075</v>
      </c>
    </row>
    <row r="775" spans="1:19" x14ac:dyDescent="0.25">
      <c r="B775" s="99" t="s">
        <v>107</v>
      </c>
      <c r="C775" s="100">
        <v>0</v>
      </c>
      <c r="D775">
        <f>$C775*VLOOKUP($B775,FoodDB!$A$2:$I$1014,3,0)</f>
        <v>0</v>
      </c>
      <c r="E775">
        <f>$C775*VLOOKUP($B775,FoodDB!$A$2:$I$1014,4,0)</f>
        <v>0</v>
      </c>
      <c r="F775">
        <f>$C775*VLOOKUP($B775,FoodDB!$A$2:$I$1014,5,0)</f>
        <v>0</v>
      </c>
      <c r="G775">
        <f>$C775*VLOOKUP($B775,FoodDB!$A$2:$I$1014,6,0)</f>
        <v>0</v>
      </c>
      <c r="H775">
        <f>$C775*VLOOKUP($B775,FoodDB!$A$2:$I$1014,7,0)</f>
        <v>0</v>
      </c>
      <c r="I775">
        <f>$C775*VLOOKUP($B775,FoodDB!$A$2:$I$1014,8,0)</f>
        <v>0</v>
      </c>
      <c r="J775">
        <f>$C775*VLOOKUP($B775,FoodDB!$A$2:$I$1014,9,0)</f>
        <v>0</v>
      </c>
    </row>
    <row r="776" spans="1:19" x14ac:dyDescent="0.25">
      <c r="B776" s="99" t="s">
        <v>107</v>
      </c>
      <c r="C776" s="100">
        <v>0</v>
      </c>
      <c r="D776">
        <f>$C776*VLOOKUP($B776,FoodDB!$A$2:$I$1014,3,0)</f>
        <v>0</v>
      </c>
      <c r="E776">
        <f>$C776*VLOOKUP($B776,FoodDB!$A$2:$I$1014,4,0)</f>
        <v>0</v>
      </c>
      <c r="F776">
        <f>$C776*VLOOKUP($B776,FoodDB!$A$2:$I$1014,5,0)</f>
        <v>0</v>
      </c>
      <c r="G776">
        <f>$C776*VLOOKUP($B776,FoodDB!$A$2:$I$1014,6,0)</f>
        <v>0</v>
      </c>
      <c r="H776">
        <f>$C776*VLOOKUP($B776,FoodDB!$A$2:$I$1014,7,0)</f>
        <v>0</v>
      </c>
      <c r="I776">
        <f>$C776*VLOOKUP($B776,FoodDB!$A$2:$I$1014,8,0)</f>
        <v>0</v>
      </c>
      <c r="J776">
        <f>$C776*VLOOKUP($B776,FoodDB!$A$2:$I$1014,9,0)</f>
        <v>0</v>
      </c>
    </row>
    <row r="777" spans="1:19" x14ac:dyDescent="0.25">
      <c r="B777" s="99" t="s">
        <v>107</v>
      </c>
      <c r="C777" s="100">
        <v>0</v>
      </c>
      <c r="D777">
        <f>$C777*VLOOKUP($B777,FoodDB!$A$2:$I$1014,3,0)</f>
        <v>0</v>
      </c>
      <c r="E777">
        <f>$C777*VLOOKUP($B777,FoodDB!$A$2:$I$1014,4,0)</f>
        <v>0</v>
      </c>
      <c r="F777">
        <f>$C777*VLOOKUP($B777,FoodDB!$A$2:$I$1014,5,0)</f>
        <v>0</v>
      </c>
      <c r="G777">
        <f>$C777*VLOOKUP($B777,FoodDB!$A$2:$I$1014,6,0)</f>
        <v>0</v>
      </c>
      <c r="H777">
        <f>$C777*VLOOKUP($B777,FoodDB!$A$2:$I$1014,7,0)</f>
        <v>0</v>
      </c>
      <c r="I777">
        <f>$C777*VLOOKUP($B777,FoodDB!$A$2:$I$1014,8,0)</f>
        <v>0</v>
      </c>
      <c r="J777">
        <f>$C777*VLOOKUP($B777,FoodDB!$A$2:$I$1014,9,0)</f>
        <v>0</v>
      </c>
    </row>
    <row r="778" spans="1:19" x14ac:dyDescent="0.25">
      <c r="B778" s="99" t="s">
        <v>107</v>
      </c>
      <c r="C778" s="100">
        <v>0</v>
      </c>
      <c r="D778">
        <f>$C778*VLOOKUP($B778,FoodDB!$A$2:$I$1014,3,0)</f>
        <v>0</v>
      </c>
      <c r="E778">
        <f>$C778*VLOOKUP($B778,FoodDB!$A$2:$I$1014,4,0)</f>
        <v>0</v>
      </c>
      <c r="F778">
        <f>$C778*VLOOKUP($B778,FoodDB!$A$2:$I$1014,5,0)</f>
        <v>0</v>
      </c>
      <c r="G778">
        <f>$C778*VLOOKUP($B778,FoodDB!$A$2:$I$1014,6,0)</f>
        <v>0</v>
      </c>
      <c r="H778">
        <f>$C778*VLOOKUP($B778,FoodDB!$A$2:$I$1014,7,0)</f>
        <v>0</v>
      </c>
      <c r="I778">
        <f>$C778*VLOOKUP($B778,FoodDB!$A$2:$I$1014,8,0)</f>
        <v>0</v>
      </c>
      <c r="J778">
        <f>$C778*VLOOKUP($B778,FoodDB!$A$2:$I$1014,9,0)</f>
        <v>0</v>
      </c>
    </row>
    <row r="779" spans="1:19" x14ac:dyDescent="0.25">
      <c r="B779" s="99" t="s">
        <v>107</v>
      </c>
      <c r="C779" s="100">
        <v>0</v>
      </c>
      <c r="D779">
        <f>$C779*VLOOKUP($B779,FoodDB!$A$2:$I$1014,3,0)</f>
        <v>0</v>
      </c>
      <c r="E779">
        <f>$C779*VLOOKUP($B779,FoodDB!$A$2:$I$1014,4,0)</f>
        <v>0</v>
      </c>
      <c r="F779">
        <f>$C779*VLOOKUP($B779,FoodDB!$A$2:$I$1014,5,0)</f>
        <v>0</v>
      </c>
      <c r="G779">
        <f>$C779*VLOOKUP($B779,FoodDB!$A$2:$I$1014,6,0)</f>
        <v>0</v>
      </c>
      <c r="H779">
        <f>$C779*VLOOKUP($B779,FoodDB!$A$2:$I$1014,7,0)</f>
        <v>0</v>
      </c>
      <c r="I779">
        <f>$C779*VLOOKUP($B779,FoodDB!$A$2:$I$1014,8,0)</f>
        <v>0</v>
      </c>
      <c r="J779">
        <f>$C779*VLOOKUP($B779,FoodDB!$A$2:$I$1014,9,0)</f>
        <v>0</v>
      </c>
    </row>
    <row r="780" spans="1:19" x14ac:dyDescent="0.25">
      <c r="B780" s="99" t="s">
        <v>107</v>
      </c>
      <c r="C780" s="100">
        <v>0</v>
      </c>
      <c r="D780">
        <f>$C780*VLOOKUP($B780,FoodDB!$A$2:$I$1014,3,0)</f>
        <v>0</v>
      </c>
      <c r="E780">
        <f>$C780*VLOOKUP($B780,FoodDB!$A$2:$I$1014,4,0)</f>
        <v>0</v>
      </c>
      <c r="F780">
        <f>$C780*VLOOKUP($B780,FoodDB!$A$2:$I$1014,5,0)</f>
        <v>0</v>
      </c>
      <c r="G780">
        <f>$C780*VLOOKUP($B780,FoodDB!$A$2:$I$1014,6,0)</f>
        <v>0</v>
      </c>
      <c r="H780">
        <f>$C780*VLOOKUP($B780,FoodDB!$A$2:$I$1014,7,0)</f>
        <v>0</v>
      </c>
      <c r="I780">
        <f>$C780*VLOOKUP($B780,FoodDB!$A$2:$I$1014,8,0)</f>
        <v>0</v>
      </c>
      <c r="J780">
        <f>$C780*VLOOKUP($B780,FoodDB!$A$2:$I$1014,9,0)</f>
        <v>0</v>
      </c>
    </row>
    <row r="781" spans="1:19" x14ac:dyDescent="0.25">
      <c r="A781" t="s">
        <v>97</v>
      </c>
      <c r="G781">
        <f>SUM(G774:G780)</f>
        <v>0</v>
      </c>
      <c r="H781">
        <f>SUM(H774:H780)</f>
        <v>0</v>
      </c>
      <c r="I781">
        <f>SUM(I774:I780)</f>
        <v>0</v>
      </c>
      <c r="J781">
        <f>SUM(G781:I781)</f>
        <v>0</v>
      </c>
    </row>
    <row r="782" spans="1:19" x14ac:dyDescent="0.25">
      <c r="A782" t="s">
        <v>101</v>
      </c>
      <c r="B782" t="s">
        <v>102</v>
      </c>
      <c r="E782" s="103"/>
      <c r="F782" s="103"/>
      <c r="G782" s="103">
        <f>VLOOKUP($A774,LossChart!$A$3:$AB$105,14,0)</f>
        <v>735.07017371684924</v>
      </c>
      <c r="H782" s="103">
        <f>VLOOKUP($A774,LossChart!$A$3:$AB$105,15,0)</f>
        <v>80</v>
      </c>
      <c r="I782" s="103">
        <f>VLOOKUP($A774,LossChart!$A$3:$AB$105,16,0)</f>
        <v>477.30407413615825</v>
      </c>
      <c r="J782" s="103">
        <f>VLOOKUP($A774,LossChart!$A$3:$AB$105,17,0)</f>
        <v>1292.3742478530075</v>
      </c>
      <c r="K782" s="103"/>
    </row>
    <row r="783" spans="1:19" x14ac:dyDescent="0.25">
      <c r="A783" t="s">
        <v>103</v>
      </c>
      <c r="G783">
        <f>G782-G781</f>
        <v>735.07017371684924</v>
      </c>
      <c r="H783">
        <f>H782-H781</f>
        <v>80</v>
      </c>
      <c r="I783">
        <f>I782-I781</f>
        <v>477.30407413615825</v>
      </c>
      <c r="J783">
        <f>J782-J781</f>
        <v>1292.3742478530075</v>
      </c>
    </row>
    <row r="785" spans="1:19" ht="60" x14ac:dyDescent="0.25">
      <c r="A785" s="26" t="s">
        <v>63</v>
      </c>
      <c r="B785" s="26" t="s">
        <v>92</v>
      </c>
      <c r="C785" s="26" t="s">
        <v>93</v>
      </c>
      <c r="D785" s="97" t="str">
        <f>FoodDB!$C$1</f>
        <v>Fat
(g)</v>
      </c>
      <c r="E785" s="97" t="str">
        <f>FoodDB!$D$1</f>
        <v xml:space="preserve"> Carbs
(g)</v>
      </c>
      <c r="F785" s="97" t="str">
        <f>FoodDB!$E$1</f>
        <v>Protein
(g)</v>
      </c>
      <c r="G785" s="97" t="str">
        <f>FoodDB!$F$1</f>
        <v>Fat
(Cal)</v>
      </c>
      <c r="H785" s="97" t="str">
        <f>FoodDB!$G$1</f>
        <v>Carb
(Cal)</v>
      </c>
      <c r="I785" s="97" t="str">
        <f>FoodDB!$H$1</f>
        <v>Protein
(Cal)</v>
      </c>
      <c r="J785" s="97" t="str">
        <f>FoodDB!$I$1</f>
        <v>Total
Calories</v>
      </c>
      <c r="K785" s="97"/>
      <c r="L785" s="97" t="s">
        <v>109</v>
      </c>
      <c r="M785" s="97" t="s">
        <v>110</v>
      </c>
      <c r="N785" s="97" t="s">
        <v>111</v>
      </c>
      <c r="O785" s="97" t="s">
        <v>112</v>
      </c>
      <c r="P785" s="97" t="s">
        <v>117</v>
      </c>
      <c r="Q785" s="97" t="s">
        <v>118</v>
      </c>
      <c r="R785" s="97" t="s">
        <v>119</v>
      </c>
      <c r="S785" s="97" t="s">
        <v>120</v>
      </c>
    </row>
    <row r="786" spans="1:19" x14ac:dyDescent="0.25">
      <c r="A786" s="98">
        <f>A774+1</f>
        <v>43059</v>
      </c>
      <c r="B786" s="99" t="s">
        <v>107</v>
      </c>
      <c r="C786" s="100">
        <v>0</v>
      </c>
      <c r="D786">
        <f>$C786*VLOOKUP($B786,FoodDB!$A$2:$I$1014,3,0)</f>
        <v>0</v>
      </c>
      <c r="E786">
        <f>$C786*VLOOKUP($B786,FoodDB!$A$2:$I$1014,4,0)</f>
        <v>0</v>
      </c>
      <c r="F786">
        <f>$C786*VLOOKUP($B786,FoodDB!$A$2:$I$1014,5,0)</f>
        <v>0</v>
      </c>
      <c r="G786">
        <f>$C786*VLOOKUP($B786,FoodDB!$A$2:$I$1014,6,0)</f>
        <v>0</v>
      </c>
      <c r="H786">
        <f>$C786*VLOOKUP($B786,FoodDB!$A$2:$I$1014,7,0)</f>
        <v>0</v>
      </c>
      <c r="I786">
        <f>$C786*VLOOKUP($B786,FoodDB!$A$2:$I$1014,8,0)</f>
        <v>0</v>
      </c>
      <c r="J786">
        <f>$C786*VLOOKUP($B786,FoodDB!$A$2:$I$1014,9,0)</f>
        <v>0</v>
      </c>
      <c r="L786">
        <f>SUM(G786:G792)</f>
        <v>0</v>
      </c>
      <c r="M786">
        <f>SUM(H786:H792)</f>
        <v>0</v>
      </c>
      <c r="N786">
        <f>SUM(I786:I792)</f>
        <v>0</v>
      </c>
      <c r="O786">
        <f>SUM(L786:N786)</f>
        <v>0</v>
      </c>
      <c r="P786" s="103">
        <f>VLOOKUP($A786,LossChart!$A$3:$AB$105,14,0)-L786</f>
        <v>740.06199967314251</v>
      </c>
      <c r="Q786" s="103">
        <f>VLOOKUP($A786,LossChart!$A$3:$AB$105,15,0)-M786</f>
        <v>80</v>
      </c>
      <c r="R786" s="103">
        <f>VLOOKUP($A786,LossChart!$A$3:$AB$105,16,0)-N786</f>
        <v>477.30407413615825</v>
      </c>
      <c r="S786" s="103">
        <f>VLOOKUP($A786,LossChart!$A$3:$AB$105,17,0)-O786</f>
        <v>1297.3660738093008</v>
      </c>
    </row>
    <row r="787" spans="1:19" x14ac:dyDescent="0.25">
      <c r="B787" s="99" t="s">
        <v>107</v>
      </c>
      <c r="C787" s="100">
        <v>0</v>
      </c>
      <c r="D787">
        <f>$C787*VLOOKUP($B787,FoodDB!$A$2:$I$1014,3,0)</f>
        <v>0</v>
      </c>
      <c r="E787">
        <f>$C787*VLOOKUP($B787,FoodDB!$A$2:$I$1014,4,0)</f>
        <v>0</v>
      </c>
      <c r="F787">
        <f>$C787*VLOOKUP($B787,FoodDB!$A$2:$I$1014,5,0)</f>
        <v>0</v>
      </c>
      <c r="G787">
        <f>$C787*VLOOKUP($B787,FoodDB!$A$2:$I$1014,6,0)</f>
        <v>0</v>
      </c>
      <c r="H787">
        <f>$C787*VLOOKUP($B787,FoodDB!$A$2:$I$1014,7,0)</f>
        <v>0</v>
      </c>
      <c r="I787">
        <f>$C787*VLOOKUP($B787,FoodDB!$A$2:$I$1014,8,0)</f>
        <v>0</v>
      </c>
      <c r="J787">
        <f>$C787*VLOOKUP($B787,FoodDB!$A$2:$I$1014,9,0)</f>
        <v>0</v>
      </c>
    </row>
    <row r="788" spans="1:19" x14ac:dyDescent="0.25">
      <c r="B788" s="99" t="s">
        <v>107</v>
      </c>
      <c r="C788" s="100">
        <v>0</v>
      </c>
      <c r="D788">
        <f>$C788*VLOOKUP($B788,FoodDB!$A$2:$I$1014,3,0)</f>
        <v>0</v>
      </c>
      <c r="E788">
        <f>$C788*VLOOKUP($B788,FoodDB!$A$2:$I$1014,4,0)</f>
        <v>0</v>
      </c>
      <c r="F788">
        <f>$C788*VLOOKUP($B788,FoodDB!$A$2:$I$1014,5,0)</f>
        <v>0</v>
      </c>
      <c r="G788">
        <f>$C788*VLOOKUP($B788,FoodDB!$A$2:$I$1014,6,0)</f>
        <v>0</v>
      </c>
      <c r="H788">
        <f>$C788*VLOOKUP($B788,FoodDB!$A$2:$I$1014,7,0)</f>
        <v>0</v>
      </c>
      <c r="I788">
        <f>$C788*VLOOKUP($B788,FoodDB!$A$2:$I$1014,8,0)</f>
        <v>0</v>
      </c>
      <c r="J788">
        <f>$C788*VLOOKUP($B788,FoodDB!$A$2:$I$1014,9,0)</f>
        <v>0</v>
      </c>
    </row>
    <row r="789" spans="1:19" x14ac:dyDescent="0.25">
      <c r="B789" s="99" t="s">
        <v>107</v>
      </c>
      <c r="C789" s="100">
        <v>0</v>
      </c>
      <c r="D789">
        <f>$C789*VLOOKUP($B789,FoodDB!$A$2:$I$1014,3,0)</f>
        <v>0</v>
      </c>
      <c r="E789">
        <f>$C789*VLOOKUP($B789,FoodDB!$A$2:$I$1014,4,0)</f>
        <v>0</v>
      </c>
      <c r="F789">
        <f>$C789*VLOOKUP($B789,FoodDB!$A$2:$I$1014,5,0)</f>
        <v>0</v>
      </c>
      <c r="G789">
        <f>$C789*VLOOKUP($B789,FoodDB!$A$2:$I$1014,6,0)</f>
        <v>0</v>
      </c>
      <c r="H789">
        <f>$C789*VLOOKUP($B789,FoodDB!$A$2:$I$1014,7,0)</f>
        <v>0</v>
      </c>
      <c r="I789">
        <f>$C789*VLOOKUP($B789,FoodDB!$A$2:$I$1014,8,0)</f>
        <v>0</v>
      </c>
      <c r="J789">
        <f>$C789*VLOOKUP($B789,FoodDB!$A$2:$I$1014,9,0)</f>
        <v>0</v>
      </c>
    </row>
    <row r="790" spans="1:19" x14ac:dyDescent="0.25">
      <c r="B790" s="99" t="s">
        <v>107</v>
      </c>
      <c r="C790" s="100">
        <v>0</v>
      </c>
      <c r="D790">
        <f>$C790*VLOOKUP($B790,FoodDB!$A$2:$I$1014,3,0)</f>
        <v>0</v>
      </c>
      <c r="E790">
        <f>$C790*VLOOKUP($B790,FoodDB!$A$2:$I$1014,4,0)</f>
        <v>0</v>
      </c>
      <c r="F790">
        <f>$C790*VLOOKUP($B790,FoodDB!$A$2:$I$1014,5,0)</f>
        <v>0</v>
      </c>
      <c r="G790">
        <f>$C790*VLOOKUP($B790,FoodDB!$A$2:$I$1014,6,0)</f>
        <v>0</v>
      </c>
      <c r="H790">
        <f>$C790*VLOOKUP($B790,FoodDB!$A$2:$I$1014,7,0)</f>
        <v>0</v>
      </c>
      <c r="I790">
        <f>$C790*VLOOKUP($B790,FoodDB!$A$2:$I$1014,8,0)</f>
        <v>0</v>
      </c>
      <c r="J790">
        <f>$C790*VLOOKUP($B790,FoodDB!$A$2:$I$1014,9,0)</f>
        <v>0</v>
      </c>
    </row>
    <row r="791" spans="1:19" x14ac:dyDescent="0.25">
      <c r="B791" s="99" t="s">
        <v>107</v>
      </c>
      <c r="C791" s="100">
        <v>0</v>
      </c>
      <c r="D791">
        <f>$C791*VLOOKUP($B791,FoodDB!$A$2:$I$1014,3,0)</f>
        <v>0</v>
      </c>
      <c r="E791">
        <f>$C791*VLOOKUP($B791,FoodDB!$A$2:$I$1014,4,0)</f>
        <v>0</v>
      </c>
      <c r="F791">
        <f>$C791*VLOOKUP($B791,FoodDB!$A$2:$I$1014,5,0)</f>
        <v>0</v>
      </c>
      <c r="G791">
        <f>$C791*VLOOKUP($B791,FoodDB!$A$2:$I$1014,6,0)</f>
        <v>0</v>
      </c>
      <c r="H791">
        <f>$C791*VLOOKUP($B791,FoodDB!$A$2:$I$1014,7,0)</f>
        <v>0</v>
      </c>
      <c r="I791">
        <f>$C791*VLOOKUP($B791,FoodDB!$A$2:$I$1014,8,0)</f>
        <v>0</v>
      </c>
      <c r="J791">
        <f>$C791*VLOOKUP($B791,FoodDB!$A$2:$I$1014,9,0)</f>
        <v>0</v>
      </c>
    </row>
    <row r="792" spans="1:19" x14ac:dyDescent="0.25">
      <c r="B792" s="99" t="s">
        <v>107</v>
      </c>
      <c r="C792" s="100">
        <v>0</v>
      </c>
      <c r="D792">
        <f>$C792*VLOOKUP($B792,FoodDB!$A$2:$I$1014,3,0)</f>
        <v>0</v>
      </c>
      <c r="E792">
        <f>$C792*VLOOKUP($B792,FoodDB!$A$2:$I$1014,4,0)</f>
        <v>0</v>
      </c>
      <c r="F792">
        <f>$C792*VLOOKUP($B792,FoodDB!$A$2:$I$1014,5,0)</f>
        <v>0</v>
      </c>
      <c r="G792">
        <f>$C792*VLOOKUP($B792,FoodDB!$A$2:$I$1014,6,0)</f>
        <v>0</v>
      </c>
      <c r="H792">
        <f>$C792*VLOOKUP($B792,FoodDB!$A$2:$I$1014,7,0)</f>
        <v>0</v>
      </c>
      <c r="I792">
        <f>$C792*VLOOKUP($B792,FoodDB!$A$2:$I$1014,8,0)</f>
        <v>0</v>
      </c>
      <c r="J792">
        <f>$C792*VLOOKUP($B792,FoodDB!$A$2:$I$1014,9,0)</f>
        <v>0</v>
      </c>
    </row>
    <row r="793" spans="1:19" x14ac:dyDescent="0.25">
      <c r="A793" t="s">
        <v>97</v>
      </c>
      <c r="G793">
        <f>SUM(G786:G792)</f>
        <v>0</v>
      </c>
      <c r="H793">
        <f>SUM(H786:H792)</f>
        <v>0</v>
      </c>
      <c r="I793">
        <f>SUM(I786:I792)</f>
        <v>0</v>
      </c>
      <c r="J793">
        <f>SUM(G793:I793)</f>
        <v>0</v>
      </c>
    </row>
    <row r="794" spans="1:19" x14ac:dyDescent="0.25">
      <c r="A794" t="s">
        <v>101</v>
      </c>
      <c r="B794" t="s">
        <v>102</v>
      </c>
      <c r="E794" s="103"/>
      <c r="F794" s="103"/>
      <c r="G794" s="103">
        <f>VLOOKUP($A786,LossChart!$A$3:$AB$105,14,0)</f>
        <v>740.06199967314251</v>
      </c>
      <c r="H794" s="103">
        <f>VLOOKUP($A786,LossChart!$A$3:$AB$105,15,0)</f>
        <v>80</v>
      </c>
      <c r="I794" s="103">
        <f>VLOOKUP($A786,LossChart!$A$3:$AB$105,16,0)</f>
        <v>477.30407413615825</v>
      </c>
      <c r="J794" s="103">
        <f>VLOOKUP($A786,LossChart!$A$3:$AB$105,17,0)</f>
        <v>1297.3660738093008</v>
      </c>
      <c r="K794" s="103"/>
    </row>
    <row r="795" spans="1:19" x14ac:dyDescent="0.25">
      <c r="A795" t="s">
        <v>103</v>
      </c>
      <c r="G795">
        <f>G794-G793</f>
        <v>740.06199967314251</v>
      </c>
      <c r="H795">
        <f>H794-H793</f>
        <v>80</v>
      </c>
      <c r="I795">
        <f>I794-I793</f>
        <v>477.30407413615825</v>
      </c>
      <c r="J795">
        <f>J794-J793</f>
        <v>1297.3660738093008</v>
      </c>
    </row>
    <row r="797" spans="1:19" ht="60" x14ac:dyDescent="0.25">
      <c r="A797" s="26" t="s">
        <v>63</v>
      </c>
      <c r="B797" s="26" t="s">
        <v>92</v>
      </c>
      <c r="C797" s="26" t="s">
        <v>93</v>
      </c>
      <c r="D797" s="97" t="str">
        <f>FoodDB!$C$1</f>
        <v>Fat
(g)</v>
      </c>
      <c r="E797" s="97" t="str">
        <f>FoodDB!$D$1</f>
        <v xml:space="preserve"> Carbs
(g)</v>
      </c>
      <c r="F797" s="97" t="str">
        <f>FoodDB!$E$1</f>
        <v>Protein
(g)</v>
      </c>
      <c r="G797" s="97" t="str">
        <f>FoodDB!$F$1</f>
        <v>Fat
(Cal)</v>
      </c>
      <c r="H797" s="97" t="str">
        <f>FoodDB!$G$1</f>
        <v>Carb
(Cal)</v>
      </c>
      <c r="I797" s="97" t="str">
        <f>FoodDB!$H$1</f>
        <v>Protein
(Cal)</v>
      </c>
      <c r="J797" s="97" t="str">
        <f>FoodDB!$I$1</f>
        <v>Total
Calories</v>
      </c>
      <c r="K797" s="97"/>
      <c r="L797" s="97" t="s">
        <v>109</v>
      </c>
      <c r="M797" s="97" t="s">
        <v>110</v>
      </c>
      <c r="N797" s="97" t="s">
        <v>111</v>
      </c>
      <c r="O797" s="97" t="s">
        <v>112</v>
      </c>
      <c r="P797" s="97" t="s">
        <v>117</v>
      </c>
      <c r="Q797" s="97" t="s">
        <v>118</v>
      </c>
      <c r="R797" s="97" t="s">
        <v>119</v>
      </c>
      <c r="S797" s="97" t="s">
        <v>120</v>
      </c>
    </row>
    <row r="798" spans="1:19" x14ac:dyDescent="0.25">
      <c r="A798" s="98">
        <f>A786+1</f>
        <v>43060</v>
      </c>
      <c r="B798" s="99" t="s">
        <v>107</v>
      </c>
      <c r="C798" s="100">
        <v>0</v>
      </c>
      <c r="D798">
        <f>$C798*VLOOKUP($B798,FoodDB!$A$2:$I$1014,3,0)</f>
        <v>0</v>
      </c>
      <c r="E798">
        <f>$C798*VLOOKUP($B798,FoodDB!$A$2:$I$1014,4,0)</f>
        <v>0</v>
      </c>
      <c r="F798">
        <f>$C798*VLOOKUP($B798,FoodDB!$A$2:$I$1014,5,0)</f>
        <v>0</v>
      </c>
      <c r="G798">
        <f>$C798*VLOOKUP($B798,FoodDB!$A$2:$I$1014,6,0)</f>
        <v>0</v>
      </c>
      <c r="H798">
        <f>$C798*VLOOKUP($B798,FoodDB!$A$2:$I$1014,7,0)</f>
        <v>0</v>
      </c>
      <c r="I798">
        <f>$C798*VLOOKUP($B798,FoodDB!$A$2:$I$1014,8,0)</f>
        <v>0</v>
      </c>
      <c r="J798">
        <f>$C798*VLOOKUP($B798,FoodDB!$A$2:$I$1014,9,0)</f>
        <v>0</v>
      </c>
      <c r="L798">
        <f>SUM(G798:G804)</f>
        <v>0</v>
      </c>
      <c r="M798">
        <f>SUM(H798:H804)</f>
        <v>0</v>
      </c>
      <c r="N798">
        <f>SUM(I798:I804)</f>
        <v>0</v>
      </c>
      <c r="O798">
        <f>SUM(L798:N798)</f>
        <v>0</v>
      </c>
      <c r="P798" s="103">
        <f>VLOOKUP($A798,LossChart!$A$3:$AB$105,14,0)-L798</f>
        <v>745.00961231382371</v>
      </c>
      <c r="Q798" s="103">
        <f>VLOOKUP($A798,LossChart!$A$3:$AB$105,15,0)-M798</f>
        <v>80</v>
      </c>
      <c r="R798" s="103">
        <f>VLOOKUP($A798,LossChart!$A$3:$AB$105,16,0)-N798</f>
        <v>477.30407413615825</v>
      </c>
      <c r="S798" s="103">
        <f>VLOOKUP($A798,LossChart!$A$3:$AB$105,17,0)-O798</f>
        <v>1302.313686449982</v>
      </c>
    </row>
    <row r="799" spans="1:19" x14ac:dyDescent="0.25">
      <c r="B799" s="99" t="s">
        <v>107</v>
      </c>
      <c r="C799" s="100">
        <v>0</v>
      </c>
      <c r="D799">
        <f>$C799*VLOOKUP($B799,FoodDB!$A$2:$I$1014,3,0)</f>
        <v>0</v>
      </c>
      <c r="E799">
        <f>$C799*VLOOKUP($B799,FoodDB!$A$2:$I$1014,4,0)</f>
        <v>0</v>
      </c>
      <c r="F799">
        <f>$C799*VLOOKUP($B799,FoodDB!$A$2:$I$1014,5,0)</f>
        <v>0</v>
      </c>
      <c r="G799">
        <f>$C799*VLOOKUP($B799,FoodDB!$A$2:$I$1014,6,0)</f>
        <v>0</v>
      </c>
      <c r="H799">
        <f>$C799*VLOOKUP($B799,FoodDB!$A$2:$I$1014,7,0)</f>
        <v>0</v>
      </c>
      <c r="I799">
        <f>$C799*VLOOKUP($B799,FoodDB!$A$2:$I$1014,8,0)</f>
        <v>0</v>
      </c>
      <c r="J799">
        <f>$C799*VLOOKUP($B799,FoodDB!$A$2:$I$1014,9,0)</f>
        <v>0</v>
      </c>
    </row>
    <row r="800" spans="1:19" x14ac:dyDescent="0.25">
      <c r="B800" s="99" t="s">
        <v>107</v>
      </c>
      <c r="C800" s="100">
        <v>0</v>
      </c>
      <c r="D800">
        <f>$C800*VLOOKUP($B800,FoodDB!$A$2:$I$1014,3,0)</f>
        <v>0</v>
      </c>
      <c r="E800">
        <f>$C800*VLOOKUP($B800,FoodDB!$A$2:$I$1014,4,0)</f>
        <v>0</v>
      </c>
      <c r="F800">
        <f>$C800*VLOOKUP($B800,FoodDB!$A$2:$I$1014,5,0)</f>
        <v>0</v>
      </c>
      <c r="G800">
        <f>$C800*VLOOKUP($B800,FoodDB!$A$2:$I$1014,6,0)</f>
        <v>0</v>
      </c>
      <c r="H800">
        <f>$C800*VLOOKUP($B800,FoodDB!$A$2:$I$1014,7,0)</f>
        <v>0</v>
      </c>
      <c r="I800">
        <f>$C800*VLOOKUP($B800,FoodDB!$A$2:$I$1014,8,0)</f>
        <v>0</v>
      </c>
      <c r="J800">
        <f>$C800*VLOOKUP($B800,FoodDB!$A$2:$I$1014,9,0)</f>
        <v>0</v>
      </c>
    </row>
    <row r="801" spans="1:19" x14ac:dyDescent="0.25">
      <c r="B801" s="99" t="s">
        <v>107</v>
      </c>
      <c r="C801" s="100">
        <v>0</v>
      </c>
      <c r="D801">
        <f>$C801*VLOOKUP($B801,FoodDB!$A$2:$I$1014,3,0)</f>
        <v>0</v>
      </c>
      <c r="E801">
        <f>$C801*VLOOKUP($B801,FoodDB!$A$2:$I$1014,4,0)</f>
        <v>0</v>
      </c>
      <c r="F801">
        <f>$C801*VLOOKUP($B801,FoodDB!$A$2:$I$1014,5,0)</f>
        <v>0</v>
      </c>
      <c r="G801">
        <f>$C801*VLOOKUP($B801,FoodDB!$A$2:$I$1014,6,0)</f>
        <v>0</v>
      </c>
      <c r="H801">
        <f>$C801*VLOOKUP($B801,FoodDB!$A$2:$I$1014,7,0)</f>
        <v>0</v>
      </c>
      <c r="I801">
        <f>$C801*VLOOKUP($B801,FoodDB!$A$2:$I$1014,8,0)</f>
        <v>0</v>
      </c>
      <c r="J801">
        <f>$C801*VLOOKUP($B801,FoodDB!$A$2:$I$1014,9,0)</f>
        <v>0</v>
      </c>
    </row>
    <row r="802" spans="1:19" x14ac:dyDescent="0.25">
      <c r="B802" s="99" t="s">
        <v>107</v>
      </c>
      <c r="C802" s="100">
        <v>0</v>
      </c>
      <c r="D802">
        <f>$C802*VLOOKUP($B802,FoodDB!$A$2:$I$1014,3,0)</f>
        <v>0</v>
      </c>
      <c r="E802">
        <f>$C802*VLOOKUP($B802,FoodDB!$A$2:$I$1014,4,0)</f>
        <v>0</v>
      </c>
      <c r="F802">
        <f>$C802*VLOOKUP($B802,FoodDB!$A$2:$I$1014,5,0)</f>
        <v>0</v>
      </c>
      <c r="G802">
        <f>$C802*VLOOKUP($B802,FoodDB!$A$2:$I$1014,6,0)</f>
        <v>0</v>
      </c>
      <c r="H802">
        <f>$C802*VLOOKUP($B802,FoodDB!$A$2:$I$1014,7,0)</f>
        <v>0</v>
      </c>
      <c r="I802">
        <f>$C802*VLOOKUP($B802,FoodDB!$A$2:$I$1014,8,0)</f>
        <v>0</v>
      </c>
      <c r="J802">
        <f>$C802*VLOOKUP($B802,FoodDB!$A$2:$I$1014,9,0)</f>
        <v>0</v>
      </c>
    </row>
    <row r="803" spans="1:19" x14ac:dyDescent="0.25">
      <c r="B803" s="99" t="s">
        <v>107</v>
      </c>
      <c r="C803" s="100">
        <v>0</v>
      </c>
      <c r="D803">
        <f>$C803*VLOOKUP($B803,FoodDB!$A$2:$I$1014,3,0)</f>
        <v>0</v>
      </c>
      <c r="E803">
        <f>$C803*VLOOKUP($B803,FoodDB!$A$2:$I$1014,4,0)</f>
        <v>0</v>
      </c>
      <c r="F803">
        <f>$C803*VLOOKUP($B803,FoodDB!$A$2:$I$1014,5,0)</f>
        <v>0</v>
      </c>
      <c r="G803">
        <f>$C803*VLOOKUP($B803,FoodDB!$A$2:$I$1014,6,0)</f>
        <v>0</v>
      </c>
      <c r="H803">
        <f>$C803*VLOOKUP($B803,FoodDB!$A$2:$I$1014,7,0)</f>
        <v>0</v>
      </c>
      <c r="I803">
        <f>$C803*VLOOKUP($B803,FoodDB!$A$2:$I$1014,8,0)</f>
        <v>0</v>
      </c>
      <c r="J803">
        <f>$C803*VLOOKUP($B803,FoodDB!$A$2:$I$1014,9,0)</f>
        <v>0</v>
      </c>
    </row>
    <row r="804" spans="1:19" x14ac:dyDescent="0.25">
      <c r="B804" s="99" t="s">
        <v>107</v>
      </c>
      <c r="C804" s="100">
        <v>0</v>
      </c>
      <c r="D804">
        <f>$C804*VLOOKUP($B804,FoodDB!$A$2:$I$1014,3,0)</f>
        <v>0</v>
      </c>
      <c r="E804">
        <f>$C804*VLOOKUP($B804,FoodDB!$A$2:$I$1014,4,0)</f>
        <v>0</v>
      </c>
      <c r="F804">
        <f>$C804*VLOOKUP($B804,FoodDB!$A$2:$I$1014,5,0)</f>
        <v>0</v>
      </c>
      <c r="G804">
        <f>$C804*VLOOKUP($B804,FoodDB!$A$2:$I$1014,6,0)</f>
        <v>0</v>
      </c>
      <c r="H804">
        <f>$C804*VLOOKUP($B804,FoodDB!$A$2:$I$1014,7,0)</f>
        <v>0</v>
      </c>
      <c r="I804">
        <f>$C804*VLOOKUP($B804,FoodDB!$A$2:$I$1014,8,0)</f>
        <v>0</v>
      </c>
      <c r="J804">
        <f>$C804*VLOOKUP($B804,FoodDB!$A$2:$I$1014,9,0)</f>
        <v>0</v>
      </c>
    </row>
    <row r="805" spans="1:19" x14ac:dyDescent="0.25">
      <c r="A805" t="s">
        <v>97</v>
      </c>
      <c r="G805">
        <f>SUM(G798:G804)</f>
        <v>0</v>
      </c>
      <c r="H805">
        <f>SUM(H798:H804)</f>
        <v>0</v>
      </c>
      <c r="I805">
        <f>SUM(I798:I804)</f>
        <v>0</v>
      </c>
      <c r="J805">
        <f>SUM(G805:I805)</f>
        <v>0</v>
      </c>
    </row>
    <row r="806" spans="1:19" x14ac:dyDescent="0.25">
      <c r="A806" t="s">
        <v>101</v>
      </c>
      <c r="B806" t="s">
        <v>102</v>
      </c>
      <c r="E806" s="103"/>
      <c r="F806" s="103"/>
      <c r="G806" s="103">
        <f>VLOOKUP($A798,LossChart!$A$3:$AB$105,14,0)</f>
        <v>745.00961231382371</v>
      </c>
      <c r="H806" s="103">
        <f>VLOOKUP($A798,LossChart!$A$3:$AB$105,15,0)</f>
        <v>80</v>
      </c>
      <c r="I806" s="103">
        <f>VLOOKUP($A798,LossChart!$A$3:$AB$105,16,0)</f>
        <v>477.30407413615825</v>
      </c>
      <c r="J806" s="103">
        <f>VLOOKUP($A798,LossChart!$A$3:$AB$105,17,0)</f>
        <v>1302.313686449982</v>
      </c>
      <c r="K806" s="103"/>
    </row>
    <row r="807" spans="1:19" x14ac:dyDescent="0.25">
      <c r="A807" t="s">
        <v>103</v>
      </c>
      <c r="G807">
        <f>G806-G805</f>
        <v>745.00961231382371</v>
      </c>
      <c r="H807">
        <f>H806-H805</f>
        <v>80</v>
      </c>
      <c r="I807">
        <f>I806-I805</f>
        <v>477.30407413615825</v>
      </c>
      <c r="J807">
        <f>J806-J805</f>
        <v>1302.313686449982</v>
      </c>
    </row>
    <row r="809" spans="1:19" ht="60" x14ac:dyDescent="0.25">
      <c r="A809" s="26" t="s">
        <v>63</v>
      </c>
      <c r="B809" s="26" t="s">
        <v>92</v>
      </c>
      <c r="C809" s="26" t="s">
        <v>93</v>
      </c>
      <c r="D809" s="97" t="str">
        <f>FoodDB!$C$1</f>
        <v>Fat
(g)</v>
      </c>
      <c r="E809" s="97" t="str">
        <f>FoodDB!$D$1</f>
        <v xml:space="preserve"> Carbs
(g)</v>
      </c>
      <c r="F809" s="97" t="str">
        <f>FoodDB!$E$1</f>
        <v>Protein
(g)</v>
      </c>
      <c r="G809" s="97" t="str">
        <f>FoodDB!$F$1</f>
        <v>Fat
(Cal)</v>
      </c>
      <c r="H809" s="97" t="str">
        <f>FoodDB!$G$1</f>
        <v>Carb
(Cal)</v>
      </c>
      <c r="I809" s="97" t="str">
        <f>FoodDB!$H$1</f>
        <v>Protein
(Cal)</v>
      </c>
      <c r="J809" s="97" t="str">
        <f>FoodDB!$I$1</f>
        <v>Total
Calories</v>
      </c>
      <c r="K809" s="97"/>
      <c r="L809" s="97" t="s">
        <v>109</v>
      </c>
      <c r="M809" s="97" t="s">
        <v>110</v>
      </c>
      <c r="N809" s="97" t="s">
        <v>111</v>
      </c>
      <c r="O809" s="97" t="s">
        <v>112</v>
      </c>
      <c r="P809" s="97" t="s">
        <v>117</v>
      </c>
      <c r="Q809" s="97" t="s">
        <v>118</v>
      </c>
      <c r="R809" s="97" t="s">
        <v>119</v>
      </c>
      <c r="S809" s="97" t="s">
        <v>120</v>
      </c>
    </row>
    <row r="810" spans="1:19" x14ac:dyDescent="0.25">
      <c r="A810" s="98">
        <f>A798+1</f>
        <v>43061</v>
      </c>
      <c r="B810" s="99" t="s">
        <v>107</v>
      </c>
      <c r="C810" s="100">
        <v>0</v>
      </c>
      <c r="D810">
        <f>$C810*VLOOKUP($B810,FoodDB!$A$2:$I$1014,3,0)</f>
        <v>0</v>
      </c>
      <c r="E810">
        <f>$C810*VLOOKUP($B810,FoodDB!$A$2:$I$1014,4,0)</f>
        <v>0</v>
      </c>
      <c r="F810">
        <f>$C810*VLOOKUP($B810,FoodDB!$A$2:$I$1014,5,0)</f>
        <v>0</v>
      </c>
      <c r="G810">
        <f>$C810*VLOOKUP($B810,FoodDB!$A$2:$I$1014,6,0)</f>
        <v>0</v>
      </c>
      <c r="H810">
        <f>$C810*VLOOKUP($B810,FoodDB!$A$2:$I$1014,7,0)</f>
        <v>0</v>
      </c>
      <c r="I810">
        <f>$C810*VLOOKUP($B810,FoodDB!$A$2:$I$1014,8,0)</f>
        <v>0</v>
      </c>
      <c r="J810">
        <f>$C810*VLOOKUP($B810,FoodDB!$A$2:$I$1014,9,0)</f>
        <v>0</v>
      </c>
      <c r="L810">
        <f>SUM(G810:G816)</f>
        <v>0</v>
      </c>
      <c r="M810">
        <f>SUM(H810:H816)</f>
        <v>0</v>
      </c>
      <c r="N810">
        <f>SUM(I810:I816)</f>
        <v>0</v>
      </c>
      <c r="O810">
        <f>SUM(L810:N810)</f>
        <v>0</v>
      </c>
      <c r="P810" s="103">
        <f>VLOOKUP($A810,LossChart!$A$3:$AB$105,14,0)-L810</f>
        <v>749.91340324254406</v>
      </c>
      <c r="Q810" s="103">
        <f>VLOOKUP($A810,LossChart!$A$3:$AB$105,15,0)-M810</f>
        <v>80</v>
      </c>
      <c r="R810" s="103">
        <f>VLOOKUP($A810,LossChart!$A$3:$AB$105,16,0)-N810</f>
        <v>477.30407413615825</v>
      </c>
      <c r="S810" s="103">
        <f>VLOOKUP($A810,LossChart!$A$3:$AB$105,17,0)-O810</f>
        <v>1307.2174773787024</v>
      </c>
    </row>
    <row r="811" spans="1:19" x14ac:dyDescent="0.25">
      <c r="B811" s="99" t="s">
        <v>107</v>
      </c>
      <c r="C811" s="100">
        <v>0</v>
      </c>
      <c r="D811">
        <f>$C811*VLOOKUP($B811,FoodDB!$A$2:$I$1014,3,0)</f>
        <v>0</v>
      </c>
      <c r="E811">
        <f>$C811*VLOOKUP($B811,FoodDB!$A$2:$I$1014,4,0)</f>
        <v>0</v>
      </c>
      <c r="F811">
        <f>$C811*VLOOKUP($B811,FoodDB!$A$2:$I$1014,5,0)</f>
        <v>0</v>
      </c>
      <c r="G811">
        <f>$C811*VLOOKUP($B811,FoodDB!$A$2:$I$1014,6,0)</f>
        <v>0</v>
      </c>
      <c r="H811">
        <f>$C811*VLOOKUP($B811,FoodDB!$A$2:$I$1014,7,0)</f>
        <v>0</v>
      </c>
      <c r="I811">
        <f>$C811*VLOOKUP($B811,FoodDB!$A$2:$I$1014,8,0)</f>
        <v>0</v>
      </c>
      <c r="J811">
        <f>$C811*VLOOKUP($B811,FoodDB!$A$2:$I$1014,9,0)</f>
        <v>0</v>
      </c>
    </row>
    <row r="812" spans="1:19" x14ac:dyDescent="0.25">
      <c r="B812" s="99" t="s">
        <v>107</v>
      </c>
      <c r="C812" s="100">
        <v>0</v>
      </c>
      <c r="D812">
        <f>$C812*VLOOKUP($B812,FoodDB!$A$2:$I$1014,3,0)</f>
        <v>0</v>
      </c>
      <c r="E812">
        <f>$C812*VLOOKUP($B812,FoodDB!$A$2:$I$1014,4,0)</f>
        <v>0</v>
      </c>
      <c r="F812">
        <f>$C812*VLOOKUP($B812,FoodDB!$A$2:$I$1014,5,0)</f>
        <v>0</v>
      </c>
      <c r="G812">
        <f>$C812*VLOOKUP($B812,FoodDB!$A$2:$I$1014,6,0)</f>
        <v>0</v>
      </c>
      <c r="H812">
        <f>$C812*VLOOKUP($B812,FoodDB!$A$2:$I$1014,7,0)</f>
        <v>0</v>
      </c>
      <c r="I812">
        <f>$C812*VLOOKUP($B812,FoodDB!$A$2:$I$1014,8,0)</f>
        <v>0</v>
      </c>
      <c r="J812">
        <f>$C812*VLOOKUP($B812,FoodDB!$A$2:$I$1014,9,0)</f>
        <v>0</v>
      </c>
    </row>
    <row r="813" spans="1:19" x14ac:dyDescent="0.25">
      <c r="B813" s="99" t="s">
        <v>107</v>
      </c>
      <c r="C813" s="100">
        <v>0</v>
      </c>
      <c r="D813">
        <f>$C813*VLOOKUP($B813,FoodDB!$A$2:$I$1014,3,0)</f>
        <v>0</v>
      </c>
      <c r="E813">
        <f>$C813*VLOOKUP($B813,FoodDB!$A$2:$I$1014,4,0)</f>
        <v>0</v>
      </c>
      <c r="F813">
        <f>$C813*VLOOKUP($B813,FoodDB!$A$2:$I$1014,5,0)</f>
        <v>0</v>
      </c>
      <c r="G813">
        <f>$C813*VLOOKUP($B813,FoodDB!$A$2:$I$1014,6,0)</f>
        <v>0</v>
      </c>
      <c r="H813">
        <f>$C813*VLOOKUP($B813,FoodDB!$A$2:$I$1014,7,0)</f>
        <v>0</v>
      </c>
      <c r="I813">
        <f>$C813*VLOOKUP($B813,FoodDB!$A$2:$I$1014,8,0)</f>
        <v>0</v>
      </c>
      <c r="J813">
        <f>$C813*VLOOKUP($B813,FoodDB!$A$2:$I$1014,9,0)</f>
        <v>0</v>
      </c>
    </row>
    <row r="814" spans="1:19" x14ac:dyDescent="0.25">
      <c r="B814" s="99" t="s">
        <v>107</v>
      </c>
      <c r="C814" s="100">
        <v>0</v>
      </c>
      <c r="D814">
        <f>$C814*VLOOKUP($B814,FoodDB!$A$2:$I$1014,3,0)</f>
        <v>0</v>
      </c>
      <c r="E814">
        <f>$C814*VLOOKUP($B814,FoodDB!$A$2:$I$1014,4,0)</f>
        <v>0</v>
      </c>
      <c r="F814">
        <f>$C814*VLOOKUP($B814,FoodDB!$A$2:$I$1014,5,0)</f>
        <v>0</v>
      </c>
      <c r="G814">
        <f>$C814*VLOOKUP($B814,FoodDB!$A$2:$I$1014,6,0)</f>
        <v>0</v>
      </c>
      <c r="H814">
        <f>$C814*VLOOKUP($B814,FoodDB!$A$2:$I$1014,7,0)</f>
        <v>0</v>
      </c>
      <c r="I814">
        <f>$C814*VLOOKUP($B814,FoodDB!$A$2:$I$1014,8,0)</f>
        <v>0</v>
      </c>
      <c r="J814">
        <f>$C814*VLOOKUP($B814,FoodDB!$A$2:$I$1014,9,0)</f>
        <v>0</v>
      </c>
    </row>
    <row r="815" spans="1:19" x14ac:dyDescent="0.25">
      <c r="B815" s="99" t="s">
        <v>107</v>
      </c>
      <c r="C815" s="100">
        <v>0</v>
      </c>
      <c r="D815">
        <f>$C815*VLOOKUP($B815,FoodDB!$A$2:$I$1014,3,0)</f>
        <v>0</v>
      </c>
      <c r="E815">
        <f>$C815*VLOOKUP($B815,FoodDB!$A$2:$I$1014,4,0)</f>
        <v>0</v>
      </c>
      <c r="F815">
        <f>$C815*VLOOKUP($B815,FoodDB!$A$2:$I$1014,5,0)</f>
        <v>0</v>
      </c>
      <c r="G815">
        <f>$C815*VLOOKUP($B815,FoodDB!$A$2:$I$1014,6,0)</f>
        <v>0</v>
      </c>
      <c r="H815">
        <f>$C815*VLOOKUP($B815,FoodDB!$A$2:$I$1014,7,0)</f>
        <v>0</v>
      </c>
      <c r="I815">
        <f>$C815*VLOOKUP($B815,FoodDB!$A$2:$I$1014,8,0)</f>
        <v>0</v>
      </c>
      <c r="J815">
        <f>$C815*VLOOKUP($B815,FoodDB!$A$2:$I$1014,9,0)</f>
        <v>0</v>
      </c>
    </row>
    <row r="816" spans="1:19" x14ac:dyDescent="0.25">
      <c r="B816" s="99" t="s">
        <v>107</v>
      </c>
      <c r="C816" s="100">
        <v>0</v>
      </c>
      <c r="D816">
        <f>$C816*VLOOKUP($B816,FoodDB!$A$2:$I$1014,3,0)</f>
        <v>0</v>
      </c>
      <c r="E816">
        <f>$C816*VLOOKUP($B816,FoodDB!$A$2:$I$1014,4,0)</f>
        <v>0</v>
      </c>
      <c r="F816">
        <f>$C816*VLOOKUP($B816,FoodDB!$A$2:$I$1014,5,0)</f>
        <v>0</v>
      </c>
      <c r="G816">
        <f>$C816*VLOOKUP($B816,FoodDB!$A$2:$I$1014,6,0)</f>
        <v>0</v>
      </c>
      <c r="H816">
        <f>$C816*VLOOKUP($B816,FoodDB!$A$2:$I$1014,7,0)</f>
        <v>0</v>
      </c>
      <c r="I816">
        <f>$C816*VLOOKUP($B816,FoodDB!$A$2:$I$1014,8,0)</f>
        <v>0</v>
      </c>
      <c r="J816">
        <f>$C816*VLOOKUP($B816,FoodDB!$A$2:$I$1014,9,0)</f>
        <v>0</v>
      </c>
    </row>
    <row r="817" spans="1:19" x14ac:dyDescent="0.25">
      <c r="A817" t="s">
        <v>97</v>
      </c>
      <c r="G817">
        <f>SUM(G810:G816)</f>
        <v>0</v>
      </c>
      <c r="H817">
        <f>SUM(H810:H816)</f>
        <v>0</v>
      </c>
      <c r="I817">
        <f>SUM(I810:I816)</f>
        <v>0</v>
      </c>
      <c r="J817">
        <f>SUM(G817:I817)</f>
        <v>0</v>
      </c>
    </row>
    <row r="818" spans="1:19" x14ac:dyDescent="0.25">
      <c r="A818" t="s">
        <v>101</v>
      </c>
      <c r="B818" t="s">
        <v>102</v>
      </c>
      <c r="E818" s="103"/>
      <c r="F818" s="103"/>
      <c r="G818" s="103">
        <f>VLOOKUP($A810,LossChart!$A$3:$AB$105,14,0)</f>
        <v>749.91340324254406</v>
      </c>
      <c r="H818" s="103">
        <f>VLOOKUP($A810,LossChart!$A$3:$AB$105,15,0)</f>
        <v>80</v>
      </c>
      <c r="I818" s="103">
        <f>VLOOKUP($A810,LossChart!$A$3:$AB$105,16,0)</f>
        <v>477.30407413615825</v>
      </c>
      <c r="J818" s="103">
        <f>VLOOKUP($A810,LossChart!$A$3:$AB$105,17,0)</f>
        <v>1307.2174773787024</v>
      </c>
      <c r="K818" s="103"/>
    </row>
    <row r="819" spans="1:19" x14ac:dyDescent="0.25">
      <c r="A819" t="s">
        <v>103</v>
      </c>
      <c r="G819">
        <f>G818-G817</f>
        <v>749.91340324254406</v>
      </c>
      <c r="H819">
        <f>H818-H817</f>
        <v>80</v>
      </c>
      <c r="I819">
        <f>I818-I817</f>
        <v>477.30407413615825</v>
      </c>
      <c r="J819">
        <f>J818-J817</f>
        <v>1307.2174773787024</v>
      </c>
    </row>
    <row r="821" spans="1:19" ht="60" x14ac:dyDescent="0.25">
      <c r="A821" s="26" t="s">
        <v>63</v>
      </c>
      <c r="B821" s="26" t="s">
        <v>92</v>
      </c>
      <c r="C821" s="26" t="s">
        <v>93</v>
      </c>
      <c r="D821" s="97" t="str">
        <f>FoodDB!$C$1</f>
        <v>Fat
(g)</v>
      </c>
      <c r="E821" s="97" t="str">
        <f>FoodDB!$D$1</f>
        <v xml:space="preserve"> Carbs
(g)</v>
      </c>
      <c r="F821" s="97" t="str">
        <f>FoodDB!$E$1</f>
        <v>Protein
(g)</v>
      </c>
      <c r="G821" s="97" t="str">
        <f>FoodDB!$F$1</f>
        <v>Fat
(Cal)</v>
      </c>
      <c r="H821" s="97" t="str">
        <f>FoodDB!$G$1</f>
        <v>Carb
(Cal)</v>
      </c>
      <c r="I821" s="97" t="str">
        <f>FoodDB!$H$1</f>
        <v>Protein
(Cal)</v>
      </c>
      <c r="J821" s="97" t="str">
        <f>FoodDB!$I$1</f>
        <v>Total
Calories</v>
      </c>
      <c r="K821" s="97"/>
      <c r="L821" s="97" t="s">
        <v>109</v>
      </c>
      <c r="M821" s="97" t="s">
        <v>110</v>
      </c>
      <c r="N821" s="97" t="s">
        <v>111</v>
      </c>
      <c r="O821" s="97" t="s">
        <v>112</v>
      </c>
      <c r="P821" s="97" t="s">
        <v>117</v>
      </c>
      <c r="Q821" s="97" t="s">
        <v>118</v>
      </c>
      <c r="R821" s="97" t="s">
        <v>119</v>
      </c>
      <c r="S821" s="97" t="s">
        <v>120</v>
      </c>
    </row>
    <row r="822" spans="1:19" x14ac:dyDescent="0.25">
      <c r="A822" s="98">
        <f>A810+1</f>
        <v>43062</v>
      </c>
      <c r="B822" s="99" t="s">
        <v>107</v>
      </c>
      <c r="C822" s="100">
        <v>0</v>
      </c>
      <c r="D822">
        <f>$C822*VLOOKUP($B822,FoodDB!$A$2:$I$1014,3,0)</f>
        <v>0</v>
      </c>
      <c r="E822">
        <f>$C822*VLOOKUP($B822,FoodDB!$A$2:$I$1014,4,0)</f>
        <v>0</v>
      </c>
      <c r="F822">
        <f>$C822*VLOOKUP($B822,FoodDB!$A$2:$I$1014,5,0)</f>
        <v>0</v>
      </c>
      <c r="G822">
        <f>$C822*VLOOKUP($B822,FoodDB!$A$2:$I$1014,6,0)</f>
        <v>0</v>
      </c>
      <c r="H822">
        <f>$C822*VLOOKUP($B822,FoodDB!$A$2:$I$1014,7,0)</f>
        <v>0</v>
      </c>
      <c r="I822">
        <f>$C822*VLOOKUP($B822,FoodDB!$A$2:$I$1014,8,0)</f>
        <v>0</v>
      </c>
      <c r="J822">
        <f>$C822*VLOOKUP($B822,FoodDB!$A$2:$I$1014,9,0)</f>
        <v>0</v>
      </c>
      <c r="L822">
        <f>SUM(G822:G828)</f>
        <v>0</v>
      </c>
      <c r="M822">
        <f>SUM(H822:H828)</f>
        <v>0</v>
      </c>
      <c r="N822">
        <f>SUM(I822:I828)</f>
        <v>0</v>
      </c>
      <c r="O822">
        <f>SUM(L822:N822)</f>
        <v>0</v>
      </c>
      <c r="P822" s="103">
        <f>VLOOKUP($A822,LossChart!$A$3:$AB$105,14,0)-L822</f>
        <v>754.77376059446715</v>
      </c>
      <c r="Q822" s="103">
        <f>VLOOKUP($A822,LossChart!$A$3:$AB$105,15,0)-M822</f>
        <v>80</v>
      </c>
      <c r="R822" s="103">
        <f>VLOOKUP($A822,LossChart!$A$3:$AB$105,16,0)-N822</f>
        <v>477.30407413615825</v>
      </c>
      <c r="S822" s="103">
        <f>VLOOKUP($A822,LossChart!$A$3:$AB$105,17,0)-O822</f>
        <v>1312.0778347306255</v>
      </c>
    </row>
    <row r="823" spans="1:19" x14ac:dyDescent="0.25">
      <c r="B823" s="99" t="s">
        <v>107</v>
      </c>
      <c r="C823" s="100">
        <v>0</v>
      </c>
      <c r="D823">
        <f>$C823*VLOOKUP($B823,FoodDB!$A$2:$I$1014,3,0)</f>
        <v>0</v>
      </c>
      <c r="E823">
        <f>$C823*VLOOKUP($B823,FoodDB!$A$2:$I$1014,4,0)</f>
        <v>0</v>
      </c>
      <c r="F823">
        <f>$C823*VLOOKUP($B823,FoodDB!$A$2:$I$1014,5,0)</f>
        <v>0</v>
      </c>
      <c r="G823">
        <f>$C823*VLOOKUP($B823,FoodDB!$A$2:$I$1014,6,0)</f>
        <v>0</v>
      </c>
      <c r="H823">
        <f>$C823*VLOOKUP($B823,FoodDB!$A$2:$I$1014,7,0)</f>
        <v>0</v>
      </c>
      <c r="I823">
        <f>$C823*VLOOKUP($B823,FoodDB!$A$2:$I$1014,8,0)</f>
        <v>0</v>
      </c>
      <c r="J823">
        <f>$C823*VLOOKUP($B823,FoodDB!$A$2:$I$1014,9,0)</f>
        <v>0</v>
      </c>
    </row>
    <row r="824" spans="1:19" x14ac:dyDescent="0.25">
      <c r="B824" s="99" t="s">
        <v>107</v>
      </c>
      <c r="C824" s="100">
        <v>0</v>
      </c>
      <c r="D824">
        <f>$C824*VLOOKUP($B824,FoodDB!$A$2:$I$1014,3,0)</f>
        <v>0</v>
      </c>
      <c r="E824">
        <f>$C824*VLOOKUP($B824,FoodDB!$A$2:$I$1014,4,0)</f>
        <v>0</v>
      </c>
      <c r="F824">
        <f>$C824*VLOOKUP($B824,FoodDB!$A$2:$I$1014,5,0)</f>
        <v>0</v>
      </c>
      <c r="G824">
        <f>$C824*VLOOKUP($B824,FoodDB!$A$2:$I$1014,6,0)</f>
        <v>0</v>
      </c>
      <c r="H824">
        <f>$C824*VLOOKUP($B824,FoodDB!$A$2:$I$1014,7,0)</f>
        <v>0</v>
      </c>
      <c r="I824">
        <f>$C824*VLOOKUP($B824,FoodDB!$A$2:$I$1014,8,0)</f>
        <v>0</v>
      </c>
      <c r="J824">
        <f>$C824*VLOOKUP($B824,FoodDB!$A$2:$I$1014,9,0)</f>
        <v>0</v>
      </c>
    </row>
    <row r="825" spans="1:19" x14ac:dyDescent="0.25">
      <c r="B825" s="99" t="s">
        <v>107</v>
      </c>
      <c r="C825" s="100">
        <v>0</v>
      </c>
      <c r="D825">
        <f>$C825*VLOOKUP($B825,FoodDB!$A$2:$I$1014,3,0)</f>
        <v>0</v>
      </c>
      <c r="E825">
        <f>$C825*VLOOKUP($B825,FoodDB!$A$2:$I$1014,4,0)</f>
        <v>0</v>
      </c>
      <c r="F825">
        <f>$C825*VLOOKUP($B825,FoodDB!$A$2:$I$1014,5,0)</f>
        <v>0</v>
      </c>
      <c r="G825">
        <f>$C825*VLOOKUP($B825,FoodDB!$A$2:$I$1014,6,0)</f>
        <v>0</v>
      </c>
      <c r="H825">
        <f>$C825*VLOOKUP($B825,FoodDB!$A$2:$I$1014,7,0)</f>
        <v>0</v>
      </c>
      <c r="I825">
        <f>$C825*VLOOKUP($B825,FoodDB!$A$2:$I$1014,8,0)</f>
        <v>0</v>
      </c>
      <c r="J825">
        <f>$C825*VLOOKUP($B825,FoodDB!$A$2:$I$1014,9,0)</f>
        <v>0</v>
      </c>
    </row>
    <row r="826" spans="1:19" x14ac:dyDescent="0.25">
      <c r="B826" s="99" t="s">
        <v>107</v>
      </c>
      <c r="C826" s="100">
        <v>0</v>
      </c>
      <c r="D826">
        <f>$C826*VLOOKUP($B826,FoodDB!$A$2:$I$1014,3,0)</f>
        <v>0</v>
      </c>
      <c r="E826">
        <f>$C826*VLOOKUP($B826,FoodDB!$A$2:$I$1014,4,0)</f>
        <v>0</v>
      </c>
      <c r="F826">
        <f>$C826*VLOOKUP($B826,FoodDB!$A$2:$I$1014,5,0)</f>
        <v>0</v>
      </c>
      <c r="G826">
        <f>$C826*VLOOKUP($B826,FoodDB!$A$2:$I$1014,6,0)</f>
        <v>0</v>
      </c>
      <c r="H826">
        <f>$C826*VLOOKUP($B826,FoodDB!$A$2:$I$1014,7,0)</f>
        <v>0</v>
      </c>
      <c r="I826">
        <f>$C826*VLOOKUP($B826,FoodDB!$A$2:$I$1014,8,0)</f>
        <v>0</v>
      </c>
      <c r="J826">
        <f>$C826*VLOOKUP($B826,FoodDB!$A$2:$I$1014,9,0)</f>
        <v>0</v>
      </c>
    </row>
    <row r="827" spans="1:19" x14ac:dyDescent="0.25">
      <c r="B827" s="99" t="s">
        <v>107</v>
      </c>
      <c r="C827" s="100">
        <v>0</v>
      </c>
      <c r="D827">
        <f>$C827*VLOOKUP($B827,FoodDB!$A$2:$I$1014,3,0)</f>
        <v>0</v>
      </c>
      <c r="E827">
        <f>$C827*VLOOKUP($B827,FoodDB!$A$2:$I$1014,4,0)</f>
        <v>0</v>
      </c>
      <c r="F827">
        <f>$C827*VLOOKUP($B827,FoodDB!$A$2:$I$1014,5,0)</f>
        <v>0</v>
      </c>
      <c r="G827">
        <f>$C827*VLOOKUP($B827,FoodDB!$A$2:$I$1014,6,0)</f>
        <v>0</v>
      </c>
      <c r="H827">
        <f>$C827*VLOOKUP($B827,FoodDB!$A$2:$I$1014,7,0)</f>
        <v>0</v>
      </c>
      <c r="I827">
        <f>$C827*VLOOKUP($B827,FoodDB!$A$2:$I$1014,8,0)</f>
        <v>0</v>
      </c>
      <c r="J827">
        <f>$C827*VLOOKUP($B827,FoodDB!$A$2:$I$1014,9,0)</f>
        <v>0</v>
      </c>
    </row>
    <row r="828" spans="1:19" x14ac:dyDescent="0.25">
      <c r="B828" s="99" t="s">
        <v>107</v>
      </c>
      <c r="C828" s="100">
        <v>0</v>
      </c>
      <c r="D828">
        <f>$C828*VLOOKUP($B828,FoodDB!$A$2:$I$1014,3,0)</f>
        <v>0</v>
      </c>
      <c r="E828">
        <f>$C828*VLOOKUP($B828,FoodDB!$A$2:$I$1014,4,0)</f>
        <v>0</v>
      </c>
      <c r="F828">
        <f>$C828*VLOOKUP($B828,FoodDB!$A$2:$I$1014,5,0)</f>
        <v>0</v>
      </c>
      <c r="G828">
        <f>$C828*VLOOKUP($B828,FoodDB!$A$2:$I$1014,6,0)</f>
        <v>0</v>
      </c>
      <c r="H828">
        <f>$C828*VLOOKUP($B828,FoodDB!$A$2:$I$1014,7,0)</f>
        <v>0</v>
      </c>
      <c r="I828">
        <f>$C828*VLOOKUP($B828,FoodDB!$A$2:$I$1014,8,0)</f>
        <v>0</v>
      </c>
      <c r="J828">
        <f>$C828*VLOOKUP($B828,FoodDB!$A$2:$I$1014,9,0)</f>
        <v>0</v>
      </c>
    </row>
    <row r="829" spans="1:19" x14ac:dyDescent="0.25">
      <c r="A829" t="s">
        <v>97</v>
      </c>
      <c r="G829">
        <f>SUM(G822:G828)</f>
        <v>0</v>
      </c>
      <c r="H829">
        <f>SUM(H822:H828)</f>
        <v>0</v>
      </c>
      <c r="I829">
        <f>SUM(I822:I828)</f>
        <v>0</v>
      </c>
      <c r="J829">
        <f>SUM(G829:I829)</f>
        <v>0</v>
      </c>
    </row>
    <row r="830" spans="1:19" x14ac:dyDescent="0.25">
      <c r="A830" t="s">
        <v>101</v>
      </c>
      <c r="B830" t="s">
        <v>102</v>
      </c>
      <c r="E830" s="103"/>
      <c r="F830" s="103"/>
      <c r="G830" s="103">
        <f>VLOOKUP($A822,LossChart!$A$3:$AB$105,14,0)</f>
        <v>754.77376059446715</v>
      </c>
      <c r="H830" s="103">
        <f>VLOOKUP($A822,LossChart!$A$3:$AB$105,15,0)</f>
        <v>80</v>
      </c>
      <c r="I830" s="103">
        <f>VLOOKUP($A822,LossChart!$A$3:$AB$105,16,0)</f>
        <v>477.30407413615825</v>
      </c>
      <c r="J830" s="103">
        <f>VLOOKUP($A822,LossChart!$A$3:$AB$105,17,0)</f>
        <v>1312.0778347306255</v>
      </c>
      <c r="K830" s="103"/>
    </row>
    <row r="831" spans="1:19" x14ac:dyDescent="0.25">
      <c r="A831" t="s">
        <v>103</v>
      </c>
      <c r="G831">
        <f>G830-G829</f>
        <v>754.77376059446715</v>
      </c>
      <c r="H831">
        <f>H830-H829</f>
        <v>80</v>
      </c>
      <c r="I831">
        <f>I830-I829</f>
        <v>477.30407413615825</v>
      </c>
      <c r="J831">
        <f>J830-J829</f>
        <v>1312.0778347306255</v>
      </c>
    </row>
    <row r="833" spans="1:19" ht="60" x14ac:dyDescent="0.25">
      <c r="A833" s="26" t="s">
        <v>63</v>
      </c>
      <c r="B833" s="26" t="s">
        <v>92</v>
      </c>
      <c r="C833" s="26" t="s">
        <v>93</v>
      </c>
      <c r="D833" s="97" t="str">
        <f>FoodDB!$C$1</f>
        <v>Fat
(g)</v>
      </c>
      <c r="E833" s="97" t="str">
        <f>FoodDB!$D$1</f>
        <v xml:space="preserve"> Carbs
(g)</v>
      </c>
      <c r="F833" s="97" t="str">
        <f>FoodDB!$E$1</f>
        <v>Protein
(g)</v>
      </c>
      <c r="G833" s="97" t="str">
        <f>FoodDB!$F$1</f>
        <v>Fat
(Cal)</v>
      </c>
      <c r="H833" s="97" t="str">
        <f>FoodDB!$G$1</f>
        <v>Carb
(Cal)</v>
      </c>
      <c r="I833" s="97" t="str">
        <f>FoodDB!$H$1</f>
        <v>Protein
(Cal)</v>
      </c>
      <c r="J833" s="97" t="str">
        <f>FoodDB!$I$1</f>
        <v>Total
Calories</v>
      </c>
      <c r="K833" s="97"/>
      <c r="L833" s="97" t="s">
        <v>109</v>
      </c>
      <c r="M833" s="97" t="s">
        <v>110</v>
      </c>
      <c r="N833" s="97" t="s">
        <v>111</v>
      </c>
      <c r="O833" s="97" t="s">
        <v>112</v>
      </c>
      <c r="P833" s="97" t="s">
        <v>117</v>
      </c>
      <c r="Q833" s="97" t="s">
        <v>118</v>
      </c>
      <c r="R833" s="97" t="s">
        <v>119</v>
      </c>
      <c r="S833" s="97" t="s">
        <v>120</v>
      </c>
    </row>
    <row r="834" spans="1:19" x14ac:dyDescent="0.25">
      <c r="A834" s="98">
        <f>A822+1</f>
        <v>43063</v>
      </c>
      <c r="B834" s="99" t="s">
        <v>107</v>
      </c>
      <c r="C834" s="100">
        <v>0</v>
      </c>
      <c r="D834">
        <f>$C834*VLOOKUP($B834,FoodDB!$A$2:$I$1014,3,0)</f>
        <v>0</v>
      </c>
      <c r="E834">
        <f>$C834*VLOOKUP($B834,FoodDB!$A$2:$I$1014,4,0)</f>
        <v>0</v>
      </c>
      <c r="F834">
        <f>$C834*VLOOKUP($B834,FoodDB!$A$2:$I$1014,5,0)</f>
        <v>0</v>
      </c>
      <c r="G834">
        <f>$C834*VLOOKUP($B834,FoodDB!$A$2:$I$1014,6,0)</f>
        <v>0</v>
      </c>
      <c r="H834">
        <f>$C834*VLOOKUP($B834,FoodDB!$A$2:$I$1014,7,0)</f>
        <v>0</v>
      </c>
      <c r="I834">
        <f>$C834*VLOOKUP($B834,FoodDB!$A$2:$I$1014,8,0)</f>
        <v>0</v>
      </c>
      <c r="J834">
        <f>$C834*VLOOKUP($B834,FoodDB!$A$2:$I$1014,9,0)</f>
        <v>0</v>
      </c>
      <c r="L834">
        <f>SUM(G834:G840)</f>
        <v>0</v>
      </c>
      <c r="M834">
        <f>SUM(H834:H840)</f>
        <v>0</v>
      </c>
      <c r="N834">
        <f>SUM(I834:I840)</f>
        <v>0</v>
      </c>
      <c r="O834">
        <f>SUM(L834:N834)</f>
        <v>0</v>
      </c>
      <c r="P834" s="103">
        <f>VLOOKUP($A834,LossChart!$A$3:$AB$105,14,0)-L834</f>
        <v>759.59106906698753</v>
      </c>
      <c r="Q834" s="103">
        <f>VLOOKUP($A834,LossChart!$A$3:$AB$105,15,0)-M834</f>
        <v>80</v>
      </c>
      <c r="R834" s="103">
        <f>VLOOKUP($A834,LossChart!$A$3:$AB$105,16,0)-N834</f>
        <v>477.30407413615825</v>
      </c>
      <c r="S834" s="103">
        <f>VLOOKUP($A834,LossChart!$A$3:$AB$105,17,0)-O834</f>
        <v>1316.8951432031458</v>
      </c>
    </row>
    <row r="835" spans="1:19" x14ac:dyDescent="0.25">
      <c r="B835" s="99" t="s">
        <v>107</v>
      </c>
      <c r="C835" s="100">
        <v>0</v>
      </c>
      <c r="D835">
        <f>$C835*VLOOKUP($B835,FoodDB!$A$2:$I$1014,3,0)</f>
        <v>0</v>
      </c>
      <c r="E835">
        <f>$C835*VLOOKUP($B835,FoodDB!$A$2:$I$1014,4,0)</f>
        <v>0</v>
      </c>
      <c r="F835">
        <f>$C835*VLOOKUP($B835,FoodDB!$A$2:$I$1014,5,0)</f>
        <v>0</v>
      </c>
      <c r="G835">
        <f>$C835*VLOOKUP($B835,FoodDB!$A$2:$I$1014,6,0)</f>
        <v>0</v>
      </c>
      <c r="H835">
        <f>$C835*VLOOKUP($B835,FoodDB!$A$2:$I$1014,7,0)</f>
        <v>0</v>
      </c>
      <c r="I835">
        <f>$C835*VLOOKUP($B835,FoodDB!$A$2:$I$1014,8,0)</f>
        <v>0</v>
      </c>
      <c r="J835">
        <f>$C835*VLOOKUP($B835,FoodDB!$A$2:$I$1014,9,0)</f>
        <v>0</v>
      </c>
    </row>
    <row r="836" spans="1:19" x14ac:dyDescent="0.25">
      <c r="B836" s="99" t="s">
        <v>107</v>
      </c>
      <c r="C836" s="100">
        <v>0</v>
      </c>
      <c r="D836">
        <f>$C836*VLOOKUP($B836,FoodDB!$A$2:$I$1014,3,0)</f>
        <v>0</v>
      </c>
      <c r="E836">
        <f>$C836*VLOOKUP($B836,FoodDB!$A$2:$I$1014,4,0)</f>
        <v>0</v>
      </c>
      <c r="F836">
        <f>$C836*VLOOKUP($B836,FoodDB!$A$2:$I$1014,5,0)</f>
        <v>0</v>
      </c>
      <c r="G836">
        <f>$C836*VLOOKUP($B836,FoodDB!$A$2:$I$1014,6,0)</f>
        <v>0</v>
      </c>
      <c r="H836">
        <f>$C836*VLOOKUP($B836,FoodDB!$A$2:$I$1014,7,0)</f>
        <v>0</v>
      </c>
      <c r="I836">
        <f>$C836*VLOOKUP($B836,FoodDB!$A$2:$I$1014,8,0)</f>
        <v>0</v>
      </c>
      <c r="J836">
        <f>$C836*VLOOKUP($B836,FoodDB!$A$2:$I$1014,9,0)</f>
        <v>0</v>
      </c>
    </row>
    <row r="837" spans="1:19" x14ac:dyDescent="0.25">
      <c r="B837" s="99" t="s">
        <v>107</v>
      </c>
      <c r="C837" s="100">
        <v>0</v>
      </c>
      <c r="D837">
        <f>$C837*VLOOKUP($B837,FoodDB!$A$2:$I$1014,3,0)</f>
        <v>0</v>
      </c>
      <c r="E837">
        <f>$C837*VLOOKUP($B837,FoodDB!$A$2:$I$1014,4,0)</f>
        <v>0</v>
      </c>
      <c r="F837">
        <f>$C837*VLOOKUP($B837,FoodDB!$A$2:$I$1014,5,0)</f>
        <v>0</v>
      </c>
      <c r="G837">
        <f>$C837*VLOOKUP($B837,FoodDB!$A$2:$I$1014,6,0)</f>
        <v>0</v>
      </c>
      <c r="H837">
        <f>$C837*VLOOKUP($B837,FoodDB!$A$2:$I$1014,7,0)</f>
        <v>0</v>
      </c>
      <c r="I837">
        <f>$C837*VLOOKUP($B837,FoodDB!$A$2:$I$1014,8,0)</f>
        <v>0</v>
      </c>
      <c r="J837">
        <f>$C837*VLOOKUP($B837,FoodDB!$A$2:$I$1014,9,0)</f>
        <v>0</v>
      </c>
    </row>
    <row r="838" spans="1:19" x14ac:dyDescent="0.25">
      <c r="B838" s="99" t="s">
        <v>107</v>
      </c>
      <c r="C838" s="100">
        <v>0</v>
      </c>
      <c r="D838">
        <f>$C838*VLOOKUP($B838,FoodDB!$A$2:$I$1014,3,0)</f>
        <v>0</v>
      </c>
      <c r="E838">
        <f>$C838*VLOOKUP($B838,FoodDB!$A$2:$I$1014,4,0)</f>
        <v>0</v>
      </c>
      <c r="F838">
        <f>$C838*VLOOKUP($B838,FoodDB!$A$2:$I$1014,5,0)</f>
        <v>0</v>
      </c>
      <c r="G838">
        <f>$C838*VLOOKUP($B838,FoodDB!$A$2:$I$1014,6,0)</f>
        <v>0</v>
      </c>
      <c r="H838">
        <f>$C838*VLOOKUP($B838,FoodDB!$A$2:$I$1014,7,0)</f>
        <v>0</v>
      </c>
      <c r="I838">
        <f>$C838*VLOOKUP($B838,FoodDB!$A$2:$I$1014,8,0)</f>
        <v>0</v>
      </c>
      <c r="J838">
        <f>$C838*VLOOKUP($B838,FoodDB!$A$2:$I$1014,9,0)</f>
        <v>0</v>
      </c>
    </row>
    <row r="839" spans="1:19" x14ac:dyDescent="0.25">
      <c r="B839" s="99" t="s">
        <v>107</v>
      </c>
      <c r="C839" s="100">
        <v>0</v>
      </c>
      <c r="D839">
        <f>$C839*VLOOKUP($B839,FoodDB!$A$2:$I$1014,3,0)</f>
        <v>0</v>
      </c>
      <c r="E839">
        <f>$C839*VLOOKUP($B839,FoodDB!$A$2:$I$1014,4,0)</f>
        <v>0</v>
      </c>
      <c r="F839">
        <f>$C839*VLOOKUP($B839,FoodDB!$A$2:$I$1014,5,0)</f>
        <v>0</v>
      </c>
      <c r="G839">
        <f>$C839*VLOOKUP($B839,FoodDB!$A$2:$I$1014,6,0)</f>
        <v>0</v>
      </c>
      <c r="H839">
        <f>$C839*VLOOKUP($B839,FoodDB!$A$2:$I$1014,7,0)</f>
        <v>0</v>
      </c>
      <c r="I839">
        <f>$C839*VLOOKUP($B839,FoodDB!$A$2:$I$1014,8,0)</f>
        <v>0</v>
      </c>
      <c r="J839">
        <f>$C839*VLOOKUP($B839,FoodDB!$A$2:$I$1014,9,0)</f>
        <v>0</v>
      </c>
    </row>
    <row r="840" spans="1:19" x14ac:dyDescent="0.25">
      <c r="B840" s="99" t="s">
        <v>107</v>
      </c>
      <c r="C840" s="100">
        <v>0</v>
      </c>
      <c r="D840">
        <f>$C840*VLOOKUP($B840,FoodDB!$A$2:$I$1014,3,0)</f>
        <v>0</v>
      </c>
      <c r="E840">
        <f>$C840*VLOOKUP($B840,FoodDB!$A$2:$I$1014,4,0)</f>
        <v>0</v>
      </c>
      <c r="F840">
        <f>$C840*VLOOKUP($B840,FoodDB!$A$2:$I$1014,5,0)</f>
        <v>0</v>
      </c>
      <c r="G840">
        <f>$C840*VLOOKUP($B840,FoodDB!$A$2:$I$1014,6,0)</f>
        <v>0</v>
      </c>
      <c r="H840">
        <f>$C840*VLOOKUP($B840,FoodDB!$A$2:$I$1014,7,0)</f>
        <v>0</v>
      </c>
      <c r="I840">
        <f>$C840*VLOOKUP($B840,FoodDB!$A$2:$I$1014,8,0)</f>
        <v>0</v>
      </c>
      <c r="J840">
        <f>$C840*VLOOKUP($B840,FoodDB!$A$2:$I$1014,9,0)</f>
        <v>0</v>
      </c>
    </row>
    <row r="841" spans="1:19" x14ac:dyDescent="0.25">
      <c r="A841" t="s">
        <v>97</v>
      </c>
      <c r="G841">
        <f>SUM(G834:G840)</f>
        <v>0</v>
      </c>
      <c r="H841">
        <f>SUM(H834:H840)</f>
        <v>0</v>
      </c>
      <c r="I841">
        <f>SUM(I834:I840)</f>
        <v>0</v>
      </c>
      <c r="J841">
        <f>SUM(G841:I841)</f>
        <v>0</v>
      </c>
    </row>
    <row r="842" spans="1:19" x14ac:dyDescent="0.25">
      <c r="A842" t="s">
        <v>101</v>
      </c>
      <c r="B842" t="s">
        <v>102</v>
      </c>
      <c r="E842" s="103"/>
      <c r="F842" s="103"/>
      <c r="G842" s="103">
        <f>VLOOKUP($A834,LossChart!$A$3:$AB$105,14,0)</f>
        <v>759.59106906698753</v>
      </c>
      <c r="H842" s="103">
        <f>VLOOKUP($A834,LossChart!$A$3:$AB$105,15,0)</f>
        <v>80</v>
      </c>
      <c r="I842" s="103">
        <f>VLOOKUP($A834,LossChart!$A$3:$AB$105,16,0)</f>
        <v>477.30407413615825</v>
      </c>
      <c r="J842" s="103">
        <f>VLOOKUP($A834,LossChart!$A$3:$AB$105,17,0)</f>
        <v>1316.8951432031458</v>
      </c>
      <c r="K842" s="103"/>
    </row>
    <row r="843" spans="1:19" x14ac:dyDescent="0.25">
      <c r="A843" t="s">
        <v>103</v>
      </c>
      <c r="G843">
        <f>G842-G841</f>
        <v>759.59106906698753</v>
      </c>
      <c r="H843">
        <f>H842-H841</f>
        <v>80</v>
      </c>
      <c r="I843">
        <f>I842-I841</f>
        <v>477.30407413615825</v>
      </c>
      <c r="J843">
        <f>J842-J841</f>
        <v>1316.8951432031458</v>
      </c>
    </row>
    <row r="845" spans="1:19" ht="60" x14ac:dyDescent="0.25">
      <c r="A845" s="26" t="s">
        <v>63</v>
      </c>
      <c r="B845" s="26" t="s">
        <v>92</v>
      </c>
      <c r="C845" s="26" t="s">
        <v>93</v>
      </c>
      <c r="D845" s="97" t="str">
        <f>FoodDB!$C$1</f>
        <v>Fat
(g)</v>
      </c>
      <c r="E845" s="97" t="str">
        <f>FoodDB!$D$1</f>
        <v xml:space="preserve"> Carbs
(g)</v>
      </c>
      <c r="F845" s="97" t="str">
        <f>FoodDB!$E$1</f>
        <v>Protein
(g)</v>
      </c>
      <c r="G845" s="97" t="str">
        <f>FoodDB!$F$1</f>
        <v>Fat
(Cal)</v>
      </c>
      <c r="H845" s="97" t="str">
        <f>FoodDB!$G$1</f>
        <v>Carb
(Cal)</v>
      </c>
      <c r="I845" s="97" t="str">
        <f>FoodDB!$H$1</f>
        <v>Protein
(Cal)</v>
      </c>
      <c r="J845" s="97" t="str">
        <f>FoodDB!$I$1</f>
        <v>Total
Calories</v>
      </c>
      <c r="K845" s="97"/>
      <c r="L845" s="97" t="s">
        <v>109</v>
      </c>
      <c r="M845" s="97" t="s">
        <v>110</v>
      </c>
      <c r="N845" s="97" t="s">
        <v>111</v>
      </c>
      <c r="O845" s="97" t="s">
        <v>112</v>
      </c>
      <c r="P845" s="97" t="s">
        <v>117</v>
      </c>
      <c r="Q845" s="97" t="s">
        <v>118</v>
      </c>
      <c r="R845" s="97" t="s">
        <v>119</v>
      </c>
      <c r="S845" s="97" t="s">
        <v>120</v>
      </c>
    </row>
    <row r="846" spans="1:19" x14ac:dyDescent="0.25">
      <c r="A846" s="98">
        <f>A834+1</f>
        <v>43064</v>
      </c>
      <c r="B846" s="99" t="s">
        <v>107</v>
      </c>
      <c r="C846" s="100">
        <v>0</v>
      </c>
      <c r="D846">
        <f>$C846*VLOOKUP($B846,FoodDB!$A$2:$I$1014,3,0)</f>
        <v>0</v>
      </c>
      <c r="E846">
        <f>$C846*VLOOKUP($B846,FoodDB!$A$2:$I$1014,4,0)</f>
        <v>0</v>
      </c>
      <c r="F846">
        <f>$C846*VLOOKUP($B846,FoodDB!$A$2:$I$1014,5,0)</f>
        <v>0</v>
      </c>
      <c r="G846">
        <f>$C846*VLOOKUP($B846,FoodDB!$A$2:$I$1014,6,0)</f>
        <v>0</v>
      </c>
      <c r="H846">
        <f>$C846*VLOOKUP($B846,FoodDB!$A$2:$I$1014,7,0)</f>
        <v>0</v>
      </c>
      <c r="I846">
        <f>$C846*VLOOKUP($B846,FoodDB!$A$2:$I$1014,8,0)</f>
        <v>0</v>
      </c>
      <c r="J846">
        <f>$C846*VLOOKUP($B846,FoodDB!$A$2:$I$1014,9,0)</f>
        <v>0</v>
      </c>
      <c r="L846">
        <f>SUM(G846:G852)</f>
        <v>0</v>
      </c>
      <c r="M846">
        <f>SUM(H846:H852)</f>
        <v>0</v>
      </c>
      <c r="N846">
        <f>SUM(I846:I852)</f>
        <v>0</v>
      </c>
      <c r="O846">
        <f>SUM(L846:N846)</f>
        <v>0</v>
      </c>
      <c r="P846" s="103">
        <f>VLOOKUP($A846,LossChart!$A$3:$AB$105,14,0)-L846</f>
        <v>764.36570995017973</v>
      </c>
      <c r="Q846" s="103">
        <f>VLOOKUP($A846,LossChart!$A$3:$AB$105,15,0)-M846</f>
        <v>80</v>
      </c>
      <c r="R846" s="103">
        <f>VLOOKUP($A846,LossChart!$A$3:$AB$105,16,0)-N846</f>
        <v>477.30407413615825</v>
      </c>
      <c r="S846" s="103">
        <f>VLOOKUP($A846,LossChart!$A$3:$AB$105,17,0)-O846</f>
        <v>1321.669784086338</v>
      </c>
    </row>
    <row r="847" spans="1:19" x14ac:dyDescent="0.25">
      <c r="B847" s="99" t="s">
        <v>107</v>
      </c>
      <c r="C847" s="100">
        <v>0</v>
      </c>
      <c r="D847">
        <f>$C847*VLOOKUP($B847,FoodDB!$A$2:$I$1014,3,0)</f>
        <v>0</v>
      </c>
      <c r="E847">
        <f>$C847*VLOOKUP($B847,FoodDB!$A$2:$I$1014,4,0)</f>
        <v>0</v>
      </c>
      <c r="F847">
        <f>$C847*VLOOKUP($B847,FoodDB!$A$2:$I$1014,5,0)</f>
        <v>0</v>
      </c>
      <c r="G847">
        <f>$C847*VLOOKUP($B847,FoodDB!$A$2:$I$1014,6,0)</f>
        <v>0</v>
      </c>
      <c r="H847">
        <f>$C847*VLOOKUP($B847,FoodDB!$A$2:$I$1014,7,0)</f>
        <v>0</v>
      </c>
      <c r="I847">
        <f>$C847*VLOOKUP($B847,FoodDB!$A$2:$I$1014,8,0)</f>
        <v>0</v>
      </c>
      <c r="J847">
        <f>$C847*VLOOKUP($B847,FoodDB!$A$2:$I$1014,9,0)</f>
        <v>0</v>
      </c>
    </row>
    <row r="848" spans="1:19" x14ac:dyDescent="0.25">
      <c r="B848" s="99" t="s">
        <v>107</v>
      </c>
      <c r="C848" s="100">
        <v>0</v>
      </c>
      <c r="D848">
        <f>$C848*VLOOKUP($B848,FoodDB!$A$2:$I$1014,3,0)</f>
        <v>0</v>
      </c>
      <c r="E848">
        <f>$C848*VLOOKUP($B848,FoodDB!$A$2:$I$1014,4,0)</f>
        <v>0</v>
      </c>
      <c r="F848">
        <f>$C848*VLOOKUP($B848,FoodDB!$A$2:$I$1014,5,0)</f>
        <v>0</v>
      </c>
      <c r="G848">
        <f>$C848*VLOOKUP($B848,FoodDB!$A$2:$I$1014,6,0)</f>
        <v>0</v>
      </c>
      <c r="H848">
        <f>$C848*VLOOKUP($B848,FoodDB!$A$2:$I$1014,7,0)</f>
        <v>0</v>
      </c>
      <c r="I848">
        <f>$C848*VLOOKUP($B848,FoodDB!$A$2:$I$1014,8,0)</f>
        <v>0</v>
      </c>
      <c r="J848">
        <f>$C848*VLOOKUP($B848,FoodDB!$A$2:$I$1014,9,0)</f>
        <v>0</v>
      </c>
    </row>
    <row r="849" spans="1:19" x14ac:dyDescent="0.25">
      <c r="B849" s="99" t="s">
        <v>107</v>
      </c>
      <c r="C849" s="100">
        <v>0</v>
      </c>
      <c r="D849">
        <f>$C849*VLOOKUP($B849,FoodDB!$A$2:$I$1014,3,0)</f>
        <v>0</v>
      </c>
      <c r="E849">
        <f>$C849*VLOOKUP($B849,FoodDB!$A$2:$I$1014,4,0)</f>
        <v>0</v>
      </c>
      <c r="F849">
        <f>$C849*VLOOKUP($B849,FoodDB!$A$2:$I$1014,5,0)</f>
        <v>0</v>
      </c>
      <c r="G849">
        <f>$C849*VLOOKUP($B849,FoodDB!$A$2:$I$1014,6,0)</f>
        <v>0</v>
      </c>
      <c r="H849">
        <f>$C849*VLOOKUP($B849,FoodDB!$A$2:$I$1014,7,0)</f>
        <v>0</v>
      </c>
      <c r="I849">
        <f>$C849*VLOOKUP($B849,FoodDB!$A$2:$I$1014,8,0)</f>
        <v>0</v>
      </c>
      <c r="J849">
        <f>$C849*VLOOKUP($B849,FoodDB!$A$2:$I$1014,9,0)</f>
        <v>0</v>
      </c>
    </row>
    <row r="850" spans="1:19" x14ac:dyDescent="0.25">
      <c r="B850" s="99" t="s">
        <v>107</v>
      </c>
      <c r="C850" s="100">
        <v>0</v>
      </c>
      <c r="D850">
        <f>$C850*VLOOKUP($B850,FoodDB!$A$2:$I$1014,3,0)</f>
        <v>0</v>
      </c>
      <c r="E850">
        <f>$C850*VLOOKUP($B850,FoodDB!$A$2:$I$1014,4,0)</f>
        <v>0</v>
      </c>
      <c r="F850">
        <f>$C850*VLOOKUP($B850,FoodDB!$A$2:$I$1014,5,0)</f>
        <v>0</v>
      </c>
      <c r="G850">
        <f>$C850*VLOOKUP($B850,FoodDB!$A$2:$I$1014,6,0)</f>
        <v>0</v>
      </c>
      <c r="H850">
        <f>$C850*VLOOKUP($B850,FoodDB!$A$2:$I$1014,7,0)</f>
        <v>0</v>
      </c>
      <c r="I850">
        <f>$C850*VLOOKUP($B850,FoodDB!$A$2:$I$1014,8,0)</f>
        <v>0</v>
      </c>
      <c r="J850">
        <f>$C850*VLOOKUP($B850,FoodDB!$A$2:$I$1014,9,0)</f>
        <v>0</v>
      </c>
    </row>
    <row r="851" spans="1:19" x14ac:dyDescent="0.25">
      <c r="B851" s="99" t="s">
        <v>107</v>
      </c>
      <c r="C851" s="100">
        <v>0</v>
      </c>
      <c r="D851">
        <f>$C851*VLOOKUP($B851,FoodDB!$A$2:$I$1014,3,0)</f>
        <v>0</v>
      </c>
      <c r="E851">
        <f>$C851*VLOOKUP($B851,FoodDB!$A$2:$I$1014,4,0)</f>
        <v>0</v>
      </c>
      <c r="F851">
        <f>$C851*VLOOKUP($B851,FoodDB!$A$2:$I$1014,5,0)</f>
        <v>0</v>
      </c>
      <c r="G851">
        <f>$C851*VLOOKUP($B851,FoodDB!$A$2:$I$1014,6,0)</f>
        <v>0</v>
      </c>
      <c r="H851">
        <f>$C851*VLOOKUP($B851,FoodDB!$A$2:$I$1014,7,0)</f>
        <v>0</v>
      </c>
      <c r="I851">
        <f>$C851*VLOOKUP($B851,FoodDB!$A$2:$I$1014,8,0)</f>
        <v>0</v>
      </c>
      <c r="J851">
        <f>$C851*VLOOKUP($B851,FoodDB!$A$2:$I$1014,9,0)</f>
        <v>0</v>
      </c>
    </row>
    <row r="852" spans="1:19" x14ac:dyDescent="0.25">
      <c r="B852" s="99" t="s">
        <v>107</v>
      </c>
      <c r="C852" s="100">
        <v>0</v>
      </c>
      <c r="D852">
        <f>$C852*VLOOKUP($B852,FoodDB!$A$2:$I$1014,3,0)</f>
        <v>0</v>
      </c>
      <c r="E852">
        <f>$C852*VLOOKUP($B852,FoodDB!$A$2:$I$1014,4,0)</f>
        <v>0</v>
      </c>
      <c r="F852">
        <f>$C852*VLOOKUP($B852,FoodDB!$A$2:$I$1014,5,0)</f>
        <v>0</v>
      </c>
      <c r="G852">
        <f>$C852*VLOOKUP($B852,FoodDB!$A$2:$I$1014,6,0)</f>
        <v>0</v>
      </c>
      <c r="H852">
        <f>$C852*VLOOKUP($B852,FoodDB!$A$2:$I$1014,7,0)</f>
        <v>0</v>
      </c>
      <c r="I852">
        <f>$C852*VLOOKUP($B852,FoodDB!$A$2:$I$1014,8,0)</f>
        <v>0</v>
      </c>
      <c r="J852">
        <f>$C852*VLOOKUP($B852,FoodDB!$A$2:$I$1014,9,0)</f>
        <v>0</v>
      </c>
    </row>
    <row r="853" spans="1:19" x14ac:dyDescent="0.25">
      <c r="A853" t="s">
        <v>97</v>
      </c>
      <c r="G853">
        <f>SUM(G846:G852)</f>
        <v>0</v>
      </c>
      <c r="H853">
        <f>SUM(H846:H852)</f>
        <v>0</v>
      </c>
      <c r="I853">
        <f>SUM(I846:I852)</f>
        <v>0</v>
      </c>
      <c r="J853">
        <f>SUM(G853:I853)</f>
        <v>0</v>
      </c>
    </row>
    <row r="854" spans="1:19" x14ac:dyDescent="0.25">
      <c r="A854" t="s">
        <v>101</v>
      </c>
      <c r="B854" t="s">
        <v>102</v>
      </c>
      <c r="E854" s="103"/>
      <c r="F854" s="103"/>
      <c r="G854" s="103">
        <f>VLOOKUP($A846,LossChart!$A$3:$AB$105,14,0)</f>
        <v>764.36570995017973</v>
      </c>
      <c r="H854" s="103">
        <f>VLOOKUP($A846,LossChart!$A$3:$AB$105,15,0)</f>
        <v>80</v>
      </c>
      <c r="I854" s="103">
        <f>VLOOKUP($A846,LossChart!$A$3:$AB$105,16,0)</f>
        <v>477.30407413615825</v>
      </c>
      <c r="J854" s="103">
        <f>VLOOKUP($A846,LossChart!$A$3:$AB$105,17,0)</f>
        <v>1321.669784086338</v>
      </c>
      <c r="K854" s="103"/>
    </row>
    <row r="855" spans="1:19" x14ac:dyDescent="0.25">
      <c r="A855" t="s">
        <v>103</v>
      </c>
      <c r="G855">
        <f>G854-G853</f>
        <v>764.36570995017973</v>
      </c>
      <c r="H855">
        <f>H854-H853</f>
        <v>80</v>
      </c>
      <c r="I855">
        <f>I854-I853</f>
        <v>477.30407413615825</v>
      </c>
      <c r="J855">
        <f>J854-J853</f>
        <v>1321.669784086338</v>
      </c>
    </row>
    <row r="857" spans="1:19" ht="60" x14ac:dyDescent="0.25">
      <c r="A857" s="26" t="s">
        <v>63</v>
      </c>
      <c r="B857" s="26" t="s">
        <v>92</v>
      </c>
      <c r="C857" s="26" t="s">
        <v>93</v>
      </c>
      <c r="D857" s="97" t="str">
        <f>FoodDB!$C$1</f>
        <v>Fat
(g)</v>
      </c>
      <c r="E857" s="97" t="str">
        <f>FoodDB!$D$1</f>
        <v xml:space="preserve"> Carbs
(g)</v>
      </c>
      <c r="F857" s="97" t="str">
        <f>FoodDB!$E$1</f>
        <v>Protein
(g)</v>
      </c>
      <c r="G857" s="97" t="str">
        <f>FoodDB!$F$1</f>
        <v>Fat
(Cal)</v>
      </c>
      <c r="H857" s="97" t="str">
        <f>FoodDB!$G$1</f>
        <v>Carb
(Cal)</v>
      </c>
      <c r="I857" s="97" t="str">
        <f>FoodDB!$H$1</f>
        <v>Protein
(Cal)</v>
      </c>
      <c r="J857" s="97" t="str">
        <f>FoodDB!$I$1</f>
        <v>Total
Calories</v>
      </c>
      <c r="K857" s="97"/>
      <c r="L857" s="97" t="s">
        <v>109</v>
      </c>
      <c r="M857" s="97" t="s">
        <v>110</v>
      </c>
      <c r="N857" s="97" t="s">
        <v>111</v>
      </c>
      <c r="O857" s="97" t="s">
        <v>112</v>
      </c>
      <c r="P857" s="97" t="s">
        <v>117</v>
      </c>
      <c r="Q857" s="97" t="s">
        <v>118</v>
      </c>
      <c r="R857" s="97" t="s">
        <v>119</v>
      </c>
      <c r="S857" s="97" t="s">
        <v>120</v>
      </c>
    </row>
    <row r="858" spans="1:19" x14ac:dyDescent="0.25">
      <c r="A858" s="98">
        <f>A846+1</f>
        <v>43065</v>
      </c>
      <c r="B858" s="99" t="s">
        <v>107</v>
      </c>
      <c r="C858" s="100">
        <v>0</v>
      </c>
      <c r="D858">
        <f>$C858*VLOOKUP($B858,FoodDB!$A$2:$I$1014,3,0)</f>
        <v>0</v>
      </c>
      <c r="E858">
        <f>$C858*VLOOKUP($B858,FoodDB!$A$2:$I$1014,4,0)</f>
        <v>0</v>
      </c>
      <c r="F858">
        <f>$C858*VLOOKUP($B858,FoodDB!$A$2:$I$1014,5,0)</f>
        <v>0</v>
      </c>
      <c r="G858">
        <f>$C858*VLOOKUP($B858,FoodDB!$A$2:$I$1014,6,0)</f>
        <v>0</v>
      </c>
      <c r="H858">
        <f>$C858*VLOOKUP($B858,FoodDB!$A$2:$I$1014,7,0)</f>
        <v>0</v>
      </c>
      <c r="I858">
        <f>$C858*VLOOKUP($B858,FoodDB!$A$2:$I$1014,8,0)</f>
        <v>0</v>
      </c>
      <c r="J858">
        <f>$C858*VLOOKUP($B858,FoodDB!$A$2:$I$1014,9,0)</f>
        <v>0</v>
      </c>
      <c r="L858">
        <f>SUM(G858:G864)</f>
        <v>0</v>
      </c>
      <c r="M858">
        <f>SUM(H858:H864)</f>
        <v>0</v>
      </c>
      <c r="N858">
        <f>SUM(I858:I864)</f>
        <v>0</v>
      </c>
      <c r="O858">
        <f>SUM(L858:N858)</f>
        <v>0</v>
      </c>
      <c r="P858" s="103">
        <f>VLOOKUP($A858,LossChart!$A$3:$AB$105,14,0)-L858</f>
        <v>769.09806115697825</v>
      </c>
      <c r="Q858" s="103">
        <f>VLOOKUP($A858,LossChart!$A$3:$AB$105,15,0)-M858</f>
        <v>80</v>
      </c>
      <c r="R858" s="103">
        <f>VLOOKUP($A858,LossChart!$A$3:$AB$105,16,0)-N858</f>
        <v>477.30407413615825</v>
      </c>
      <c r="S858" s="103">
        <f>VLOOKUP($A858,LossChart!$A$3:$AB$105,17,0)-O858</f>
        <v>1326.4021352931366</v>
      </c>
    </row>
    <row r="859" spans="1:19" x14ac:dyDescent="0.25">
      <c r="B859" s="99" t="s">
        <v>107</v>
      </c>
      <c r="C859" s="100">
        <v>0</v>
      </c>
      <c r="D859">
        <f>$C859*VLOOKUP($B859,FoodDB!$A$2:$I$1014,3,0)</f>
        <v>0</v>
      </c>
      <c r="E859">
        <f>$C859*VLOOKUP($B859,FoodDB!$A$2:$I$1014,4,0)</f>
        <v>0</v>
      </c>
      <c r="F859">
        <f>$C859*VLOOKUP($B859,FoodDB!$A$2:$I$1014,5,0)</f>
        <v>0</v>
      </c>
      <c r="G859">
        <f>$C859*VLOOKUP($B859,FoodDB!$A$2:$I$1014,6,0)</f>
        <v>0</v>
      </c>
      <c r="H859">
        <f>$C859*VLOOKUP($B859,FoodDB!$A$2:$I$1014,7,0)</f>
        <v>0</v>
      </c>
      <c r="I859">
        <f>$C859*VLOOKUP($B859,FoodDB!$A$2:$I$1014,8,0)</f>
        <v>0</v>
      </c>
      <c r="J859">
        <f>$C859*VLOOKUP($B859,FoodDB!$A$2:$I$1014,9,0)</f>
        <v>0</v>
      </c>
    </row>
    <row r="860" spans="1:19" x14ac:dyDescent="0.25">
      <c r="B860" s="99" t="s">
        <v>107</v>
      </c>
      <c r="C860" s="100">
        <v>0</v>
      </c>
      <c r="D860">
        <f>$C860*VLOOKUP($B860,FoodDB!$A$2:$I$1014,3,0)</f>
        <v>0</v>
      </c>
      <c r="E860">
        <f>$C860*VLOOKUP($B860,FoodDB!$A$2:$I$1014,4,0)</f>
        <v>0</v>
      </c>
      <c r="F860">
        <f>$C860*VLOOKUP($B860,FoodDB!$A$2:$I$1014,5,0)</f>
        <v>0</v>
      </c>
      <c r="G860">
        <f>$C860*VLOOKUP($B860,FoodDB!$A$2:$I$1014,6,0)</f>
        <v>0</v>
      </c>
      <c r="H860">
        <f>$C860*VLOOKUP($B860,FoodDB!$A$2:$I$1014,7,0)</f>
        <v>0</v>
      </c>
      <c r="I860">
        <f>$C860*VLOOKUP($B860,FoodDB!$A$2:$I$1014,8,0)</f>
        <v>0</v>
      </c>
      <c r="J860">
        <f>$C860*VLOOKUP($B860,FoodDB!$A$2:$I$1014,9,0)</f>
        <v>0</v>
      </c>
    </row>
    <row r="861" spans="1:19" x14ac:dyDescent="0.25">
      <c r="B861" s="99" t="s">
        <v>107</v>
      </c>
      <c r="C861" s="100">
        <v>0</v>
      </c>
      <c r="D861">
        <f>$C861*VLOOKUP($B861,FoodDB!$A$2:$I$1014,3,0)</f>
        <v>0</v>
      </c>
      <c r="E861">
        <f>$C861*VLOOKUP($B861,FoodDB!$A$2:$I$1014,4,0)</f>
        <v>0</v>
      </c>
      <c r="F861">
        <f>$C861*VLOOKUP($B861,FoodDB!$A$2:$I$1014,5,0)</f>
        <v>0</v>
      </c>
      <c r="G861">
        <f>$C861*VLOOKUP($B861,FoodDB!$A$2:$I$1014,6,0)</f>
        <v>0</v>
      </c>
      <c r="H861">
        <f>$C861*VLOOKUP($B861,FoodDB!$A$2:$I$1014,7,0)</f>
        <v>0</v>
      </c>
      <c r="I861">
        <f>$C861*VLOOKUP($B861,FoodDB!$A$2:$I$1014,8,0)</f>
        <v>0</v>
      </c>
      <c r="J861">
        <f>$C861*VLOOKUP($B861,FoodDB!$A$2:$I$1014,9,0)</f>
        <v>0</v>
      </c>
    </row>
    <row r="862" spans="1:19" x14ac:dyDescent="0.25">
      <c r="B862" s="99" t="s">
        <v>107</v>
      </c>
      <c r="C862" s="100">
        <v>0</v>
      </c>
      <c r="D862">
        <f>$C862*VLOOKUP($B862,FoodDB!$A$2:$I$1014,3,0)</f>
        <v>0</v>
      </c>
      <c r="E862">
        <f>$C862*VLOOKUP($B862,FoodDB!$A$2:$I$1014,4,0)</f>
        <v>0</v>
      </c>
      <c r="F862">
        <f>$C862*VLOOKUP($B862,FoodDB!$A$2:$I$1014,5,0)</f>
        <v>0</v>
      </c>
      <c r="G862">
        <f>$C862*VLOOKUP($B862,FoodDB!$A$2:$I$1014,6,0)</f>
        <v>0</v>
      </c>
      <c r="H862">
        <f>$C862*VLOOKUP($B862,FoodDB!$A$2:$I$1014,7,0)</f>
        <v>0</v>
      </c>
      <c r="I862">
        <f>$C862*VLOOKUP($B862,FoodDB!$A$2:$I$1014,8,0)</f>
        <v>0</v>
      </c>
      <c r="J862">
        <f>$C862*VLOOKUP($B862,FoodDB!$A$2:$I$1014,9,0)</f>
        <v>0</v>
      </c>
    </row>
    <row r="863" spans="1:19" x14ac:dyDescent="0.25">
      <c r="B863" s="99" t="s">
        <v>107</v>
      </c>
      <c r="C863" s="100">
        <v>0</v>
      </c>
      <c r="D863">
        <f>$C863*VLOOKUP($B863,FoodDB!$A$2:$I$1014,3,0)</f>
        <v>0</v>
      </c>
      <c r="E863">
        <f>$C863*VLOOKUP($B863,FoodDB!$A$2:$I$1014,4,0)</f>
        <v>0</v>
      </c>
      <c r="F863">
        <f>$C863*VLOOKUP($B863,FoodDB!$A$2:$I$1014,5,0)</f>
        <v>0</v>
      </c>
      <c r="G863">
        <f>$C863*VLOOKUP($B863,FoodDB!$A$2:$I$1014,6,0)</f>
        <v>0</v>
      </c>
      <c r="H863">
        <f>$C863*VLOOKUP($B863,FoodDB!$A$2:$I$1014,7,0)</f>
        <v>0</v>
      </c>
      <c r="I863">
        <f>$C863*VLOOKUP($B863,FoodDB!$A$2:$I$1014,8,0)</f>
        <v>0</v>
      </c>
      <c r="J863">
        <f>$C863*VLOOKUP($B863,FoodDB!$A$2:$I$1014,9,0)</f>
        <v>0</v>
      </c>
    </row>
    <row r="864" spans="1:19" x14ac:dyDescent="0.25">
      <c r="B864" s="99" t="s">
        <v>107</v>
      </c>
      <c r="C864" s="100">
        <v>0</v>
      </c>
      <c r="D864">
        <f>$C864*VLOOKUP($B864,FoodDB!$A$2:$I$1014,3,0)</f>
        <v>0</v>
      </c>
      <c r="E864">
        <f>$C864*VLOOKUP($B864,FoodDB!$A$2:$I$1014,4,0)</f>
        <v>0</v>
      </c>
      <c r="F864">
        <f>$C864*VLOOKUP($B864,FoodDB!$A$2:$I$1014,5,0)</f>
        <v>0</v>
      </c>
      <c r="G864">
        <f>$C864*VLOOKUP($B864,FoodDB!$A$2:$I$1014,6,0)</f>
        <v>0</v>
      </c>
      <c r="H864">
        <f>$C864*VLOOKUP($B864,FoodDB!$A$2:$I$1014,7,0)</f>
        <v>0</v>
      </c>
      <c r="I864">
        <f>$C864*VLOOKUP($B864,FoodDB!$A$2:$I$1014,8,0)</f>
        <v>0</v>
      </c>
      <c r="J864">
        <f>$C864*VLOOKUP($B864,FoodDB!$A$2:$I$1014,9,0)</f>
        <v>0</v>
      </c>
    </row>
    <row r="865" spans="1:19" x14ac:dyDescent="0.25">
      <c r="A865" t="s">
        <v>97</v>
      </c>
      <c r="G865">
        <f>SUM(G858:G864)</f>
        <v>0</v>
      </c>
      <c r="H865">
        <f>SUM(H858:H864)</f>
        <v>0</v>
      </c>
      <c r="I865">
        <f>SUM(I858:I864)</f>
        <v>0</v>
      </c>
      <c r="J865">
        <f>SUM(G865:I865)</f>
        <v>0</v>
      </c>
    </row>
    <row r="866" spans="1:19" x14ac:dyDescent="0.25">
      <c r="A866" t="s">
        <v>101</v>
      </c>
      <c r="B866" t="s">
        <v>102</v>
      </c>
      <c r="E866" s="103"/>
      <c r="F866" s="103"/>
      <c r="G866" s="103">
        <f>VLOOKUP($A858,LossChart!$A$3:$AB$105,14,0)</f>
        <v>769.09806115697825</v>
      </c>
      <c r="H866" s="103">
        <f>VLOOKUP($A858,LossChart!$A$3:$AB$105,15,0)</f>
        <v>80</v>
      </c>
      <c r="I866" s="103">
        <f>VLOOKUP($A858,LossChart!$A$3:$AB$105,16,0)</f>
        <v>477.30407413615825</v>
      </c>
      <c r="J866" s="103">
        <f>VLOOKUP($A858,LossChart!$A$3:$AB$105,17,0)</f>
        <v>1326.4021352931366</v>
      </c>
      <c r="K866" s="103"/>
    </row>
    <row r="867" spans="1:19" x14ac:dyDescent="0.25">
      <c r="A867" t="s">
        <v>103</v>
      </c>
      <c r="G867">
        <f>G866-G865</f>
        <v>769.09806115697825</v>
      </c>
      <c r="H867">
        <f>H866-H865</f>
        <v>80</v>
      </c>
      <c r="I867">
        <f>I866-I865</f>
        <v>477.30407413615825</v>
      </c>
      <c r="J867">
        <f>J866-J865</f>
        <v>1326.4021352931366</v>
      </c>
    </row>
    <row r="869" spans="1:19" ht="60" x14ac:dyDescent="0.25">
      <c r="A869" s="26" t="s">
        <v>63</v>
      </c>
      <c r="B869" s="26" t="s">
        <v>92</v>
      </c>
      <c r="C869" s="26" t="s">
        <v>93</v>
      </c>
      <c r="D869" s="97" t="str">
        <f>FoodDB!$C$1</f>
        <v>Fat
(g)</v>
      </c>
      <c r="E869" s="97" t="str">
        <f>FoodDB!$D$1</f>
        <v xml:space="preserve"> Carbs
(g)</v>
      </c>
      <c r="F869" s="97" t="str">
        <f>FoodDB!$E$1</f>
        <v>Protein
(g)</v>
      </c>
      <c r="G869" s="97" t="str">
        <f>FoodDB!$F$1</f>
        <v>Fat
(Cal)</v>
      </c>
      <c r="H869" s="97" t="str">
        <f>FoodDB!$G$1</f>
        <v>Carb
(Cal)</v>
      </c>
      <c r="I869" s="97" t="str">
        <f>FoodDB!$H$1</f>
        <v>Protein
(Cal)</v>
      </c>
      <c r="J869" s="97" t="str">
        <f>FoodDB!$I$1</f>
        <v>Total
Calories</v>
      </c>
      <c r="K869" s="97"/>
      <c r="L869" s="97" t="s">
        <v>109</v>
      </c>
      <c r="M869" s="97" t="s">
        <v>110</v>
      </c>
      <c r="N869" s="97" t="s">
        <v>111</v>
      </c>
      <c r="O869" s="97" t="s">
        <v>112</v>
      </c>
      <c r="P869" s="97" t="s">
        <v>117</v>
      </c>
      <c r="Q869" s="97" t="s">
        <v>118</v>
      </c>
      <c r="R869" s="97" t="s">
        <v>119</v>
      </c>
      <c r="S869" s="97" t="s">
        <v>120</v>
      </c>
    </row>
    <row r="870" spans="1:19" x14ac:dyDescent="0.25">
      <c r="A870" s="98">
        <f>A858+1</f>
        <v>43066</v>
      </c>
      <c r="B870" s="99" t="s">
        <v>107</v>
      </c>
      <c r="C870" s="100">
        <v>0</v>
      </c>
      <c r="D870">
        <f>$C870*VLOOKUP($B870,FoodDB!$A$2:$I$1014,3,0)</f>
        <v>0</v>
      </c>
      <c r="E870">
        <f>$C870*VLOOKUP($B870,FoodDB!$A$2:$I$1014,4,0)</f>
        <v>0</v>
      </c>
      <c r="F870">
        <f>$C870*VLOOKUP($B870,FoodDB!$A$2:$I$1014,5,0)</f>
        <v>0</v>
      </c>
      <c r="G870">
        <f>$C870*VLOOKUP($B870,FoodDB!$A$2:$I$1014,6,0)</f>
        <v>0</v>
      </c>
      <c r="H870">
        <f>$C870*VLOOKUP($B870,FoodDB!$A$2:$I$1014,7,0)</f>
        <v>0</v>
      </c>
      <c r="I870">
        <f>$C870*VLOOKUP($B870,FoodDB!$A$2:$I$1014,8,0)</f>
        <v>0</v>
      </c>
      <c r="J870">
        <f>$C870*VLOOKUP($B870,FoodDB!$A$2:$I$1014,9,0)</f>
        <v>0</v>
      </c>
      <c r="L870">
        <f>SUM(G870:G876)</f>
        <v>0</v>
      </c>
      <c r="M870">
        <f>SUM(H870:H876)</f>
        <v>0</v>
      </c>
      <c r="N870">
        <f>SUM(I870:I876)</f>
        <v>0</v>
      </c>
      <c r="O870">
        <f>SUM(L870:N870)</f>
        <v>0</v>
      </c>
      <c r="P870" s="103">
        <f>VLOOKUP($A870,LossChart!$A$3:$AB$105,14,0)-L870</f>
        <v>773.78849725308783</v>
      </c>
      <c r="Q870" s="103">
        <f>VLOOKUP($A870,LossChart!$A$3:$AB$105,15,0)-M870</f>
        <v>80</v>
      </c>
      <c r="R870" s="103">
        <f>VLOOKUP($A870,LossChart!$A$3:$AB$105,16,0)-N870</f>
        <v>477.30407413615825</v>
      </c>
      <c r="S870" s="103">
        <f>VLOOKUP($A870,LossChart!$A$3:$AB$105,17,0)-O870</f>
        <v>1331.0925713892461</v>
      </c>
    </row>
    <row r="871" spans="1:19" x14ac:dyDescent="0.25">
      <c r="B871" s="99" t="s">
        <v>107</v>
      </c>
      <c r="C871" s="100">
        <v>0</v>
      </c>
      <c r="D871">
        <f>$C871*VLOOKUP($B871,FoodDB!$A$2:$I$1014,3,0)</f>
        <v>0</v>
      </c>
      <c r="E871">
        <f>$C871*VLOOKUP($B871,FoodDB!$A$2:$I$1014,4,0)</f>
        <v>0</v>
      </c>
      <c r="F871">
        <f>$C871*VLOOKUP($B871,FoodDB!$A$2:$I$1014,5,0)</f>
        <v>0</v>
      </c>
      <c r="G871">
        <f>$C871*VLOOKUP($B871,FoodDB!$A$2:$I$1014,6,0)</f>
        <v>0</v>
      </c>
      <c r="H871">
        <f>$C871*VLOOKUP($B871,FoodDB!$A$2:$I$1014,7,0)</f>
        <v>0</v>
      </c>
      <c r="I871">
        <f>$C871*VLOOKUP($B871,FoodDB!$A$2:$I$1014,8,0)</f>
        <v>0</v>
      </c>
      <c r="J871">
        <f>$C871*VLOOKUP($B871,FoodDB!$A$2:$I$1014,9,0)</f>
        <v>0</v>
      </c>
    </row>
    <row r="872" spans="1:19" x14ac:dyDescent="0.25">
      <c r="B872" s="99" t="s">
        <v>107</v>
      </c>
      <c r="C872" s="100">
        <v>0</v>
      </c>
      <c r="D872">
        <f>$C872*VLOOKUP($B872,FoodDB!$A$2:$I$1014,3,0)</f>
        <v>0</v>
      </c>
      <c r="E872">
        <f>$C872*VLOOKUP($B872,FoodDB!$A$2:$I$1014,4,0)</f>
        <v>0</v>
      </c>
      <c r="F872">
        <f>$C872*VLOOKUP($B872,FoodDB!$A$2:$I$1014,5,0)</f>
        <v>0</v>
      </c>
      <c r="G872">
        <f>$C872*VLOOKUP($B872,FoodDB!$A$2:$I$1014,6,0)</f>
        <v>0</v>
      </c>
      <c r="H872">
        <f>$C872*VLOOKUP($B872,FoodDB!$A$2:$I$1014,7,0)</f>
        <v>0</v>
      </c>
      <c r="I872">
        <f>$C872*VLOOKUP($B872,FoodDB!$A$2:$I$1014,8,0)</f>
        <v>0</v>
      </c>
      <c r="J872">
        <f>$C872*VLOOKUP($B872,FoodDB!$A$2:$I$1014,9,0)</f>
        <v>0</v>
      </c>
    </row>
    <row r="873" spans="1:19" x14ac:dyDescent="0.25">
      <c r="B873" s="99" t="s">
        <v>107</v>
      </c>
      <c r="C873" s="100">
        <v>0</v>
      </c>
      <c r="D873">
        <f>$C873*VLOOKUP($B873,FoodDB!$A$2:$I$1014,3,0)</f>
        <v>0</v>
      </c>
      <c r="E873">
        <f>$C873*VLOOKUP($B873,FoodDB!$A$2:$I$1014,4,0)</f>
        <v>0</v>
      </c>
      <c r="F873">
        <f>$C873*VLOOKUP($B873,FoodDB!$A$2:$I$1014,5,0)</f>
        <v>0</v>
      </c>
      <c r="G873">
        <f>$C873*VLOOKUP($B873,FoodDB!$A$2:$I$1014,6,0)</f>
        <v>0</v>
      </c>
      <c r="H873">
        <f>$C873*VLOOKUP($B873,FoodDB!$A$2:$I$1014,7,0)</f>
        <v>0</v>
      </c>
      <c r="I873">
        <f>$C873*VLOOKUP($B873,FoodDB!$A$2:$I$1014,8,0)</f>
        <v>0</v>
      </c>
      <c r="J873">
        <f>$C873*VLOOKUP($B873,FoodDB!$A$2:$I$1014,9,0)</f>
        <v>0</v>
      </c>
    </row>
    <row r="874" spans="1:19" x14ac:dyDescent="0.25">
      <c r="B874" s="99" t="s">
        <v>107</v>
      </c>
      <c r="C874" s="100">
        <v>0</v>
      </c>
      <c r="D874">
        <f>$C874*VLOOKUP($B874,FoodDB!$A$2:$I$1014,3,0)</f>
        <v>0</v>
      </c>
      <c r="E874">
        <f>$C874*VLOOKUP($B874,FoodDB!$A$2:$I$1014,4,0)</f>
        <v>0</v>
      </c>
      <c r="F874">
        <f>$C874*VLOOKUP($B874,FoodDB!$A$2:$I$1014,5,0)</f>
        <v>0</v>
      </c>
      <c r="G874">
        <f>$C874*VLOOKUP($B874,FoodDB!$A$2:$I$1014,6,0)</f>
        <v>0</v>
      </c>
      <c r="H874">
        <f>$C874*VLOOKUP($B874,FoodDB!$A$2:$I$1014,7,0)</f>
        <v>0</v>
      </c>
      <c r="I874">
        <f>$C874*VLOOKUP($B874,FoodDB!$A$2:$I$1014,8,0)</f>
        <v>0</v>
      </c>
      <c r="J874">
        <f>$C874*VLOOKUP($B874,FoodDB!$A$2:$I$1014,9,0)</f>
        <v>0</v>
      </c>
    </row>
    <row r="875" spans="1:19" x14ac:dyDescent="0.25">
      <c r="B875" s="99" t="s">
        <v>107</v>
      </c>
      <c r="C875" s="100">
        <v>0</v>
      </c>
      <c r="D875">
        <f>$C875*VLOOKUP($B875,FoodDB!$A$2:$I$1014,3,0)</f>
        <v>0</v>
      </c>
      <c r="E875">
        <f>$C875*VLOOKUP($B875,FoodDB!$A$2:$I$1014,4,0)</f>
        <v>0</v>
      </c>
      <c r="F875">
        <f>$C875*VLOOKUP($B875,FoodDB!$A$2:$I$1014,5,0)</f>
        <v>0</v>
      </c>
      <c r="G875">
        <f>$C875*VLOOKUP($B875,FoodDB!$A$2:$I$1014,6,0)</f>
        <v>0</v>
      </c>
      <c r="H875">
        <f>$C875*VLOOKUP($B875,FoodDB!$A$2:$I$1014,7,0)</f>
        <v>0</v>
      </c>
      <c r="I875">
        <f>$C875*VLOOKUP($B875,FoodDB!$A$2:$I$1014,8,0)</f>
        <v>0</v>
      </c>
      <c r="J875">
        <f>$C875*VLOOKUP($B875,FoodDB!$A$2:$I$1014,9,0)</f>
        <v>0</v>
      </c>
    </row>
    <row r="876" spans="1:19" x14ac:dyDescent="0.25">
      <c r="B876" s="99" t="s">
        <v>107</v>
      </c>
      <c r="C876" s="100">
        <v>0</v>
      </c>
      <c r="D876">
        <f>$C876*VLOOKUP($B876,FoodDB!$A$2:$I$1014,3,0)</f>
        <v>0</v>
      </c>
      <c r="E876">
        <f>$C876*VLOOKUP($B876,FoodDB!$A$2:$I$1014,4,0)</f>
        <v>0</v>
      </c>
      <c r="F876">
        <f>$C876*VLOOKUP($B876,FoodDB!$A$2:$I$1014,5,0)</f>
        <v>0</v>
      </c>
      <c r="G876">
        <f>$C876*VLOOKUP($B876,FoodDB!$A$2:$I$1014,6,0)</f>
        <v>0</v>
      </c>
      <c r="H876">
        <f>$C876*VLOOKUP($B876,FoodDB!$A$2:$I$1014,7,0)</f>
        <v>0</v>
      </c>
      <c r="I876">
        <f>$C876*VLOOKUP($B876,FoodDB!$A$2:$I$1014,8,0)</f>
        <v>0</v>
      </c>
      <c r="J876">
        <f>$C876*VLOOKUP($B876,FoodDB!$A$2:$I$1014,9,0)</f>
        <v>0</v>
      </c>
    </row>
    <row r="877" spans="1:19" x14ac:dyDescent="0.25">
      <c r="A877" t="s">
        <v>97</v>
      </c>
      <c r="G877">
        <f>SUM(G870:G876)</f>
        <v>0</v>
      </c>
      <c r="H877">
        <f>SUM(H870:H876)</f>
        <v>0</v>
      </c>
      <c r="I877">
        <f>SUM(I870:I876)</f>
        <v>0</v>
      </c>
      <c r="J877">
        <f>SUM(G877:I877)</f>
        <v>0</v>
      </c>
    </row>
    <row r="878" spans="1:19" x14ac:dyDescent="0.25">
      <c r="A878" t="s">
        <v>101</v>
      </c>
      <c r="B878" t="s">
        <v>102</v>
      </c>
      <c r="E878" s="103"/>
      <c r="F878" s="103"/>
      <c r="G878" s="103">
        <f>VLOOKUP($A870,LossChart!$A$3:$AB$105,14,0)</f>
        <v>773.78849725308783</v>
      </c>
      <c r="H878" s="103">
        <f>VLOOKUP($A870,LossChart!$A$3:$AB$105,15,0)</f>
        <v>80</v>
      </c>
      <c r="I878" s="103">
        <f>VLOOKUP($A870,LossChart!$A$3:$AB$105,16,0)</f>
        <v>477.30407413615825</v>
      </c>
      <c r="J878" s="103">
        <f>VLOOKUP($A870,LossChart!$A$3:$AB$105,17,0)</f>
        <v>1331.0925713892461</v>
      </c>
      <c r="K878" s="103"/>
    </row>
    <row r="879" spans="1:19" x14ac:dyDescent="0.25">
      <c r="A879" t="s">
        <v>103</v>
      </c>
      <c r="G879">
        <f>G878-G877</f>
        <v>773.78849725308783</v>
      </c>
      <c r="H879">
        <f>H878-H877</f>
        <v>80</v>
      </c>
      <c r="I879">
        <f>I878-I877</f>
        <v>477.30407413615825</v>
      </c>
      <c r="J879">
        <f>J878-J877</f>
        <v>1331.0925713892461</v>
      </c>
    </row>
    <row r="881" spans="1:19" ht="60" x14ac:dyDescent="0.25">
      <c r="A881" s="26" t="s">
        <v>63</v>
      </c>
      <c r="B881" s="26" t="s">
        <v>92</v>
      </c>
      <c r="C881" s="26" t="s">
        <v>93</v>
      </c>
      <c r="D881" s="97" t="str">
        <f>FoodDB!$C$1</f>
        <v>Fat
(g)</v>
      </c>
      <c r="E881" s="97" t="str">
        <f>FoodDB!$D$1</f>
        <v xml:space="preserve"> Carbs
(g)</v>
      </c>
      <c r="F881" s="97" t="str">
        <f>FoodDB!$E$1</f>
        <v>Protein
(g)</v>
      </c>
      <c r="G881" s="97" t="str">
        <f>FoodDB!$F$1</f>
        <v>Fat
(Cal)</v>
      </c>
      <c r="H881" s="97" t="str">
        <f>FoodDB!$G$1</f>
        <v>Carb
(Cal)</v>
      </c>
      <c r="I881" s="97" t="str">
        <f>FoodDB!$H$1</f>
        <v>Protein
(Cal)</v>
      </c>
      <c r="J881" s="97" t="str">
        <f>FoodDB!$I$1</f>
        <v>Total
Calories</v>
      </c>
      <c r="K881" s="97"/>
      <c r="L881" s="97" t="s">
        <v>109</v>
      </c>
      <c r="M881" s="97" t="s">
        <v>110</v>
      </c>
      <c r="N881" s="97" t="s">
        <v>111</v>
      </c>
      <c r="O881" s="97" t="s">
        <v>112</v>
      </c>
      <c r="P881" s="97" t="s">
        <v>117</v>
      </c>
      <c r="Q881" s="97" t="s">
        <v>118</v>
      </c>
      <c r="R881" s="97" t="s">
        <v>119</v>
      </c>
      <c r="S881" s="97" t="s">
        <v>120</v>
      </c>
    </row>
    <row r="882" spans="1:19" x14ac:dyDescent="0.25">
      <c r="A882" s="98">
        <f>A870+1</f>
        <v>43067</v>
      </c>
      <c r="B882" s="99" t="s">
        <v>107</v>
      </c>
      <c r="C882" s="100">
        <v>0</v>
      </c>
      <c r="D882">
        <f>$C882*VLOOKUP($B882,FoodDB!$A$2:$I$1014,3,0)</f>
        <v>0</v>
      </c>
      <c r="E882">
        <f>$C882*VLOOKUP($B882,FoodDB!$A$2:$I$1014,4,0)</f>
        <v>0</v>
      </c>
      <c r="F882">
        <f>$C882*VLOOKUP($B882,FoodDB!$A$2:$I$1014,5,0)</f>
        <v>0</v>
      </c>
      <c r="G882">
        <f>$C882*VLOOKUP($B882,FoodDB!$A$2:$I$1014,6,0)</f>
        <v>0</v>
      </c>
      <c r="H882">
        <f>$C882*VLOOKUP($B882,FoodDB!$A$2:$I$1014,7,0)</f>
        <v>0</v>
      </c>
      <c r="I882">
        <f>$C882*VLOOKUP($B882,FoodDB!$A$2:$I$1014,8,0)</f>
        <v>0</v>
      </c>
      <c r="J882">
        <f>$C882*VLOOKUP($B882,FoodDB!$A$2:$I$1014,9,0)</f>
        <v>0</v>
      </c>
      <c r="L882">
        <f>SUM(G882:G888)</f>
        <v>0</v>
      </c>
      <c r="M882">
        <f>SUM(H882:H888)</f>
        <v>0</v>
      </c>
      <c r="N882">
        <f>SUM(I882:I888)</f>
        <v>0</v>
      </c>
      <c r="O882">
        <f>SUM(L882:N882)</f>
        <v>0</v>
      </c>
      <c r="P882" s="103">
        <f>VLOOKUP($A882,LossChart!$A$3:$AB$105,14,0)-L882</f>
        <v>778.43738948663258</v>
      </c>
      <c r="Q882" s="103">
        <f>VLOOKUP($A882,LossChart!$A$3:$AB$105,15,0)-M882</f>
        <v>80</v>
      </c>
      <c r="R882" s="103">
        <f>VLOOKUP($A882,LossChart!$A$3:$AB$105,16,0)-N882</f>
        <v>477.30407413615825</v>
      </c>
      <c r="S882" s="103">
        <f>VLOOKUP($A882,LossChart!$A$3:$AB$105,17,0)-O882</f>
        <v>1335.7414636227909</v>
      </c>
    </row>
    <row r="883" spans="1:19" x14ac:dyDescent="0.25">
      <c r="B883" s="99" t="s">
        <v>107</v>
      </c>
      <c r="C883" s="100">
        <v>0</v>
      </c>
      <c r="D883">
        <f>$C883*VLOOKUP($B883,FoodDB!$A$2:$I$1014,3,0)</f>
        <v>0</v>
      </c>
      <c r="E883">
        <f>$C883*VLOOKUP($B883,FoodDB!$A$2:$I$1014,4,0)</f>
        <v>0</v>
      </c>
      <c r="F883">
        <f>$C883*VLOOKUP($B883,FoodDB!$A$2:$I$1014,5,0)</f>
        <v>0</v>
      </c>
      <c r="G883">
        <f>$C883*VLOOKUP($B883,FoodDB!$A$2:$I$1014,6,0)</f>
        <v>0</v>
      </c>
      <c r="H883">
        <f>$C883*VLOOKUP($B883,FoodDB!$A$2:$I$1014,7,0)</f>
        <v>0</v>
      </c>
      <c r="I883">
        <f>$C883*VLOOKUP($B883,FoodDB!$A$2:$I$1014,8,0)</f>
        <v>0</v>
      </c>
      <c r="J883">
        <f>$C883*VLOOKUP($B883,FoodDB!$A$2:$I$1014,9,0)</f>
        <v>0</v>
      </c>
    </row>
    <row r="884" spans="1:19" x14ac:dyDescent="0.25">
      <c r="B884" s="99" t="s">
        <v>107</v>
      </c>
      <c r="C884" s="100">
        <v>0</v>
      </c>
      <c r="D884">
        <f>$C884*VLOOKUP($B884,FoodDB!$A$2:$I$1014,3,0)</f>
        <v>0</v>
      </c>
      <c r="E884">
        <f>$C884*VLOOKUP($B884,FoodDB!$A$2:$I$1014,4,0)</f>
        <v>0</v>
      </c>
      <c r="F884">
        <f>$C884*VLOOKUP($B884,FoodDB!$A$2:$I$1014,5,0)</f>
        <v>0</v>
      </c>
      <c r="G884">
        <f>$C884*VLOOKUP($B884,FoodDB!$A$2:$I$1014,6,0)</f>
        <v>0</v>
      </c>
      <c r="H884">
        <f>$C884*VLOOKUP($B884,FoodDB!$A$2:$I$1014,7,0)</f>
        <v>0</v>
      </c>
      <c r="I884">
        <f>$C884*VLOOKUP($B884,FoodDB!$A$2:$I$1014,8,0)</f>
        <v>0</v>
      </c>
      <c r="J884">
        <f>$C884*VLOOKUP($B884,FoodDB!$A$2:$I$1014,9,0)</f>
        <v>0</v>
      </c>
    </row>
    <row r="885" spans="1:19" x14ac:dyDescent="0.25">
      <c r="B885" s="99" t="s">
        <v>107</v>
      </c>
      <c r="C885" s="100">
        <v>0</v>
      </c>
      <c r="D885">
        <f>$C885*VLOOKUP($B885,FoodDB!$A$2:$I$1014,3,0)</f>
        <v>0</v>
      </c>
      <c r="E885">
        <f>$C885*VLOOKUP($B885,FoodDB!$A$2:$I$1014,4,0)</f>
        <v>0</v>
      </c>
      <c r="F885">
        <f>$C885*VLOOKUP($B885,FoodDB!$A$2:$I$1014,5,0)</f>
        <v>0</v>
      </c>
      <c r="G885">
        <f>$C885*VLOOKUP($B885,FoodDB!$A$2:$I$1014,6,0)</f>
        <v>0</v>
      </c>
      <c r="H885">
        <f>$C885*VLOOKUP($B885,FoodDB!$A$2:$I$1014,7,0)</f>
        <v>0</v>
      </c>
      <c r="I885">
        <f>$C885*VLOOKUP($B885,FoodDB!$A$2:$I$1014,8,0)</f>
        <v>0</v>
      </c>
      <c r="J885">
        <f>$C885*VLOOKUP($B885,FoodDB!$A$2:$I$1014,9,0)</f>
        <v>0</v>
      </c>
    </row>
    <row r="886" spans="1:19" x14ac:dyDescent="0.25">
      <c r="B886" s="99" t="s">
        <v>107</v>
      </c>
      <c r="C886" s="100">
        <v>0</v>
      </c>
      <c r="D886">
        <f>$C886*VLOOKUP($B886,FoodDB!$A$2:$I$1014,3,0)</f>
        <v>0</v>
      </c>
      <c r="E886">
        <f>$C886*VLOOKUP($B886,FoodDB!$A$2:$I$1014,4,0)</f>
        <v>0</v>
      </c>
      <c r="F886">
        <f>$C886*VLOOKUP($B886,FoodDB!$A$2:$I$1014,5,0)</f>
        <v>0</v>
      </c>
      <c r="G886">
        <f>$C886*VLOOKUP($B886,FoodDB!$A$2:$I$1014,6,0)</f>
        <v>0</v>
      </c>
      <c r="H886">
        <f>$C886*VLOOKUP($B886,FoodDB!$A$2:$I$1014,7,0)</f>
        <v>0</v>
      </c>
      <c r="I886">
        <f>$C886*VLOOKUP($B886,FoodDB!$A$2:$I$1014,8,0)</f>
        <v>0</v>
      </c>
      <c r="J886">
        <f>$C886*VLOOKUP($B886,FoodDB!$A$2:$I$1014,9,0)</f>
        <v>0</v>
      </c>
    </row>
    <row r="887" spans="1:19" x14ac:dyDescent="0.25">
      <c r="B887" s="99" t="s">
        <v>107</v>
      </c>
      <c r="C887" s="100">
        <v>0</v>
      </c>
      <c r="D887">
        <f>$C887*VLOOKUP($B887,FoodDB!$A$2:$I$1014,3,0)</f>
        <v>0</v>
      </c>
      <c r="E887">
        <f>$C887*VLOOKUP($B887,FoodDB!$A$2:$I$1014,4,0)</f>
        <v>0</v>
      </c>
      <c r="F887">
        <f>$C887*VLOOKUP($B887,FoodDB!$A$2:$I$1014,5,0)</f>
        <v>0</v>
      </c>
      <c r="G887">
        <f>$C887*VLOOKUP($B887,FoodDB!$A$2:$I$1014,6,0)</f>
        <v>0</v>
      </c>
      <c r="H887">
        <f>$C887*VLOOKUP($B887,FoodDB!$A$2:$I$1014,7,0)</f>
        <v>0</v>
      </c>
      <c r="I887">
        <f>$C887*VLOOKUP($B887,FoodDB!$A$2:$I$1014,8,0)</f>
        <v>0</v>
      </c>
      <c r="J887">
        <f>$C887*VLOOKUP($B887,FoodDB!$A$2:$I$1014,9,0)</f>
        <v>0</v>
      </c>
    </row>
    <row r="888" spans="1:19" x14ac:dyDescent="0.25">
      <c r="B888" s="99" t="s">
        <v>107</v>
      </c>
      <c r="C888" s="100">
        <v>0</v>
      </c>
      <c r="D888">
        <f>$C888*VLOOKUP($B888,FoodDB!$A$2:$I$1014,3,0)</f>
        <v>0</v>
      </c>
      <c r="E888">
        <f>$C888*VLOOKUP($B888,FoodDB!$A$2:$I$1014,4,0)</f>
        <v>0</v>
      </c>
      <c r="F888">
        <f>$C888*VLOOKUP($B888,FoodDB!$A$2:$I$1014,5,0)</f>
        <v>0</v>
      </c>
      <c r="G888">
        <f>$C888*VLOOKUP($B888,FoodDB!$A$2:$I$1014,6,0)</f>
        <v>0</v>
      </c>
      <c r="H888">
        <f>$C888*VLOOKUP($B888,FoodDB!$A$2:$I$1014,7,0)</f>
        <v>0</v>
      </c>
      <c r="I888">
        <f>$C888*VLOOKUP($B888,FoodDB!$A$2:$I$1014,8,0)</f>
        <v>0</v>
      </c>
      <c r="J888">
        <f>$C888*VLOOKUP($B888,FoodDB!$A$2:$I$1014,9,0)</f>
        <v>0</v>
      </c>
    </row>
    <row r="889" spans="1:19" x14ac:dyDescent="0.25">
      <c r="A889" t="s">
        <v>97</v>
      </c>
      <c r="G889">
        <f>SUM(G882:G888)</f>
        <v>0</v>
      </c>
      <c r="H889">
        <f>SUM(H882:H888)</f>
        <v>0</v>
      </c>
      <c r="I889">
        <f>SUM(I882:I888)</f>
        <v>0</v>
      </c>
      <c r="J889">
        <f>SUM(G889:I889)</f>
        <v>0</v>
      </c>
    </row>
    <row r="890" spans="1:19" x14ac:dyDescent="0.25">
      <c r="A890" t="s">
        <v>101</v>
      </c>
      <c r="B890" t="s">
        <v>102</v>
      </c>
      <c r="E890" s="103"/>
      <c r="F890" s="103"/>
      <c r="G890" s="103">
        <f>VLOOKUP($A882,LossChart!$A$3:$AB$105,14,0)</f>
        <v>778.43738948663258</v>
      </c>
      <c r="H890" s="103">
        <f>VLOOKUP($A882,LossChart!$A$3:$AB$105,15,0)</f>
        <v>80</v>
      </c>
      <c r="I890" s="103">
        <f>VLOOKUP($A882,LossChart!$A$3:$AB$105,16,0)</f>
        <v>477.30407413615825</v>
      </c>
      <c r="J890" s="103">
        <f>VLOOKUP($A882,LossChart!$A$3:$AB$105,17,0)</f>
        <v>1335.7414636227909</v>
      </c>
      <c r="K890" s="103"/>
    </row>
    <row r="891" spans="1:19" x14ac:dyDescent="0.25">
      <c r="A891" t="s">
        <v>103</v>
      </c>
      <c r="G891">
        <f>G890-G889</f>
        <v>778.43738948663258</v>
      </c>
      <c r="H891">
        <f>H890-H889</f>
        <v>80</v>
      </c>
      <c r="I891">
        <f>I890-I889</f>
        <v>477.30407413615825</v>
      </c>
      <c r="J891">
        <f>J890-J889</f>
        <v>1335.7414636227909</v>
      </c>
    </row>
    <row r="893" spans="1:19" ht="60" x14ac:dyDescent="0.25">
      <c r="A893" s="26" t="s">
        <v>63</v>
      </c>
      <c r="B893" s="26" t="s">
        <v>92</v>
      </c>
      <c r="C893" s="26" t="s">
        <v>93</v>
      </c>
      <c r="D893" s="97" t="str">
        <f>FoodDB!$C$1</f>
        <v>Fat
(g)</v>
      </c>
      <c r="E893" s="97" t="str">
        <f>FoodDB!$D$1</f>
        <v xml:space="preserve"> Carbs
(g)</v>
      </c>
      <c r="F893" s="97" t="str">
        <f>FoodDB!$E$1</f>
        <v>Protein
(g)</v>
      </c>
      <c r="G893" s="97" t="str">
        <f>FoodDB!$F$1</f>
        <v>Fat
(Cal)</v>
      </c>
      <c r="H893" s="97" t="str">
        <f>FoodDB!$G$1</f>
        <v>Carb
(Cal)</v>
      </c>
      <c r="I893" s="97" t="str">
        <f>FoodDB!$H$1</f>
        <v>Protein
(Cal)</v>
      </c>
      <c r="J893" s="97" t="str">
        <f>FoodDB!$I$1</f>
        <v>Total
Calories</v>
      </c>
      <c r="K893" s="97"/>
      <c r="L893" s="97" t="s">
        <v>109</v>
      </c>
      <c r="M893" s="97" t="s">
        <v>110</v>
      </c>
      <c r="N893" s="97" t="s">
        <v>111</v>
      </c>
      <c r="O893" s="97" t="s">
        <v>112</v>
      </c>
      <c r="P893" s="97" t="s">
        <v>117</v>
      </c>
      <c r="Q893" s="97" t="s">
        <v>118</v>
      </c>
      <c r="R893" s="97" t="s">
        <v>119</v>
      </c>
      <c r="S893" s="97" t="s">
        <v>120</v>
      </c>
    </row>
    <row r="894" spans="1:19" x14ac:dyDescent="0.25">
      <c r="A894" s="98">
        <f>A882+1</f>
        <v>43068</v>
      </c>
      <c r="B894" s="99" t="s">
        <v>107</v>
      </c>
      <c r="C894" s="100">
        <v>0</v>
      </c>
      <c r="D894">
        <f>$C894*VLOOKUP($B894,FoodDB!$A$2:$I$1014,3,0)</f>
        <v>0</v>
      </c>
      <c r="E894">
        <f>$C894*VLOOKUP($B894,FoodDB!$A$2:$I$1014,4,0)</f>
        <v>0</v>
      </c>
      <c r="F894">
        <f>$C894*VLOOKUP($B894,FoodDB!$A$2:$I$1014,5,0)</f>
        <v>0</v>
      </c>
      <c r="G894">
        <f>$C894*VLOOKUP($B894,FoodDB!$A$2:$I$1014,6,0)</f>
        <v>0</v>
      </c>
      <c r="H894">
        <f>$C894*VLOOKUP($B894,FoodDB!$A$2:$I$1014,7,0)</f>
        <v>0</v>
      </c>
      <c r="I894">
        <f>$C894*VLOOKUP($B894,FoodDB!$A$2:$I$1014,8,0)</f>
        <v>0</v>
      </c>
      <c r="J894">
        <f>$C894*VLOOKUP($B894,FoodDB!$A$2:$I$1014,9,0)</f>
        <v>0</v>
      </c>
      <c r="L894">
        <f>SUM(G894:G900)</f>
        <v>0</v>
      </c>
      <c r="M894">
        <f>SUM(H894:H900)</f>
        <v>0</v>
      </c>
      <c r="N894">
        <f>SUM(I894:I900)</f>
        <v>0</v>
      </c>
      <c r="O894">
        <f>SUM(L894:N894)</f>
        <v>0</v>
      </c>
      <c r="P894" s="103">
        <f>VLOOKUP($A894,LossChart!$A$3:$AB$105,14,0)-L894</f>
        <v>783.0451058175363</v>
      </c>
      <c r="Q894" s="103">
        <f>VLOOKUP($A894,LossChart!$A$3:$AB$105,15,0)-M894</f>
        <v>80</v>
      </c>
      <c r="R894" s="103">
        <f>VLOOKUP($A894,LossChart!$A$3:$AB$105,16,0)-N894</f>
        <v>477.30407413615825</v>
      </c>
      <c r="S894" s="103">
        <f>VLOOKUP($A894,LossChart!$A$3:$AB$105,17,0)-O894</f>
        <v>1340.3491799536946</v>
      </c>
    </row>
    <row r="895" spans="1:19" x14ac:dyDescent="0.25">
      <c r="B895" s="99" t="s">
        <v>107</v>
      </c>
      <c r="C895" s="100">
        <v>0</v>
      </c>
      <c r="D895">
        <f>$C895*VLOOKUP($B895,FoodDB!$A$2:$I$1014,3,0)</f>
        <v>0</v>
      </c>
      <c r="E895">
        <f>$C895*VLOOKUP($B895,FoodDB!$A$2:$I$1014,4,0)</f>
        <v>0</v>
      </c>
      <c r="F895">
        <f>$C895*VLOOKUP($B895,FoodDB!$A$2:$I$1014,5,0)</f>
        <v>0</v>
      </c>
      <c r="G895">
        <f>$C895*VLOOKUP($B895,FoodDB!$A$2:$I$1014,6,0)</f>
        <v>0</v>
      </c>
      <c r="H895">
        <f>$C895*VLOOKUP($B895,FoodDB!$A$2:$I$1014,7,0)</f>
        <v>0</v>
      </c>
      <c r="I895">
        <f>$C895*VLOOKUP($B895,FoodDB!$A$2:$I$1014,8,0)</f>
        <v>0</v>
      </c>
      <c r="J895">
        <f>$C895*VLOOKUP($B895,FoodDB!$A$2:$I$1014,9,0)</f>
        <v>0</v>
      </c>
    </row>
    <row r="896" spans="1:19" x14ac:dyDescent="0.25">
      <c r="B896" s="99" t="s">
        <v>107</v>
      </c>
      <c r="C896" s="100">
        <v>0</v>
      </c>
      <c r="D896">
        <f>$C896*VLOOKUP($B896,FoodDB!$A$2:$I$1014,3,0)</f>
        <v>0</v>
      </c>
      <c r="E896">
        <f>$C896*VLOOKUP($B896,FoodDB!$A$2:$I$1014,4,0)</f>
        <v>0</v>
      </c>
      <c r="F896">
        <f>$C896*VLOOKUP($B896,FoodDB!$A$2:$I$1014,5,0)</f>
        <v>0</v>
      </c>
      <c r="G896">
        <f>$C896*VLOOKUP($B896,FoodDB!$A$2:$I$1014,6,0)</f>
        <v>0</v>
      </c>
      <c r="H896">
        <f>$C896*VLOOKUP($B896,FoodDB!$A$2:$I$1014,7,0)</f>
        <v>0</v>
      </c>
      <c r="I896">
        <f>$C896*VLOOKUP($B896,FoodDB!$A$2:$I$1014,8,0)</f>
        <v>0</v>
      </c>
      <c r="J896">
        <f>$C896*VLOOKUP($B896,FoodDB!$A$2:$I$1014,9,0)</f>
        <v>0</v>
      </c>
    </row>
    <row r="897" spans="1:19" x14ac:dyDescent="0.25">
      <c r="B897" s="99" t="s">
        <v>107</v>
      </c>
      <c r="C897" s="100">
        <v>0</v>
      </c>
      <c r="D897">
        <f>$C897*VLOOKUP($B897,FoodDB!$A$2:$I$1014,3,0)</f>
        <v>0</v>
      </c>
      <c r="E897">
        <f>$C897*VLOOKUP($B897,FoodDB!$A$2:$I$1014,4,0)</f>
        <v>0</v>
      </c>
      <c r="F897">
        <f>$C897*VLOOKUP($B897,FoodDB!$A$2:$I$1014,5,0)</f>
        <v>0</v>
      </c>
      <c r="G897">
        <f>$C897*VLOOKUP($B897,FoodDB!$A$2:$I$1014,6,0)</f>
        <v>0</v>
      </c>
      <c r="H897">
        <f>$C897*VLOOKUP($B897,FoodDB!$A$2:$I$1014,7,0)</f>
        <v>0</v>
      </c>
      <c r="I897">
        <f>$C897*VLOOKUP($B897,FoodDB!$A$2:$I$1014,8,0)</f>
        <v>0</v>
      </c>
      <c r="J897">
        <f>$C897*VLOOKUP($B897,FoodDB!$A$2:$I$1014,9,0)</f>
        <v>0</v>
      </c>
    </row>
    <row r="898" spans="1:19" x14ac:dyDescent="0.25">
      <c r="B898" s="99" t="s">
        <v>107</v>
      </c>
      <c r="C898" s="100">
        <v>0</v>
      </c>
      <c r="D898">
        <f>$C898*VLOOKUP($B898,FoodDB!$A$2:$I$1014,3,0)</f>
        <v>0</v>
      </c>
      <c r="E898">
        <f>$C898*VLOOKUP($B898,FoodDB!$A$2:$I$1014,4,0)</f>
        <v>0</v>
      </c>
      <c r="F898">
        <f>$C898*VLOOKUP($B898,FoodDB!$A$2:$I$1014,5,0)</f>
        <v>0</v>
      </c>
      <c r="G898">
        <f>$C898*VLOOKUP($B898,FoodDB!$A$2:$I$1014,6,0)</f>
        <v>0</v>
      </c>
      <c r="H898">
        <f>$C898*VLOOKUP($B898,FoodDB!$A$2:$I$1014,7,0)</f>
        <v>0</v>
      </c>
      <c r="I898">
        <f>$C898*VLOOKUP($B898,FoodDB!$A$2:$I$1014,8,0)</f>
        <v>0</v>
      </c>
      <c r="J898">
        <f>$C898*VLOOKUP($B898,FoodDB!$A$2:$I$1014,9,0)</f>
        <v>0</v>
      </c>
    </row>
    <row r="899" spans="1:19" x14ac:dyDescent="0.25">
      <c r="B899" s="99" t="s">
        <v>107</v>
      </c>
      <c r="C899" s="100">
        <v>0</v>
      </c>
      <c r="D899">
        <f>$C899*VLOOKUP($B899,FoodDB!$A$2:$I$1014,3,0)</f>
        <v>0</v>
      </c>
      <c r="E899">
        <f>$C899*VLOOKUP($B899,FoodDB!$A$2:$I$1014,4,0)</f>
        <v>0</v>
      </c>
      <c r="F899">
        <f>$C899*VLOOKUP($B899,FoodDB!$A$2:$I$1014,5,0)</f>
        <v>0</v>
      </c>
      <c r="G899">
        <f>$C899*VLOOKUP($B899,FoodDB!$A$2:$I$1014,6,0)</f>
        <v>0</v>
      </c>
      <c r="H899">
        <f>$C899*VLOOKUP($B899,FoodDB!$A$2:$I$1014,7,0)</f>
        <v>0</v>
      </c>
      <c r="I899">
        <f>$C899*VLOOKUP($B899,FoodDB!$A$2:$I$1014,8,0)</f>
        <v>0</v>
      </c>
      <c r="J899">
        <f>$C899*VLOOKUP($B899,FoodDB!$A$2:$I$1014,9,0)</f>
        <v>0</v>
      </c>
    </row>
    <row r="900" spans="1:19" x14ac:dyDescent="0.25">
      <c r="B900" s="99" t="s">
        <v>107</v>
      </c>
      <c r="C900" s="100">
        <v>0</v>
      </c>
      <c r="D900">
        <f>$C900*VLOOKUP($B900,FoodDB!$A$2:$I$1014,3,0)</f>
        <v>0</v>
      </c>
      <c r="E900">
        <f>$C900*VLOOKUP($B900,FoodDB!$A$2:$I$1014,4,0)</f>
        <v>0</v>
      </c>
      <c r="F900">
        <f>$C900*VLOOKUP($B900,FoodDB!$A$2:$I$1014,5,0)</f>
        <v>0</v>
      </c>
      <c r="G900">
        <f>$C900*VLOOKUP($B900,FoodDB!$A$2:$I$1014,6,0)</f>
        <v>0</v>
      </c>
      <c r="H900">
        <f>$C900*VLOOKUP($B900,FoodDB!$A$2:$I$1014,7,0)</f>
        <v>0</v>
      </c>
      <c r="I900">
        <f>$C900*VLOOKUP($B900,FoodDB!$A$2:$I$1014,8,0)</f>
        <v>0</v>
      </c>
      <c r="J900">
        <f>$C900*VLOOKUP($B900,FoodDB!$A$2:$I$1014,9,0)</f>
        <v>0</v>
      </c>
    </row>
    <row r="901" spans="1:19" x14ac:dyDescent="0.25">
      <c r="A901" t="s">
        <v>97</v>
      </c>
      <c r="G901">
        <f>SUM(G894:G900)</f>
        <v>0</v>
      </c>
      <c r="H901">
        <f>SUM(H894:H900)</f>
        <v>0</v>
      </c>
      <c r="I901">
        <f>SUM(I894:I900)</f>
        <v>0</v>
      </c>
      <c r="J901">
        <f>SUM(G901:I901)</f>
        <v>0</v>
      </c>
    </row>
    <row r="902" spans="1:19" x14ac:dyDescent="0.25">
      <c r="A902" t="s">
        <v>101</v>
      </c>
      <c r="B902" t="s">
        <v>102</v>
      </c>
      <c r="E902" s="103"/>
      <c r="F902" s="103"/>
      <c r="G902" s="103">
        <f>VLOOKUP($A894,LossChart!$A$3:$AB$105,14,0)</f>
        <v>783.0451058175363</v>
      </c>
      <c r="H902" s="103">
        <f>VLOOKUP($A894,LossChart!$A$3:$AB$105,15,0)</f>
        <v>80</v>
      </c>
      <c r="I902" s="103">
        <f>VLOOKUP($A894,LossChart!$A$3:$AB$105,16,0)</f>
        <v>477.30407413615825</v>
      </c>
      <c r="J902" s="103">
        <f>VLOOKUP($A894,LossChart!$A$3:$AB$105,17,0)</f>
        <v>1340.3491799536946</v>
      </c>
      <c r="K902" s="103"/>
    </row>
    <row r="903" spans="1:19" x14ac:dyDescent="0.25">
      <c r="A903" t="s">
        <v>103</v>
      </c>
      <c r="G903">
        <f>G902-G901</f>
        <v>783.0451058175363</v>
      </c>
      <c r="H903">
        <f>H902-H901</f>
        <v>80</v>
      </c>
      <c r="I903">
        <f>I902-I901</f>
        <v>477.30407413615825</v>
      </c>
      <c r="J903">
        <f>J902-J901</f>
        <v>1340.3491799536946</v>
      </c>
    </row>
    <row r="905" spans="1:19" ht="60" x14ac:dyDescent="0.25">
      <c r="A905" s="26" t="s">
        <v>63</v>
      </c>
      <c r="B905" s="26" t="s">
        <v>92</v>
      </c>
      <c r="C905" s="26" t="s">
        <v>93</v>
      </c>
      <c r="D905" s="97" t="str">
        <f>FoodDB!$C$1</f>
        <v>Fat
(g)</v>
      </c>
      <c r="E905" s="97" t="str">
        <f>FoodDB!$D$1</f>
        <v xml:space="preserve"> Carbs
(g)</v>
      </c>
      <c r="F905" s="97" t="str">
        <f>FoodDB!$E$1</f>
        <v>Protein
(g)</v>
      </c>
      <c r="G905" s="97" t="str">
        <f>FoodDB!$F$1</f>
        <v>Fat
(Cal)</v>
      </c>
      <c r="H905" s="97" t="str">
        <f>FoodDB!$G$1</f>
        <v>Carb
(Cal)</v>
      </c>
      <c r="I905" s="97" t="str">
        <f>FoodDB!$H$1</f>
        <v>Protein
(Cal)</v>
      </c>
      <c r="J905" s="97" t="str">
        <f>FoodDB!$I$1</f>
        <v>Total
Calories</v>
      </c>
      <c r="K905" s="97"/>
      <c r="L905" s="97" t="s">
        <v>109</v>
      </c>
      <c r="M905" s="97" t="s">
        <v>110</v>
      </c>
      <c r="N905" s="97" t="s">
        <v>111</v>
      </c>
      <c r="O905" s="97" t="s">
        <v>112</v>
      </c>
      <c r="P905" s="97" t="s">
        <v>117</v>
      </c>
      <c r="Q905" s="97" t="s">
        <v>118</v>
      </c>
      <c r="R905" s="97" t="s">
        <v>119</v>
      </c>
      <c r="S905" s="97" t="s">
        <v>120</v>
      </c>
    </row>
    <row r="906" spans="1:19" x14ac:dyDescent="0.25">
      <c r="A906" s="98">
        <f>A894+1</f>
        <v>43069</v>
      </c>
      <c r="B906" s="99" t="s">
        <v>107</v>
      </c>
      <c r="C906" s="100">
        <v>0</v>
      </c>
      <c r="D906">
        <f>$C906*VLOOKUP($B906,FoodDB!$A$2:$I$1014,3,0)</f>
        <v>0</v>
      </c>
      <c r="E906">
        <f>$C906*VLOOKUP($B906,FoodDB!$A$2:$I$1014,4,0)</f>
        <v>0</v>
      </c>
      <c r="F906">
        <f>$C906*VLOOKUP($B906,FoodDB!$A$2:$I$1014,5,0)</f>
        <v>0</v>
      </c>
      <c r="G906">
        <f>$C906*VLOOKUP($B906,FoodDB!$A$2:$I$1014,6,0)</f>
        <v>0</v>
      </c>
      <c r="H906">
        <f>$C906*VLOOKUP($B906,FoodDB!$A$2:$I$1014,7,0)</f>
        <v>0</v>
      </c>
      <c r="I906">
        <f>$C906*VLOOKUP($B906,FoodDB!$A$2:$I$1014,8,0)</f>
        <v>0</v>
      </c>
      <c r="J906">
        <f>$C906*VLOOKUP($B906,FoodDB!$A$2:$I$1014,9,0)</f>
        <v>0</v>
      </c>
      <c r="L906">
        <f>SUM(G906:G912)</f>
        <v>0</v>
      </c>
      <c r="M906">
        <f>SUM(H906:H912)</f>
        <v>0</v>
      </c>
      <c r="N906">
        <f>SUM(I906:I912)</f>
        <v>0</v>
      </c>
      <c r="O906">
        <f>SUM(L906:N906)</f>
        <v>0</v>
      </c>
      <c r="P906" s="103">
        <f>VLOOKUP($A906,LossChart!$A$3:$AB$105,14,0)-L906</f>
        <v>787.61201094665239</v>
      </c>
      <c r="Q906" s="103">
        <f>VLOOKUP($A906,LossChart!$A$3:$AB$105,15,0)-M906</f>
        <v>80</v>
      </c>
      <c r="R906" s="103">
        <f>VLOOKUP($A906,LossChart!$A$3:$AB$105,16,0)-N906</f>
        <v>477.30407413615825</v>
      </c>
      <c r="S906" s="103">
        <f>VLOOKUP($A906,LossChart!$A$3:$AB$105,17,0)-O906</f>
        <v>1344.9160850828107</v>
      </c>
    </row>
    <row r="907" spans="1:19" x14ac:dyDescent="0.25">
      <c r="B907" s="99" t="s">
        <v>107</v>
      </c>
      <c r="C907" s="100">
        <v>0</v>
      </c>
      <c r="D907">
        <f>$C907*VLOOKUP($B907,FoodDB!$A$2:$I$1014,3,0)</f>
        <v>0</v>
      </c>
      <c r="E907">
        <f>$C907*VLOOKUP($B907,FoodDB!$A$2:$I$1014,4,0)</f>
        <v>0</v>
      </c>
      <c r="F907">
        <f>$C907*VLOOKUP($B907,FoodDB!$A$2:$I$1014,5,0)</f>
        <v>0</v>
      </c>
      <c r="G907">
        <f>$C907*VLOOKUP($B907,FoodDB!$A$2:$I$1014,6,0)</f>
        <v>0</v>
      </c>
      <c r="H907">
        <f>$C907*VLOOKUP($B907,FoodDB!$A$2:$I$1014,7,0)</f>
        <v>0</v>
      </c>
      <c r="I907">
        <f>$C907*VLOOKUP($B907,FoodDB!$A$2:$I$1014,8,0)</f>
        <v>0</v>
      </c>
      <c r="J907">
        <f>$C907*VLOOKUP($B907,FoodDB!$A$2:$I$1014,9,0)</f>
        <v>0</v>
      </c>
    </row>
    <row r="908" spans="1:19" x14ac:dyDescent="0.25">
      <c r="B908" s="99" t="s">
        <v>107</v>
      </c>
      <c r="C908" s="100">
        <v>0</v>
      </c>
      <c r="D908">
        <f>$C908*VLOOKUP($B908,FoodDB!$A$2:$I$1014,3,0)</f>
        <v>0</v>
      </c>
      <c r="E908">
        <f>$C908*VLOOKUP($B908,FoodDB!$A$2:$I$1014,4,0)</f>
        <v>0</v>
      </c>
      <c r="F908">
        <f>$C908*VLOOKUP($B908,FoodDB!$A$2:$I$1014,5,0)</f>
        <v>0</v>
      </c>
      <c r="G908">
        <f>$C908*VLOOKUP($B908,FoodDB!$A$2:$I$1014,6,0)</f>
        <v>0</v>
      </c>
      <c r="H908">
        <f>$C908*VLOOKUP($B908,FoodDB!$A$2:$I$1014,7,0)</f>
        <v>0</v>
      </c>
      <c r="I908">
        <f>$C908*VLOOKUP($B908,FoodDB!$A$2:$I$1014,8,0)</f>
        <v>0</v>
      </c>
      <c r="J908">
        <f>$C908*VLOOKUP($B908,FoodDB!$A$2:$I$1014,9,0)</f>
        <v>0</v>
      </c>
    </row>
    <row r="909" spans="1:19" x14ac:dyDescent="0.25">
      <c r="B909" s="99" t="s">
        <v>107</v>
      </c>
      <c r="C909" s="100">
        <v>0</v>
      </c>
      <c r="D909">
        <f>$C909*VLOOKUP($B909,FoodDB!$A$2:$I$1014,3,0)</f>
        <v>0</v>
      </c>
      <c r="E909">
        <f>$C909*VLOOKUP($B909,FoodDB!$A$2:$I$1014,4,0)</f>
        <v>0</v>
      </c>
      <c r="F909">
        <f>$C909*VLOOKUP($B909,FoodDB!$A$2:$I$1014,5,0)</f>
        <v>0</v>
      </c>
      <c r="G909">
        <f>$C909*VLOOKUP($B909,FoodDB!$A$2:$I$1014,6,0)</f>
        <v>0</v>
      </c>
      <c r="H909">
        <f>$C909*VLOOKUP($B909,FoodDB!$A$2:$I$1014,7,0)</f>
        <v>0</v>
      </c>
      <c r="I909">
        <f>$C909*VLOOKUP($B909,FoodDB!$A$2:$I$1014,8,0)</f>
        <v>0</v>
      </c>
      <c r="J909">
        <f>$C909*VLOOKUP($B909,FoodDB!$A$2:$I$1014,9,0)</f>
        <v>0</v>
      </c>
    </row>
    <row r="910" spans="1:19" x14ac:dyDescent="0.25">
      <c r="B910" s="99" t="s">
        <v>107</v>
      </c>
      <c r="C910" s="100">
        <v>0</v>
      </c>
      <c r="D910">
        <f>$C910*VLOOKUP($B910,FoodDB!$A$2:$I$1014,3,0)</f>
        <v>0</v>
      </c>
      <c r="E910">
        <f>$C910*VLOOKUP($B910,FoodDB!$A$2:$I$1014,4,0)</f>
        <v>0</v>
      </c>
      <c r="F910">
        <f>$C910*VLOOKUP($B910,FoodDB!$A$2:$I$1014,5,0)</f>
        <v>0</v>
      </c>
      <c r="G910">
        <f>$C910*VLOOKUP($B910,FoodDB!$A$2:$I$1014,6,0)</f>
        <v>0</v>
      </c>
      <c r="H910">
        <f>$C910*VLOOKUP($B910,FoodDB!$A$2:$I$1014,7,0)</f>
        <v>0</v>
      </c>
      <c r="I910">
        <f>$C910*VLOOKUP($B910,FoodDB!$A$2:$I$1014,8,0)</f>
        <v>0</v>
      </c>
      <c r="J910">
        <f>$C910*VLOOKUP($B910,FoodDB!$A$2:$I$1014,9,0)</f>
        <v>0</v>
      </c>
    </row>
    <row r="911" spans="1:19" x14ac:dyDescent="0.25">
      <c r="B911" s="99" t="s">
        <v>107</v>
      </c>
      <c r="C911" s="100">
        <v>0</v>
      </c>
      <c r="D911">
        <f>$C911*VLOOKUP($B911,FoodDB!$A$2:$I$1014,3,0)</f>
        <v>0</v>
      </c>
      <c r="E911">
        <f>$C911*VLOOKUP($B911,FoodDB!$A$2:$I$1014,4,0)</f>
        <v>0</v>
      </c>
      <c r="F911">
        <f>$C911*VLOOKUP($B911,FoodDB!$A$2:$I$1014,5,0)</f>
        <v>0</v>
      </c>
      <c r="G911">
        <f>$C911*VLOOKUP($B911,FoodDB!$A$2:$I$1014,6,0)</f>
        <v>0</v>
      </c>
      <c r="H911">
        <f>$C911*VLOOKUP($B911,FoodDB!$A$2:$I$1014,7,0)</f>
        <v>0</v>
      </c>
      <c r="I911">
        <f>$C911*VLOOKUP($B911,FoodDB!$A$2:$I$1014,8,0)</f>
        <v>0</v>
      </c>
      <c r="J911">
        <f>$C911*VLOOKUP($B911,FoodDB!$A$2:$I$1014,9,0)</f>
        <v>0</v>
      </c>
    </row>
    <row r="912" spans="1:19" x14ac:dyDescent="0.25">
      <c r="B912" s="99" t="s">
        <v>107</v>
      </c>
      <c r="C912" s="100">
        <v>0</v>
      </c>
      <c r="D912">
        <f>$C912*VLOOKUP($B912,FoodDB!$A$2:$I$1014,3,0)</f>
        <v>0</v>
      </c>
      <c r="E912">
        <f>$C912*VLOOKUP($B912,FoodDB!$A$2:$I$1014,4,0)</f>
        <v>0</v>
      </c>
      <c r="F912">
        <f>$C912*VLOOKUP($B912,FoodDB!$A$2:$I$1014,5,0)</f>
        <v>0</v>
      </c>
      <c r="G912">
        <f>$C912*VLOOKUP($B912,FoodDB!$A$2:$I$1014,6,0)</f>
        <v>0</v>
      </c>
      <c r="H912">
        <f>$C912*VLOOKUP($B912,FoodDB!$A$2:$I$1014,7,0)</f>
        <v>0</v>
      </c>
      <c r="I912">
        <f>$C912*VLOOKUP($B912,FoodDB!$A$2:$I$1014,8,0)</f>
        <v>0</v>
      </c>
      <c r="J912">
        <f>$C912*VLOOKUP($B912,FoodDB!$A$2:$I$1014,9,0)</f>
        <v>0</v>
      </c>
    </row>
    <row r="913" spans="1:19" x14ac:dyDescent="0.25">
      <c r="A913" t="s">
        <v>97</v>
      </c>
      <c r="G913">
        <f>SUM(G906:G912)</f>
        <v>0</v>
      </c>
      <c r="H913">
        <f>SUM(H906:H912)</f>
        <v>0</v>
      </c>
      <c r="I913">
        <f>SUM(I906:I912)</f>
        <v>0</v>
      </c>
      <c r="J913">
        <f>SUM(G913:I913)</f>
        <v>0</v>
      </c>
    </row>
    <row r="914" spans="1:19" x14ac:dyDescent="0.25">
      <c r="A914" t="s">
        <v>101</v>
      </c>
      <c r="B914" t="s">
        <v>102</v>
      </c>
      <c r="E914" s="103"/>
      <c r="F914" s="103"/>
      <c r="G914" s="103">
        <f>VLOOKUP($A906,LossChart!$A$3:$AB$105,14,0)</f>
        <v>787.61201094665239</v>
      </c>
      <c r="H914" s="103">
        <f>VLOOKUP($A906,LossChart!$A$3:$AB$105,15,0)</f>
        <v>80</v>
      </c>
      <c r="I914" s="103">
        <f>VLOOKUP($A906,LossChart!$A$3:$AB$105,16,0)</f>
        <v>477.30407413615825</v>
      </c>
      <c r="J914" s="103">
        <f>VLOOKUP($A906,LossChart!$A$3:$AB$105,17,0)</f>
        <v>1344.9160850828107</v>
      </c>
      <c r="K914" s="103"/>
    </row>
    <row r="915" spans="1:19" x14ac:dyDescent="0.25">
      <c r="A915" t="s">
        <v>103</v>
      </c>
      <c r="G915">
        <f>G914-G913</f>
        <v>787.61201094665239</v>
      </c>
      <c r="H915">
        <f>H914-H913</f>
        <v>80</v>
      </c>
      <c r="I915">
        <f>I914-I913</f>
        <v>477.30407413615825</v>
      </c>
      <c r="J915">
        <f>J914-J913</f>
        <v>1344.9160850828107</v>
      </c>
    </row>
    <row r="917" spans="1:19" ht="60" x14ac:dyDescent="0.25">
      <c r="A917" s="26" t="s">
        <v>63</v>
      </c>
      <c r="B917" s="26" t="s">
        <v>92</v>
      </c>
      <c r="C917" s="26" t="s">
        <v>93</v>
      </c>
      <c r="D917" s="97" t="str">
        <f>FoodDB!$C$1</f>
        <v>Fat
(g)</v>
      </c>
      <c r="E917" s="97" t="str">
        <f>FoodDB!$D$1</f>
        <v xml:space="preserve"> Carbs
(g)</v>
      </c>
      <c r="F917" s="97" t="str">
        <f>FoodDB!$E$1</f>
        <v>Protein
(g)</v>
      </c>
      <c r="G917" s="97" t="str">
        <f>FoodDB!$F$1</f>
        <v>Fat
(Cal)</v>
      </c>
      <c r="H917" s="97" t="str">
        <f>FoodDB!$G$1</f>
        <v>Carb
(Cal)</v>
      </c>
      <c r="I917" s="97" t="str">
        <f>FoodDB!$H$1</f>
        <v>Protein
(Cal)</v>
      </c>
      <c r="J917" s="97" t="str">
        <f>FoodDB!$I$1</f>
        <v>Total
Calories</v>
      </c>
      <c r="K917" s="97"/>
      <c r="L917" s="97" t="s">
        <v>109</v>
      </c>
      <c r="M917" s="97" t="s">
        <v>110</v>
      </c>
      <c r="N917" s="97" t="s">
        <v>111</v>
      </c>
      <c r="O917" s="97" t="s">
        <v>112</v>
      </c>
      <c r="P917" s="97" t="s">
        <v>117</v>
      </c>
      <c r="Q917" s="97" t="s">
        <v>118</v>
      </c>
      <c r="R917" s="97" t="s">
        <v>119</v>
      </c>
      <c r="S917" s="97" t="s">
        <v>120</v>
      </c>
    </row>
    <row r="918" spans="1:19" x14ac:dyDescent="0.25">
      <c r="A918" s="98">
        <f>A906+1</f>
        <v>43070</v>
      </c>
      <c r="B918" s="99" t="s">
        <v>107</v>
      </c>
      <c r="C918" s="100">
        <v>0</v>
      </c>
      <c r="D918">
        <f>$C918*VLOOKUP($B918,FoodDB!$A$2:$I$1014,3,0)</f>
        <v>0</v>
      </c>
      <c r="E918">
        <f>$C918*VLOOKUP($B918,FoodDB!$A$2:$I$1014,4,0)</f>
        <v>0</v>
      </c>
      <c r="F918">
        <f>$C918*VLOOKUP($B918,FoodDB!$A$2:$I$1014,5,0)</f>
        <v>0</v>
      </c>
      <c r="G918">
        <f>$C918*VLOOKUP($B918,FoodDB!$A$2:$I$1014,6,0)</f>
        <v>0</v>
      </c>
      <c r="H918">
        <f>$C918*VLOOKUP($B918,FoodDB!$A$2:$I$1014,7,0)</f>
        <v>0</v>
      </c>
      <c r="I918">
        <f>$C918*VLOOKUP($B918,FoodDB!$A$2:$I$1014,8,0)</f>
        <v>0</v>
      </c>
      <c r="J918">
        <f>$C918*VLOOKUP($B918,FoodDB!$A$2:$I$1014,9,0)</f>
        <v>0</v>
      </c>
      <c r="L918">
        <f>SUM(G918:G924)</f>
        <v>0</v>
      </c>
      <c r="M918">
        <f>SUM(H918:H924)</f>
        <v>0</v>
      </c>
      <c r="N918">
        <f>SUM(I918:I924)</f>
        <v>0</v>
      </c>
      <c r="O918">
        <f>SUM(L918:N918)</f>
        <v>0</v>
      </c>
      <c r="P918" s="103">
        <f>VLOOKUP($A918,LossChart!$A$3:$AB$105,14,0)-L918</f>
        <v>792.13846634462425</v>
      </c>
      <c r="Q918" s="103">
        <f>VLOOKUP($A918,LossChart!$A$3:$AB$105,15,0)-M918</f>
        <v>80</v>
      </c>
      <c r="R918" s="103">
        <f>VLOOKUP($A918,LossChart!$A$3:$AB$105,16,0)-N918</f>
        <v>477.30407413615825</v>
      </c>
      <c r="S918" s="103">
        <f>VLOOKUP($A918,LossChart!$A$3:$AB$105,17,0)-O918</f>
        <v>1349.4425404807826</v>
      </c>
    </row>
    <row r="919" spans="1:19" x14ac:dyDescent="0.25">
      <c r="B919" s="99" t="s">
        <v>107</v>
      </c>
      <c r="C919" s="100">
        <v>0</v>
      </c>
      <c r="D919">
        <f>$C919*VLOOKUP($B919,FoodDB!$A$2:$I$1014,3,0)</f>
        <v>0</v>
      </c>
      <c r="E919">
        <f>$C919*VLOOKUP($B919,FoodDB!$A$2:$I$1014,4,0)</f>
        <v>0</v>
      </c>
      <c r="F919">
        <f>$C919*VLOOKUP($B919,FoodDB!$A$2:$I$1014,5,0)</f>
        <v>0</v>
      </c>
      <c r="G919">
        <f>$C919*VLOOKUP($B919,FoodDB!$A$2:$I$1014,6,0)</f>
        <v>0</v>
      </c>
      <c r="H919">
        <f>$C919*VLOOKUP($B919,FoodDB!$A$2:$I$1014,7,0)</f>
        <v>0</v>
      </c>
      <c r="I919">
        <f>$C919*VLOOKUP($B919,FoodDB!$A$2:$I$1014,8,0)</f>
        <v>0</v>
      </c>
      <c r="J919">
        <f>$C919*VLOOKUP($B919,FoodDB!$A$2:$I$1014,9,0)</f>
        <v>0</v>
      </c>
    </row>
    <row r="920" spans="1:19" x14ac:dyDescent="0.25">
      <c r="B920" s="99" t="s">
        <v>107</v>
      </c>
      <c r="C920" s="100">
        <v>0</v>
      </c>
      <c r="D920">
        <f>$C920*VLOOKUP($B920,FoodDB!$A$2:$I$1014,3,0)</f>
        <v>0</v>
      </c>
      <c r="E920">
        <f>$C920*VLOOKUP($B920,FoodDB!$A$2:$I$1014,4,0)</f>
        <v>0</v>
      </c>
      <c r="F920">
        <f>$C920*VLOOKUP($B920,FoodDB!$A$2:$I$1014,5,0)</f>
        <v>0</v>
      </c>
      <c r="G920">
        <f>$C920*VLOOKUP($B920,FoodDB!$A$2:$I$1014,6,0)</f>
        <v>0</v>
      </c>
      <c r="H920">
        <f>$C920*VLOOKUP($B920,FoodDB!$A$2:$I$1014,7,0)</f>
        <v>0</v>
      </c>
      <c r="I920">
        <f>$C920*VLOOKUP($B920,FoodDB!$A$2:$I$1014,8,0)</f>
        <v>0</v>
      </c>
      <c r="J920">
        <f>$C920*VLOOKUP($B920,FoodDB!$A$2:$I$1014,9,0)</f>
        <v>0</v>
      </c>
    </row>
    <row r="921" spans="1:19" x14ac:dyDescent="0.25">
      <c r="B921" s="99" t="s">
        <v>107</v>
      </c>
      <c r="C921" s="100">
        <v>0</v>
      </c>
      <c r="D921">
        <f>$C921*VLOOKUP($B921,FoodDB!$A$2:$I$1014,3,0)</f>
        <v>0</v>
      </c>
      <c r="E921">
        <f>$C921*VLOOKUP($B921,FoodDB!$A$2:$I$1014,4,0)</f>
        <v>0</v>
      </c>
      <c r="F921">
        <f>$C921*VLOOKUP($B921,FoodDB!$A$2:$I$1014,5,0)</f>
        <v>0</v>
      </c>
      <c r="G921">
        <f>$C921*VLOOKUP($B921,FoodDB!$A$2:$I$1014,6,0)</f>
        <v>0</v>
      </c>
      <c r="H921">
        <f>$C921*VLOOKUP($B921,FoodDB!$A$2:$I$1014,7,0)</f>
        <v>0</v>
      </c>
      <c r="I921">
        <f>$C921*VLOOKUP($B921,FoodDB!$A$2:$I$1014,8,0)</f>
        <v>0</v>
      </c>
      <c r="J921">
        <f>$C921*VLOOKUP($B921,FoodDB!$A$2:$I$1014,9,0)</f>
        <v>0</v>
      </c>
    </row>
    <row r="922" spans="1:19" x14ac:dyDescent="0.25">
      <c r="B922" s="99" t="s">
        <v>107</v>
      </c>
      <c r="C922" s="100">
        <v>0</v>
      </c>
      <c r="D922">
        <f>$C922*VLOOKUP($B922,FoodDB!$A$2:$I$1014,3,0)</f>
        <v>0</v>
      </c>
      <c r="E922">
        <f>$C922*VLOOKUP($B922,FoodDB!$A$2:$I$1014,4,0)</f>
        <v>0</v>
      </c>
      <c r="F922">
        <f>$C922*VLOOKUP($B922,FoodDB!$A$2:$I$1014,5,0)</f>
        <v>0</v>
      </c>
      <c r="G922">
        <f>$C922*VLOOKUP($B922,FoodDB!$A$2:$I$1014,6,0)</f>
        <v>0</v>
      </c>
      <c r="H922">
        <f>$C922*VLOOKUP($B922,FoodDB!$A$2:$I$1014,7,0)</f>
        <v>0</v>
      </c>
      <c r="I922">
        <f>$C922*VLOOKUP($B922,FoodDB!$A$2:$I$1014,8,0)</f>
        <v>0</v>
      </c>
      <c r="J922">
        <f>$C922*VLOOKUP($B922,FoodDB!$A$2:$I$1014,9,0)</f>
        <v>0</v>
      </c>
    </row>
    <row r="923" spans="1:19" x14ac:dyDescent="0.25">
      <c r="B923" s="99" t="s">
        <v>107</v>
      </c>
      <c r="C923" s="100">
        <v>0</v>
      </c>
      <c r="D923">
        <f>$C923*VLOOKUP($B923,FoodDB!$A$2:$I$1014,3,0)</f>
        <v>0</v>
      </c>
      <c r="E923">
        <f>$C923*VLOOKUP($B923,FoodDB!$A$2:$I$1014,4,0)</f>
        <v>0</v>
      </c>
      <c r="F923">
        <f>$C923*VLOOKUP($B923,FoodDB!$A$2:$I$1014,5,0)</f>
        <v>0</v>
      </c>
      <c r="G923">
        <f>$C923*VLOOKUP($B923,FoodDB!$A$2:$I$1014,6,0)</f>
        <v>0</v>
      </c>
      <c r="H923">
        <f>$C923*VLOOKUP($B923,FoodDB!$A$2:$I$1014,7,0)</f>
        <v>0</v>
      </c>
      <c r="I923">
        <f>$C923*VLOOKUP($B923,FoodDB!$A$2:$I$1014,8,0)</f>
        <v>0</v>
      </c>
      <c r="J923">
        <f>$C923*VLOOKUP($B923,FoodDB!$A$2:$I$1014,9,0)</f>
        <v>0</v>
      </c>
    </row>
    <row r="924" spans="1:19" x14ac:dyDescent="0.25">
      <c r="B924" s="99" t="s">
        <v>107</v>
      </c>
      <c r="C924" s="100">
        <v>0</v>
      </c>
      <c r="D924">
        <f>$C924*VLOOKUP($B924,FoodDB!$A$2:$I$1014,3,0)</f>
        <v>0</v>
      </c>
      <c r="E924">
        <f>$C924*VLOOKUP($B924,FoodDB!$A$2:$I$1014,4,0)</f>
        <v>0</v>
      </c>
      <c r="F924">
        <f>$C924*VLOOKUP($B924,FoodDB!$A$2:$I$1014,5,0)</f>
        <v>0</v>
      </c>
      <c r="G924">
        <f>$C924*VLOOKUP($B924,FoodDB!$A$2:$I$1014,6,0)</f>
        <v>0</v>
      </c>
      <c r="H924">
        <f>$C924*VLOOKUP($B924,FoodDB!$A$2:$I$1014,7,0)</f>
        <v>0</v>
      </c>
      <c r="I924">
        <f>$C924*VLOOKUP($B924,FoodDB!$A$2:$I$1014,8,0)</f>
        <v>0</v>
      </c>
      <c r="J924">
        <f>$C924*VLOOKUP($B924,FoodDB!$A$2:$I$1014,9,0)</f>
        <v>0</v>
      </c>
    </row>
    <row r="925" spans="1:19" x14ac:dyDescent="0.25">
      <c r="A925" t="s">
        <v>97</v>
      </c>
      <c r="G925">
        <f>SUM(G918:G924)</f>
        <v>0</v>
      </c>
      <c r="H925">
        <f>SUM(H918:H924)</f>
        <v>0</v>
      </c>
      <c r="I925">
        <f>SUM(I918:I924)</f>
        <v>0</v>
      </c>
      <c r="J925">
        <f>SUM(G925:I925)</f>
        <v>0</v>
      </c>
    </row>
    <row r="926" spans="1:19" x14ac:dyDescent="0.25">
      <c r="A926" t="s">
        <v>101</v>
      </c>
      <c r="B926" t="s">
        <v>102</v>
      </c>
      <c r="E926" s="103"/>
      <c r="F926" s="103"/>
      <c r="G926" s="103">
        <f>VLOOKUP($A918,LossChart!$A$3:$AB$105,14,0)</f>
        <v>792.13846634462425</v>
      </c>
      <c r="H926" s="103">
        <f>VLOOKUP($A918,LossChart!$A$3:$AB$105,15,0)</f>
        <v>80</v>
      </c>
      <c r="I926" s="103">
        <f>VLOOKUP($A918,LossChart!$A$3:$AB$105,16,0)</f>
        <v>477.30407413615825</v>
      </c>
      <c r="J926" s="103">
        <f>VLOOKUP($A918,LossChart!$A$3:$AB$105,17,0)</f>
        <v>1349.4425404807826</v>
      </c>
      <c r="K926" s="103"/>
    </row>
    <row r="927" spans="1:19" x14ac:dyDescent="0.25">
      <c r="A927" t="s">
        <v>103</v>
      </c>
      <c r="G927">
        <f>G926-G925</f>
        <v>792.13846634462425</v>
      </c>
      <c r="H927">
        <f>H926-H925</f>
        <v>80</v>
      </c>
      <c r="I927">
        <f>I926-I925</f>
        <v>477.30407413615825</v>
      </c>
      <c r="J927">
        <f>J926-J925</f>
        <v>1349.4425404807826</v>
      </c>
    </row>
    <row r="929" spans="1:19" ht="60" x14ac:dyDescent="0.25">
      <c r="A929" s="26" t="s">
        <v>63</v>
      </c>
      <c r="B929" s="26" t="s">
        <v>92</v>
      </c>
      <c r="C929" s="26" t="s">
        <v>93</v>
      </c>
      <c r="D929" s="97" t="str">
        <f>FoodDB!$C$1</f>
        <v>Fat
(g)</v>
      </c>
      <c r="E929" s="97" t="str">
        <f>FoodDB!$D$1</f>
        <v xml:space="preserve"> Carbs
(g)</v>
      </c>
      <c r="F929" s="97" t="str">
        <f>FoodDB!$E$1</f>
        <v>Protein
(g)</v>
      </c>
      <c r="G929" s="97" t="str">
        <f>FoodDB!$F$1</f>
        <v>Fat
(Cal)</v>
      </c>
      <c r="H929" s="97" t="str">
        <f>FoodDB!$G$1</f>
        <v>Carb
(Cal)</v>
      </c>
      <c r="I929" s="97" t="str">
        <f>FoodDB!$H$1</f>
        <v>Protein
(Cal)</v>
      </c>
      <c r="J929" s="97" t="str">
        <f>FoodDB!$I$1</f>
        <v>Total
Calories</v>
      </c>
      <c r="K929" s="97"/>
      <c r="L929" s="97" t="s">
        <v>109</v>
      </c>
      <c r="M929" s="97" t="s">
        <v>110</v>
      </c>
      <c r="N929" s="97" t="s">
        <v>111</v>
      </c>
      <c r="O929" s="97" t="s">
        <v>112</v>
      </c>
      <c r="P929" s="97" t="s">
        <v>117</v>
      </c>
      <c r="Q929" s="97" t="s">
        <v>118</v>
      </c>
      <c r="R929" s="97" t="s">
        <v>119</v>
      </c>
      <c r="S929" s="97" t="s">
        <v>120</v>
      </c>
    </row>
    <row r="930" spans="1:19" x14ac:dyDescent="0.25">
      <c r="A930" s="98">
        <f>A918+1</f>
        <v>43071</v>
      </c>
      <c r="B930" s="99" t="s">
        <v>107</v>
      </c>
      <c r="C930" s="100">
        <v>0</v>
      </c>
      <c r="D930">
        <f>$C930*VLOOKUP($B930,FoodDB!$A$2:$I$1014,3,0)</f>
        <v>0</v>
      </c>
      <c r="E930">
        <f>$C930*VLOOKUP($B930,FoodDB!$A$2:$I$1014,4,0)</f>
        <v>0</v>
      </c>
      <c r="F930">
        <f>$C930*VLOOKUP($B930,FoodDB!$A$2:$I$1014,5,0)</f>
        <v>0</v>
      </c>
      <c r="G930">
        <f>$C930*VLOOKUP($B930,FoodDB!$A$2:$I$1014,6,0)</f>
        <v>0</v>
      </c>
      <c r="H930">
        <f>$C930*VLOOKUP($B930,FoodDB!$A$2:$I$1014,7,0)</f>
        <v>0</v>
      </c>
      <c r="I930">
        <f>$C930*VLOOKUP($B930,FoodDB!$A$2:$I$1014,8,0)</f>
        <v>0</v>
      </c>
      <c r="J930">
        <f>$C930*VLOOKUP($B930,FoodDB!$A$2:$I$1014,9,0)</f>
        <v>0</v>
      </c>
      <c r="L930">
        <f>SUM(G930:G936)</f>
        <v>0</v>
      </c>
      <c r="M930">
        <f>SUM(H930:H936)</f>
        <v>0</v>
      </c>
      <c r="N930">
        <f>SUM(I930:I936)</f>
        <v>0</v>
      </c>
      <c r="O930">
        <f>SUM(L930:N930)</f>
        <v>0</v>
      </c>
      <c r="P930" s="103">
        <f>VLOOKUP($A930,LossChart!$A$3:$AB$105,14,0)-L930</f>
        <v>796.6248302805011</v>
      </c>
      <c r="Q930" s="103">
        <f>VLOOKUP($A930,LossChart!$A$3:$AB$105,15,0)-M930</f>
        <v>80</v>
      </c>
      <c r="R930" s="103">
        <f>VLOOKUP($A930,LossChart!$A$3:$AB$105,16,0)-N930</f>
        <v>477.30407413615825</v>
      </c>
      <c r="S930" s="103">
        <f>VLOOKUP($A930,LossChart!$A$3:$AB$105,17,0)-O930</f>
        <v>1353.9289044166594</v>
      </c>
    </row>
    <row r="931" spans="1:19" x14ac:dyDescent="0.25">
      <c r="B931" s="99" t="s">
        <v>107</v>
      </c>
      <c r="C931" s="100">
        <v>0</v>
      </c>
      <c r="D931">
        <f>$C931*VLOOKUP($B931,FoodDB!$A$2:$I$1014,3,0)</f>
        <v>0</v>
      </c>
      <c r="E931">
        <f>$C931*VLOOKUP($B931,FoodDB!$A$2:$I$1014,4,0)</f>
        <v>0</v>
      </c>
      <c r="F931">
        <f>$C931*VLOOKUP($B931,FoodDB!$A$2:$I$1014,5,0)</f>
        <v>0</v>
      </c>
      <c r="G931">
        <f>$C931*VLOOKUP($B931,FoodDB!$A$2:$I$1014,6,0)</f>
        <v>0</v>
      </c>
      <c r="H931">
        <f>$C931*VLOOKUP($B931,FoodDB!$A$2:$I$1014,7,0)</f>
        <v>0</v>
      </c>
      <c r="I931">
        <f>$C931*VLOOKUP($B931,FoodDB!$A$2:$I$1014,8,0)</f>
        <v>0</v>
      </c>
      <c r="J931">
        <f>$C931*VLOOKUP($B931,FoodDB!$A$2:$I$1014,9,0)</f>
        <v>0</v>
      </c>
    </row>
    <row r="932" spans="1:19" x14ac:dyDescent="0.25">
      <c r="B932" s="99" t="s">
        <v>107</v>
      </c>
      <c r="C932" s="100">
        <v>0</v>
      </c>
      <c r="D932">
        <f>$C932*VLOOKUP($B932,FoodDB!$A$2:$I$1014,3,0)</f>
        <v>0</v>
      </c>
      <c r="E932">
        <f>$C932*VLOOKUP($B932,FoodDB!$A$2:$I$1014,4,0)</f>
        <v>0</v>
      </c>
      <c r="F932">
        <f>$C932*VLOOKUP($B932,FoodDB!$A$2:$I$1014,5,0)</f>
        <v>0</v>
      </c>
      <c r="G932">
        <f>$C932*VLOOKUP($B932,FoodDB!$A$2:$I$1014,6,0)</f>
        <v>0</v>
      </c>
      <c r="H932">
        <f>$C932*VLOOKUP($B932,FoodDB!$A$2:$I$1014,7,0)</f>
        <v>0</v>
      </c>
      <c r="I932">
        <f>$C932*VLOOKUP($B932,FoodDB!$A$2:$I$1014,8,0)</f>
        <v>0</v>
      </c>
      <c r="J932">
        <f>$C932*VLOOKUP($B932,FoodDB!$A$2:$I$1014,9,0)</f>
        <v>0</v>
      </c>
    </row>
    <row r="933" spans="1:19" x14ac:dyDescent="0.25">
      <c r="B933" s="99" t="s">
        <v>107</v>
      </c>
      <c r="C933" s="100">
        <v>0</v>
      </c>
      <c r="D933">
        <f>$C933*VLOOKUP($B933,FoodDB!$A$2:$I$1014,3,0)</f>
        <v>0</v>
      </c>
      <c r="E933">
        <f>$C933*VLOOKUP($B933,FoodDB!$A$2:$I$1014,4,0)</f>
        <v>0</v>
      </c>
      <c r="F933">
        <f>$C933*VLOOKUP($B933,FoodDB!$A$2:$I$1014,5,0)</f>
        <v>0</v>
      </c>
      <c r="G933">
        <f>$C933*VLOOKUP($B933,FoodDB!$A$2:$I$1014,6,0)</f>
        <v>0</v>
      </c>
      <c r="H933">
        <f>$C933*VLOOKUP($B933,FoodDB!$A$2:$I$1014,7,0)</f>
        <v>0</v>
      </c>
      <c r="I933">
        <f>$C933*VLOOKUP($B933,FoodDB!$A$2:$I$1014,8,0)</f>
        <v>0</v>
      </c>
      <c r="J933">
        <f>$C933*VLOOKUP($B933,FoodDB!$A$2:$I$1014,9,0)</f>
        <v>0</v>
      </c>
    </row>
    <row r="934" spans="1:19" x14ac:dyDescent="0.25">
      <c r="B934" s="99" t="s">
        <v>107</v>
      </c>
      <c r="C934" s="100">
        <v>0</v>
      </c>
      <c r="D934">
        <f>$C934*VLOOKUP($B934,FoodDB!$A$2:$I$1014,3,0)</f>
        <v>0</v>
      </c>
      <c r="E934">
        <f>$C934*VLOOKUP($B934,FoodDB!$A$2:$I$1014,4,0)</f>
        <v>0</v>
      </c>
      <c r="F934">
        <f>$C934*VLOOKUP($B934,FoodDB!$A$2:$I$1014,5,0)</f>
        <v>0</v>
      </c>
      <c r="G934">
        <f>$C934*VLOOKUP($B934,FoodDB!$A$2:$I$1014,6,0)</f>
        <v>0</v>
      </c>
      <c r="H934">
        <f>$C934*VLOOKUP($B934,FoodDB!$A$2:$I$1014,7,0)</f>
        <v>0</v>
      </c>
      <c r="I934">
        <f>$C934*VLOOKUP($B934,FoodDB!$A$2:$I$1014,8,0)</f>
        <v>0</v>
      </c>
      <c r="J934">
        <f>$C934*VLOOKUP($B934,FoodDB!$A$2:$I$1014,9,0)</f>
        <v>0</v>
      </c>
    </row>
    <row r="935" spans="1:19" x14ac:dyDescent="0.25">
      <c r="B935" s="99" t="s">
        <v>107</v>
      </c>
      <c r="C935" s="100">
        <v>0</v>
      </c>
      <c r="D935">
        <f>$C935*VLOOKUP($B935,FoodDB!$A$2:$I$1014,3,0)</f>
        <v>0</v>
      </c>
      <c r="E935">
        <f>$C935*VLOOKUP($B935,FoodDB!$A$2:$I$1014,4,0)</f>
        <v>0</v>
      </c>
      <c r="F935">
        <f>$C935*VLOOKUP($B935,FoodDB!$A$2:$I$1014,5,0)</f>
        <v>0</v>
      </c>
      <c r="G935">
        <f>$C935*VLOOKUP($B935,FoodDB!$A$2:$I$1014,6,0)</f>
        <v>0</v>
      </c>
      <c r="H935">
        <f>$C935*VLOOKUP($B935,FoodDB!$A$2:$I$1014,7,0)</f>
        <v>0</v>
      </c>
      <c r="I935">
        <f>$C935*VLOOKUP($B935,FoodDB!$A$2:$I$1014,8,0)</f>
        <v>0</v>
      </c>
      <c r="J935">
        <f>$C935*VLOOKUP($B935,FoodDB!$A$2:$I$1014,9,0)</f>
        <v>0</v>
      </c>
    </row>
    <row r="936" spans="1:19" x14ac:dyDescent="0.25">
      <c r="B936" s="99" t="s">
        <v>107</v>
      </c>
      <c r="C936" s="100">
        <v>0</v>
      </c>
      <c r="D936">
        <f>$C936*VLOOKUP($B936,FoodDB!$A$2:$I$1014,3,0)</f>
        <v>0</v>
      </c>
      <c r="E936">
        <f>$C936*VLOOKUP($B936,FoodDB!$A$2:$I$1014,4,0)</f>
        <v>0</v>
      </c>
      <c r="F936">
        <f>$C936*VLOOKUP($B936,FoodDB!$A$2:$I$1014,5,0)</f>
        <v>0</v>
      </c>
      <c r="G936">
        <f>$C936*VLOOKUP($B936,FoodDB!$A$2:$I$1014,6,0)</f>
        <v>0</v>
      </c>
      <c r="H936">
        <f>$C936*VLOOKUP($B936,FoodDB!$A$2:$I$1014,7,0)</f>
        <v>0</v>
      </c>
      <c r="I936">
        <f>$C936*VLOOKUP($B936,FoodDB!$A$2:$I$1014,8,0)</f>
        <v>0</v>
      </c>
      <c r="J936">
        <f>$C936*VLOOKUP($B936,FoodDB!$A$2:$I$1014,9,0)</f>
        <v>0</v>
      </c>
    </row>
    <row r="937" spans="1:19" x14ac:dyDescent="0.25">
      <c r="A937" t="s">
        <v>97</v>
      </c>
      <c r="G937">
        <f>SUM(G930:G936)</f>
        <v>0</v>
      </c>
      <c r="H937">
        <f>SUM(H930:H936)</f>
        <v>0</v>
      </c>
      <c r="I937">
        <f>SUM(I930:I936)</f>
        <v>0</v>
      </c>
      <c r="J937">
        <f>SUM(G937:I937)</f>
        <v>0</v>
      </c>
    </row>
    <row r="938" spans="1:19" x14ac:dyDescent="0.25">
      <c r="A938" t="s">
        <v>101</v>
      </c>
      <c r="B938" t="s">
        <v>102</v>
      </c>
      <c r="E938" s="103"/>
      <c r="F938" s="103"/>
      <c r="G938" s="103">
        <f>VLOOKUP($A930,LossChart!$A$3:$AB$105,14,0)</f>
        <v>796.6248302805011</v>
      </c>
      <c r="H938" s="103">
        <f>VLOOKUP($A930,LossChart!$A$3:$AB$105,15,0)</f>
        <v>80</v>
      </c>
      <c r="I938" s="103">
        <f>VLOOKUP($A930,LossChart!$A$3:$AB$105,16,0)</f>
        <v>477.30407413615825</v>
      </c>
      <c r="J938" s="103">
        <f>VLOOKUP($A930,LossChart!$A$3:$AB$105,17,0)</f>
        <v>1353.9289044166594</v>
      </c>
      <c r="K938" s="103"/>
    </row>
    <row r="939" spans="1:19" x14ac:dyDescent="0.25">
      <c r="A939" t="s">
        <v>103</v>
      </c>
      <c r="G939">
        <f>G938-G937</f>
        <v>796.6248302805011</v>
      </c>
      <c r="H939">
        <f>H938-H937</f>
        <v>80</v>
      </c>
      <c r="I939">
        <f>I938-I937</f>
        <v>477.30407413615825</v>
      </c>
      <c r="J939">
        <f>J938-J937</f>
        <v>1353.9289044166594</v>
      </c>
    </row>
    <row r="941" spans="1:19" ht="60" x14ac:dyDescent="0.25">
      <c r="A941" s="26" t="s">
        <v>63</v>
      </c>
      <c r="B941" s="26" t="s">
        <v>92</v>
      </c>
      <c r="C941" s="26" t="s">
        <v>93</v>
      </c>
      <c r="D941" s="97" t="str">
        <f>FoodDB!$C$1</f>
        <v>Fat
(g)</v>
      </c>
      <c r="E941" s="97" t="str">
        <f>FoodDB!$D$1</f>
        <v xml:space="preserve"> Carbs
(g)</v>
      </c>
      <c r="F941" s="97" t="str">
        <f>FoodDB!$E$1</f>
        <v>Protein
(g)</v>
      </c>
      <c r="G941" s="97" t="str">
        <f>FoodDB!$F$1</f>
        <v>Fat
(Cal)</v>
      </c>
      <c r="H941" s="97" t="str">
        <f>FoodDB!$G$1</f>
        <v>Carb
(Cal)</v>
      </c>
      <c r="I941" s="97" t="str">
        <f>FoodDB!$H$1</f>
        <v>Protein
(Cal)</v>
      </c>
      <c r="J941" s="97" t="str">
        <f>FoodDB!$I$1</f>
        <v>Total
Calories</v>
      </c>
      <c r="K941" s="97"/>
      <c r="L941" s="97" t="s">
        <v>109</v>
      </c>
      <c r="M941" s="97" t="s">
        <v>110</v>
      </c>
      <c r="N941" s="97" t="s">
        <v>111</v>
      </c>
      <c r="O941" s="97" t="s">
        <v>112</v>
      </c>
      <c r="P941" s="97" t="s">
        <v>117</v>
      </c>
      <c r="Q941" s="97" t="s">
        <v>118</v>
      </c>
      <c r="R941" s="97" t="s">
        <v>119</v>
      </c>
      <c r="S941" s="97" t="s">
        <v>120</v>
      </c>
    </row>
    <row r="942" spans="1:19" x14ac:dyDescent="0.25">
      <c r="A942" s="98">
        <f>A930+1</f>
        <v>43072</v>
      </c>
      <c r="B942" s="99" t="s">
        <v>107</v>
      </c>
      <c r="C942" s="100">
        <v>0</v>
      </c>
      <c r="D942">
        <f>$C942*VLOOKUP($B942,FoodDB!$A$2:$I$1014,3,0)</f>
        <v>0</v>
      </c>
      <c r="E942">
        <f>$C942*VLOOKUP($B942,FoodDB!$A$2:$I$1014,4,0)</f>
        <v>0</v>
      </c>
      <c r="F942">
        <f>$C942*VLOOKUP($B942,FoodDB!$A$2:$I$1014,5,0)</f>
        <v>0</v>
      </c>
      <c r="G942">
        <f>$C942*VLOOKUP($B942,FoodDB!$A$2:$I$1014,6,0)</f>
        <v>0</v>
      </c>
      <c r="H942">
        <f>$C942*VLOOKUP($B942,FoodDB!$A$2:$I$1014,7,0)</f>
        <v>0</v>
      </c>
      <c r="I942">
        <f>$C942*VLOOKUP($B942,FoodDB!$A$2:$I$1014,8,0)</f>
        <v>0</v>
      </c>
      <c r="J942">
        <f>$C942*VLOOKUP($B942,FoodDB!$A$2:$I$1014,9,0)</f>
        <v>0</v>
      </c>
      <c r="L942">
        <f>SUM(G942:G948)</f>
        <v>0</v>
      </c>
      <c r="M942">
        <f>SUM(H942:H948)</f>
        <v>0</v>
      </c>
      <c r="N942">
        <f>SUM(I942:I948)</f>
        <v>0</v>
      </c>
      <c r="O942">
        <f>SUM(L942:N942)</f>
        <v>0</v>
      </c>
      <c r="P942" s="103">
        <f>VLOOKUP($A942,LossChart!$A$3:$AB$105,14,0)-L942</f>
        <v>801.07145785008811</v>
      </c>
      <c r="Q942" s="103">
        <f>VLOOKUP($A942,LossChart!$A$3:$AB$105,15,0)-M942</f>
        <v>80</v>
      </c>
      <c r="R942" s="103">
        <f>VLOOKUP($A942,LossChart!$A$3:$AB$105,16,0)-N942</f>
        <v>477.30407413615825</v>
      </c>
      <c r="S942" s="103">
        <f>VLOOKUP($A942,LossChart!$A$3:$AB$105,17,0)-O942</f>
        <v>1358.3755319862464</v>
      </c>
    </row>
    <row r="943" spans="1:19" x14ac:dyDescent="0.25">
      <c r="B943" s="99" t="s">
        <v>107</v>
      </c>
      <c r="C943" s="100">
        <v>0</v>
      </c>
      <c r="D943">
        <f>$C943*VLOOKUP($B943,FoodDB!$A$2:$I$1014,3,0)</f>
        <v>0</v>
      </c>
      <c r="E943">
        <f>$C943*VLOOKUP($B943,FoodDB!$A$2:$I$1014,4,0)</f>
        <v>0</v>
      </c>
      <c r="F943">
        <f>$C943*VLOOKUP($B943,FoodDB!$A$2:$I$1014,5,0)</f>
        <v>0</v>
      </c>
      <c r="G943">
        <f>$C943*VLOOKUP($B943,FoodDB!$A$2:$I$1014,6,0)</f>
        <v>0</v>
      </c>
      <c r="H943">
        <f>$C943*VLOOKUP($B943,FoodDB!$A$2:$I$1014,7,0)</f>
        <v>0</v>
      </c>
      <c r="I943">
        <f>$C943*VLOOKUP($B943,FoodDB!$A$2:$I$1014,8,0)</f>
        <v>0</v>
      </c>
      <c r="J943">
        <f>$C943*VLOOKUP($B943,FoodDB!$A$2:$I$1014,9,0)</f>
        <v>0</v>
      </c>
    </row>
    <row r="944" spans="1:19" x14ac:dyDescent="0.25">
      <c r="B944" s="99" t="s">
        <v>107</v>
      </c>
      <c r="C944" s="100">
        <v>0</v>
      </c>
      <c r="D944">
        <f>$C944*VLOOKUP($B944,FoodDB!$A$2:$I$1014,3,0)</f>
        <v>0</v>
      </c>
      <c r="E944">
        <f>$C944*VLOOKUP($B944,FoodDB!$A$2:$I$1014,4,0)</f>
        <v>0</v>
      </c>
      <c r="F944">
        <f>$C944*VLOOKUP($B944,FoodDB!$A$2:$I$1014,5,0)</f>
        <v>0</v>
      </c>
      <c r="G944">
        <f>$C944*VLOOKUP($B944,FoodDB!$A$2:$I$1014,6,0)</f>
        <v>0</v>
      </c>
      <c r="H944">
        <f>$C944*VLOOKUP($B944,FoodDB!$A$2:$I$1014,7,0)</f>
        <v>0</v>
      </c>
      <c r="I944">
        <f>$C944*VLOOKUP($B944,FoodDB!$A$2:$I$1014,8,0)</f>
        <v>0</v>
      </c>
      <c r="J944">
        <f>$C944*VLOOKUP($B944,FoodDB!$A$2:$I$1014,9,0)</f>
        <v>0</v>
      </c>
    </row>
    <row r="945" spans="1:19" x14ac:dyDescent="0.25">
      <c r="B945" s="99" t="s">
        <v>107</v>
      </c>
      <c r="C945" s="100">
        <v>0</v>
      </c>
      <c r="D945">
        <f>$C945*VLOOKUP($B945,FoodDB!$A$2:$I$1014,3,0)</f>
        <v>0</v>
      </c>
      <c r="E945">
        <f>$C945*VLOOKUP($B945,FoodDB!$A$2:$I$1014,4,0)</f>
        <v>0</v>
      </c>
      <c r="F945">
        <f>$C945*VLOOKUP($B945,FoodDB!$A$2:$I$1014,5,0)</f>
        <v>0</v>
      </c>
      <c r="G945">
        <f>$C945*VLOOKUP($B945,FoodDB!$A$2:$I$1014,6,0)</f>
        <v>0</v>
      </c>
      <c r="H945">
        <f>$C945*VLOOKUP($B945,FoodDB!$A$2:$I$1014,7,0)</f>
        <v>0</v>
      </c>
      <c r="I945">
        <f>$C945*VLOOKUP($B945,FoodDB!$A$2:$I$1014,8,0)</f>
        <v>0</v>
      </c>
      <c r="J945">
        <f>$C945*VLOOKUP($B945,FoodDB!$A$2:$I$1014,9,0)</f>
        <v>0</v>
      </c>
    </row>
    <row r="946" spans="1:19" x14ac:dyDescent="0.25">
      <c r="B946" s="99" t="s">
        <v>107</v>
      </c>
      <c r="C946" s="100">
        <v>0</v>
      </c>
      <c r="D946">
        <f>$C946*VLOOKUP($B946,FoodDB!$A$2:$I$1014,3,0)</f>
        <v>0</v>
      </c>
      <c r="E946">
        <f>$C946*VLOOKUP($B946,FoodDB!$A$2:$I$1014,4,0)</f>
        <v>0</v>
      </c>
      <c r="F946">
        <f>$C946*VLOOKUP($B946,FoodDB!$A$2:$I$1014,5,0)</f>
        <v>0</v>
      </c>
      <c r="G946">
        <f>$C946*VLOOKUP($B946,FoodDB!$A$2:$I$1014,6,0)</f>
        <v>0</v>
      </c>
      <c r="H946">
        <f>$C946*VLOOKUP($B946,FoodDB!$A$2:$I$1014,7,0)</f>
        <v>0</v>
      </c>
      <c r="I946">
        <f>$C946*VLOOKUP($B946,FoodDB!$A$2:$I$1014,8,0)</f>
        <v>0</v>
      </c>
      <c r="J946">
        <f>$C946*VLOOKUP($B946,FoodDB!$A$2:$I$1014,9,0)</f>
        <v>0</v>
      </c>
    </row>
    <row r="947" spans="1:19" x14ac:dyDescent="0.25">
      <c r="B947" s="99" t="s">
        <v>107</v>
      </c>
      <c r="C947" s="100">
        <v>0</v>
      </c>
      <c r="D947">
        <f>$C947*VLOOKUP($B947,FoodDB!$A$2:$I$1014,3,0)</f>
        <v>0</v>
      </c>
      <c r="E947">
        <f>$C947*VLOOKUP($B947,FoodDB!$A$2:$I$1014,4,0)</f>
        <v>0</v>
      </c>
      <c r="F947">
        <f>$C947*VLOOKUP($B947,FoodDB!$A$2:$I$1014,5,0)</f>
        <v>0</v>
      </c>
      <c r="G947">
        <f>$C947*VLOOKUP($B947,FoodDB!$A$2:$I$1014,6,0)</f>
        <v>0</v>
      </c>
      <c r="H947">
        <f>$C947*VLOOKUP($B947,FoodDB!$A$2:$I$1014,7,0)</f>
        <v>0</v>
      </c>
      <c r="I947">
        <f>$C947*VLOOKUP($B947,FoodDB!$A$2:$I$1014,8,0)</f>
        <v>0</v>
      </c>
      <c r="J947">
        <f>$C947*VLOOKUP($B947,FoodDB!$A$2:$I$1014,9,0)</f>
        <v>0</v>
      </c>
    </row>
    <row r="948" spans="1:19" x14ac:dyDescent="0.25">
      <c r="B948" s="99" t="s">
        <v>107</v>
      </c>
      <c r="C948" s="100">
        <v>0</v>
      </c>
      <c r="D948">
        <f>$C948*VLOOKUP($B948,FoodDB!$A$2:$I$1014,3,0)</f>
        <v>0</v>
      </c>
      <c r="E948">
        <f>$C948*VLOOKUP($B948,FoodDB!$A$2:$I$1014,4,0)</f>
        <v>0</v>
      </c>
      <c r="F948">
        <f>$C948*VLOOKUP($B948,FoodDB!$A$2:$I$1014,5,0)</f>
        <v>0</v>
      </c>
      <c r="G948">
        <f>$C948*VLOOKUP($B948,FoodDB!$A$2:$I$1014,6,0)</f>
        <v>0</v>
      </c>
      <c r="H948">
        <f>$C948*VLOOKUP($B948,FoodDB!$A$2:$I$1014,7,0)</f>
        <v>0</v>
      </c>
      <c r="I948">
        <f>$C948*VLOOKUP($B948,FoodDB!$A$2:$I$1014,8,0)</f>
        <v>0</v>
      </c>
      <c r="J948">
        <f>$C948*VLOOKUP($B948,FoodDB!$A$2:$I$1014,9,0)</f>
        <v>0</v>
      </c>
    </row>
    <row r="949" spans="1:19" x14ac:dyDescent="0.25">
      <c r="A949" t="s">
        <v>97</v>
      </c>
      <c r="G949">
        <f>SUM(G942:G948)</f>
        <v>0</v>
      </c>
      <c r="H949">
        <f>SUM(H942:H948)</f>
        <v>0</v>
      </c>
      <c r="I949">
        <f>SUM(I942:I948)</f>
        <v>0</v>
      </c>
      <c r="J949">
        <f>SUM(G949:I949)</f>
        <v>0</v>
      </c>
    </row>
    <row r="950" spans="1:19" x14ac:dyDescent="0.25">
      <c r="A950" t="s">
        <v>101</v>
      </c>
      <c r="B950" t="s">
        <v>102</v>
      </c>
      <c r="E950" s="103"/>
      <c r="F950" s="103"/>
      <c r="G950" s="103">
        <f>VLOOKUP($A942,LossChart!$A$3:$AB$105,14,0)</f>
        <v>801.07145785008811</v>
      </c>
      <c r="H950" s="103">
        <f>VLOOKUP($A942,LossChart!$A$3:$AB$105,15,0)</f>
        <v>80</v>
      </c>
      <c r="I950" s="103">
        <f>VLOOKUP($A942,LossChart!$A$3:$AB$105,16,0)</f>
        <v>477.30407413615825</v>
      </c>
      <c r="J950" s="103">
        <f>VLOOKUP($A942,LossChart!$A$3:$AB$105,17,0)</f>
        <v>1358.3755319862464</v>
      </c>
      <c r="K950" s="103"/>
    </row>
    <row r="951" spans="1:19" x14ac:dyDescent="0.25">
      <c r="A951" t="s">
        <v>103</v>
      </c>
      <c r="G951">
        <f>G950-G949</f>
        <v>801.07145785008811</v>
      </c>
      <c r="H951">
        <f>H950-H949</f>
        <v>80</v>
      </c>
      <c r="I951">
        <f>I950-I949</f>
        <v>477.30407413615825</v>
      </c>
      <c r="J951">
        <f>J950-J949</f>
        <v>1358.3755319862464</v>
      </c>
    </row>
    <row r="953" spans="1:19" ht="60" x14ac:dyDescent="0.25">
      <c r="A953" s="26" t="s">
        <v>63</v>
      </c>
      <c r="B953" s="26" t="s">
        <v>92</v>
      </c>
      <c r="C953" s="26" t="s">
        <v>93</v>
      </c>
      <c r="D953" s="97" t="str">
        <f>FoodDB!$C$1</f>
        <v>Fat
(g)</v>
      </c>
      <c r="E953" s="97" t="str">
        <f>FoodDB!$D$1</f>
        <v xml:space="preserve"> Carbs
(g)</v>
      </c>
      <c r="F953" s="97" t="str">
        <f>FoodDB!$E$1</f>
        <v>Protein
(g)</v>
      </c>
      <c r="G953" s="97" t="str">
        <f>FoodDB!$F$1</f>
        <v>Fat
(Cal)</v>
      </c>
      <c r="H953" s="97" t="str">
        <f>FoodDB!$G$1</f>
        <v>Carb
(Cal)</v>
      </c>
      <c r="I953" s="97" t="str">
        <f>FoodDB!$H$1</f>
        <v>Protein
(Cal)</v>
      </c>
      <c r="J953" s="97" t="str">
        <f>FoodDB!$I$1</f>
        <v>Total
Calories</v>
      </c>
      <c r="K953" s="97"/>
      <c r="L953" s="97" t="s">
        <v>109</v>
      </c>
      <c r="M953" s="97" t="s">
        <v>110</v>
      </c>
      <c r="N953" s="97" t="s">
        <v>111</v>
      </c>
      <c r="O953" s="97" t="s">
        <v>112</v>
      </c>
      <c r="P953" s="97" t="s">
        <v>117</v>
      </c>
      <c r="Q953" s="97" t="s">
        <v>118</v>
      </c>
      <c r="R953" s="97" t="s">
        <v>119</v>
      </c>
      <c r="S953" s="97" t="s">
        <v>120</v>
      </c>
    </row>
    <row r="954" spans="1:19" x14ac:dyDescent="0.25">
      <c r="A954" s="98">
        <f>A942+1</f>
        <v>43073</v>
      </c>
      <c r="B954" s="99" t="s">
        <v>107</v>
      </c>
      <c r="C954" s="100">
        <v>0</v>
      </c>
      <c r="D954">
        <f>$C954*VLOOKUP($B954,FoodDB!$A$2:$I$1014,3,0)</f>
        <v>0</v>
      </c>
      <c r="E954">
        <f>$C954*VLOOKUP($B954,FoodDB!$A$2:$I$1014,4,0)</f>
        <v>0</v>
      </c>
      <c r="F954">
        <f>$C954*VLOOKUP($B954,FoodDB!$A$2:$I$1014,5,0)</f>
        <v>0</v>
      </c>
      <c r="G954">
        <f>$C954*VLOOKUP($B954,FoodDB!$A$2:$I$1014,6,0)</f>
        <v>0</v>
      </c>
      <c r="H954">
        <f>$C954*VLOOKUP($B954,FoodDB!$A$2:$I$1014,7,0)</f>
        <v>0</v>
      </c>
      <c r="I954">
        <f>$C954*VLOOKUP($B954,FoodDB!$A$2:$I$1014,8,0)</f>
        <v>0</v>
      </c>
      <c r="J954">
        <f>$C954*VLOOKUP($B954,FoodDB!$A$2:$I$1014,9,0)</f>
        <v>0</v>
      </c>
      <c r="L954">
        <f>SUM(G954:G960)</f>
        <v>0</v>
      </c>
      <c r="M954">
        <f>SUM(H954:H960)</f>
        <v>0</v>
      </c>
      <c r="N954">
        <f>SUM(I954:I960)</f>
        <v>0</v>
      </c>
      <c r="O954">
        <f>SUM(L954:N954)</f>
        <v>0</v>
      </c>
      <c r="P954" s="103">
        <f>VLOOKUP($A954,LossChart!$A$3:$AB$105,14,0)-L954</f>
        <v>805.47870100405885</v>
      </c>
      <c r="Q954" s="103">
        <f>VLOOKUP($A954,LossChart!$A$3:$AB$105,15,0)-M954</f>
        <v>80</v>
      </c>
      <c r="R954" s="103">
        <f>VLOOKUP($A954,LossChart!$A$3:$AB$105,16,0)-N954</f>
        <v>477.30407413615825</v>
      </c>
      <c r="S954" s="103">
        <f>VLOOKUP($A954,LossChart!$A$3:$AB$105,17,0)-O954</f>
        <v>1362.7827751402172</v>
      </c>
    </row>
    <row r="955" spans="1:19" x14ac:dyDescent="0.25">
      <c r="B955" s="99" t="s">
        <v>107</v>
      </c>
      <c r="C955" s="100">
        <v>0</v>
      </c>
      <c r="D955">
        <f>$C955*VLOOKUP($B955,FoodDB!$A$2:$I$1014,3,0)</f>
        <v>0</v>
      </c>
      <c r="E955">
        <f>$C955*VLOOKUP($B955,FoodDB!$A$2:$I$1014,4,0)</f>
        <v>0</v>
      </c>
      <c r="F955">
        <f>$C955*VLOOKUP($B955,FoodDB!$A$2:$I$1014,5,0)</f>
        <v>0</v>
      </c>
      <c r="G955">
        <f>$C955*VLOOKUP($B955,FoodDB!$A$2:$I$1014,6,0)</f>
        <v>0</v>
      </c>
      <c r="H955">
        <f>$C955*VLOOKUP($B955,FoodDB!$A$2:$I$1014,7,0)</f>
        <v>0</v>
      </c>
      <c r="I955">
        <f>$C955*VLOOKUP($B955,FoodDB!$A$2:$I$1014,8,0)</f>
        <v>0</v>
      </c>
      <c r="J955">
        <f>$C955*VLOOKUP($B955,FoodDB!$A$2:$I$1014,9,0)</f>
        <v>0</v>
      </c>
    </row>
    <row r="956" spans="1:19" x14ac:dyDescent="0.25">
      <c r="B956" s="99" t="s">
        <v>107</v>
      </c>
      <c r="C956" s="100">
        <v>0</v>
      </c>
      <c r="D956">
        <f>$C956*VLOOKUP($B956,FoodDB!$A$2:$I$1014,3,0)</f>
        <v>0</v>
      </c>
      <c r="E956">
        <f>$C956*VLOOKUP($B956,FoodDB!$A$2:$I$1014,4,0)</f>
        <v>0</v>
      </c>
      <c r="F956">
        <f>$C956*VLOOKUP($B956,FoodDB!$A$2:$I$1014,5,0)</f>
        <v>0</v>
      </c>
      <c r="G956">
        <f>$C956*VLOOKUP($B956,FoodDB!$A$2:$I$1014,6,0)</f>
        <v>0</v>
      </c>
      <c r="H956">
        <f>$C956*VLOOKUP($B956,FoodDB!$A$2:$I$1014,7,0)</f>
        <v>0</v>
      </c>
      <c r="I956">
        <f>$C956*VLOOKUP($B956,FoodDB!$A$2:$I$1014,8,0)</f>
        <v>0</v>
      </c>
      <c r="J956">
        <f>$C956*VLOOKUP($B956,FoodDB!$A$2:$I$1014,9,0)</f>
        <v>0</v>
      </c>
    </row>
    <row r="957" spans="1:19" x14ac:dyDescent="0.25">
      <c r="B957" s="99" t="s">
        <v>107</v>
      </c>
      <c r="C957" s="100">
        <v>0</v>
      </c>
      <c r="D957">
        <f>$C957*VLOOKUP($B957,FoodDB!$A$2:$I$1014,3,0)</f>
        <v>0</v>
      </c>
      <c r="E957">
        <f>$C957*VLOOKUP($B957,FoodDB!$A$2:$I$1014,4,0)</f>
        <v>0</v>
      </c>
      <c r="F957">
        <f>$C957*VLOOKUP($B957,FoodDB!$A$2:$I$1014,5,0)</f>
        <v>0</v>
      </c>
      <c r="G957">
        <f>$C957*VLOOKUP($B957,FoodDB!$A$2:$I$1014,6,0)</f>
        <v>0</v>
      </c>
      <c r="H957">
        <f>$C957*VLOOKUP($B957,FoodDB!$A$2:$I$1014,7,0)</f>
        <v>0</v>
      </c>
      <c r="I957">
        <f>$C957*VLOOKUP($B957,FoodDB!$A$2:$I$1014,8,0)</f>
        <v>0</v>
      </c>
      <c r="J957">
        <f>$C957*VLOOKUP($B957,FoodDB!$A$2:$I$1014,9,0)</f>
        <v>0</v>
      </c>
    </row>
    <row r="958" spans="1:19" x14ac:dyDescent="0.25">
      <c r="B958" s="99" t="s">
        <v>107</v>
      </c>
      <c r="C958" s="100">
        <v>0</v>
      </c>
      <c r="D958">
        <f>$C958*VLOOKUP($B958,FoodDB!$A$2:$I$1014,3,0)</f>
        <v>0</v>
      </c>
      <c r="E958">
        <f>$C958*VLOOKUP($B958,FoodDB!$A$2:$I$1014,4,0)</f>
        <v>0</v>
      </c>
      <c r="F958">
        <f>$C958*VLOOKUP($B958,FoodDB!$A$2:$I$1014,5,0)</f>
        <v>0</v>
      </c>
      <c r="G958">
        <f>$C958*VLOOKUP($B958,FoodDB!$A$2:$I$1014,6,0)</f>
        <v>0</v>
      </c>
      <c r="H958">
        <f>$C958*VLOOKUP($B958,FoodDB!$A$2:$I$1014,7,0)</f>
        <v>0</v>
      </c>
      <c r="I958">
        <f>$C958*VLOOKUP($B958,FoodDB!$A$2:$I$1014,8,0)</f>
        <v>0</v>
      </c>
      <c r="J958">
        <f>$C958*VLOOKUP($B958,FoodDB!$A$2:$I$1014,9,0)</f>
        <v>0</v>
      </c>
    </row>
    <row r="959" spans="1:19" x14ac:dyDescent="0.25">
      <c r="B959" s="99" t="s">
        <v>107</v>
      </c>
      <c r="C959" s="100">
        <v>0</v>
      </c>
      <c r="D959">
        <f>$C959*VLOOKUP($B959,FoodDB!$A$2:$I$1014,3,0)</f>
        <v>0</v>
      </c>
      <c r="E959">
        <f>$C959*VLOOKUP($B959,FoodDB!$A$2:$I$1014,4,0)</f>
        <v>0</v>
      </c>
      <c r="F959">
        <f>$C959*VLOOKUP($B959,FoodDB!$A$2:$I$1014,5,0)</f>
        <v>0</v>
      </c>
      <c r="G959">
        <f>$C959*VLOOKUP($B959,FoodDB!$A$2:$I$1014,6,0)</f>
        <v>0</v>
      </c>
      <c r="H959">
        <f>$C959*VLOOKUP($B959,FoodDB!$A$2:$I$1014,7,0)</f>
        <v>0</v>
      </c>
      <c r="I959">
        <f>$C959*VLOOKUP($B959,FoodDB!$A$2:$I$1014,8,0)</f>
        <v>0</v>
      </c>
      <c r="J959">
        <f>$C959*VLOOKUP($B959,FoodDB!$A$2:$I$1014,9,0)</f>
        <v>0</v>
      </c>
    </row>
    <row r="960" spans="1:19" x14ac:dyDescent="0.25">
      <c r="B960" s="99" t="s">
        <v>107</v>
      </c>
      <c r="C960" s="100">
        <v>0</v>
      </c>
      <c r="D960">
        <f>$C960*VLOOKUP($B960,FoodDB!$A$2:$I$1014,3,0)</f>
        <v>0</v>
      </c>
      <c r="E960">
        <f>$C960*VLOOKUP($B960,FoodDB!$A$2:$I$1014,4,0)</f>
        <v>0</v>
      </c>
      <c r="F960">
        <f>$C960*VLOOKUP($B960,FoodDB!$A$2:$I$1014,5,0)</f>
        <v>0</v>
      </c>
      <c r="G960">
        <f>$C960*VLOOKUP($B960,FoodDB!$A$2:$I$1014,6,0)</f>
        <v>0</v>
      </c>
      <c r="H960">
        <f>$C960*VLOOKUP($B960,FoodDB!$A$2:$I$1014,7,0)</f>
        <v>0</v>
      </c>
      <c r="I960">
        <f>$C960*VLOOKUP($B960,FoodDB!$A$2:$I$1014,8,0)</f>
        <v>0</v>
      </c>
      <c r="J960">
        <f>$C960*VLOOKUP($B960,FoodDB!$A$2:$I$1014,9,0)</f>
        <v>0</v>
      </c>
    </row>
    <row r="961" spans="1:19" x14ac:dyDescent="0.25">
      <c r="A961" t="s">
        <v>97</v>
      </c>
      <c r="G961">
        <f>SUM(G954:G960)</f>
        <v>0</v>
      </c>
      <c r="H961">
        <f>SUM(H954:H960)</f>
        <v>0</v>
      </c>
      <c r="I961">
        <f>SUM(I954:I960)</f>
        <v>0</v>
      </c>
      <c r="J961">
        <f>SUM(G961:I961)</f>
        <v>0</v>
      </c>
    </row>
    <row r="962" spans="1:19" x14ac:dyDescent="0.25">
      <c r="A962" t="s">
        <v>101</v>
      </c>
      <c r="B962" t="s">
        <v>102</v>
      </c>
      <c r="E962" s="103"/>
      <c r="F962" s="103"/>
      <c r="G962" s="103">
        <f>VLOOKUP($A954,LossChart!$A$3:$AB$105,14,0)</f>
        <v>805.47870100405885</v>
      </c>
      <c r="H962" s="103">
        <f>VLOOKUP($A954,LossChart!$A$3:$AB$105,15,0)</f>
        <v>80</v>
      </c>
      <c r="I962" s="103">
        <f>VLOOKUP($A954,LossChart!$A$3:$AB$105,16,0)</f>
        <v>477.30407413615825</v>
      </c>
      <c r="J962" s="103">
        <f>VLOOKUP($A954,LossChart!$A$3:$AB$105,17,0)</f>
        <v>1362.7827751402172</v>
      </c>
      <c r="K962" s="103"/>
    </row>
    <row r="963" spans="1:19" x14ac:dyDescent="0.25">
      <c r="A963" t="s">
        <v>103</v>
      </c>
      <c r="G963">
        <f>G962-G961</f>
        <v>805.47870100405885</v>
      </c>
      <c r="H963">
        <f>H962-H961</f>
        <v>80</v>
      </c>
      <c r="I963">
        <f>I962-I961</f>
        <v>477.30407413615825</v>
      </c>
      <c r="J963">
        <f>J962-J961</f>
        <v>1362.7827751402172</v>
      </c>
    </row>
    <row r="965" spans="1:19" ht="60" x14ac:dyDescent="0.25">
      <c r="A965" s="26" t="s">
        <v>63</v>
      </c>
      <c r="B965" s="26" t="s">
        <v>92</v>
      </c>
      <c r="C965" s="26" t="s">
        <v>93</v>
      </c>
      <c r="D965" s="97" t="str">
        <f>FoodDB!$C$1</f>
        <v>Fat
(g)</v>
      </c>
      <c r="E965" s="97" t="str">
        <f>FoodDB!$D$1</f>
        <v xml:space="preserve"> Carbs
(g)</v>
      </c>
      <c r="F965" s="97" t="str">
        <f>FoodDB!$E$1</f>
        <v>Protein
(g)</v>
      </c>
      <c r="G965" s="97" t="str">
        <f>FoodDB!$F$1</f>
        <v>Fat
(Cal)</v>
      </c>
      <c r="H965" s="97" t="str">
        <f>FoodDB!$G$1</f>
        <v>Carb
(Cal)</v>
      </c>
      <c r="I965" s="97" t="str">
        <f>FoodDB!$H$1</f>
        <v>Protein
(Cal)</v>
      </c>
      <c r="J965" s="97" t="str">
        <f>FoodDB!$I$1</f>
        <v>Total
Calories</v>
      </c>
      <c r="K965" s="97"/>
      <c r="L965" s="97" t="s">
        <v>109</v>
      </c>
      <c r="M965" s="97" t="s">
        <v>110</v>
      </c>
      <c r="N965" s="97" t="s">
        <v>111</v>
      </c>
      <c r="O965" s="97" t="s">
        <v>112</v>
      </c>
      <c r="P965" s="97" t="s">
        <v>117</v>
      </c>
      <c r="Q965" s="97" t="s">
        <v>118</v>
      </c>
      <c r="R965" s="97" t="s">
        <v>119</v>
      </c>
      <c r="S965" s="97" t="s">
        <v>120</v>
      </c>
    </row>
    <row r="966" spans="1:19" x14ac:dyDescent="0.25">
      <c r="A966" s="98">
        <f>A954+1</f>
        <v>43074</v>
      </c>
      <c r="B966" s="99" t="s">
        <v>107</v>
      </c>
      <c r="C966" s="100">
        <v>0</v>
      </c>
      <c r="D966">
        <f>$C966*VLOOKUP($B966,FoodDB!$A$2:$I$1014,3,0)</f>
        <v>0</v>
      </c>
      <c r="E966">
        <f>$C966*VLOOKUP($B966,FoodDB!$A$2:$I$1014,4,0)</f>
        <v>0</v>
      </c>
      <c r="F966">
        <f>$C966*VLOOKUP($B966,FoodDB!$A$2:$I$1014,5,0)</f>
        <v>0</v>
      </c>
      <c r="G966">
        <f>$C966*VLOOKUP($B966,FoodDB!$A$2:$I$1014,6,0)</f>
        <v>0</v>
      </c>
      <c r="H966">
        <f>$C966*VLOOKUP($B966,FoodDB!$A$2:$I$1014,7,0)</f>
        <v>0</v>
      </c>
      <c r="I966">
        <f>$C966*VLOOKUP($B966,FoodDB!$A$2:$I$1014,8,0)</f>
        <v>0</v>
      </c>
      <c r="J966">
        <f>$C966*VLOOKUP($B966,FoodDB!$A$2:$I$1014,9,0)</f>
        <v>0</v>
      </c>
      <c r="L966">
        <f>SUM(G966:G972)</f>
        <v>0</v>
      </c>
      <c r="M966">
        <f>SUM(H966:H972)</f>
        <v>0</v>
      </c>
      <c r="N966">
        <f>SUM(I966:I972)</f>
        <v>0</v>
      </c>
      <c r="O966">
        <f>SUM(L966:N966)</f>
        <v>0</v>
      </c>
      <c r="P966" s="103">
        <f>VLOOKUP($A966,LossChart!$A$3:$AB$105,14,0)-L966</f>
        <v>809.84690857580836</v>
      </c>
      <c r="Q966" s="103">
        <f>VLOOKUP($A966,LossChart!$A$3:$AB$105,15,0)-M966</f>
        <v>80</v>
      </c>
      <c r="R966" s="103">
        <f>VLOOKUP($A966,LossChart!$A$3:$AB$105,16,0)-N966</f>
        <v>477.30407413615825</v>
      </c>
      <c r="S966" s="103">
        <f>VLOOKUP($A966,LossChart!$A$3:$AB$105,17,0)-O966</f>
        <v>1367.1509827119667</v>
      </c>
    </row>
    <row r="967" spans="1:19" x14ac:dyDescent="0.25">
      <c r="B967" s="99" t="s">
        <v>107</v>
      </c>
      <c r="C967" s="100">
        <v>0</v>
      </c>
      <c r="D967">
        <f>$C967*VLOOKUP($B967,FoodDB!$A$2:$I$1014,3,0)</f>
        <v>0</v>
      </c>
      <c r="E967">
        <f>$C967*VLOOKUP($B967,FoodDB!$A$2:$I$1014,4,0)</f>
        <v>0</v>
      </c>
      <c r="F967">
        <f>$C967*VLOOKUP($B967,FoodDB!$A$2:$I$1014,5,0)</f>
        <v>0</v>
      </c>
      <c r="G967">
        <f>$C967*VLOOKUP($B967,FoodDB!$A$2:$I$1014,6,0)</f>
        <v>0</v>
      </c>
      <c r="H967">
        <f>$C967*VLOOKUP($B967,FoodDB!$A$2:$I$1014,7,0)</f>
        <v>0</v>
      </c>
      <c r="I967">
        <f>$C967*VLOOKUP($B967,FoodDB!$A$2:$I$1014,8,0)</f>
        <v>0</v>
      </c>
      <c r="J967">
        <f>$C967*VLOOKUP($B967,FoodDB!$A$2:$I$1014,9,0)</f>
        <v>0</v>
      </c>
    </row>
    <row r="968" spans="1:19" x14ac:dyDescent="0.25">
      <c r="B968" s="99" t="s">
        <v>107</v>
      </c>
      <c r="C968" s="100">
        <v>0</v>
      </c>
      <c r="D968">
        <f>$C968*VLOOKUP($B968,FoodDB!$A$2:$I$1014,3,0)</f>
        <v>0</v>
      </c>
      <c r="E968">
        <f>$C968*VLOOKUP($B968,FoodDB!$A$2:$I$1014,4,0)</f>
        <v>0</v>
      </c>
      <c r="F968">
        <f>$C968*VLOOKUP($B968,FoodDB!$A$2:$I$1014,5,0)</f>
        <v>0</v>
      </c>
      <c r="G968">
        <f>$C968*VLOOKUP($B968,FoodDB!$A$2:$I$1014,6,0)</f>
        <v>0</v>
      </c>
      <c r="H968">
        <f>$C968*VLOOKUP($B968,FoodDB!$A$2:$I$1014,7,0)</f>
        <v>0</v>
      </c>
      <c r="I968">
        <f>$C968*VLOOKUP($B968,FoodDB!$A$2:$I$1014,8,0)</f>
        <v>0</v>
      </c>
      <c r="J968">
        <f>$C968*VLOOKUP($B968,FoodDB!$A$2:$I$1014,9,0)</f>
        <v>0</v>
      </c>
    </row>
    <row r="969" spans="1:19" x14ac:dyDescent="0.25">
      <c r="B969" s="99" t="s">
        <v>107</v>
      </c>
      <c r="C969" s="100">
        <v>0</v>
      </c>
      <c r="D969">
        <f>$C969*VLOOKUP($B969,FoodDB!$A$2:$I$1014,3,0)</f>
        <v>0</v>
      </c>
      <c r="E969">
        <f>$C969*VLOOKUP($B969,FoodDB!$A$2:$I$1014,4,0)</f>
        <v>0</v>
      </c>
      <c r="F969">
        <f>$C969*VLOOKUP($B969,FoodDB!$A$2:$I$1014,5,0)</f>
        <v>0</v>
      </c>
      <c r="G969">
        <f>$C969*VLOOKUP($B969,FoodDB!$A$2:$I$1014,6,0)</f>
        <v>0</v>
      </c>
      <c r="H969">
        <f>$C969*VLOOKUP($B969,FoodDB!$A$2:$I$1014,7,0)</f>
        <v>0</v>
      </c>
      <c r="I969">
        <f>$C969*VLOOKUP($B969,FoodDB!$A$2:$I$1014,8,0)</f>
        <v>0</v>
      </c>
      <c r="J969">
        <f>$C969*VLOOKUP($B969,FoodDB!$A$2:$I$1014,9,0)</f>
        <v>0</v>
      </c>
    </row>
    <row r="970" spans="1:19" x14ac:dyDescent="0.25">
      <c r="B970" s="99" t="s">
        <v>107</v>
      </c>
      <c r="C970" s="100">
        <v>0</v>
      </c>
      <c r="D970">
        <f>$C970*VLOOKUP($B970,FoodDB!$A$2:$I$1014,3,0)</f>
        <v>0</v>
      </c>
      <c r="E970">
        <f>$C970*VLOOKUP($B970,FoodDB!$A$2:$I$1014,4,0)</f>
        <v>0</v>
      </c>
      <c r="F970">
        <f>$C970*VLOOKUP($B970,FoodDB!$A$2:$I$1014,5,0)</f>
        <v>0</v>
      </c>
      <c r="G970">
        <f>$C970*VLOOKUP($B970,FoodDB!$A$2:$I$1014,6,0)</f>
        <v>0</v>
      </c>
      <c r="H970">
        <f>$C970*VLOOKUP($B970,FoodDB!$A$2:$I$1014,7,0)</f>
        <v>0</v>
      </c>
      <c r="I970">
        <f>$C970*VLOOKUP($B970,FoodDB!$A$2:$I$1014,8,0)</f>
        <v>0</v>
      </c>
      <c r="J970">
        <f>$C970*VLOOKUP($B970,FoodDB!$A$2:$I$1014,9,0)</f>
        <v>0</v>
      </c>
    </row>
    <row r="971" spans="1:19" x14ac:dyDescent="0.25">
      <c r="B971" s="99" t="s">
        <v>107</v>
      </c>
      <c r="C971" s="100">
        <v>0</v>
      </c>
      <c r="D971">
        <f>$C971*VLOOKUP($B971,FoodDB!$A$2:$I$1014,3,0)</f>
        <v>0</v>
      </c>
      <c r="E971">
        <f>$C971*VLOOKUP($B971,FoodDB!$A$2:$I$1014,4,0)</f>
        <v>0</v>
      </c>
      <c r="F971">
        <f>$C971*VLOOKUP($B971,FoodDB!$A$2:$I$1014,5,0)</f>
        <v>0</v>
      </c>
      <c r="G971">
        <f>$C971*VLOOKUP($B971,FoodDB!$A$2:$I$1014,6,0)</f>
        <v>0</v>
      </c>
      <c r="H971">
        <f>$C971*VLOOKUP($B971,FoodDB!$A$2:$I$1014,7,0)</f>
        <v>0</v>
      </c>
      <c r="I971">
        <f>$C971*VLOOKUP($B971,FoodDB!$A$2:$I$1014,8,0)</f>
        <v>0</v>
      </c>
      <c r="J971">
        <f>$C971*VLOOKUP($B971,FoodDB!$A$2:$I$1014,9,0)</f>
        <v>0</v>
      </c>
    </row>
    <row r="972" spans="1:19" x14ac:dyDescent="0.25">
      <c r="B972" s="99" t="s">
        <v>107</v>
      </c>
      <c r="C972" s="100">
        <v>0</v>
      </c>
      <c r="D972">
        <f>$C972*VLOOKUP($B972,FoodDB!$A$2:$I$1014,3,0)</f>
        <v>0</v>
      </c>
      <c r="E972">
        <f>$C972*VLOOKUP($B972,FoodDB!$A$2:$I$1014,4,0)</f>
        <v>0</v>
      </c>
      <c r="F972">
        <f>$C972*VLOOKUP($B972,FoodDB!$A$2:$I$1014,5,0)</f>
        <v>0</v>
      </c>
      <c r="G972">
        <f>$C972*VLOOKUP($B972,FoodDB!$A$2:$I$1014,6,0)</f>
        <v>0</v>
      </c>
      <c r="H972">
        <f>$C972*VLOOKUP($B972,FoodDB!$A$2:$I$1014,7,0)</f>
        <v>0</v>
      </c>
      <c r="I972">
        <f>$C972*VLOOKUP($B972,FoodDB!$A$2:$I$1014,8,0)</f>
        <v>0</v>
      </c>
      <c r="J972">
        <f>$C972*VLOOKUP($B972,FoodDB!$A$2:$I$1014,9,0)</f>
        <v>0</v>
      </c>
    </row>
    <row r="973" spans="1:19" x14ac:dyDescent="0.25">
      <c r="A973" t="s">
        <v>97</v>
      </c>
      <c r="G973">
        <f>SUM(G966:G972)</f>
        <v>0</v>
      </c>
      <c r="H973">
        <f>SUM(H966:H972)</f>
        <v>0</v>
      </c>
      <c r="I973">
        <f>SUM(I966:I972)</f>
        <v>0</v>
      </c>
      <c r="J973">
        <f>SUM(G973:I973)</f>
        <v>0</v>
      </c>
    </row>
    <row r="974" spans="1:19" x14ac:dyDescent="0.25">
      <c r="A974" t="s">
        <v>101</v>
      </c>
      <c r="B974" t="s">
        <v>102</v>
      </c>
      <c r="E974" s="103"/>
      <c r="F974" s="103"/>
      <c r="G974" s="103">
        <f>VLOOKUP($A966,LossChart!$A$3:$AB$105,14,0)</f>
        <v>809.84690857580836</v>
      </c>
      <c r="H974" s="103">
        <f>VLOOKUP($A966,LossChart!$A$3:$AB$105,15,0)</f>
        <v>80</v>
      </c>
      <c r="I974" s="103">
        <f>VLOOKUP($A966,LossChart!$A$3:$AB$105,16,0)</f>
        <v>477.30407413615825</v>
      </c>
      <c r="J974" s="103">
        <f>VLOOKUP($A966,LossChart!$A$3:$AB$105,17,0)</f>
        <v>1367.1509827119667</v>
      </c>
      <c r="K974" s="103"/>
    </row>
    <row r="975" spans="1:19" x14ac:dyDescent="0.25">
      <c r="A975" t="s">
        <v>103</v>
      </c>
      <c r="G975">
        <f>G974-G973</f>
        <v>809.84690857580836</v>
      </c>
      <c r="H975">
        <f>H974-H973</f>
        <v>80</v>
      </c>
      <c r="I975">
        <f>I974-I973</f>
        <v>477.30407413615825</v>
      </c>
      <c r="J975">
        <f>J974-J973</f>
        <v>1367.1509827119667</v>
      </c>
    </row>
    <row r="977" spans="1:19" ht="60" x14ac:dyDescent="0.25">
      <c r="A977" s="26" t="s">
        <v>63</v>
      </c>
      <c r="B977" s="26" t="s">
        <v>92</v>
      </c>
      <c r="C977" s="26" t="s">
        <v>93</v>
      </c>
      <c r="D977" s="97" t="str">
        <f>FoodDB!$C$1</f>
        <v>Fat
(g)</v>
      </c>
      <c r="E977" s="97" t="str">
        <f>FoodDB!$D$1</f>
        <v xml:space="preserve"> Carbs
(g)</v>
      </c>
      <c r="F977" s="97" t="str">
        <f>FoodDB!$E$1</f>
        <v>Protein
(g)</v>
      </c>
      <c r="G977" s="97" t="str">
        <f>FoodDB!$F$1</f>
        <v>Fat
(Cal)</v>
      </c>
      <c r="H977" s="97" t="str">
        <f>FoodDB!$G$1</f>
        <v>Carb
(Cal)</v>
      </c>
      <c r="I977" s="97" t="str">
        <f>FoodDB!$H$1</f>
        <v>Protein
(Cal)</v>
      </c>
      <c r="J977" s="97" t="str">
        <f>FoodDB!$I$1</f>
        <v>Total
Calories</v>
      </c>
      <c r="K977" s="97"/>
      <c r="L977" s="97" t="s">
        <v>109</v>
      </c>
      <c r="M977" s="97" t="s">
        <v>110</v>
      </c>
      <c r="N977" s="97" t="s">
        <v>111</v>
      </c>
      <c r="O977" s="97" t="s">
        <v>112</v>
      </c>
      <c r="P977" s="97" t="s">
        <v>117</v>
      </c>
      <c r="Q977" s="97" t="s">
        <v>118</v>
      </c>
      <c r="R977" s="97" t="s">
        <v>119</v>
      </c>
      <c r="S977" s="97" t="s">
        <v>120</v>
      </c>
    </row>
    <row r="978" spans="1:19" x14ac:dyDescent="0.25">
      <c r="A978" s="98">
        <f>A966+1</f>
        <v>43075</v>
      </c>
      <c r="B978" s="99" t="s">
        <v>107</v>
      </c>
      <c r="C978" s="100">
        <v>0</v>
      </c>
      <c r="D978">
        <f>$C978*VLOOKUP($B978,FoodDB!$A$2:$I$1014,3,0)</f>
        <v>0</v>
      </c>
      <c r="E978">
        <f>$C978*VLOOKUP($B978,FoodDB!$A$2:$I$1014,4,0)</f>
        <v>0</v>
      </c>
      <c r="F978">
        <f>$C978*VLOOKUP($B978,FoodDB!$A$2:$I$1014,5,0)</f>
        <v>0</v>
      </c>
      <c r="G978">
        <f>$C978*VLOOKUP($B978,FoodDB!$A$2:$I$1014,6,0)</f>
        <v>0</v>
      </c>
      <c r="H978">
        <f>$C978*VLOOKUP($B978,FoodDB!$A$2:$I$1014,7,0)</f>
        <v>0</v>
      </c>
      <c r="I978">
        <f>$C978*VLOOKUP($B978,FoodDB!$A$2:$I$1014,8,0)</f>
        <v>0</v>
      </c>
      <c r="J978">
        <f>$C978*VLOOKUP($B978,FoodDB!$A$2:$I$1014,9,0)</f>
        <v>0</v>
      </c>
      <c r="L978">
        <f>SUM(G978:G984)</f>
        <v>0</v>
      </c>
      <c r="M978">
        <f>SUM(H978:H984)</f>
        <v>0</v>
      </c>
      <c r="N978">
        <f>SUM(I978:I984)</f>
        <v>0</v>
      </c>
      <c r="O978">
        <f>SUM(L978:N978)</f>
        <v>0</v>
      </c>
      <c r="P978" s="103">
        <f>VLOOKUP($A978,LossChart!$A$3:$AB$105,14,0)-L978</f>
        <v>814.17642630906539</v>
      </c>
      <c r="Q978" s="103">
        <f>VLOOKUP($A978,LossChart!$A$3:$AB$105,15,0)-M978</f>
        <v>80</v>
      </c>
      <c r="R978" s="103">
        <f>VLOOKUP($A978,LossChart!$A$3:$AB$105,16,0)-N978</f>
        <v>477.30407413615825</v>
      </c>
      <c r="S978" s="103">
        <f>VLOOKUP($A978,LossChart!$A$3:$AB$105,17,0)-O978</f>
        <v>1371.4805004452237</v>
      </c>
    </row>
    <row r="979" spans="1:19" x14ac:dyDescent="0.25">
      <c r="B979" s="99" t="s">
        <v>107</v>
      </c>
      <c r="C979" s="100">
        <v>0</v>
      </c>
      <c r="D979">
        <f>$C979*VLOOKUP($B979,FoodDB!$A$2:$I$1014,3,0)</f>
        <v>0</v>
      </c>
      <c r="E979">
        <f>$C979*VLOOKUP($B979,FoodDB!$A$2:$I$1014,4,0)</f>
        <v>0</v>
      </c>
      <c r="F979">
        <f>$C979*VLOOKUP($B979,FoodDB!$A$2:$I$1014,5,0)</f>
        <v>0</v>
      </c>
      <c r="G979">
        <f>$C979*VLOOKUP($B979,FoodDB!$A$2:$I$1014,6,0)</f>
        <v>0</v>
      </c>
      <c r="H979">
        <f>$C979*VLOOKUP($B979,FoodDB!$A$2:$I$1014,7,0)</f>
        <v>0</v>
      </c>
      <c r="I979">
        <f>$C979*VLOOKUP($B979,FoodDB!$A$2:$I$1014,8,0)</f>
        <v>0</v>
      </c>
      <c r="J979">
        <f>$C979*VLOOKUP($B979,FoodDB!$A$2:$I$1014,9,0)</f>
        <v>0</v>
      </c>
    </row>
    <row r="980" spans="1:19" x14ac:dyDescent="0.25">
      <c r="B980" s="99" t="s">
        <v>107</v>
      </c>
      <c r="C980" s="100">
        <v>0</v>
      </c>
      <c r="D980">
        <f>$C980*VLOOKUP($B980,FoodDB!$A$2:$I$1014,3,0)</f>
        <v>0</v>
      </c>
      <c r="E980">
        <f>$C980*VLOOKUP($B980,FoodDB!$A$2:$I$1014,4,0)</f>
        <v>0</v>
      </c>
      <c r="F980">
        <f>$C980*VLOOKUP($B980,FoodDB!$A$2:$I$1014,5,0)</f>
        <v>0</v>
      </c>
      <c r="G980">
        <f>$C980*VLOOKUP($B980,FoodDB!$A$2:$I$1014,6,0)</f>
        <v>0</v>
      </c>
      <c r="H980">
        <f>$C980*VLOOKUP($B980,FoodDB!$A$2:$I$1014,7,0)</f>
        <v>0</v>
      </c>
      <c r="I980">
        <f>$C980*VLOOKUP($B980,FoodDB!$A$2:$I$1014,8,0)</f>
        <v>0</v>
      </c>
      <c r="J980">
        <f>$C980*VLOOKUP($B980,FoodDB!$A$2:$I$1014,9,0)</f>
        <v>0</v>
      </c>
    </row>
    <row r="981" spans="1:19" x14ac:dyDescent="0.25">
      <c r="B981" s="99" t="s">
        <v>107</v>
      </c>
      <c r="C981" s="100">
        <v>0</v>
      </c>
      <c r="D981">
        <f>$C981*VLOOKUP($B981,FoodDB!$A$2:$I$1014,3,0)</f>
        <v>0</v>
      </c>
      <c r="E981">
        <f>$C981*VLOOKUP($B981,FoodDB!$A$2:$I$1014,4,0)</f>
        <v>0</v>
      </c>
      <c r="F981">
        <f>$C981*VLOOKUP($B981,FoodDB!$A$2:$I$1014,5,0)</f>
        <v>0</v>
      </c>
      <c r="G981">
        <f>$C981*VLOOKUP($B981,FoodDB!$A$2:$I$1014,6,0)</f>
        <v>0</v>
      </c>
      <c r="H981">
        <f>$C981*VLOOKUP($B981,FoodDB!$A$2:$I$1014,7,0)</f>
        <v>0</v>
      </c>
      <c r="I981">
        <f>$C981*VLOOKUP($B981,FoodDB!$A$2:$I$1014,8,0)</f>
        <v>0</v>
      </c>
      <c r="J981">
        <f>$C981*VLOOKUP($B981,FoodDB!$A$2:$I$1014,9,0)</f>
        <v>0</v>
      </c>
    </row>
    <row r="982" spans="1:19" x14ac:dyDescent="0.25">
      <c r="B982" s="99" t="s">
        <v>107</v>
      </c>
      <c r="C982" s="100">
        <v>0</v>
      </c>
      <c r="D982">
        <f>$C982*VLOOKUP($B982,FoodDB!$A$2:$I$1014,3,0)</f>
        <v>0</v>
      </c>
      <c r="E982">
        <f>$C982*VLOOKUP($B982,FoodDB!$A$2:$I$1014,4,0)</f>
        <v>0</v>
      </c>
      <c r="F982">
        <f>$C982*VLOOKUP($B982,FoodDB!$A$2:$I$1014,5,0)</f>
        <v>0</v>
      </c>
      <c r="G982">
        <f>$C982*VLOOKUP($B982,FoodDB!$A$2:$I$1014,6,0)</f>
        <v>0</v>
      </c>
      <c r="H982">
        <f>$C982*VLOOKUP($B982,FoodDB!$A$2:$I$1014,7,0)</f>
        <v>0</v>
      </c>
      <c r="I982">
        <f>$C982*VLOOKUP($B982,FoodDB!$A$2:$I$1014,8,0)</f>
        <v>0</v>
      </c>
      <c r="J982">
        <f>$C982*VLOOKUP($B982,FoodDB!$A$2:$I$1014,9,0)</f>
        <v>0</v>
      </c>
    </row>
    <row r="983" spans="1:19" x14ac:dyDescent="0.25">
      <c r="B983" s="99" t="s">
        <v>107</v>
      </c>
      <c r="C983" s="100">
        <v>0</v>
      </c>
      <c r="D983">
        <f>$C983*VLOOKUP($B983,FoodDB!$A$2:$I$1014,3,0)</f>
        <v>0</v>
      </c>
      <c r="E983">
        <f>$C983*VLOOKUP($B983,FoodDB!$A$2:$I$1014,4,0)</f>
        <v>0</v>
      </c>
      <c r="F983">
        <f>$C983*VLOOKUP($B983,FoodDB!$A$2:$I$1014,5,0)</f>
        <v>0</v>
      </c>
      <c r="G983">
        <f>$C983*VLOOKUP($B983,FoodDB!$A$2:$I$1014,6,0)</f>
        <v>0</v>
      </c>
      <c r="H983">
        <f>$C983*VLOOKUP($B983,FoodDB!$A$2:$I$1014,7,0)</f>
        <v>0</v>
      </c>
      <c r="I983">
        <f>$C983*VLOOKUP($B983,FoodDB!$A$2:$I$1014,8,0)</f>
        <v>0</v>
      </c>
      <c r="J983">
        <f>$C983*VLOOKUP($B983,FoodDB!$A$2:$I$1014,9,0)</f>
        <v>0</v>
      </c>
    </row>
    <row r="984" spans="1:19" x14ac:dyDescent="0.25">
      <c r="B984" s="99" t="s">
        <v>107</v>
      </c>
      <c r="C984" s="100">
        <v>0</v>
      </c>
      <c r="D984">
        <f>$C984*VLOOKUP($B984,FoodDB!$A$2:$I$1014,3,0)</f>
        <v>0</v>
      </c>
      <c r="E984">
        <f>$C984*VLOOKUP($B984,FoodDB!$A$2:$I$1014,4,0)</f>
        <v>0</v>
      </c>
      <c r="F984">
        <f>$C984*VLOOKUP($B984,FoodDB!$A$2:$I$1014,5,0)</f>
        <v>0</v>
      </c>
      <c r="G984">
        <f>$C984*VLOOKUP($B984,FoodDB!$A$2:$I$1014,6,0)</f>
        <v>0</v>
      </c>
      <c r="H984">
        <f>$C984*VLOOKUP($B984,FoodDB!$A$2:$I$1014,7,0)</f>
        <v>0</v>
      </c>
      <c r="I984">
        <f>$C984*VLOOKUP($B984,FoodDB!$A$2:$I$1014,8,0)</f>
        <v>0</v>
      </c>
      <c r="J984">
        <f>$C984*VLOOKUP($B984,FoodDB!$A$2:$I$1014,9,0)</f>
        <v>0</v>
      </c>
    </row>
    <row r="985" spans="1:19" x14ac:dyDescent="0.25">
      <c r="A985" t="s">
        <v>97</v>
      </c>
      <c r="G985">
        <f>SUM(G978:G984)</f>
        <v>0</v>
      </c>
      <c r="H985">
        <f>SUM(H978:H984)</f>
        <v>0</v>
      </c>
      <c r="I985">
        <f>SUM(I978:I984)</f>
        <v>0</v>
      </c>
      <c r="J985">
        <f>SUM(G985:I985)</f>
        <v>0</v>
      </c>
    </row>
    <row r="986" spans="1:19" x14ac:dyDescent="0.25">
      <c r="A986" t="s">
        <v>101</v>
      </c>
      <c r="B986" t="s">
        <v>102</v>
      </c>
      <c r="E986" s="103"/>
      <c r="F986" s="103"/>
      <c r="G986" s="103">
        <f>VLOOKUP($A978,LossChart!$A$3:$AB$105,14,0)</f>
        <v>814.17642630906539</v>
      </c>
      <c r="H986" s="103">
        <f>VLOOKUP($A978,LossChart!$A$3:$AB$105,15,0)</f>
        <v>80</v>
      </c>
      <c r="I986" s="103">
        <f>VLOOKUP($A978,LossChart!$A$3:$AB$105,16,0)</f>
        <v>477.30407413615825</v>
      </c>
      <c r="J986" s="103">
        <f>VLOOKUP($A978,LossChart!$A$3:$AB$105,17,0)</f>
        <v>1371.4805004452237</v>
      </c>
      <c r="K986" s="103"/>
    </row>
    <row r="987" spans="1:19" x14ac:dyDescent="0.25">
      <c r="A987" t="s">
        <v>103</v>
      </c>
      <c r="G987">
        <f>G986-G985</f>
        <v>814.17642630906539</v>
      </c>
      <c r="H987">
        <f>H986-H985</f>
        <v>80</v>
      </c>
      <c r="I987">
        <f>I986-I985</f>
        <v>477.30407413615825</v>
      </c>
      <c r="J987">
        <f>J986-J985</f>
        <v>1371.4805004452237</v>
      </c>
    </row>
    <row r="989" spans="1:19" ht="60" x14ac:dyDescent="0.25">
      <c r="A989" s="26" t="s">
        <v>63</v>
      </c>
      <c r="B989" s="26" t="s">
        <v>92</v>
      </c>
      <c r="C989" s="26" t="s">
        <v>93</v>
      </c>
      <c r="D989" s="97" t="str">
        <f>FoodDB!$C$1</f>
        <v>Fat
(g)</v>
      </c>
      <c r="E989" s="97" t="str">
        <f>FoodDB!$D$1</f>
        <v xml:space="preserve"> Carbs
(g)</v>
      </c>
      <c r="F989" s="97" t="str">
        <f>FoodDB!$E$1</f>
        <v>Protein
(g)</v>
      </c>
      <c r="G989" s="97" t="str">
        <f>FoodDB!$F$1</f>
        <v>Fat
(Cal)</v>
      </c>
      <c r="H989" s="97" t="str">
        <f>FoodDB!$G$1</f>
        <v>Carb
(Cal)</v>
      </c>
      <c r="I989" s="97" t="str">
        <f>FoodDB!$H$1</f>
        <v>Protein
(Cal)</v>
      </c>
      <c r="J989" s="97" t="str">
        <f>FoodDB!$I$1</f>
        <v>Total
Calories</v>
      </c>
      <c r="K989" s="97"/>
      <c r="L989" s="97" t="s">
        <v>109</v>
      </c>
      <c r="M989" s="97" t="s">
        <v>110</v>
      </c>
      <c r="N989" s="97" t="s">
        <v>111</v>
      </c>
      <c r="O989" s="97" t="s">
        <v>112</v>
      </c>
      <c r="P989" s="97" t="s">
        <v>117</v>
      </c>
      <c r="Q989" s="97" t="s">
        <v>118</v>
      </c>
      <c r="R989" s="97" t="s">
        <v>119</v>
      </c>
      <c r="S989" s="97" t="s">
        <v>120</v>
      </c>
    </row>
    <row r="990" spans="1:19" x14ac:dyDescent="0.25">
      <c r="A990" s="98">
        <f>A978+1</f>
        <v>43076</v>
      </c>
      <c r="B990" s="99" t="s">
        <v>107</v>
      </c>
      <c r="C990" s="100">
        <v>0</v>
      </c>
      <c r="D990">
        <f>$C990*VLOOKUP($B990,FoodDB!$A$2:$I$1014,3,0)</f>
        <v>0</v>
      </c>
      <c r="E990">
        <f>$C990*VLOOKUP($B990,FoodDB!$A$2:$I$1014,4,0)</f>
        <v>0</v>
      </c>
      <c r="F990">
        <f>$C990*VLOOKUP($B990,FoodDB!$A$2:$I$1014,5,0)</f>
        <v>0</v>
      </c>
      <c r="G990">
        <f>$C990*VLOOKUP($B990,FoodDB!$A$2:$I$1014,6,0)</f>
        <v>0</v>
      </c>
      <c r="H990">
        <f>$C990*VLOOKUP($B990,FoodDB!$A$2:$I$1014,7,0)</f>
        <v>0</v>
      </c>
      <c r="I990">
        <f>$C990*VLOOKUP($B990,FoodDB!$A$2:$I$1014,8,0)</f>
        <v>0</v>
      </c>
      <c r="J990">
        <f>$C990*VLOOKUP($B990,FoodDB!$A$2:$I$1014,9,0)</f>
        <v>0</v>
      </c>
      <c r="L990">
        <f>SUM(G990:G996)</f>
        <v>0</v>
      </c>
      <c r="M990">
        <f>SUM(H990:H996)</f>
        <v>0</v>
      </c>
      <c r="N990">
        <f>SUM(I990:I996)</f>
        <v>0</v>
      </c>
      <c r="O990">
        <f>SUM(L990:N990)</f>
        <v>0</v>
      </c>
      <c r="P990" s="103">
        <f>VLOOKUP($A990,LossChart!$A$3:$AB$105,14,0)-L990</f>
        <v>814.46759688525663</v>
      </c>
      <c r="Q990" s="103">
        <f>VLOOKUP($A990,LossChart!$A$3:$AB$105,15,0)-M990</f>
        <v>84</v>
      </c>
      <c r="R990" s="103">
        <f>VLOOKUP($A990,LossChart!$A$3:$AB$105,16,0)-N990</f>
        <v>477.30407413615825</v>
      </c>
      <c r="S990" s="103">
        <f>VLOOKUP($A990,LossChart!$A$3:$AB$105,17,0)-O990</f>
        <v>1375.7716710214149</v>
      </c>
    </row>
    <row r="991" spans="1:19" x14ac:dyDescent="0.25">
      <c r="B991" s="99" t="s">
        <v>107</v>
      </c>
      <c r="C991" s="100">
        <v>0</v>
      </c>
      <c r="D991">
        <f>$C991*VLOOKUP($B991,FoodDB!$A$2:$I$1014,3,0)</f>
        <v>0</v>
      </c>
      <c r="E991">
        <f>$C991*VLOOKUP($B991,FoodDB!$A$2:$I$1014,4,0)</f>
        <v>0</v>
      </c>
      <c r="F991">
        <f>$C991*VLOOKUP($B991,FoodDB!$A$2:$I$1014,5,0)</f>
        <v>0</v>
      </c>
      <c r="G991">
        <f>$C991*VLOOKUP($B991,FoodDB!$A$2:$I$1014,6,0)</f>
        <v>0</v>
      </c>
      <c r="H991">
        <f>$C991*VLOOKUP($B991,FoodDB!$A$2:$I$1014,7,0)</f>
        <v>0</v>
      </c>
      <c r="I991">
        <f>$C991*VLOOKUP($B991,FoodDB!$A$2:$I$1014,8,0)</f>
        <v>0</v>
      </c>
      <c r="J991">
        <f>$C991*VLOOKUP($B991,FoodDB!$A$2:$I$1014,9,0)</f>
        <v>0</v>
      </c>
    </row>
    <row r="992" spans="1:19" x14ac:dyDescent="0.25">
      <c r="B992" s="99" t="s">
        <v>107</v>
      </c>
      <c r="C992" s="100">
        <v>0</v>
      </c>
      <c r="D992">
        <f>$C992*VLOOKUP($B992,FoodDB!$A$2:$I$1014,3,0)</f>
        <v>0</v>
      </c>
      <c r="E992">
        <f>$C992*VLOOKUP($B992,FoodDB!$A$2:$I$1014,4,0)</f>
        <v>0</v>
      </c>
      <c r="F992">
        <f>$C992*VLOOKUP($B992,FoodDB!$A$2:$I$1014,5,0)</f>
        <v>0</v>
      </c>
      <c r="G992">
        <f>$C992*VLOOKUP($B992,FoodDB!$A$2:$I$1014,6,0)</f>
        <v>0</v>
      </c>
      <c r="H992">
        <f>$C992*VLOOKUP($B992,FoodDB!$A$2:$I$1014,7,0)</f>
        <v>0</v>
      </c>
      <c r="I992">
        <f>$C992*VLOOKUP($B992,FoodDB!$A$2:$I$1014,8,0)</f>
        <v>0</v>
      </c>
      <c r="J992">
        <f>$C992*VLOOKUP($B992,FoodDB!$A$2:$I$1014,9,0)</f>
        <v>0</v>
      </c>
    </row>
    <row r="993" spans="1:19" x14ac:dyDescent="0.25">
      <c r="B993" s="99" t="s">
        <v>107</v>
      </c>
      <c r="C993" s="100">
        <v>0</v>
      </c>
      <c r="D993">
        <f>$C993*VLOOKUP($B993,FoodDB!$A$2:$I$1014,3,0)</f>
        <v>0</v>
      </c>
      <c r="E993">
        <f>$C993*VLOOKUP($B993,FoodDB!$A$2:$I$1014,4,0)</f>
        <v>0</v>
      </c>
      <c r="F993">
        <f>$C993*VLOOKUP($B993,FoodDB!$A$2:$I$1014,5,0)</f>
        <v>0</v>
      </c>
      <c r="G993">
        <f>$C993*VLOOKUP($B993,FoodDB!$A$2:$I$1014,6,0)</f>
        <v>0</v>
      </c>
      <c r="H993">
        <f>$C993*VLOOKUP($B993,FoodDB!$A$2:$I$1014,7,0)</f>
        <v>0</v>
      </c>
      <c r="I993">
        <f>$C993*VLOOKUP($B993,FoodDB!$A$2:$I$1014,8,0)</f>
        <v>0</v>
      </c>
      <c r="J993">
        <f>$C993*VLOOKUP($B993,FoodDB!$A$2:$I$1014,9,0)</f>
        <v>0</v>
      </c>
    </row>
    <row r="994" spans="1:19" x14ac:dyDescent="0.25">
      <c r="B994" s="99" t="s">
        <v>107</v>
      </c>
      <c r="C994" s="100">
        <v>0</v>
      </c>
      <c r="D994">
        <f>$C994*VLOOKUP($B994,FoodDB!$A$2:$I$1014,3,0)</f>
        <v>0</v>
      </c>
      <c r="E994">
        <f>$C994*VLOOKUP($B994,FoodDB!$A$2:$I$1014,4,0)</f>
        <v>0</v>
      </c>
      <c r="F994">
        <f>$C994*VLOOKUP($B994,FoodDB!$A$2:$I$1014,5,0)</f>
        <v>0</v>
      </c>
      <c r="G994">
        <f>$C994*VLOOKUP($B994,FoodDB!$A$2:$I$1014,6,0)</f>
        <v>0</v>
      </c>
      <c r="H994">
        <f>$C994*VLOOKUP($B994,FoodDB!$A$2:$I$1014,7,0)</f>
        <v>0</v>
      </c>
      <c r="I994">
        <f>$C994*VLOOKUP($B994,FoodDB!$A$2:$I$1014,8,0)</f>
        <v>0</v>
      </c>
      <c r="J994">
        <f>$C994*VLOOKUP($B994,FoodDB!$A$2:$I$1014,9,0)</f>
        <v>0</v>
      </c>
    </row>
    <row r="995" spans="1:19" x14ac:dyDescent="0.25">
      <c r="B995" s="99" t="s">
        <v>107</v>
      </c>
      <c r="C995" s="100">
        <v>0</v>
      </c>
      <c r="D995">
        <f>$C995*VLOOKUP($B995,FoodDB!$A$2:$I$1014,3,0)</f>
        <v>0</v>
      </c>
      <c r="E995">
        <f>$C995*VLOOKUP($B995,FoodDB!$A$2:$I$1014,4,0)</f>
        <v>0</v>
      </c>
      <c r="F995">
        <f>$C995*VLOOKUP($B995,FoodDB!$A$2:$I$1014,5,0)</f>
        <v>0</v>
      </c>
      <c r="G995">
        <f>$C995*VLOOKUP($B995,FoodDB!$A$2:$I$1014,6,0)</f>
        <v>0</v>
      </c>
      <c r="H995">
        <f>$C995*VLOOKUP($B995,FoodDB!$A$2:$I$1014,7,0)</f>
        <v>0</v>
      </c>
      <c r="I995">
        <f>$C995*VLOOKUP($B995,FoodDB!$A$2:$I$1014,8,0)</f>
        <v>0</v>
      </c>
      <c r="J995">
        <f>$C995*VLOOKUP($B995,FoodDB!$A$2:$I$1014,9,0)</f>
        <v>0</v>
      </c>
    </row>
    <row r="996" spans="1:19" x14ac:dyDescent="0.25">
      <c r="B996" s="99" t="s">
        <v>107</v>
      </c>
      <c r="C996" s="100">
        <v>0</v>
      </c>
      <c r="D996">
        <f>$C996*VLOOKUP($B996,FoodDB!$A$2:$I$1014,3,0)</f>
        <v>0</v>
      </c>
      <c r="E996">
        <f>$C996*VLOOKUP($B996,FoodDB!$A$2:$I$1014,4,0)</f>
        <v>0</v>
      </c>
      <c r="F996">
        <f>$C996*VLOOKUP($B996,FoodDB!$A$2:$I$1014,5,0)</f>
        <v>0</v>
      </c>
      <c r="G996">
        <f>$C996*VLOOKUP($B996,FoodDB!$A$2:$I$1014,6,0)</f>
        <v>0</v>
      </c>
      <c r="H996">
        <f>$C996*VLOOKUP($B996,FoodDB!$A$2:$I$1014,7,0)</f>
        <v>0</v>
      </c>
      <c r="I996">
        <f>$C996*VLOOKUP($B996,FoodDB!$A$2:$I$1014,8,0)</f>
        <v>0</v>
      </c>
      <c r="J996">
        <f>$C996*VLOOKUP($B996,FoodDB!$A$2:$I$1014,9,0)</f>
        <v>0</v>
      </c>
    </row>
    <row r="997" spans="1:19" x14ac:dyDescent="0.25">
      <c r="A997" t="s">
        <v>97</v>
      </c>
      <c r="G997">
        <f>SUM(G990:G996)</f>
        <v>0</v>
      </c>
      <c r="H997">
        <f>SUM(H990:H996)</f>
        <v>0</v>
      </c>
      <c r="I997">
        <f>SUM(I990:I996)</f>
        <v>0</v>
      </c>
      <c r="J997">
        <f>SUM(G997:I997)</f>
        <v>0</v>
      </c>
    </row>
    <row r="998" spans="1:19" x14ac:dyDescent="0.25">
      <c r="A998" t="s">
        <v>101</v>
      </c>
      <c r="B998" t="s">
        <v>102</v>
      </c>
      <c r="E998" s="103"/>
      <c r="F998" s="103"/>
      <c r="G998" s="103">
        <f>VLOOKUP($A990,LossChart!$A$3:$AB$105,14,0)</f>
        <v>814.46759688525663</v>
      </c>
      <c r="H998" s="103">
        <f>VLOOKUP($A990,LossChart!$A$3:$AB$105,15,0)</f>
        <v>84</v>
      </c>
      <c r="I998" s="103">
        <f>VLOOKUP($A990,LossChart!$A$3:$AB$105,16,0)</f>
        <v>477.30407413615825</v>
      </c>
      <c r="J998" s="103">
        <f>VLOOKUP($A990,LossChart!$A$3:$AB$105,17,0)</f>
        <v>1375.7716710214149</v>
      </c>
      <c r="K998" s="103"/>
    </row>
    <row r="999" spans="1:19" x14ac:dyDescent="0.25">
      <c r="A999" t="s">
        <v>103</v>
      </c>
      <c r="G999">
        <f>G998-G997</f>
        <v>814.46759688525663</v>
      </c>
      <c r="H999">
        <f>H998-H997</f>
        <v>84</v>
      </c>
      <c r="I999">
        <f>I998-I997</f>
        <v>477.30407413615825</v>
      </c>
      <c r="J999">
        <f>J998-J997</f>
        <v>1375.7716710214149</v>
      </c>
    </row>
    <row r="1001" spans="1:19" ht="60" x14ac:dyDescent="0.25">
      <c r="A1001" s="26" t="s">
        <v>63</v>
      </c>
      <c r="B1001" s="26" t="s">
        <v>92</v>
      </c>
      <c r="C1001" s="26" t="s">
        <v>93</v>
      </c>
      <c r="D1001" s="97" t="str">
        <f>FoodDB!$C$1</f>
        <v>Fat
(g)</v>
      </c>
      <c r="E1001" s="97" t="str">
        <f>FoodDB!$D$1</f>
        <v xml:space="preserve"> Carbs
(g)</v>
      </c>
      <c r="F1001" s="97" t="str">
        <f>FoodDB!$E$1</f>
        <v>Protein
(g)</v>
      </c>
      <c r="G1001" s="97" t="str">
        <f>FoodDB!$F$1</f>
        <v>Fat
(Cal)</v>
      </c>
      <c r="H1001" s="97" t="str">
        <f>FoodDB!$G$1</f>
        <v>Carb
(Cal)</v>
      </c>
      <c r="I1001" s="97" t="str">
        <f>FoodDB!$H$1</f>
        <v>Protein
(Cal)</v>
      </c>
      <c r="J1001" s="97" t="str">
        <f>FoodDB!$I$1</f>
        <v>Total
Calories</v>
      </c>
      <c r="K1001" s="97"/>
      <c r="L1001" s="97" t="s">
        <v>109</v>
      </c>
      <c r="M1001" s="97" t="s">
        <v>110</v>
      </c>
      <c r="N1001" s="97" t="s">
        <v>111</v>
      </c>
      <c r="O1001" s="97" t="s">
        <v>112</v>
      </c>
      <c r="P1001" s="97" t="s">
        <v>117</v>
      </c>
      <c r="Q1001" s="97" t="s">
        <v>118</v>
      </c>
      <c r="R1001" s="97" t="s">
        <v>119</v>
      </c>
      <c r="S1001" s="97" t="s">
        <v>120</v>
      </c>
    </row>
    <row r="1002" spans="1:19" x14ac:dyDescent="0.25">
      <c r="A1002" s="98">
        <f>A990+1</f>
        <v>43077</v>
      </c>
      <c r="B1002" s="99" t="s">
        <v>107</v>
      </c>
      <c r="C1002" s="100">
        <v>0</v>
      </c>
      <c r="D1002">
        <f>$C1002*VLOOKUP($B1002,FoodDB!$A$2:$I$1014,3,0)</f>
        <v>0</v>
      </c>
      <c r="E1002">
        <f>$C1002*VLOOKUP($B1002,FoodDB!$A$2:$I$1014,4,0)</f>
        <v>0</v>
      </c>
      <c r="F1002">
        <f>$C1002*VLOOKUP($B1002,FoodDB!$A$2:$I$1014,5,0)</f>
        <v>0</v>
      </c>
      <c r="G1002">
        <f>$C1002*VLOOKUP($B1002,FoodDB!$A$2:$I$1014,6,0)</f>
        <v>0</v>
      </c>
      <c r="H1002">
        <f>$C1002*VLOOKUP($B1002,FoodDB!$A$2:$I$1014,7,0)</f>
        <v>0</v>
      </c>
      <c r="I1002">
        <f>$C1002*VLOOKUP($B1002,FoodDB!$A$2:$I$1014,8,0)</f>
        <v>0</v>
      </c>
      <c r="J1002">
        <f>$C1002*VLOOKUP($B1002,FoodDB!$A$2:$I$1014,9,0)</f>
        <v>0</v>
      </c>
      <c r="L1002">
        <f>SUM(G1002:G1008)</f>
        <v>0</v>
      </c>
      <c r="M1002">
        <f>SUM(H1002:H1008)</f>
        <v>0</v>
      </c>
      <c r="N1002">
        <f>SUM(I1002:I1008)</f>
        <v>0</v>
      </c>
      <c r="O1002">
        <f>SUM(L1002:N1002)</f>
        <v>0</v>
      </c>
      <c r="P1002" s="103">
        <f>VLOOKUP($A1002,LossChart!$A$3:$AB$105,14,0)-L1002</f>
        <v>814.72075995062983</v>
      </c>
      <c r="Q1002" s="103">
        <f>VLOOKUP($A1002,LossChart!$A$3:$AB$105,15,0)-M1002</f>
        <v>88</v>
      </c>
      <c r="R1002" s="103">
        <f>VLOOKUP($A1002,LossChart!$A$3:$AB$105,16,0)-N1002</f>
        <v>477.30407413615825</v>
      </c>
      <c r="S1002" s="103">
        <f>VLOOKUP($A1002,LossChart!$A$3:$AB$105,17,0)-O1002</f>
        <v>1380.0248340867881</v>
      </c>
    </row>
    <row r="1003" spans="1:19" x14ac:dyDescent="0.25">
      <c r="B1003" s="99" t="s">
        <v>107</v>
      </c>
      <c r="C1003" s="100">
        <v>0</v>
      </c>
      <c r="D1003">
        <f>$C1003*VLOOKUP($B1003,FoodDB!$A$2:$I$1014,3,0)</f>
        <v>0</v>
      </c>
      <c r="E1003">
        <f>$C1003*VLOOKUP($B1003,FoodDB!$A$2:$I$1014,4,0)</f>
        <v>0</v>
      </c>
      <c r="F1003">
        <f>$C1003*VLOOKUP($B1003,FoodDB!$A$2:$I$1014,5,0)</f>
        <v>0</v>
      </c>
      <c r="G1003">
        <f>$C1003*VLOOKUP($B1003,FoodDB!$A$2:$I$1014,6,0)</f>
        <v>0</v>
      </c>
      <c r="H1003">
        <f>$C1003*VLOOKUP($B1003,FoodDB!$A$2:$I$1014,7,0)</f>
        <v>0</v>
      </c>
      <c r="I1003">
        <f>$C1003*VLOOKUP($B1003,FoodDB!$A$2:$I$1014,8,0)</f>
        <v>0</v>
      </c>
      <c r="J1003">
        <f>$C1003*VLOOKUP($B1003,FoodDB!$A$2:$I$1014,9,0)</f>
        <v>0</v>
      </c>
    </row>
    <row r="1004" spans="1:19" x14ac:dyDescent="0.25">
      <c r="B1004" s="99" t="s">
        <v>107</v>
      </c>
      <c r="C1004" s="100">
        <v>0</v>
      </c>
      <c r="D1004">
        <f>$C1004*VLOOKUP($B1004,FoodDB!$A$2:$I$1014,3,0)</f>
        <v>0</v>
      </c>
      <c r="E1004">
        <f>$C1004*VLOOKUP($B1004,FoodDB!$A$2:$I$1014,4,0)</f>
        <v>0</v>
      </c>
      <c r="F1004">
        <f>$C1004*VLOOKUP($B1004,FoodDB!$A$2:$I$1014,5,0)</f>
        <v>0</v>
      </c>
      <c r="G1004">
        <f>$C1004*VLOOKUP($B1004,FoodDB!$A$2:$I$1014,6,0)</f>
        <v>0</v>
      </c>
      <c r="H1004">
        <f>$C1004*VLOOKUP($B1004,FoodDB!$A$2:$I$1014,7,0)</f>
        <v>0</v>
      </c>
      <c r="I1004">
        <f>$C1004*VLOOKUP($B1004,FoodDB!$A$2:$I$1014,8,0)</f>
        <v>0</v>
      </c>
      <c r="J1004">
        <f>$C1004*VLOOKUP($B1004,FoodDB!$A$2:$I$1014,9,0)</f>
        <v>0</v>
      </c>
    </row>
    <row r="1005" spans="1:19" x14ac:dyDescent="0.25">
      <c r="B1005" s="99" t="s">
        <v>107</v>
      </c>
      <c r="C1005" s="100">
        <v>0</v>
      </c>
      <c r="D1005">
        <f>$C1005*VLOOKUP($B1005,FoodDB!$A$2:$I$1014,3,0)</f>
        <v>0</v>
      </c>
      <c r="E1005">
        <f>$C1005*VLOOKUP($B1005,FoodDB!$A$2:$I$1014,4,0)</f>
        <v>0</v>
      </c>
      <c r="F1005">
        <f>$C1005*VLOOKUP($B1005,FoodDB!$A$2:$I$1014,5,0)</f>
        <v>0</v>
      </c>
      <c r="G1005">
        <f>$C1005*VLOOKUP($B1005,FoodDB!$A$2:$I$1014,6,0)</f>
        <v>0</v>
      </c>
      <c r="H1005">
        <f>$C1005*VLOOKUP($B1005,FoodDB!$A$2:$I$1014,7,0)</f>
        <v>0</v>
      </c>
      <c r="I1005">
        <f>$C1005*VLOOKUP($B1005,FoodDB!$A$2:$I$1014,8,0)</f>
        <v>0</v>
      </c>
      <c r="J1005">
        <f>$C1005*VLOOKUP($B1005,FoodDB!$A$2:$I$1014,9,0)</f>
        <v>0</v>
      </c>
    </row>
    <row r="1006" spans="1:19" x14ac:dyDescent="0.25">
      <c r="B1006" s="99" t="s">
        <v>107</v>
      </c>
      <c r="C1006" s="100">
        <v>0</v>
      </c>
      <c r="D1006">
        <f>$C1006*VLOOKUP($B1006,FoodDB!$A$2:$I$1014,3,0)</f>
        <v>0</v>
      </c>
      <c r="E1006">
        <f>$C1006*VLOOKUP($B1006,FoodDB!$A$2:$I$1014,4,0)</f>
        <v>0</v>
      </c>
      <c r="F1006">
        <f>$C1006*VLOOKUP($B1006,FoodDB!$A$2:$I$1014,5,0)</f>
        <v>0</v>
      </c>
      <c r="G1006">
        <f>$C1006*VLOOKUP($B1006,FoodDB!$A$2:$I$1014,6,0)</f>
        <v>0</v>
      </c>
      <c r="H1006">
        <f>$C1006*VLOOKUP($B1006,FoodDB!$A$2:$I$1014,7,0)</f>
        <v>0</v>
      </c>
      <c r="I1006">
        <f>$C1006*VLOOKUP($B1006,FoodDB!$A$2:$I$1014,8,0)</f>
        <v>0</v>
      </c>
      <c r="J1006">
        <f>$C1006*VLOOKUP($B1006,FoodDB!$A$2:$I$1014,9,0)</f>
        <v>0</v>
      </c>
    </row>
    <row r="1007" spans="1:19" x14ac:dyDescent="0.25">
      <c r="B1007" s="99" t="s">
        <v>107</v>
      </c>
      <c r="C1007" s="100">
        <v>0</v>
      </c>
      <c r="D1007">
        <f>$C1007*VLOOKUP($B1007,FoodDB!$A$2:$I$1014,3,0)</f>
        <v>0</v>
      </c>
      <c r="E1007">
        <f>$C1007*VLOOKUP($B1007,FoodDB!$A$2:$I$1014,4,0)</f>
        <v>0</v>
      </c>
      <c r="F1007">
        <f>$C1007*VLOOKUP($B1007,FoodDB!$A$2:$I$1014,5,0)</f>
        <v>0</v>
      </c>
      <c r="G1007">
        <f>$C1007*VLOOKUP($B1007,FoodDB!$A$2:$I$1014,6,0)</f>
        <v>0</v>
      </c>
      <c r="H1007">
        <f>$C1007*VLOOKUP($B1007,FoodDB!$A$2:$I$1014,7,0)</f>
        <v>0</v>
      </c>
      <c r="I1007">
        <f>$C1007*VLOOKUP($B1007,FoodDB!$A$2:$I$1014,8,0)</f>
        <v>0</v>
      </c>
      <c r="J1007">
        <f>$C1007*VLOOKUP($B1007,FoodDB!$A$2:$I$1014,9,0)</f>
        <v>0</v>
      </c>
    </row>
    <row r="1008" spans="1:19" x14ac:dyDescent="0.25">
      <c r="B1008" s="99" t="s">
        <v>107</v>
      </c>
      <c r="C1008" s="100">
        <v>0</v>
      </c>
      <c r="D1008">
        <f>$C1008*VLOOKUP($B1008,FoodDB!$A$2:$I$1014,3,0)</f>
        <v>0</v>
      </c>
      <c r="E1008">
        <f>$C1008*VLOOKUP($B1008,FoodDB!$A$2:$I$1014,4,0)</f>
        <v>0</v>
      </c>
      <c r="F1008">
        <f>$C1008*VLOOKUP($B1008,FoodDB!$A$2:$I$1014,5,0)</f>
        <v>0</v>
      </c>
      <c r="G1008">
        <f>$C1008*VLOOKUP($B1008,FoodDB!$A$2:$I$1014,6,0)</f>
        <v>0</v>
      </c>
      <c r="H1008">
        <f>$C1008*VLOOKUP($B1008,FoodDB!$A$2:$I$1014,7,0)</f>
        <v>0</v>
      </c>
      <c r="I1008">
        <f>$C1008*VLOOKUP($B1008,FoodDB!$A$2:$I$1014,8,0)</f>
        <v>0</v>
      </c>
      <c r="J1008">
        <f>$C1008*VLOOKUP($B1008,FoodDB!$A$2:$I$1014,9,0)</f>
        <v>0</v>
      </c>
    </row>
    <row r="1009" spans="1:19" x14ac:dyDescent="0.25">
      <c r="A1009" t="s">
        <v>97</v>
      </c>
      <c r="G1009">
        <f>SUM(G1002:G1008)</f>
        <v>0</v>
      </c>
      <c r="H1009">
        <f>SUM(H1002:H1008)</f>
        <v>0</v>
      </c>
      <c r="I1009">
        <f>SUM(I1002:I1008)</f>
        <v>0</v>
      </c>
      <c r="J1009">
        <f>SUM(G1009:I1009)</f>
        <v>0</v>
      </c>
    </row>
    <row r="1010" spans="1:19" x14ac:dyDescent="0.25">
      <c r="A1010" t="s">
        <v>101</v>
      </c>
      <c r="B1010" t="s">
        <v>102</v>
      </c>
      <c r="E1010" s="103"/>
      <c r="F1010" s="103"/>
      <c r="G1010" s="103">
        <f>VLOOKUP($A1002,LossChart!$A$3:$AB$105,14,0)</f>
        <v>814.72075995062983</v>
      </c>
      <c r="H1010" s="103">
        <f>VLOOKUP($A1002,LossChart!$A$3:$AB$105,15,0)</f>
        <v>88</v>
      </c>
      <c r="I1010" s="103">
        <f>VLOOKUP($A1002,LossChart!$A$3:$AB$105,16,0)</f>
        <v>477.30407413615825</v>
      </c>
      <c r="J1010" s="103">
        <f>VLOOKUP($A1002,LossChart!$A$3:$AB$105,17,0)</f>
        <v>1380.0248340867881</v>
      </c>
      <c r="K1010" s="103"/>
    </row>
    <row r="1011" spans="1:19" x14ac:dyDescent="0.25">
      <c r="A1011" t="s">
        <v>103</v>
      </c>
      <c r="G1011">
        <f>G1010-G1009</f>
        <v>814.72075995062983</v>
      </c>
      <c r="H1011">
        <f>H1010-H1009</f>
        <v>88</v>
      </c>
      <c r="I1011">
        <f>I1010-I1009</f>
        <v>477.30407413615825</v>
      </c>
      <c r="J1011">
        <f>J1010-J1009</f>
        <v>1380.0248340867881</v>
      </c>
    </row>
    <row r="1013" spans="1:19" ht="60" x14ac:dyDescent="0.25">
      <c r="A1013" s="26" t="s">
        <v>63</v>
      </c>
      <c r="B1013" s="26" t="s">
        <v>92</v>
      </c>
      <c r="C1013" s="26" t="s">
        <v>93</v>
      </c>
      <c r="D1013" s="97" t="str">
        <f>FoodDB!$C$1</f>
        <v>Fat
(g)</v>
      </c>
      <c r="E1013" s="97" t="str">
        <f>FoodDB!$D$1</f>
        <v xml:space="preserve"> Carbs
(g)</v>
      </c>
      <c r="F1013" s="97" t="str">
        <f>FoodDB!$E$1</f>
        <v>Protein
(g)</v>
      </c>
      <c r="G1013" s="97" t="str">
        <f>FoodDB!$F$1</f>
        <v>Fat
(Cal)</v>
      </c>
      <c r="H1013" s="97" t="str">
        <f>FoodDB!$G$1</f>
        <v>Carb
(Cal)</v>
      </c>
      <c r="I1013" s="97" t="str">
        <f>FoodDB!$H$1</f>
        <v>Protein
(Cal)</v>
      </c>
      <c r="J1013" s="97" t="str">
        <f>FoodDB!$I$1</f>
        <v>Total
Calories</v>
      </c>
      <c r="K1013" s="97"/>
      <c r="L1013" s="97" t="s">
        <v>109</v>
      </c>
      <c r="M1013" s="97" t="s">
        <v>110</v>
      </c>
      <c r="N1013" s="97" t="s">
        <v>111</v>
      </c>
      <c r="O1013" s="97" t="s">
        <v>112</v>
      </c>
      <c r="P1013" s="97" t="s">
        <v>117</v>
      </c>
      <c r="Q1013" s="97" t="s">
        <v>118</v>
      </c>
      <c r="R1013" s="97" t="s">
        <v>119</v>
      </c>
      <c r="S1013" s="97" t="s">
        <v>120</v>
      </c>
    </row>
    <row r="1014" spans="1:19" x14ac:dyDescent="0.25">
      <c r="A1014" s="98">
        <f>A1002+1</f>
        <v>43078</v>
      </c>
      <c r="B1014" s="99" t="s">
        <v>107</v>
      </c>
      <c r="C1014" s="100">
        <v>0</v>
      </c>
      <c r="D1014">
        <f>$C1014*VLOOKUP($B1014,FoodDB!$A$2:$I$1014,3,0)</f>
        <v>0</v>
      </c>
      <c r="E1014">
        <f>$C1014*VLOOKUP($B1014,FoodDB!$A$2:$I$1014,4,0)</f>
        <v>0</v>
      </c>
      <c r="F1014">
        <f>$C1014*VLOOKUP($B1014,FoodDB!$A$2:$I$1014,5,0)</f>
        <v>0</v>
      </c>
      <c r="G1014">
        <f>$C1014*VLOOKUP($B1014,FoodDB!$A$2:$I$1014,6,0)</f>
        <v>0</v>
      </c>
      <c r="H1014">
        <f>$C1014*VLOOKUP($B1014,FoodDB!$A$2:$I$1014,7,0)</f>
        <v>0</v>
      </c>
      <c r="I1014">
        <f>$C1014*VLOOKUP($B1014,FoodDB!$A$2:$I$1014,8,0)</f>
        <v>0</v>
      </c>
      <c r="J1014">
        <f>$C1014*VLOOKUP($B1014,FoodDB!$A$2:$I$1014,9,0)</f>
        <v>0</v>
      </c>
      <c r="L1014">
        <f>SUM(G1014:G1020)</f>
        <v>0</v>
      </c>
      <c r="M1014">
        <f>SUM(H1014:H1020)</f>
        <v>0</v>
      </c>
      <c r="N1014">
        <f>SUM(I1014:I1020)</f>
        <v>0</v>
      </c>
      <c r="O1014">
        <f>SUM(L1014:N1014)</f>
        <v>0</v>
      </c>
      <c r="P1014" s="103">
        <f>VLOOKUP($A1014,LossChart!$A$3:$AB$105,14,0)-L1014</f>
        <v>814.93625214313874</v>
      </c>
      <c r="Q1014" s="103">
        <f>VLOOKUP($A1014,LossChart!$A$3:$AB$105,15,0)-M1014</f>
        <v>92</v>
      </c>
      <c r="R1014" s="103">
        <f>VLOOKUP($A1014,LossChart!$A$3:$AB$105,16,0)-N1014</f>
        <v>477.30407413615825</v>
      </c>
      <c r="S1014" s="103">
        <f>VLOOKUP($A1014,LossChart!$A$3:$AB$105,17,0)-O1014</f>
        <v>1384.2403262792971</v>
      </c>
    </row>
    <row r="1015" spans="1:19" x14ac:dyDescent="0.25">
      <c r="B1015" s="99" t="s">
        <v>107</v>
      </c>
      <c r="C1015" s="100">
        <v>0</v>
      </c>
      <c r="D1015">
        <f>$C1015*VLOOKUP($B1015,FoodDB!$A$2:$I$1014,3,0)</f>
        <v>0</v>
      </c>
      <c r="E1015">
        <f>$C1015*VLOOKUP($B1015,FoodDB!$A$2:$I$1014,4,0)</f>
        <v>0</v>
      </c>
      <c r="F1015">
        <f>$C1015*VLOOKUP($B1015,FoodDB!$A$2:$I$1014,5,0)</f>
        <v>0</v>
      </c>
      <c r="G1015">
        <f>$C1015*VLOOKUP($B1015,FoodDB!$A$2:$I$1014,6,0)</f>
        <v>0</v>
      </c>
      <c r="H1015">
        <f>$C1015*VLOOKUP($B1015,FoodDB!$A$2:$I$1014,7,0)</f>
        <v>0</v>
      </c>
      <c r="I1015">
        <f>$C1015*VLOOKUP($B1015,FoodDB!$A$2:$I$1014,8,0)</f>
        <v>0</v>
      </c>
      <c r="J1015">
        <f>$C1015*VLOOKUP($B1015,FoodDB!$A$2:$I$1014,9,0)</f>
        <v>0</v>
      </c>
    </row>
    <row r="1016" spans="1:19" x14ac:dyDescent="0.25">
      <c r="B1016" s="99" t="s">
        <v>107</v>
      </c>
      <c r="C1016" s="100">
        <v>0</v>
      </c>
      <c r="D1016">
        <f>$C1016*VLOOKUP($B1016,FoodDB!$A$2:$I$1014,3,0)</f>
        <v>0</v>
      </c>
      <c r="E1016">
        <f>$C1016*VLOOKUP($B1016,FoodDB!$A$2:$I$1014,4,0)</f>
        <v>0</v>
      </c>
      <c r="F1016">
        <f>$C1016*VLOOKUP($B1016,FoodDB!$A$2:$I$1014,5,0)</f>
        <v>0</v>
      </c>
      <c r="G1016">
        <f>$C1016*VLOOKUP($B1016,FoodDB!$A$2:$I$1014,6,0)</f>
        <v>0</v>
      </c>
      <c r="H1016">
        <f>$C1016*VLOOKUP($B1016,FoodDB!$A$2:$I$1014,7,0)</f>
        <v>0</v>
      </c>
      <c r="I1016">
        <f>$C1016*VLOOKUP($B1016,FoodDB!$A$2:$I$1014,8,0)</f>
        <v>0</v>
      </c>
      <c r="J1016">
        <f>$C1016*VLOOKUP($B1016,FoodDB!$A$2:$I$1014,9,0)</f>
        <v>0</v>
      </c>
    </row>
    <row r="1017" spans="1:19" x14ac:dyDescent="0.25">
      <c r="B1017" s="99" t="s">
        <v>107</v>
      </c>
      <c r="C1017" s="100">
        <v>0</v>
      </c>
      <c r="D1017">
        <f>$C1017*VLOOKUP($B1017,FoodDB!$A$2:$I$1014,3,0)</f>
        <v>0</v>
      </c>
      <c r="E1017">
        <f>$C1017*VLOOKUP($B1017,FoodDB!$A$2:$I$1014,4,0)</f>
        <v>0</v>
      </c>
      <c r="F1017">
        <f>$C1017*VLOOKUP($B1017,FoodDB!$A$2:$I$1014,5,0)</f>
        <v>0</v>
      </c>
      <c r="G1017">
        <f>$C1017*VLOOKUP($B1017,FoodDB!$A$2:$I$1014,6,0)</f>
        <v>0</v>
      </c>
      <c r="H1017">
        <f>$C1017*VLOOKUP($B1017,FoodDB!$A$2:$I$1014,7,0)</f>
        <v>0</v>
      </c>
      <c r="I1017">
        <f>$C1017*VLOOKUP($B1017,FoodDB!$A$2:$I$1014,8,0)</f>
        <v>0</v>
      </c>
      <c r="J1017">
        <f>$C1017*VLOOKUP($B1017,FoodDB!$A$2:$I$1014,9,0)</f>
        <v>0</v>
      </c>
    </row>
    <row r="1018" spans="1:19" x14ac:dyDescent="0.25">
      <c r="B1018" s="99" t="s">
        <v>107</v>
      </c>
      <c r="C1018" s="100">
        <v>0</v>
      </c>
      <c r="D1018">
        <f>$C1018*VLOOKUP($B1018,FoodDB!$A$2:$I$1014,3,0)</f>
        <v>0</v>
      </c>
      <c r="E1018">
        <f>$C1018*VLOOKUP($B1018,FoodDB!$A$2:$I$1014,4,0)</f>
        <v>0</v>
      </c>
      <c r="F1018">
        <f>$C1018*VLOOKUP($B1018,FoodDB!$A$2:$I$1014,5,0)</f>
        <v>0</v>
      </c>
      <c r="G1018">
        <f>$C1018*VLOOKUP($B1018,FoodDB!$A$2:$I$1014,6,0)</f>
        <v>0</v>
      </c>
      <c r="H1018">
        <f>$C1018*VLOOKUP($B1018,FoodDB!$A$2:$I$1014,7,0)</f>
        <v>0</v>
      </c>
      <c r="I1018">
        <f>$C1018*VLOOKUP($B1018,FoodDB!$A$2:$I$1014,8,0)</f>
        <v>0</v>
      </c>
      <c r="J1018">
        <f>$C1018*VLOOKUP($B1018,FoodDB!$A$2:$I$1014,9,0)</f>
        <v>0</v>
      </c>
    </row>
    <row r="1019" spans="1:19" x14ac:dyDescent="0.25">
      <c r="B1019" s="99" t="s">
        <v>107</v>
      </c>
      <c r="C1019" s="100">
        <v>0</v>
      </c>
      <c r="D1019">
        <f>$C1019*VLOOKUP($B1019,FoodDB!$A$2:$I$1014,3,0)</f>
        <v>0</v>
      </c>
      <c r="E1019">
        <f>$C1019*VLOOKUP($B1019,FoodDB!$A$2:$I$1014,4,0)</f>
        <v>0</v>
      </c>
      <c r="F1019">
        <f>$C1019*VLOOKUP($B1019,FoodDB!$A$2:$I$1014,5,0)</f>
        <v>0</v>
      </c>
      <c r="G1019">
        <f>$C1019*VLOOKUP($B1019,FoodDB!$A$2:$I$1014,6,0)</f>
        <v>0</v>
      </c>
      <c r="H1019">
        <f>$C1019*VLOOKUP($B1019,FoodDB!$A$2:$I$1014,7,0)</f>
        <v>0</v>
      </c>
      <c r="I1019">
        <f>$C1019*VLOOKUP($B1019,FoodDB!$A$2:$I$1014,8,0)</f>
        <v>0</v>
      </c>
      <c r="J1019">
        <f>$C1019*VLOOKUP($B1019,FoodDB!$A$2:$I$1014,9,0)</f>
        <v>0</v>
      </c>
    </row>
    <row r="1020" spans="1:19" x14ac:dyDescent="0.25">
      <c r="B1020" s="99" t="s">
        <v>107</v>
      </c>
      <c r="C1020" s="100">
        <v>0</v>
      </c>
      <c r="D1020">
        <f>$C1020*VLOOKUP($B1020,FoodDB!$A$2:$I$1014,3,0)</f>
        <v>0</v>
      </c>
      <c r="E1020">
        <f>$C1020*VLOOKUP($B1020,FoodDB!$A$2:$I$1014,4,0)</f>
        <v>0</v>
      </c>
      <c r="F1020">
        <f>$C1020*VLOOKUP($B1020,FoodDB!$A$2:$I$1014,5,0)</f>
        <v>0</v>
      </c>
      <c r="G1020">
        <f>$C1020*VLOOKUP($B1020,FoodDB!$A$2:$I$1014,6,0)</f>
        <v>0</v>
      </c>
      <c r="H1020">
        <f>$C1020*VLOOKUP($B1020,FoodDB!$A$2:$I$1014,7,0)</f>
        <v>0</v>
      </c>
      <c r="I1020">
        <f>$C1020*VLOOKUP($B1020,FoodDB!$A$2:$I$1014,8,0)</f>
        <v>0</v>
      </c>
      <c r="J1020">
        <f>$C1020*VLOOKUP($B1020,FoodDB!$A$2:$I$1014,9,0)</f>
        <v>0</v>
      </c>
    </row>
    <row r="1021" spans="1:19" x14ac:dyDescent="0.25">
      <c r="A1021" t="s">
        <v>97</v>
      </c>
      <c r="G1021">
        <f>SUM(G1014:G1020)</f>
        <v>0</v>
      </c>
      <c r="H1021">
        <f>SUM(H1014:H1020)</f>
        <v>0</v>
      </c>
      <c r="I1021">
        <f>SUM(I1014:I1020)</f>
        <v>0</v>
      </c>
      <c r="J1021">
        <f>SUM(G1021:I1021)</f>
        <v>0</v>
      </c>
    </row>
    <row r="1022" spans="1:19" x14ac:dyDescent="0.25">
      <c r="A1022" t="s">
        <v>101</v>
      </c>
      <c r="B1022" t="s">
        <v>102</v>
      </c>
      <c r="E1022" s="103"/>
      <c r="F1022" s="103"/>
      <c r="G1022" s="103">
        <f>VLOOKUP($A1014,LossChart!$A$3:$AB$105,14,0)</f>
        <v>814.93625214313874</v>
      </c>
      <c r="H1022" s="103">
        <f>VLOOKUP($A1014,LossChart!$A$3:$AB$105,15,0)</f>
        <v>92</v>
      </c>
      <c r="I1022" s="103">
        <f>VLOOKUP($A1014,LossChart!$A$3:$AB$105,16,0)</f>
        <v>477.30407413615825</v>
      </c>
      <c r="J1022" s="103">
        <f>VLOOKUP($A1014,LossChart!$A$3:$AB$105,17,0)</f>
        <v>1384.2403262792971</v>
      </c>
      <c r="K1022" s="103"/>
    </row>
    <row r="1023" spans="1:19" x14ac:dyDescent="0.25">
      <c r="A1023" t="s">
        <v>103</v>
      </c>
      <c r="G1023">
        <f>G1022-G1021</f>
        <v>814.93625214313874</v>
      </c>
      <c r="H1023">
        <f>H1022-H1021</f>
        <v>92</v>
      </c>
      <c r="I1023">
        <f>I1022-I1021</f>
        <v>477.30407413615825</v>
      </c>
      <c r="J1023">
        <f>J1022-J1021</f>
        <v>1384.2403262792971</v>
      </c>
    </row>
    <row r="1025" spans="1:19" ht="60" x14ac:dyDescent="0.25">
      <c r="A1025" s="26" t="s">
        <v>63</v>
      </c>
      <c r="B1025" s="26" t="s">
        <v>92</v>
      </c>
      <c r="C1025" s="26" t="s">
        <v>93</v>
      </c>
      <c r="D1025" s="97" t="str">
        <f>FoodDB!$C$1</f>
        <v>Fat
(g)</v>
      </c>
      <c r="E1025" s="97" t="str">
        <f>FoodDB!$D$1</f>
        <v xml:space="preserve"> Carbs
(g)</v>
      </c>
      <c r="F1025" s="97" t="str">
        <f>FoodDB!$E$1</f>
        <v>Protein
(g)</v>
      </c>
      <c r="G1025" s="97" t="str">
        <f>FoodDB!$F$1</f>
        <v>Fat
(Cal)</v>
      </c>
      <c r="H1025" s="97" t="str">
        <f>FoodDB!$G$1</f>
        <v>Carb
(Cal)</v>
      </c>
      <c r="I1025" s="97" t="str">
        <f>FoodDB!$H$1</f>
        <v>Protein
(Cal)</v>
      </c>
      <c r="J1025" s="97" t="str">
        <f>FoodDB!$I$1</f>
        <v>Total
Calories</v>
      </c>
      <c r="K1025" s="97"/>
      <c r="L1025" s="97" t="s">
        <v>109</v>
      </c>
      <c r="M1025" s="97" t="s">
        <v>110</v>
      </c>
      <c r="N1025" s="97" t="s">
        <v>111</v>
      </c>
      <c r="O1025" s="97" t="s">
        <v>112</v>
      </c>
      <c r="P1025" s="97" t="s">
        <v>117</v>
      </c>
      <c r="Q1025" s="97" t="s">
        <v>118</v>
      </c>
      <c r="R1025" s="97" t="s">
        <v>119</v>
      </c>
      <c r="S1025" s="97" t="s">
        <v>120</v>
      </c>
    </row>
    <row r="1026" spans="1:19" x14ac:dyDescent="0.25">
      <c r="A1026" s="98">
        <f>A1014+1</f>
        <v>43079</v>
      </c>
      <c r="B1026" s="99" t="s">
        <v>107</v>
      </c>
      <c r="C1026" s="100">
        <v>0</v>
      </c>
      <c r="D1026">
        <f>$C1026*VLOOKUP($B1026,FoodDB!$A$2:$I$1014,3,0)</f>
        <v>0</v>
      </c>
      <c r="E1026">
        <f>$C1026*VLOOKUP($B1026,FoodDB!$A$2:$I$1014,4,0)</f>
        <v>0</v>
      </c>
      <c r="F1026">
        <f>$C1026*VLOOKUP($B1026,FoodDB!$A$2:$I$1014,5,0)</f>
        <v>0</v>
      </c>
      <c r="G1026">
        <f>$C1026*VLOOKUP($B1026,FoodDB!$A$2:$I$1014,6,0)</f>
        <v>0</v>
      </c>
      <c r="H1026">
        <f>$C1026*VLOOKUP($B1026,FoodDB!$A$2:$I$1014,7,0)</f>
        <v>0</v>
      </c>
      <c r="I1026">
        <f>$C1026*VLOOKUP($B1026,FoodDB!$A$2:$I$1014,8,0)</f>
        <v>0</v>
      </c>
      <c r="J1026">
        <f>$C1026*VLOOKUP($B1026,FoodDB!$A$2:$I$1014,9,0)</f>
        <v>0</v>
      </c>
      <c r="L1026">
        <f>SUM(G1026:G1032)</f>
        <v>0</v>
      </c>
      <c r="M1026">
        <f>SUM(H1026:H1032)</f>
        <v>0</v>
      </c>
      <c r="N1026">
        <f>SUM(I1026:I1032)</f>
        <v>0</v>
      </c>
      <c r="O1026">
        <f>SUM(L1026:N1026)</f>
        <v>0</v>
      </c>
      <c r="P1026" s="103">
        <f>VLOOKUP($A1026,LossChart!$A$3:$AB$105,14,0)-L1026</f>
        <v>815.11440711908517</v>
      </c>
      <c r="Q1026" s="103">
        <f>VLOOKUP($A1026,LossChart!$A$3:$AB$105,15,0)-M1026</f>
        <v>96</v>
      </c>
      <c r="R1026" s="103">
        <f>VLOOKUP($A1026,LossChart!$A$3:$AB$105,16,0)-N1026</f>
        <v>477.30407413615825</v>
      </c>
      <c r="S1026" s="103">
        <f>VLOOKUP($A1026,LossChart!$A$3:$AB$105,17,0)-O1026</f>
        <v>1388.4184812552435</v>
      </c>
    </row>
    <row r="1027" spans="1:19" x14ac:dyDescent="0.25">
      <c r="B1027" s="99" t="s">
        <v>107</v>
      </c>
      <c r="C1027" s="100">
        <v>0</v>
      </c>
      <c r="D1027">
        <f>$C1027*VLOOKUP($B1027,FoodDB!$A$2:$I$1014,3,0)</f>
        <v>0</v>
      </c>
      <c r="E1027">
        <f>$C1027*VLOOKUP($B1027,FoodDB!$A$2:$I$1014,4,0)</f>
        <v>0</v>
      </c>
      <c r="F1027">
        <f>$C1027*VLOOKUP($B1027,FoodDB!$A$2:$I$1014,5,0)</f>
        <v>0</v>
      </c>
      <c r="G1027">
        <f>$C1027*VLOOKUP($B1027,FoodDB!$A$2:$I$1014,6,0)</f>
        <v>0</v>
      </c>
      <c r="H1027">
        <f>$C1027*VLOOKUP($B1027,FoodDB!$A$2:$I$1014,7,0)</f>
        <v>0</v>
      </c>
      <c r="I1027">
        <f>$C1027*VLOOKUP($B1027,FoodDB!$A$2:$I$1014,8,0)</f>
        <v>0</v>
      </c>
      <c r="J1027">
        <f>$C1027*VLOOKUP($B1027,FoodDB!$A$2:$I$1014,9,0)</f>
        <v>0</v>
      </c>
    </row>
    <row r="1028" spans="1:19" x14ac:dyDescent="0.25">
      <c r="B1028" s="99" t="s">
        <v>107</v>
      </c>
      <c r="C1028" s="100">
        <v>0</v>
      </c>
      <c r="D1028">
        <f>$C1028*VLOOKUP($B1028,FoodDB!$A$2:$I$1014,3,0)</f>
        <v>0</v>
      </c>
      <c r="E1028">
        <f>$C1028*VLOOKUP($B1028,FoodDB!$A$2:$I$1014,4,0)</f>
        <v>0</v>
      </c>
      <c r="F1028">
        <f>$C1028*VLOOKUP($B1028,FoodDB!$A$2:$I$1014,5,0)</f>
        <v>0</v>
      </c>
      <c r="G1028">
        <f>$C1028*VLOOKUP($B1028,FoodDB!$A$2:$I$1014,6,0)</f>
        <v>0</v>
      </c>
      <c r="H1028">
        <f>$C1028*VLOOKUP($B1028,FoodDB!$A$2:$I$1014,7,0)</f>
        <v>0</v>
      </c>
      <c r="I1028">
        <f>$C1028*VLOOKUP($B1028,FoodDB!$A$2:$I$1014,8,0)</f>
        <v>0</v>
      </c>
      <c r="J1028">
        <f>$C1028*VLOOKUP($B1028,FoodDB!$A$2:$I$1014,9,0)</f>
        <v>0</v>
      </c>
    </row>
    <row r="1029" spans="1:19" x14ac:dyDescent="0.25">
      <c r="B1029" s="99" t="s">
        <v>107</v>
      </c>
      <c r="C1029" s="100">
        <v>0</v>
      </c>
      <c r="D1029">
        <f>$C1029*VLOOKUP($B1029,FoodDB!$A$2:$I$1014,3,0)</f>
        <v>0</v>
      </c>
      <c r="E1029">
        <f>$C1029*VLOOKUP($B1029,FoodDB!$A$2:$I$1014,4,0)</f>
        <v>0</v>
      </c>
      <c r="F1029">
        <f>$C1029*VLOOKUP($B1029,FoodDB!$A$2:$I$1014,5,0)</f>
        <v>0</v>
      </c>
      <c r="G1029">
        <f>$C1029*VLOOKUP($B1029,FoodDB!$A$2:$I$1014,6,0)</f>
        <v>0</v>
      </c>
      <c r="H1029">
        <f>$C1029*VLOOKUP($B1029,FoodDB!$A$2:$I$1014,7,0)</f>
        <v>0</v>
      </c>
      <c r="I1029">
        <f>$C1029*VLOOKUP($B1029,FoodDB!$A$2:$I$1014,8,0)</f>
        <v>0</v>
      </c>
      <c r="J1029">
        <f>$C1029*VLOOKUP($B1029,FoodDB!$A$2:$I$1014,9,0)</f>
        <v>0</v>
      </c>
    </row>
    <row r="1030" spans="1:19" x14ac:dyDescent="0.25">
      <c r="B1030" s="99" t="s">
        <v>107</v>
      </c>
      <c r="C1030" s="100">
        <v>0</v>
      </c>
      <c r="D1030">
        <f>$C1030*VLOOKUP($B1030,FoodDB!$A$2:$I$1014,3,0)</f>
        <v>0</v>
      </c>
      <c r="E1030">
        <f>$C1030*VLOOKUP($B1030,FoodDB!$A$2:$I$1014,4,0)</f>
        <v>0</v>
      </c>
      <c r="F1030">
        <f>$C1030*VLOOKUP($B1030,FoodDB!$A$2:$I$1014,5,0)</f>
        <v>0</v>
      </c>
      <c r="G1030">
        <f>$C1030*VLOOKUP($B1030,FoodDB!$A$2:$I$1014,6,0)</f>
        <v>0</v>
      </c>
      <c r="H1030">
        <f>$C1030*VLOOKUP($B1030,FoodDB!$A$2:$I$1014,7,0)</f>
        <v>0</v>
      </c>
      <c r="I1030">
        <f>$C1030*VLOOKUP($B1030,FoodDB!$A$2:$I$1014,8,0)</f>
        <v>0</v>
      </c>
      <c r="J1030">
        <f>$C1030*VLOOKUP($B1030,FoodDB!$A$2:$I$1014,9,0)</f>
        <v>0</v>
      </c>
    </row>
    <row r="1031" spans="1:19" x14ac:dyDescent="0.25">
      <c r="B1031" s="99" t="s">
        <v>107</v>
      </c>
      <c r="C1031" s="100">
        <v>0</v>
      </c>
      <c r="D1031">
        <f>$C1031*VLOOKUP($B1031,FoodDB!$A$2:$I$1014,3,0)</f>
        <v>0</v>
      </c>
      <c r="E1031">
        <f>$C1031*VLOOKUP($B1031,FoodDB!$A$2:$I$1014,4,0)</f>
        <v>0</v>
      </c>
      <c r="F1031">
        <f>$C1031*VLOOKUP($B1031,FoodDB!$A$2:$I$1014,5,0)</f>
        <v>0</v>
      </c>
      <c r="G1031">
        <f>$C1031*VLOOKUP($B1031,FoodDB!$A$2:$I$1014,6,0)</f>
        <v>0</v>
      </c>
      <c r="H1031">
        <f>$C1031*VLOOKUP($B1031,FoodDB!$A$2:$I$1014,7,0)</f>
        <v>0</v>
      </c>
      <c r="I1031">
        <f>$C1031*VLOOKUP($B1031,FoodDB!$A$2:$I$1014,8,0)</f>
        <v>0</v>
      </c>
      <c r="J1031">
        <f>$C1031*VLOOKUP($B1031,FoodDB!$A$2:$I$1014,9,0)</f>
        <v>0</v>
      </c>
    </row>
    <row r="1032" spans="1:19" x14ac:dyDescent="0.25">
      <c r="B1032" s="99" t="s">
        <v>107</v>
      </c>
      <c r="C1032" s="100">
        <v>0</v>
      </c>
      <c r="D1032">
        <f>$C1032*VLOOKUP($B1032,FoodDB!$A$2:$I$1014,3,0)</f>
        <v>0</v>
      </c>
      <c r="E1032">
        <f>$C1032*VLOOKUP($B1032,FoodDB!$A$2:$I$1014,4,0)</f>
        <v>0</v>
      </c>
      <c r="F1032">
        <f>$C1032*VLOOKUP($B1032,FoodDB!$A$2:$I$1014,5,0)</f>
        <v>0</v>
      </c>
      <c r="G1032">
        <f>$C1032*VLOOKUP($B1032,FoodDB!$A$2:$I$1014,6,0)</f>
        <v>0</v>
      </c>
      <c r="H1032">
        <f>$C1032*VLOOKUP($B1032,FoodDB!$A$2:$I$1014,7,0)</f>
        <v>0</v>
      </c>
      <c r="I1032">
        <f>$C1032*VLOOKUP($B1032,FoodDB!$A$2:$I$1014,8,0)</f>
        <v>0</v>
      </c>
      <c r="J1032">
        <f>$C1032*VLOOKUP($B1032,FoodDB!$A$2:$I$1014,9,0)</f>
        <v>0</v>
      </c>
    </row>
    <row r="1033" spans="1:19" x14ac:dyDescent="0.25">
      <c r="A1033" t="s">
        <v>97</v>
      </c>
      <c r="G1033">
        <f>SUM(G1026:G1032)</f>
        <v>0</v>
      </c>
      <c r="H1033">
        <f>SUM(H1026:H1032)</f>
        <v>0</v>
      </c>
      <c r="I1033">
        <f>SUM(I1026:I1032)</f>
        <v>0</v>
      </c>
      <c r="J1033">
        <f>SUM(G1033:I1033)</f>
        <v>0</v>
      </c>
    </row>
    <row r="1034" spans="1:19" x14ac:dyDescent="0.25">
      <c r="A1034" t="s">
        <v>101</v>
      </c>
      <c r="B1034" t="s">
        <v>102</v>
      </c>
      <c r="E1034" s="103"/>
      <c r="F1034" s="103"/>
      <c r="G1034" s="103">
        <f>VLOOKUP($A1026,LossChart!$A$3:$AB$105,14,0)</f>
        <v>815.11440711908517</v>
      </c>
      <c r="H1034" s="103">
        <f>VLOOKUP($A1026,LossChart!$A$3:$AB$105,15,0)</f>
        <v>96</v>
      </c>
      <c r="I1034" s="103">
        <f>VLOOKUP($A1026,LossChart!$A$3:$AB$105,16,0)</f>
        <v>477.30407413615825</v>
      </c>
      <c r="J1034" s="103">
        <f>VLOOKUP($A1026,LossChart!$A$3:$AB$105,17,0)</f>
        <v>1388.4184812552435</v>
      </c>
      <c r="K1034" s="103"/>
    </row>
    <row r="1035" spans="1:19" x14ac:dyDescent="0.25">
      <c r="A1035" t="s">
        <v>103</v>
      </c>
      <c r="G1035">
        <f>G1034-G1033</f>
        <v>815.11440711908517</v>
      </c>
      <c r="H1035">
        <f>H1034-H1033</f>
        <v>96</v>
      </c>
      <c r="I1035">
        <f>I1034-I1033</f>
        <v>477.30407413615825</v>
      </c>
      <c r="J1035">
        <f>J1034-J1033</f>
        <v>1388.4184812552435</v>
      </c>
    </row>
    <row r="1037" spans="1:19" ht="60" x14ac:dyDescent="0.25">
      <c r="A1037" s="26" t="s">
        <v>63</v>
      </c>
      <c r="B1037" s="26" t="s">
        <v>92</v>
      </c>
      <c r="C1037" s="26" t="s">
        <v>93</v>
      </c>
      <c r="D1037" s="97" t="str">
        <f>FoodDB!$C$1</f>
        <v>Fat
(g)</v>
      </c>
      <c r="E1037" s="97" t="str">
        <f>FoodDB!$D$1</f>
        <v xml:space="preserve"> Carbs
(g)</v>
      </c>
      <c r="F1037" s="97" t="str">
        <f>FoodDB!$E$1</f>
        <v>Protein
(g)</v>
      </c>
      <c r="G1037" s="97" t="str">
        <f>FoodDB!$F$1</f>
        <v>Fat
(Cal)</v>
      </c>
      <c r="H1037" s="97" t="str">
        <f>FoodDB!$G$1</f>
        <v>Carb
(Cal)</v>
      </c>
      <c r="I1037" s="97" t="str">
        <f>FoodDB!$H$1</f>
        <v>Protein
(Cal)</v>
      </c>
      <c r="J1037" s="97" t="str">
        <f>FoodDB!$I$1</f>
        <v>Total
Calories</v>
      </c>
      <c r="K1037" s="97"/>
      <c r="L1037" s="97" t="s">
        <v>109</v>
      </c>
      <c r="M1037" s="97" t="s">
        <v>110</v>
      </c>
      <c r="N1037" s="97" t="s">
        <v>111</v>
      </c>
      <c r="O1037" s="97" t="s">
        <v>112</v>
      </c>
      <c r="P1037" s="97" t="s">
        <v>117</v>
      </c>
      <c r="Q1037" s="97" t="s">
        <v>118</v>
      </c>
      <c r="R1037" s="97" t="s">
        <v>119</v>
      </c>
      <c r="S1037" s="97" t="s">
        <v>120</v>
      </c>
    </row>
    <row r="1038" spans="1:19" x14ac:dyDescent="0.25">
      <c r="A1038" s="98">
        <f>A1026+1</f>
        <v>43080</v>
      </c>
      <c r="B1038" s="99" t="s">
        <v>107</v>
      </c>
      <c r="C1038" s="100">
        <v>0</v>
      </c>
      <c r="D1038">
        <f>$C1038*VLOOKUP($B1038,FoodDB!$A$2:$I$1014,3,0)</f>
        <v>0</v>
      </c>
      <c r="E1038">
        <f>$C1038*VLOOKUP($B1038,FoodDB!$A$2:$I$1014,4,0)</f>
        <v>0</v>
      </c>
      <c r="F1038">
        <f>$C1038*VLOOKUP($B1038,FoodDB!$A$2:$I$1014,5,0)</f>
        <v>0</v>
      </c>
      <c r="G1038">
        <f>$C1038*VLOOKUP($B1038,FoodDB!$A$2:$I$1014,6,0)</f>
        <v>0</v>
      </c>
      <c r="H1038">
        <f>$C1038*VLOOKUP($B1038,FoodDB!$A$2:$I$1014,7,0)</f>
        <v>0</v>
      </c>
      <c r="I1038">
        <f>$C1038*VLOOKUP($B1038,FoodDB!$A$2:$I$1014,8,0)</f>
        <v>0</v>
      </c>
      <c r="J1038">
        <f>$C1038*VLOOKUP($B1038,FoodDB!$A$2:$I$1014,9,0)</f>
        <v>0</v>
      </c>
      <c r="L1038">
        <f>SUM(G1038:G1044)</f>
        <v>0</v>
      </c>
      <c r="M1038">
        <f>SUM(H1038:H1044)</f>
        <v>0</v>
      </c>
      <c r="N1038">
        <f>SUM(I1038:I1044)</f>
        <v>0</v>
      </c>
      <c r="O1038">
        <f>SUM(L1038:N1038)</f>
        <v>0</v>
      </c>
      <c r="P1038" s="103">
        <f>VLOOKUP($A1038,LossChart!$A$3:$AB$105,14,0)-L1038</f>
        <v>815.25555557953021</v>
      </c>
      <c r="Q1038" s="103">
        <f>VLOOKUP($A1038,LossChart!$A$3:$AB$105,15,0)-M1038</f>
        <v>100</v>
      </c>
      <c r="R1038" s="103">
        <f>VLOOKUP($A1038,LossChart!$A$3:$AB$105,16,0)-N1038</f>
        <v>477.30407413615825</v>
      </c>
      <c r="S1038" s="103">
        <f>VLOOKUP($A1038,LossChart!$A$3:$AB$105,17,0)-O1038</f>
        <v>1392.5596297156885</v>
      </c>
    </row>
    <row r="1039" spans="1:19" x14ac:dyDescent="0.25">
      <c r="B1039" s="99" t="s">
        <v>107</v>
      </c>
      <c r="C1039" s="100">
        <v>0</v>
      </c>
      <c r="D1039">
        <f>$C1039*VLOOKUP($B1039,FoodDB!$A$2:$I$1014,3,0)</f>
        <v>0</v>
      </c>
      <c r="E1039">
        <f>$C1039*VLOOKUP($B1039,FoodDB!$A$2:$I$1014,4,0)</f>
        <v>0</v>
      </c>
      <c r="F1039">
        <f>$C1039*VLOOKUP($B1039,FoodDB!$A$2:$I$1014,5,0)</f>
        <v>0</v>
      </c>
      <c r="G1039">
        <f>$C1039*VLOOKUP($B1039,FoodDB!$A$2:$I$1014,6,0)</f>
        <v>0</v>
      </c>
      <c r="H1039">
        <f>$C1039*VLOOKUP($B1039,FoodDB!$A$2:$I$1014,7,0)</f>
        <v>0</v>
      </c>
      <c r="I1039">
        <f>$C1039*VLOOKUP($B1039,FoodDB!$A$2:$I$1014,8,0)</f>
        <v>0</v>
      </c>
      <c r="J1039">
        <f>$C1039*VLOOKUP($B1039,FoodDB!$A$2:$I$1014,9,0)</f>
        <v>0</v>
      </c>
    </row>
    <row r="1040" spans="1:19" x14ac:dyDescent="0.25">
      <c r="B1040" s="99" t="s">
        <v>107</v>
      </c>
      <c r="C1040" s="100">
        <v>0</v>
      </c>
      <c r="D1040">
        <f>$C1040*VLOOKUP($B1040,FoodDB!$A$2:$I$1014,3,0)</f>
        <v>0</v>
      </c>
      <c r="E1040">
        <f>$C1040*VLOOKUP($B1040,FoodDB!$A$2:$I$1014,4,0)</f>
        <v>0</v>
      </c>
      <c r="F1040">
        <f>$C1040*VLOOKUP($B1040,FoodDB!$A$2:$I$1014,5,0)</f>
        <v>0</v>
      </c>
      <c r="G1040">
        <f>$C1040*VLOOKUP($B1040,FoodDB!$A$2:$I$1014,6,0)</f>
        <v>0</v>
      </c>
      <c r="H1040">
        <f>$C1040*VLOOKUP($B1040,FoodDB!$A$2:$I$1014,7,0)</f>
        <v>0</v>
      </c>
      <c r="I1040">
        <f>$C1040*VLOOKUP($B1040,FoodDB!$A$2:$I$1014,8,0)</f>
        <v>0</v>
      </c>
      <c r="J1040">
        <f>$C1040*VLOOKUP($B1040,FoodDB!$A$2:$I$1014,9,0)</f>
        <v>0</v>
      </c>
    </row>
    <row r="1041" spans="1:19" x14ac:dyDescent="0.25">
      <c r="B1041" s="99" t="s">
        <v>107</v>
      </c>
      <c r="C1041" s="100">
        <v>0</v>
      </c>
      <c r="D1041">
        <f>$C1041*VLOOKUP($B1041,FoodDB!$A$2:$I$1014,3,0)</f>
        <v>0</v>
      </c>
      <c r="E1041">
        <f>$C1041*VLOOKUP($B1041,FoodDB!$A$2:$I$1014,4,0)</f>
        <v>0</v>
      </c>
      <c r="F1041">
        <f>$C1041*VLOOKUP($B1041,FoodDB!$A$2:$I$1014,5,0)</f>
        <v>0</v>
      </c>
      <c r="G1041">
        <f>$C1041*VLOOKUP($B1041,FoodDB!$A$2:$I$1014,6,0)</f>
        <v>0</v>
      </c>
      <c r="H1041">
        <f>$C1041*VLOOKUP($B1041,FoodDB!$A$2:$I$1014,7,0)</f>
        <v>0</v>
      </c>
      <c r="I1041">
        <f>$C1041*VLOOKUP($B1041,FoodDB!$A$2:$I$1014,8,0)</f>
        <v>0</v>
      </c>
      <c r="J1041">
        <f>$C1041*VLOOKUP($B1041,FoodDB!$A$2:$I$1014,9,0)</f>
        <v>0</v>
      </c>
    </row>
    <row r="1042" spans="1:19" x14ac:dyDescent="0.25">
      <c r="B1042" s="99" t="s">
        <v>107</v>
      </c>
      <c r="C1042" s="100">
        <v>0</v>
      </c>
      <c r="D1042">
        <f>$C1042*VLOOKUP($B1042,FoodDB!$A$2:$I$1014,3,0)</f>
        <v>0</v>
      </c>
      <c r="E1042">
        <f>$C1042*VLOOKUP($B1042,FoodDB!$A$2:$I$1014,4,0)</f>
        <v>0</v>
      </c>
      <c r="F1042">
        <f>$C1042*VLOOKUP($B1042,FoodDB!$A$2:$I$1014,5,0)</f>
        <v>0</v>
      </c>
      <c r="G1042">
        <f>$C1042*VLOOKUP($B1042,FoodDB!$A$2:$I$1014,6,0)</f>
        <v>0</v>
      </c>
      <c r="H1042">
        <f>$C1042*VLOOKUP($B1042,FoodDB!$A$2:$I$1014,7,0)</f>
        <v>0</v>
      </c>
      <c r="I1042">
        <f>$C1042*VLOOKUP($B1042,FoodDB!$A$2:$I$1014,8,0)</f>
        <v>0</v>
      </c>
      <c r="J1042">
        <f>$C1042*VLOOKUP($B1042,FoodDB!$A$2:$I$1014,9,0)</f>
        <v>0</v>
      </c>
    </row>
    <row r="1043" spans="1:19" x14ac:dyDescent="0.25">
      <c r="B1043" s="99" t="s">
        <v>107</v>
      </c>
      <c r="C1043" s="100">
        <v>0</v>
      </c>
      <c r="D1043">
        <f>$C1043*VLOOKUP($B1043,FoodDB!$A$2:$I$1014,3,0)</f>
        <v>0</v>
      </c>
      <c r="E1043">
        <f>$C1043*VLOOKUP($B1043,FoodDB!$A$2:$I$1014,4,0)</f>
        <v>0</v>
      </c>
      <c r="F1043">
        <f>$C1043*VLOOKUP($B1043,FoodDB!$A$2:$I$1014,5,0)</f>
        <v>0</v>
      </c>
      <c r="G1043">
        <f>$C1043*VLOOKUP($B1043,FoodDB!$A$2:$I$1014,6,0)</f>
        <v>0</v>
      </c>
      <c r="H1043">
        <f>$C1043*VLOOKUP($B1043,FoodDB!$A$2:$I$1014,7,0)</f>
        <v>0</v>
      </c>
      <c r="I1043">
        <f>$C1043*VLOOKUP($B1043,FoodDB!$A$2:$I$1014,8,0)</f>
        <v>0</v>
      </c>
      <c r="J1043">
        <f>$C1043*VLOOKUP($B1043,FoodDB!$A$2:$I$1014,9,0)</f>
        <v>0</v>
      </c>
    </row>
    <row r="1044" spans="1:19" x14ac:dyDescent="0.25">
      <c r="B1044" s="99" t="s">
        <v>107</v>
      </c>
      <c r="C1044" s="100">
        <v>0</v>
      </c>
      <c r="D1044">
        <f>$C1044*VLOOKUP($B1044,FoodDB!$A$2:$I$1014,3,0)</f>
        <v>0</v>
      </c>
      <c r="E1044">
        <f>$C1044*VLOOKUP($B1044,FoodDB!$A$2:$I$1014,4,0)</f>
        <v>0</v>
      </c>
      <c r="F1044">
        <f>$C1044*VLOOKUP($B1044,FoodDB!$A$2:$I$1014,5,0)</f>
        <v>0</v>
      </c>
      <c r="G1044">
        <f>$C1044*VLOOKUP($B1044,FoodDB!$A$2:$I$1014,6,0)</f>
        <v>0</v>
      </c>
      <c r="H1044">
        <f>$C1044*VLOOKUP($B1044,FoodDB!$A$2:$I$1014,7,0)</f>
        <v>0</v>
      </c>
      <c r="I1044">
        <f>$C1044*VLOOKUP($B1044,FoodDB!$A$2:$I$1014,8,0)</f>
        <v>0</v>
      </c>
      <c r="J1044">
        <f>$C1044*VLOOKUP($B1044,FoodDB!$A$2:$I$1014,9,0)</f>
        <v>0</v>
      </c>
    </row>
    <row r="1045" spans="1:19" x14ac:dyDescent="0.25">
      <c r="A1045" t="s">
        <v>97</v>
      </c>
      <c r="G1045">
        <f>SUM(G1038:G1044)</f>
        <v>0</v>
      </c>
      <c r="H1045">
        <f>SUM(H1038:H1044)</f>
        <v>0</v>
      </c>
      <c r="I1045">
        <f>SUM(I1038:I1044)</f>
        <v>0</v>
      </c>
      <c r="J1045">
        <f>SUM(G1045:I1045)</f>
        <v>0</v>
      </c>
    </row>
    <row r="1046" spans="1:19" x14ac:dyDescent="0.25">
      <c r="A1046" t="s">
        <v>101</v>
      </c>
      <c r="B1046" t="s">
        <v>102</v>
      </c>
      <c r="E1046" s="103"/>
      <c r="F1046" s="103"/>
      <c r="G1046" s="103">
        <f>VLOOKUP($A1038,LossChart!$A$3:$AB$105,14,0)</f>
        <v>815.25555557953021</v>
      </c>
      <c r="H1046" s="103">
        <f>VLOOKUP($A1038,LossChart!$A$3:$AB$105,15,0)</f>
        <v>100</v>
      </c>
      <c r="I1046" s="103">
        <f>VLOOKUP($A1038,LossChart!$A$3:$AB$105,16,0)</f>
        <v>477.30407413615825</v>
      </c>
      <c r="J1046" s="103">
        <f>VLOOKUP($A1038,LossChart!$A$3:$AB$105,17,0)</f>
        <v>1392.5596297156885</v>
      </c>
      <c r="K1046" s="103"/>
    </row>
    <row r="1047" spans="1:19" x14ac:dyDescent="0.25">
      <c r="A1047" t="s">
        <v>103</v>
      </c>
      <c r="G1047">
        <f>G1046-G1045</f>
        <v>815.25555557953021</v>
      </c>
      <c r="H1047">
        <f>H1046-H1045</f>
        <v>100</v>
      </c>
      <c r="I1047">
        <f>I1046-I1045</f>
        <v>477.30407413615825</v>
      </c>
      <c r="J1047">
        <f>J1046-J1045</f>
        <v>1392.5596297156885</v>
      </c>
    </row>
    <row r="1049" spans="1:19" ht="60" x14ac:dyDescent="0.25">
      <c r="A1049" s="26" t="s">
        <v>63</v>
      </c>
      <c r="B1049" s="26" t="s">
        <v>92</v>
      </c>
      <c r="C1049" s="26" t="s">
        <v>93</v>
      </c>
      <c r="D1049" s="97" t="str">
        <f>FoodDB!$C$1</f>
        <v>Fat
(g)</v>
      </c>
      <c r="E1049" s="97" t="str">
        <f>FoodDB!$D$1</f>
        <v xml:space="preserve"> Carbs
(g)</v>
      </c>
      <c r="F1049" s="97" t="str">
        <f>FoodDB!$E$1</f>
        <v>Protein
(g)</v>
      </c>
      <c r="G1049" s="97" t="str">
        <f>FoodDB!$F$1</f>
        <v>Fat
(Cal)</v>
      </c>
      <c r="H1049" s="97" t="str">
        <f>FoodDB!$G$1</f>
        <v>Carb
(Cal)</v>
      </c>
      <c r="I1049" s="97" t="str">
        <f>FoodDB!$H$1</f>
        <v>Protein
(Cal)</v>
      </c>
      <c r="J1049" s="97" t="str">
        <f>FoodDB!$I$1</f>
        <v>Total
Calories</v>
      </c>
      <c r="K1049" s="97"/>
      <c r="L1049" s="97" t="s">
        <v>109</v>
      </c>
      <c r="M1049" s="97" t="s">
        <v>110</v>
      </c>
      <c r="N1049" s="97" t="s">
        <v>111</v>
      </c>
      <c r="O1049" s="97" t="s">
        <v>112</v>
      </c>
      <c r="P1049" s="97" t="s">
        <v>117</v>
      </c>
      <c r="Q1049" s="97" t="s">
        <v>118</v>
      </c>
      <c r="R1049" s="97" t="s">
        <v>119</v>
      </c>
      <c r="S1049" s="97" t="s">
        <v>120</v>
      </c>
    </row>
    <row r="1050" spans="1:19" x14ac:dyDescent="0.25">
      <c r="A1050" s="98">
        <f>A1038+1</f>
        <v>43081</v>
      </c>
      <c r="B1050" s="99" t="s">
        <v>107</v>
      </c>
      <c r="C1050" s="100">
        <v>0</v>
      </c>
      <c r="D1050">
        <f>$C1050*VLOOKUP($B1050,FoodDB!$A$2:$I$1014,3,0)</f>
        <v>0</v>
      </c>
      <c r="E1050">
        <f>$C1050*VLOOKUP($B1050,FoodDB!$A$2:$I$1014,4,0)</f>
        <v>0</v>
      </c>
      <c r="F1050">
        <f>$C1050*VLOOKUP($B1050,FoodDB!$A$2:$I$1014,5,0)</f>
        <v>0</v>
      </c>
      <c r="G1050">
        <f>$C1050*VLOOKUP($B1050,FoodDB!$A$2:$I$1014,6,0)</f>
        <v>0</v>
      </c>
      <c r="H1050">
        <f>$C1050*VLOOKUP($B1050,FoodDB!$A$2:$I$1014,7,0)</f>
        <v>0</v>
      </c>
      <c r="I1050">
        <f>$C1050*VLOOKUP($B1050,FoodDB!$A$2:$I$1014,8,0)</f>
        <v>0</v>
      </c>
      <c r="J1050">
        <f>$C1050*VLOOKUP($B1050,FoodDB!$A$2:$I$1014,9,0)</f>
        <v>0</v>
      </c>
      <c r="L1050">
        <f>SUM(G1050:G1056)</f>
        <v>0</v>
      </c>
      <c r="M1050">
        <f>SUM(H1050:H1056)</f>
        <v>0</v>
      </c>
      <c r="N1050">
        <f>SUM(I1050:I1056)</f>
        <v>0</v>
      </c>
      <c r="O1050">
        <f>SUM(L1050:N1050)</f>
        <v>0</v>
      </c>
      <c r="P1050" s="103">
        <f>VLOOKUP($A1050,LossChart!$A$3:$AB$105,14,0)-L1050</f>
        <v>815.36002529646839</v>
      </c>
      <c r="Q1050" s="103">
        <f>VLOOKUP($A1050,LossChart!$A$3:$AB$105,15,0)-M1050</f>
        <v>104</v>
      </c>
      <c r="R1050" s="103">
        <f>VLOOKUP($A1050,LossChart!$A$3:$AB$105,16,0)-N1050</f>
        <v>477.30407413615825</v>
      </c>
      <c r="S1050" s="103">
        <f>VLOOKUP($A1050,LossChart!$A$3:$AB$105,17,0)-O1050</f>
        <v>1396.6640994326267</v>
      </c>
    </row>
    <row r="1051" spans="1:19" x14ac:dyDescent="0.25">
      <c r="B1051" s="99" t="s">
        <v>107</v>
      </c>
      <c r="C1051" s="100">
        <v>0</v>
      </c>
      <c r="D1051">
        <f>$C1051*VLOOKUP($B1051,FoodDB!$A$2:$I$1014,3,0)</f>
        <v>0</v>
      </c>
      <c r="E1051">
        <f>$C1051*VLOOKUP($B1051,FoodDB!$A$2:$I$1014,4,0)</f>
        <v>0</v>
      </c>
      <c r="F1051">
        <f>$C1051*VLOOKUP($B1051,FoodDB!$A$2:$I$1014,5,0)</f>
        <v>0</v>
      </c>
      <c r="G1051">
        <f>$C1051*VLOOKUP($B1051,FoodDB!$A$2:$I$1014,6,0)</f>
        <v>0</v>
      </c>
      <c r="H1051">
        <f>$C1051*VLOOKUP($B1051,FoodDB!$A$2:$I$1014,7,0)</f>
        <v>0</v>
      </c>
      <c r="I1051">
        <f>$C1051*VLOOKUP($B1051,FoodDB!$A$2:$I$1014,8,0)</f>
        <v>0</v>
      </c>
      <c r="J1051">
        <f>$C1051*VLOOKUP($B1051,FoodDB!$A$2:$I$1014,9,0)</f>
        <v>0</v>
      </c>
    </row>
    <row r="1052" spans="1:19" x14ac:dyDescent="0.25">
      <c r="B1052" s="99" t="s">
        <v>107</v>
      </c>
      <c r="C1052" s="100">
        <v>0</v>
      </c>
      <c r="D1052">
        <f>$C1052*VLOOKUP($B1052,FoodDB!$A$2:$I$1014,3,0)</f>
        <v>0</v>
      </c>
      <c r="E1052">
        <f>$C1052*VLOOKUP($B1052,FoodDB!$A$2:$I$1014,4,0)</f>
        <v>0</v>
      </c>
      <c r="F1052">
        <f>$C1052*VLOOKUP($B1052,FoodDB!$A$2:$I$1014,5,0)</f>
        <v>0</v>
      </c>
      <c r="G1052">
        <f>$C1052*VLOOKUP($B1052,FoodDB!$A$2:$I$1014,6,0)</f>
        <v>0</v>
      </c>
      <c r="H1052">
        <f>$C1052*VLOOKUP($B1052,FoodDB!$A$2:$I$1014,7,0)</f>
        <v>0</v>
      </c>
      <c r="I1052">
        <f>$C1052*VLOOKUP($B1052,FoodDB!$A$2:$I$1014,8,0)</f>
        <v>0</v>
      </c>
      <c r="J1052">
        <f>$C1052*VLOOKUP($B1052,FoodDB!$A$2:$I$1014,9,0)</f>
        <v>0</v>
      </c>
    </row>
    <row r="1053" spans="1:19" x14ac:dyDescent="0.25">
      <c r="B1053" s="99" t="s">
        <v>107</v>
      </c>
      <c r="C1053" s="100">
        <v>0</v>
      </c>
      <c r="D1053">
        <f>$C1053*VLOOKUP($B1053,FoodDB!$A$2:$I$1014,3,0)</f>
        <v>0</v>
      </c>
      <c r="E1053">
        <f>$C1053*VLOOKUP($B1053,FoodDB!$A$2:$I$1014,4,0)</f>
        <v>0</v>
      </c>
      <c r="F1053">
        <f>$C1053*VLOOKUP($B1053,FoodDB!$A$2:$I$1014,5,0)</f>
        <v>0</v>
      </c>
      <c r="G1053">
        <f>$C1053*VLOOKUP($B1053,FoodDB!$A$2:$I$1014,6,0)</f>
        <v>0</v>
      </c>
      <c r="H1053">
        <f>$C1053*VLOOKUP($B1053,FoodDB!$A$2:$I$1014,7,0)</f>
        <v>0</v>
      </c>
      <c r="I1053">
        <f>$C1053*VLOOKUP($B1053,FoodDB!$A$2:$I$1014,8,0)</f>
        <v>0</v>
      </c>
      <c r="J1053">
        <f>$C1053*VLOOKUP($B1053,FoodDB!$A$2:$I$1014,9,0)</f>
        <v>0</v>
      </c>
    </row>
    <row r="1054" spans="1:19" x14ac:dyDescent="0.25">
      <c r="B1054" s="99" t="s">
        <v>107</v>
      </c>
      <c r="C1054" s="100">
        <v>0</v>
      </c>
      <c r="D1054">
        <f>$C1054*VLOOKUP($B1054,FoodDB!$A$2:$I$1014,3,0)</f>
        <v>0</v>
      </c>
      <c r="E1054">
        <f>$C1054*VLOOKUP($B1054,FoodDB!$A$2:$I$1014,4,0)</f>
        <v>0</v>
      </c>
      <c r="F1054">
        <f>$C1054*VLOOKUP($B1054,FoodDB!$A$2:$I$1014,5,0)</f>
        <v>0</v>
      </c>
      <c r="G1054">
        <f>$C1054*VLOOKUP($B1054,FoodDB!$A$2:$I$1014,6,0)</f>
        <v>0</v>
      </c>
      <c r="H1054">
        <f>$C1054*VLOOKUP($B1054,FoodDB!$A$2:$I$1014,7,0)</f>
        <v>0</v>
      </c>
      <c r="I1054">
        <f>$C1054*VLOOKUP($B1054,FoodDB!$A$2:$I$1014,8,0)</f>
        <v>0</v>
      </c>
      <c r="J1054">
        <f>$C1054*VLOOKUP($B1054,FoodDB!$A$2:$I$1014,9,0)</f>
        <v>0</v>
      </c>
    </row>
    <row r="1055" spans="1:19" x14ac:dyDescent="0.25">
      <c r="B1055" s="99" t="s">
        <v>107</v>
      </c>
      <c r="C1055" s="100">
        <v>0</v>
      </c>
      <c r="D1055">
        <f>$C1055*VLOOKUP($B1055,FoodDB!$A$2:$I$1014,3,0)</f>
        <v>0</v>
      </c>
      <c r="E1055">
        <f>$C1055*VLOOKUP($B1055,FoodDB!$A$2:$I$1014,4,0)</f>
        <v>0</v>
      </c>
      <c r="F1055">
        <f>$C1055*VLOOKUP($B1055,FoodDB!$A$2:$I$1014,5,0)</f>
        <v>0</v>
      </c>
      <c r="G1055">
        <f>$C1055*VLOOKUP($B1055,FoodDB!$A$2:$I$1014,6,0)</f>
        <v>0</v>
      </c>
      <c r="H1055">
        <f>$C1055*VLOOKUP($B1055,FoodDB!$A$2:$I$1014,7,0)</f>
        <v>0</v>
      </c>
      <c r="I1055">
        <f>$C1055*VLOOKUP($B1055,FoodDB!$A$2:$I$1014,8,0)</f>
        <v>0</v>
      </c>
      <c r="J1055">
        <f>$C1055*VLOOKUP($B1055,FoodDB!$A$2:$I$1014,9,0)</f>
        <v>0</v>
      </c>
    </row>
    <row r="1056" spans="1:19" x14ac:dyDescent="0.25">
      <c r="B1056" s="99" t="s">
        <v>107</v>
      </c>
      <c r="C1056" s="100">
        <v>0</v>
      </c>
      <c r="D1056">
        <f>$C1056*VLOOKUP($B1056,FoodDB!$A$2:$I$1014,3,0)</f>
        <v>0</v>
      </c>
      <c r="E1056">
        <f>$C1056*VLOOKUP($B1056,FoodDB!$A$2:$I$1014,4,0)</f>
        <v>0</v>
      </c>
      <c r="F1056">
        <f>$C1056*VLOOKUP($B1056,FoodDB!$A$2:$I$1014,5,0)</f>
        <v>0</v>
      </c>
      <c r="G1056">
        <f>$C1056*VLOOKUP($B1056,FoodDB!$A$2:$I$1014,6,0)</f>
        <v>0</v>
      </c>
      <c r="H1056">
        <f>$C1056*VLOOKUP($B1056,FoodDB!$A$2:$I$1014,7,0)</f>
        <v>0</v>
      </c>
      <c r="I1056">
        <f>$C1056*VLOOKUP($B1056,FoodDB!$A$2:$I$1014,8,0)</f>
        <v>0</v>
      </c>
      <c r="J1056">
        <f>$C1056*VLOOKUP($B1056,FoodDB!$A$2:$I$1014,9,0)</f>
        <v>0</v>
      </c>
    </row>
    <row r="1057" spans="1:19" x14ac:dyDescent="0.25">
      <c r="A1057" t="s">
        <v>97</v>
      </c>
      <c r="G1057">
        <f>SUM(G1050:G1056)</f>
        <v>0</v>
      </c>
      <c r="H1057">
        <f>SUM(H1050:H1056)</f>
        <v>0</v>
      </c>
      <c r="I1057">
        <f>SUM(I1050:I1056)</f>
        <v>0</v>
      </c>
      <c r="J1057">
        <f>SUM(G1057:I1057)</f>
        <v>0</v>
      </c>
    </row>
    <row r="1058" spans="1:19" x14ac:dyDescent="0.25">
      <c r="A1058" t="s">
        <v>101</v>
      </c>
      <c r="B1058" t="s">
        <v>102</v>
      </c>
      <c r="E1058" s="103"/>
      <c r="F1058" s="103"/>
      <c r="G1058" s="103">
        <f>VLOOKUP($A1050,LossChart!$A$3:$AB$105,14,0)</f>
        <v>815.36002529646839</v>
      </c>
      <c r="H1058" s="103">
        <f>VLOOKUP($A1050,LossChart!$A$3:$AB$105,15,0)</f>
        <v>104</v>
      </c>
      <c r="I1058" s="103">
        <f>VLOOKUP($A1050,LossChart!$A$3:$AB$105,16,0)</f>
        <v>477.30407413615825</v>
      </c>
      <c r="J1058" s="103">
        <f>VLOOKUP($A1050,LossChart!$A$3:$AB$105,17,0)</f>
        <v>1396.6640994326267</v>
      </c>
      <c r="K1058" s="103"/>
    </row>
    <row r="1059" spans="1:19" x14ac:dyDescent="0.25">
      <c r="A1059" t="s">
        <v>103</v>
      </c>
      <c r="G1059">
        <f>G1058-G1057</f>
        <v>815.36002529646839</v>
      </c>
      <c r="H1059">
        <f>H1058-H1057</f>
        <v>104</v>
      </c>
      <c r="I1059">
        <f>I1058-I1057</f>
        <v>477.30407413615825</v>
      </c>
      <c r="J1059">
        <f>J1058-J1057</f>
        <v>1396.6640994326267</v>
      </c>
    </row>
    <row r="1061" spans="1:19" ht="60" x14ac:dyDescent="0.25">
      <c r="A1061" s="26" t="s">
        <v>63</v>
      </c>
      <c r="B1061" s="26" t="s">
        <v>92</v>
      </c>
      <c r="C1061" s="26" t="s">
        <v>93</v>
      </c>
      <c r="D1061" s="97" t="str">
        <f>FoodDB!$C$1</f>
        <v>Fat
(g)</v>
      </c>
      <c r="E1061" s="97" t="str">
        <f>FoodDB!$D$1</f>
        <v xml:space="preserve"> Carbs
(g)</v>
      </c>
      <c r="F1061" s="97" t="str">
        <f>FoodDB!$E$1</f>
        <v>Protein
(g)</v>
      </c>
      <c r="G1061" s="97" t="str">
        <f>FoodDB!$F$1</f>
        <v>Fat
(Cal)</v>
      </c>
      <c r="H1061" s="97" t="str">
        <f>FoodDB!$G$1</f>
        <v>Carb
(Cal)</v>
      </c>
      <c r="I1061" s="97" t="str">
        <f>FoodDB!$H$1</f>
        <v>Protein
(Cal)</v>
      </c>
      <c r="J1061" s="97" t="str">
        <f>FoodDB!$I$1</f>
        <v>Total
Calories</v>
      </c>
      <c r="K1061" s="97"/>
      <c r="L1061" s="97" t="s">
        <v>109</v>
      </c>
      <c r="M1061" s="97" t="s">
        <v>110</v>
      </c>
      <c r="N1061" s="97" t="s">
        <v>111</v>
      </c>
      <c r="O1061" s="97" t="s">
        <v>112</v>
      </c>
      <c r="P1061" s="97" t="s">
        <v>117</v>
      </c>
      <c r="Q1061" s="97" t="s">
        <v>118</v>
      </c>
      <c r="R1061" s="97" t="s">
        <v>119</v>
      </c>
      <c r="S1061" s="97" t="s">
        <v>120</v>
      </c>
    </row>
    <row r="1062" spans="1:19" x14ac:dyDescent="0.25">
      <c r="A1062" s="98">
        <f>A1050+1</f>
        <v>43082</v>
      </c>
      <c r="B1062" s="99" t="s">
        <v>107</v>
      </c>
      <c r="C1062" s="100">
        <v>0</v>
      </c>
      <c r="D1062">
        <f>$C1062*VLOOKUP($B1062,FoodDB!$A$2:$I$1014,3,0)</f>
        <v>0</v>
      </c>
      <c r="E1062">
        <f>$C1062*VLOOKUP($B1062,FoodDB!$A$2:$I$1014,4,0)</f>
        <v>0</v>
      </c>
      <c r="F1062">
        <f>$C1062*VLOOKUP($B1062,FoodDB!$A$2:$I$1014,5,0)</f>
        <v>0</v>
      </c>
      <c r="G1062">
        <f>$C1062*VLOOKUP($B1062,FoodDB!$A$2:$I$1014,6,0)</f>
        <v>0</v>
      </c>
      <c r="H1062">
        <f>$C1062*VLOOKUP($B1062,FoodDB!$A$2:$I$1014,7,0)</f>
        <v>0</v>
      </c>
      <c r="I1062">
        <f>$C1062*VLOOKUP($B1062,FoodDB!$A$2:$I$1014,8,0)</f>
        <v>0</v>
      </c>
      <c r="J1062">
        <f>$C1062*VLOOKUP($B1062,FoodDB!$A$2:$I$1014,9,0)</f>
        <v>0</v>
      </c>
      <c r="L1062">
        <f>SUM(G1062:G1068)</f>
        <v>0</v>
      </c>
      <c r="M1062">
        <f>SUM(H1062:H1068)</f>
        <v>0</v>
      </c>
      <c r="N1062">
        <f>SUM(I1062:I1068)</f>
        <v>0</v>
      </c>
      <c r="O1062">
        <f>SUM(L1062:N1062)</f>
        <v>0</v>
      </c>
      <c r="P1062" s="103">
        <f>VLOOKUP($A1062,LossChart!$A$3:$AB$105,14,0)-L1062</f>
        <v>815.42814113877102</v>
      </c>
      <c r="Q1062" s="103">
        <f>VLOOKUP($A1062,LossChart!$A$3:$AB$105,15,0)-M1062</f>
        <v>108</v>
      </c>
      <c r="R1062" s="103">
        <f>VLOOKUP($A1062,LossChart!$A$3:$AB$105,16,0)-N1062</f>
        <v>477.30407413615825</v>
      </c>
      <c r="S1062" s="103">
        <f>VLOOKUP($A1062,LossChart!$A$3:$AB$105,17,0)-O1062</f>
        <v>1400.7322152749293</v>
      </c>
    </row>
    <row r="1063" spans="1:19" x14ac:dyDescent="0.25">
      <c r="B1063" s="99" t="s">
        <v>107</v>
      </c>
      <c r="C1063" s="100">
        <v>0</v>
      </c>
      <c r="D1063">
        <f>$C1063*VLOOKUP($B1063,FoodDB!$A$2:$I$1014,3,0)</f>
        <v>0</v>
      </c>
      <c r="E1063">
        <f>$C1063*VLOOKUP($B1063,FoodDB!$A$2:$I$1014,4,0)</f>
        <v>0</v>
      </c>
      <c r="F1063">
        <f>$C1063*VLOOKUP($B1063,FoodDB!$A$2:$I$1014,5,0)</f>
        <v>0</v>
      </c>
      <c r="G1063">
        <f>$C1063*VLOOKUP($B1063,FoodDB!$A$2:$I$1014,6,0)</f>
        <v>0</v>
      </c>
      <c r="H1063">
        <f>$C1063*VLOOKUP($B1063,FoodDB!$A$2:$I$1014,7,0)</f>
        <v>0</v>
      </c>
      <c r="I1063">
        <f>$C1063*VLOOKUP($B1063,FoodDB!$A$2:$I$1014,8,0)</f>
        <v>0</v>
      </c>
      <c r="J1063">
        <f>$C1063*VLOOKUP($B1063,FoodDB!$A$2:$I$1014,9,0)</f>
        <v>0</v>
      </c>
    </row>
    <row r="1064" spans="1:19" x14ac:dyDescent="0.25">
      <c r="B1064" s="99" t="s">
        <v>107</v>
      </c>
      <c r="C1064" s="100">
        <v>0</v>
      </c>
      <c r="D1064">
        <f>$C1064*VLOOKUP($B1064,FoodDB!$A$2:$I$1014,3,0)</f>
        <v>0</v>
      </c>
      <c r="E1064">
        <f>$C1064*VLOOKUP($B1064,FoodDB!$A$2:$I$1014,4,0)</f>
        <v>0</v>
      </c>
      <c r="F1064">
        <f>$C1064*VLOOKUP($B1064,FoodDB!$A$2:$I$1014,5,0)</f>
        <v>0</v>
      </c>
      <c r="G1064">
        <f>$C1064*VLOOKUP($B1064,FoodDB!$A$2:$I$1014,6,0)</f>
        <v>0</v>
      </c>
      <c r="H1064">
        <f>$C1064*VLOOKUP($B1064,FoodDB!$A$2:$I$1014,7,0)</f>
        <v>0</v>
      </c>
      <c r="I1064">
        <f>$C1064*VLOOKUP($B1064,FoodDB!$A$2:$I$1014,8,0)</f>
        <v>0</v>
      </c>
      <c r="J1064">
        <f>$C1064*VLOOKUP($B1064,FoodDB!$A$2:$I$1014,9,0)</f>
        <v>0</v>
      </c>
    </row>
    <row r="1065" spans="1:19" x14ac:dyDescent="0.25">
      <c r="B1065" s="99" t="s">
        <v>107</v>
      </c>
      <c r="C1065" s="100">
        <v>0</v>
      </c>
      <c r="D1065">
        <f>$C1065*VLOOKUP($B1065,FoodDB!$A$2:$I$1014,3,0)</f>
        <v>0</v>
      </c>
      <c r="E1065">
        <f>$C1065*VLOOKUP($B1065,FoodDB!$A$2:$I$1014,4,0)</f>
        <v>0</v>
      </c>
      <c r="F1065">
        <f>$C1065*VLOOKUP($B1065,FoodDB!$A$2:$I$1014,5,0)</f>
        <v>0</v>
      </c>
      <c r="G1065">
        <f>$C1065*VLOOKUP($B1065,FoodDB!$A$2:$I$1014,6,0)</f>
        <v>0</v>
      </c>
      <c r="H1065">
        <f>$C1065*VLOOKUP($B1065,FoodDB!$A$2:$I$1014,7,0)</f>
        <v>0</v>
      </c>
      <c r="I1065">
        <f>$C1065*VLOOKUP($B1065,FoodDB!$A$2:$I$1014,8,0)</f>
        <v>0</v>
      </c>
      <c r="J1065">
        <f>$C1065*VLOOKUP($B1065,FoodDB!$A$2:$I$1014,9,0)</f>
        <v>0</v>
      </c>
    </row>
    <row r="1066" spans="1:19" x14ac:dyDescent="0.25">
      <c r="B1066" s="99" t="s">
        <v>107</v>
      </c>
      <c r="C1066" s="100">
        <v>0</v>
      </c>
      <c r="D1066">
        <f>$C1066*VLOOKUP($B1066,FoodDB!$A$2:$I$1014,3,0)</f>
        <v>0</v>
      </c>
      <c r="E1066">
        <f>$C1066*VLOOKUP($B1066,FoodDB!$A$2:$I$1014,4,0)</f>
        <v>0</v>
      </c>
      <c r="F1066">
        <f>$C1066*VLOOKUP($B1066,FoodDB!$A$2:$I$1014,5,0)</f>
        <v>0</v>
      </c>
      <c r="G1066">
        <f>$C1066*VLOOKUP($B1066,FoodDB!$A$2:$I$1014,6,0)</f>
        <v>0</v>
      </c>
      <c r="H1066">
        <f>$C1066*VLOOKUP($B1066,FoodDB!$A$2:$I$1014,7,0)</f>
        <v>0</v>
      </c>
      <c r="I1066">
        <f>$C1066*VLOOKUP($B1066,FoodDB!$A$2:$I$1014,8,0)</f>
        <v>0</v>
      </c>
      <c r="J1066">
        <f>$C1066*VLOOKUP($B1066,FoodDB!$A$2:$I$1014,9,0)</f>
        <v>0</v>
      </c>
    </row>
    <row r="1067" spans="1:19" x14ac:dyDescent="0.25">
      <c r="B1067" s="99" t="s">
        <v>107</v>
      </c>
      <c r="C1067" s="100">
        <v>0</v>
      </c>
      <c r="D1067">
        <f>$C1067*VLOOKUP($B1067,FoodDB!$A$2:$I$1014,3,0)</f>
        <v>0</v>
      </c>
      <c r="E1067">
        <f>$C1067*VLOOKUP($B1067,FoodDB!$A$2:$I$1014,4,0)</f>
        <v>0</v>
      </c>
      <c r="F1067">
        <f>$C1067*VLOOKUP($B1067,FoodDB!$A$2:$I$1014,5,0)</f>
        <v>0</v>
      </c>
      <c r="G1067">
        <f>$C1067*VLOOKUP($B1067,FoodDB!$A$2:$I$1014,6,0)</f>
        <v>0</v>
      </c>
      <c r="H1067">
        <f>$C1067*VLOOKUP($B1067,FoodDB!$A$2:$I$1014,7,0)</f>
        <v>0</v>
      </c>
      <c r="I1067">
        <f>$C1067*VLOOKUP($B1067,FoodDB!$A$2:$I$1014,8,0)</f>
        <v>0</v>
      </c>
      <c r="J1067">
        <f>$C1067*VLOOKUP($B1067,FoodDB!$A$2:$I$1014,9,0)</f>
        <v>0</v>
      </c>
    </row>
    <row r="1068" spans="1:19" x14ac:dyDescent="0.25">
      <c r="B1068" s="99" t="s">
        <v>107</v>
      </c>
      <c r="C1068" s="100">
        <v>0</v>
      </c>
      <c r="D1068">
        <f>$C1068*VLOOKUP($B1068,FoodDB!$A$2:$I$1014,3,0)</f>
        <v>0</v>
      </c>
      <c r="E1068">
        <f>$C1068*VLOOKUP($B1068,FoodDB!$A$2:$I$1014,4,0)</f>
        <v>0</v>
      </c>
      <c r="F1068">
        <f>$C1068*VLOOKUP($B1068,FoodDB!$A$2:$I$1014,5,0)</f>
        <v>0</v>
      </c>
      <c r="G1068">
        <f>$C1068*VLOOKUP($B1068,FoodDB!$A$2:$I$1014,6,0)</f>
        <v>0</v>
      </c>
      <c r="H1068">
        <f>$C1068*VLOOKUP($B1068,FoodDB!$A$2:$I$1014,7,0)</f>
        <v>0</v>
      </c>
      <c r="I1068">
        <f>$C1068*VLOOKUP($B1068,FoodDB!$A$2:$I$1014,8,0)</f>
        <v>0</v>
      </c>
      <c r="J1068">
        <f>$C1068*VLOOKUP($B1068,FoodDB!$A$2:$I$1014,9,0)</f>
        <v>0</v>
      </c>
    </row>
    <row r="1069" spans="1:19" x14ac:dyDescent="0.25">
      <c r="A1069" t="s">
        <v>97</v>
      </c>
      <c r="G1069">
        <f>SUM(G1062:G1068)</f>
        <v>0</v>
      </c>
      <c r="H1069">
        <f>SUM(H1062:H1068)</f>
        <v>0</v>
      </c>
      <c r="I1069">
        <f>SUM(I1062:I1068)</f>
        <v>0</v>
      </c>
      <c r="J1069">
        <f>SUM(G1069:I1069)</f>
        <v>0</v>
      </c>
    </row>
    <row r="1070" spans="1:19" x14ac:dyDescent="0.25">
      <c r="A1070" t="s">
        <v>101</v>
      </c>
      <c r="B1070" t="s">
        <v>102</v>
      </c>
      <c r="E1070" s="103"/>
      <c r="F1070" s="103"/>
      <c r="G1070" s="103">
        <f>VLOOKUP($A1062,LossChart!$A$3:$AB$105,14,0)</f>
        <v>815.42814113877102</v>
      </c>
      <c r="H1070" s="103">
        <f>VLOOKUP($A1062,LossChart!$A$3:$AB$105,15,0)</f>
        <v>108</v>
      </c>
      <c r="I1070" s="103">
        <f>VLOOKUP($A1062,LossChart!$A$3:$AB$105,16,0)</f>
        <v>477.30407413615825</v>
      </c>
      <c r="J1070" s="103">
        <f>VLOOKUP($A1062,LossChart!$A$3:$AB$105,17,0)</f>
        <v>1400.7322152749293</v>
      </c>
      <c r="K1070" s="103"/>
    </row>
    <row r="1071" spans="1:19" x14ac:dyDescent="0.25">
      <c r="A1071" t="s">
        <v>103</v>
      </c>
      <c r="G1071">
        <f>G1070-G1069</f>
        <v>815.42814113877102</v>
      </c>
      <c r="H1071">
        <f>H1070-H1069</f>
        <v>108</v>
      </c>
      <c r="I1071">
        <f>I1070-I1069</f>
        <v>477.30407413615825</v>
      </c>
      <c r="J1071">
        <f>J1070-J1069</f>
        <v>1400.7322152749293</v>
      </c>
    </row>
    <row r="1073" spans="1:19" ht="60" x14ac:dyDescent="0.25">
      <c r="A1073" s="26" t="s">
        <v>63</v>
      </c>
      <c r="B1073" s="26" t="s">
        <v>92</v>
      </c>
      <c r="C1073" s="26" t="s">
        <v>93</v>
      </c>
      <c r="D1073" s="97" t="str">
        <f>FoodDB!$C$1</f>
        <v>Fat
(g)</v>
      </c>
      <c r="E1073" s="97" t="str">
        <f>FoodDB!$D$1</f>
        <v xml:space="preserve"> Carbs
(g)</v>
      </c>
      <c r="F1073" s="97" t="str">
        <f>FoodDB!$E$1</f>
        <v>Protein
(g)</v>
      </c>
      <c r="G1073" s="97" t="str">
        <f>FoodDB!$F$1</f>
        <v>Fat
(Cal)</v>
      </c>
      <c r="H1073" s="97" t="str">
        <f>FoodDB!$G$1</f>
        <v>Carb
(Cal)</v>
      </c>
      <c r="I1073" s="97" t="str">
        <f>FoodDB!$H$1</f>
        <v>Protein
(Cal)</v>
      </c>
      <c r="J1073" s="97" t="str">
        <f>FoodDB!$I$1</f>
        <v>Total
Calories</v>
      </c>
      <c r="K1073" s="97"/>
      <c r="L1073" s="97" t="s">
        <v>109</v>
      </c>
      <c r="M1073" s="97" t="s">
        <v>110</v>
      </c>
      <c r="N1073" s="97" t="s">
        <v>111</v>
      </c>
      <c r="O1073" s="97" t="s">
        <v>112</v>
      </c>
      <c r="P1073" s="97" t="s">
        <v>117</v>
      </c>
      <c r="Q1073" s="97" t="s">
        <v>118</v>
      </c>
      <c r="R1073" s="97" t="s">
        <v>119</v>
      </c>
      <c r="S1073" s="97" t="s">
        <v>120</v>
      </c>
    </row>
    <row r="1074" spans="1:19" x14ac:dyDescent="0.25">
      <c r="A1074" s="98">
        <f>A1062+1</f>
        <v>43083</v>
      </c>
      <c r="B1074" s="99" t="s">
        <v>107</v>
      </c>
      <c r="C1074" s="100">
        <v>0</v>
      </c>
      <c r="D1074">
        <f>$C1074*VLOOKUP($B1074,FoodDB!$A$2:$I$1014,3,0)</f>
        <v>0</v>
      </c>
      <c r="E1074">
        <f>$C1074*VLOOKUP($B1074,FoodDB!$A$2:$I$1014,4,0)</f>
        <v>0</v>
      </c>
      <c r="F1074">
        <f>$C1074*VLOOKUP($B1074,FoodDB!$A$2:$I$1014,5,0)</f>
        <v>0</v>
      </c>
      <c r="G1074">
        <f>$C1074*VLOOKUP($B1074,FoodDB!$A$2:$I$1014,6,0)</f>
        <v>0</v>
      </c>
      <c r="H1074">
        <f>$C1074*VLOOKUP($B1074,FoodDB!$A$2:$I$1014,7,0)</f>
        <v>0</v>
      </c>
      <c r="I1074">
        <f>$C1074*VLOOKUP($B1074,FoodDB!$A$2:$I$1014,8,0)</f>
        <v>0</v>
      </c>
      <c r="J1074">
        <f>$C1074*VLOOKUP($B1074,FoodDB!$A$2:$I$1014,9,0)</f>
        <v>0</v>
      </c>
      <c r="L1074">
        <f>SUM(G1074:G1080)</f>
        <v>0</v>
      </c>
      <c r="M1074">
        <f>SUM(H1074:H1080)</f>
        <v>0</v>
      </c>
      <c r="N1074">
        <f>SUM(I1074:I1080)</f>
        <v>0</v>
      </c>
      <c r="O1074">
        <f>SUM(L1074:N1074)</f>
        <v>0</v>
      </c>
      <c r="P1074" s="103">
        <f>VLOOKUP($A1074,LossChart!$A$3:$AB$105,14,0)-L1074</f>
        <v>815.46022509789918</v>
      </c>
      <c r="Q1074" s="103">
        <f>VLOOKUP($A1074,LossChart!$A$3:$AB$105,15,0)-M1074</f>
        <v>112</v>
      </c>
      <c r="R1074" s="103">
        <f>VLOOKUP($A1074,LossChart!$A$3:$AB$105,16,0)-N1074</f>
        <v>477.30407413615825</v>
      </c>
      <c r="S1074" s="103">
        <f>VLOOKUP($A1074,LossChart!$A$3:$AB$105,17,0)-O1074</f>
        <v>1404.7642992340575</v>
      </c>
    </row>
    <row r="1075" spans="1:19" x14ac:dyDescent="0.25">
      <c r="B1075" s="99" t="s">
        <v>107</v>
      </c>
      <c r="C1075" s="100">
        <v>0</v>
      </c>
      <c r="D1075">
        <f>$C1075*VLOOKUP($B1075,FoodDB!$A$2:$I$1014,3,0)</f>
        <v>0</v>
      </c>
      <c r="E1075">
        <f>$C1075*VLOOKUP($B1075,FoodDB!$A$2:$I$1014,4,0)</f>
        <v>0</v>
      </c>
      <c r="F1075">
        <f>$C1075*VLOOKUP($B1075,FoodDB!$A$2:$I$1014,5,0)</f>
        <v>0</v>
      </c>
      <c r="G1075">
        <f>$C1075*VLOOKUP($B1075,FoodDB!$A$2:$I$1014,6,0)</f>
        <v>0</v>
      </c>
      <c r="H1075">
        <f>$C1075*VLOOKUP($B1075,FoodDB!$A$2:$I$1014,7,0)</f>
        <v>0</v>
      </c>
      <c r="I1075">
        <f>$C1075*VLOOKUP($B1075,FoodDB!$A$2:$I$1014,8,0)</f>
        <v>0</v>
      </c>
      <c r="J1075">
        <f>$C1075*VLOOKUP($B1075,FoodDB!$A$2:$I$1014,9,0)</f>
        <v>0</v>
      </c>
    </row>
    <row r="1076" spans="1:19" x14ac:dyDescent="0.25">
      <c r="B1076" s="99" t="s">
        <v>107</v>
      </c>
      <c r="C1076" s="100">
        <v>0</v>
      </c>
      <c r="D1076">
        <f>$C1076*VLOOKUP($B1076,FoodDB!$A$2:$I$1014,3,0)</f>
        <v>0</v>
      </c>
      <c r="E1076">
        <f>$C1076*VLOOKUP($B1076,FoodDB!$A$2:$I$1014,4,0)</f>
        <v>0</v>
      </c>
      <c r="F1076">
        <f>$C1076*VLOOKUP($B1076,FoodDB!$A$2:$I$1014,5,0)</f>
        <v>0</v>
      </c>
      <c r="G1076">
        <f>$C1076*VLOOKUP($B1076,FoodDB!$A$2:$I$1014,6,0)</f>
        <v>0</v>
      </c>
      <c r="H1076">
        <f>$C1076*VLOOKUP($B1076,FoodDB!$A$2:$I$1014,7,0)</f>
        <v>0</v>
      </c>
      <c r="I1076">
        <f>$C1076*VLOOKUP($B1076,FoodDB!$A$2:$I$1014,8,0)</f>
        <v>0</v>
      </c>
      <c r="J1076">
        <f>$C1076*VLOOKUP($B1076,FoodDB!$A$2:$I$1014,9,0)</f>
        <v>0</v>
      </c>
    </row>
    <row r="1077" spans="1:19" x14ac:dyDescent="0.25">
      <c r="B1077" s="99" t="s">
        <v>107</v>
      </c>
      <c r="C1077" s="100">
        <v>0</v>
      </c>
      <c r="D1077">
        <f>$C1077*VLOOKUP($B1077,FoodDB!$A$2:$I$1014,3,0)</f>
        <v>0</v>
      </c>
      <c r="E1077">
        <f>$C1077*VLOOKUP($B1077,FoodDB!$A$2:$I$1014,4,0)</f>
        <v>0</v>
      </c>
      <c r="F1077">
        <f>$C1077*VLOOKUP($B1077,FoodDB!$A$2:$I$1014,5,0)</f>
        <v>0</v>
      </c>
      <c r="G1077">
        <f>$C1077*VLOOKUP($B1077,FoodDB!$A$2:$I$1014,6,0)</f>
        <v>0</v>
      </c>
      <c r="H1077">
        <f>$C1077*VLOOKUP($B1077,FoodDB!$A$2:$I$1014,7,0)</f>
        <v>0</v>
      </c>
      <c r="I1077">
        <f>$C1077*VLOOKUP($B1077,FoodDB!$A$2:$I$1014,8,0)</f>
        <v>0</v>
      </c>
      <c r="J1077">
        <f>$C1077*VLOOKUP($B1077,FoodDB!$A$2:$I$1014,9,0)</f>
        <v>0</v>
      </c>
    </row>
    <row r="1078" spans="1:19" x14ac:dyDescent="0.25">
      <c r="B1078" s="99" t="s">
        <v>107</v>
      </c>
      <c r="C1078" s="100">
        <v>0</v>
      </c>
      <c r="D1078">
        <f>$C1078*VLOOKUP($B1078,FoodDB!$A$2:$I$1014,3,0)</f>
        <v>0</v>
      </c>
      <c r="E1078">
        <f>$C1078*VLOOKUP($B1078,FoodDB!$A$2:$I$1014,4,0)</f>
        <v>0</v>
      </c>
      <c r="F1078">
        <f>$C1078*VLOOKUP($B1078,FoodDB!$A$2:$I$1014,5,0)</f>
        <v>0</v>
      </c>
      <c r="G1078">
        <f>$C1078*VLOOKUP($B1078,FoodDB!$A$2:$I$1014,6,0)</f>
        <v>0</v>
      </c>
      <c r="H1078">
        <f>$C1078*VLOOKUP($B1078,FoodDB!$A$2:$I$1014,7,0)</f>
        <v>0</v>
      </c>
      <c r="I1078">
        <f>$C1078*VLOOKUP($B1078,FoodDB!$A$2:$I$1014,8,0)</f>
        <v>0</v>
      </c>
      <c r="J1078">
        <f>$C1078*VLOOKUP($B1078,FoodDB!$A$2:$I$1014,9,0)</f>
        <v>0</v>
      </c>
    </row>
    <row r="1079" spans="1:19" x14ac:dyDescent="0.25">
      <c r="B1079" s="99" t="s">
        <v>107</v>
      </c>
      <c r="C1079" s="100">
        <v>0</v>
      </c>
      <c r="D1079">
        <f>$C1079*VLOOKUP($B1079,FoodDB!$A$2:$I$1014,3,0)</f>
        <v>0</v>
      </c>
      <c r="E1079">
        <f>$C1079*VLOOKUP($B1079,FoodDB!$A$2:$I$1014,4,0)</f>
        <v>0</v>
      </c>
      <c r="F1079">
        <f>$C1079*VLOOKUP($B1079,FoodDB!$A$2:$I$1014,5,0)</f>
        <v>0</v>
      </c>
      <c r="G1079">
        <f>$C1079*VLOOKUP($B1079,FoodDB!$A$2:$I$1014,6,0)</f>
        <v>0</v>
      </c>
      <c r="H1079">
        <f>$C1079*VLOOKUP($B1079,FoodDB!$A$2:$I$1014,7,0)</f>
        <v>0</v>
      </c>
      <c r="I1079">
        <f>$C1079*VLOOKUP($B1079,FoodDB!$A$2:$I$1014,8,0)</f>
        <v>0</v>
      </c>
      <c r="J1079">
        <f>$C1079*VLOOKUP($B1079,FoodDB!$A$2:$I$1014,9,0)</f>
        <v>0</v>
      </c>
    </row>
    <row r="1080" spans="1:19" x14ac:dyDescent="0.25">
      <c r="B1080" s="99" t="s">
        <v>107</v>
      </c>
      <c r="C1080" s="100">
        <v>0</v>
      </c>
      <c r="D1080">
        <f>$C1080*VLOOKUP($B1080,FoodDB!$A$2:$I$1014,3,0)</f>
        <v>0</v>
      </c>
      <c r="E1080">
        <f>$C1080*VLOOKUP($B1080,FoodDB!$A$2:$I$1014,4,0)</f>
        <v>0</v>
      </c>
      <c r="F1080">
        <f>$C1080*VLOOKUP($B1080,FoodDB!$A$2:$I$1014,5,0)</f>
        <v>0</v>
      </c>
      <c r="G1080">
        <f>$C1080*VLOOKUP($B1080,FoodDB!$A$2:$I$1014,6,0)</f>
        <v>0</v>
      </c>
      <c r="H1080">
        <f>$C1080*VLOOKUP($B1080,FoodDB!$A$2:$I$1014,7,0)</f>
        <v>0</v>
      </c>
      <c r="I1080">
        <f>$C1080*VLOOKUP($B1080,FoodDB!$A$2:$I$1014,8,0)</f>
        <v>0</v>
      </c>
      <c r="J1080">
        <f>$C1080*VLOOKUP($B1080,FoodDB!$A$2:$I$1014,9,0)</f>
        <v>0</v>
      </c>
    </row>
    <row r="1081" spans="1:19" x14ac:dyDescent="0.25">
      <c r="A1081" t="s">
        <v>97</v>
      </c>
      <c r="G1081">
        <f>SUM(G1074:G1080)</f>
        <v>0</v>
      </c>
      <c r="H1081">
        <f>SUM(H1074:H1080)</f>
        <v>0</v>
      </c>
      <c r="I1081">
        <f>SUM(I1074:I1080)</f>
        <v>0</v>
      </c>
      <c r="J1081">
        <f>SUM(G1081:I1081)</f>
        <v>0</v>
      </c>
    </row>
    <row r="1082" spans="1:19" x14ac:dyDescent="0.25">
      <c r="A1082" t="s">
        <v>101</v>
      </c>
      <c r="B1082" t="s">
        <v>102</v>
      </c>
      <c r="E1082" s="103"/>
      <c r="F1082" s="103"/>
      <c r="G1082" s="103">
        <f>VLOOKUP($A1074,LossChart!$A$3:$AB$105,14,0)</f>
        <v>815.46022509789918</v>
      </c>
      <c r="H1082" s="103">
        <f>VLOOKUP($A1074,LossChart!$A$3:$AB$105,15,0)</f>
        <v>112</v>
      </c>
      <c r="I1082" s="103">
        <f>VLOOKUP($A1074,LossChart!$A$3:$AB$105,16,0)</f>
        <v>477.30407413615825</v>
      </c>
      <c r="J1082" s="103">
        <f>VLOOKUP($A1074,LossChart!$A$3:$AB$105,17,0)</f>
        <v>1404.7642992340575</v>
      </c>
      <c r="K1082" s="103"/>
    </row>
    <row r="1083" spans="1:19" x14ac:dyDescent="0.25">
      <c r="A1083" t="s">
        <v>103</v>
      </c>
      <c r="G1083">
        <f>G1082-G1081</f>
        <v>815.46022509789918</v>
      </c>
      <c r="H1083">
        <f>H1082-H1081</f>
        <v>112</v>
      </c>
      <c r="I1083">
        <f>I1082-I1081</f>
        <v>477.30407413615825</v>
      </c>
      <c r="J1083">
        <f>J1082-J1081</f>
        <v>1404.7642992340575</v>
      </c>
    </row>
    <row r="1085" spans="1:19" ht="60" x14ac:dyDescent="0.25">
      <c r="A1085" s="26" t="s">
        <v>63</v>
      </c>
      <c r="B1085" s="26" t="s">
        <v>92</v>
      </c>
      <c r="C1085" s="26" t="s">
        <v>93</v>
      </c>
      <c r="D1085" s="97" t="str">
        <f>FoodDB!$C$1</f>
        <v>Fat
(g)</v>
      </c>
      <c r="E1085" s="97" t="str">
        <f>FoodDB!$D$1</f>
        <v xml:space="preserve"> Carbs
(g)</v>
      </c>
      <c r="F1085" s="97" t="str">
        <f>FoodDB!$E$1</f>
        <v>Protein
(g)</v>
      </c>
      <c r="G1085" s="97" t="str">
        <f>FoodDB!$F$1</f>
        <v>Fat
(Cal)</v>
      </c>
      <c r="H1085" s="97" t="str">
        <f>FoodDB!$G$1</f>
        <v>Carb
(Cal)</v>
      </c>
      <c r="I1085" s="97" t="str">
        <f>FoodDB!$H$1</f>
        <v>Protein
(Cal)</v>
      </c>
      <c r="J1085" s="97" t="str">
        <f>FoodDB!$I$1</f>
        <v>Total
Calories</v>
      </c>
      <c r="K1085" s="97"/>
      <c r="L1085" s="97" t="s">
        <v>109</v>
      </c>
      <c r="M1085" s="97" t="s">
        <v>110</v>
      </c>
      <c r="N1085" s="97" t="s">
        <v>111</v>
      </c>
      <c r="O1085" s="97" t="s">
        <v>112</v>
      </c>
      <c r="P1085" s="97" t="s">
        <v>117</v>
      </c>
      <c r="Q1085" s="97" t="s">
        <v>118</v>
      </c>
      <c r="R1085" s="97" t="s">
        <v>119</v>
      </c>
      <c r="S1085" s="97" t="s">
        <v>120</v>
      </c>
    </row>
    <row r="1086" spans="1:19" x14ac:dyDescent="0.25">
      <c r="A1086" s="98">
        <f>A1074+1</f>
        <v>43084</v>
      </c>
      <c r="B1086" s="99" t="s">
        <v>107</v>
      </c>
      <c r="C1086" s="100">
        <v>0</v>
      </c>
      <c r="D1086">
        <f>$C1086*VLOOKUP($B1086,FoodDB!$A$2:$I$1014,3,0)</f>
        <v>0</v>
      </c>
      <c r="E1086">
        <f>$C1086*VLOOKUP($B1086,FoodDB!$A$2:$I$1014,4,0)</f>
        <v>0</v>
      </c>
      <c r="F1086">
        <f>$C1086*VLOOKUP($B1086,FoodDB!$A$2:$I$1014,5,0)</f>
        <v>0</v>
      </c>
      <c r="G1086">
        <f>$C1086*VLOOKUP($B1086,FoodDB!$A$2:$I$1014,6,0)</f>
        <v>0</v>
      </c>
      <c r="H1086">
        <f>$C1086*VLOOKUP($B1086,FoodDB!$A$2:$I$1014,7,0)</f>
        <v>0</v>
      </c>
      <c r="I1086">
        <f>$C1086*VLOOKUP($B1086,FoodDB!$A$2:$I$1014,8,0)</f>
        <v>0</v>
      </c>
      <c r="J1086">
        <f>$C1086*VLOOKUP($B1086,FoodDB!$A$2:$I$1014,9,0)</f>
        <v>0</v>
      </c>
      <c r="L1086">
        <f>SUM(G1086:G1092)</f>
        <v>0</v>
      </c>
      <c r="M1086">
        <f>SUM(H1086:H1092)</f>
        <v>0</v>
      </c>
      <c r="N1086">
        <f>SUM(I1086:I1092)</f>
        <v>0</v>
      </c>
      <c r="O1086">
        <f>SUM(L1086:N1086)</f>
        <v>0</v>
      </c>
      <c r="P1086" s="103">
        <f>VLOOKUP($A1086,LossChart!$A$3:$AB$105,14,0)-L1086</f>
        <v>815.45659631338913</v>
      </c>
      <c r="Q1086" s="103">
        <f>VLOOKUP($A1086,LossChart!$A$3:$AB$105,15,0)-M1086</f>
        <v>116</v>
      </c>
      <c r="R1086" s="103">
        <f>VLOOKUP($A1086,LossChart!$A$3:$AB$105,16,0)-N1086</f>
        <v>477.30407413615825</v>
      </c>
      <c r="S1086" s="103">
        <f>VLOOKUP($A1086,LossChart!$A$3:$AB$105,17,0)-O1086</f>
        <v>1408.7606704495474</v>
      </c>
    </row>
    <row r="1087" spans="1:19" x14ac:dyDescent="0.25">
      <c r="B1087" s="99" t="s">
        <v>107</v>
      </c>
      <c r="C1087" s="100">
        <v>0</v>
      </c>
      <c r="D1087">
        <f>$C1087*VLOOKUP($B1087,FoodDB!$A$2:$I$1014,3,0)</f>
        <v>0</v>
      </c>
      <c r="E1087">
        <f>$C1087*VLOOKUP($B1087,FoodDB!$A$2:$I$1014,4,0)</f>
        <v>0</v>
      </c>
      <c r="F1087">
        <f>$C1087*VLOOKUP($B1087,FoodDB!$A$2:$I$1014,5,0)</f>
        <v>0</v>
      </c>
      <c r="G1087">
        <f>$C1087*VLOOKUP($B1087,FoodDB!$A$2:$I$1014,6,0)</f>
        <v>0</v>
      </c>
      <c r="H1087">
        <f>$C1087*VLOOKUP($B1087,FoodDB!$A$2:$I$1014,7,0)</f>
        <v>0</v>
      </c>
      <c r="I1087">
        <f>$C1087*VLOOKUP($B1087,FoodDB!$A$2:$I$1014,8,0)</f>
        <v>0</v>
      </c>
      <c r="J1087">
        <f>$C1087*VLOOKUP($B1087,FoodDB!$A$2:$I$1014,9,0)</f>
        <v>0</v>
      </c>
    </row>
    <row r="1088" spans="1:19" x14ac:dyDescent="0.25">
      <c r="B1088" s="99" t="s">
        <v>107</v>
      </c>
      <c r="C1088" s="100">
        <v>0</v>
      </c>
      <c r="D1088">
        <f>$C1088*VLOOKUP($B1088,FoodDB!$A$2:$I$1014,3,0)</f>
        <v>0</v>
      </c>
      <c r="E1088">
        <f>$C1088*VLOOKUP($B1088,FoodDB!$A$2:$I$1014,4,0)</f>
        <v>0</v>
      </c>
      <c r="F1088">
        <f>$C1088*VLOOKUP($B1088,FoodDB!$A$2:$I$1014,5,0)</f>
        <v>0</v>
      </c>
      <c r="G1088">
        <f>$C1088*VLOOKUP($B1088,FoodDB!$A$2:$I$1014,6,0)</f>
        <v>0</v>
      </c>
      <c r="H1088">
        <f>$C1088*VLOOKUP($B1088,FoodDB!$A$2:$I$1014,7,0)</f>
        <v>0</v>
      </c>
      <c r="I1088">
        <f>$C1088*VLOOKUP($B1088,FoodDB!$A$2:$I$1014,8,0)</f>
        <v>0</v>
      </c>
      <c r="J1088">
        <f>$C1088*VLOOKUP($B1088,FoodDB!$A$2:$I$1014,9,0)</f>
        <v>0</v>
      </c>
    </row>
    <row r="1089" spans="1:19" x14ac:dyDescent="0.25">
      <c r="B1089" s="99" t="s">
        <v>107</v>
      </c>
      <c r="C1089" s="100">
        <v>0</v>
      </c>
      <c r="D1089">
        <f>$C1089*VLOOKUP($B1089,FoodDB!$A$2:$I$1014,3,0)</f>
        <v>0</v>
      </c>
      <c r="E1089">
        <f>$C1089*VLOOKUP($B1089,FoodDB!$A$2:$I$1014,4,0)</f>
        <v>0</v>
      </c>
      <c r="F1089">
        <f>$C1089*VLOOKUP($B1089,FoodDB!$A$2:$I$1014,5,0)</f>
        <v>0</v>
      </c>
      <c r="G1089">
        <f>$C1089*VLOOKUP($B1089,FoodDB!$A$2:$I$1014,6,0)</f>
        <v>0</v>
      </c>
      <c r="H1089">
        <f>$C1089*VLOOKUP($B1089,FoodDB!$A$2:$I$1014,7,0)</f>
        <v>0</v>
      </c>
      <c r="I1089">
        <f>$C1089*VLOOKUP($B1089,FoodDB!$A$2:$I$1014,8,0)</f>
        <v>0</v>
      </c>
      <c r="J1089">
        <f>$C1089*VLOOKUP($B1089,FoodDB!$A$2:$I$1014,9,0)</f>
        <v>0</v>
      </c>
    </row>
    <row r="1090" spans="1:19" x14ac:dyDescent="0.25">
      <c r="B1090" s="99" t="s">
        <v>107</v>
      </c>
      <c r="C1090" s="100">
        <v>0</v>
      </c>
      <c r="D1090">
        <f>$C1090*VLOOKUP($B1090,FoodDB!$A$2:$I$1014,3,0)</f>
        <v>0</v>
      </c>
      <c r="E1090">
        <f>$C1090*VLOOKUP($B1090,FoodDB!$A$2:$I$1014,4,0)</f>
        <v>0</v>
      </c>
      <c r="F1090">
        <f>$C1090*VLOOKUP($B1090,FoodDB!$A$2:$I$1014,5,0)</f>
        <v>0</v>
      </c>
      <c r="G1090">
        <f>$C1090*VLOOKUP($B1090,FoodDB!$A$2:$I$1014,6,0)</f>
        <v>0</v>
      </c>
      <c r="H1090">
        <f>$C1090*VLOOKUP($B1090,FoodDB!$A$2:$I$1014,7,0)</f>
        <v>0</v>
      </c>
      <c r="I1090">
        <f>$C1090*VLOOKUP($B1090,FoodDB!$A$2:$I$1014,8,0)</f>
        <v>0</v>
      </c>
      <c r="J1090">
        <f>$C1090*VLOOKUP($B1090,FoodDB!$A$2:$I$1014,9,0)</f>
        <v>0</v>
      </c>
    </row>
    <row r="1091" spans="1:19" x14ac:dyDescent="0.25">
      <c r="B1091" s="99" t="s">
        <v>107</v>
      </c>
      <c r="C1091" s="100">
        <v>0</v>
      </c>
      <c r="D1091">
        <f>$C1091*VLOOKUP($B1091,FoodDB!$A$2:$I$1014,3,0)</f>
        <v>0</v>
      </c>
      <c r="E1091">
        <f>$C1091*VLOOKUP($B1091,FoodDB!$A$2:$I$1014,4,0)</f>
        <v>0</v>
      </c>
      <c r="F1091">
        <f>$C1091*VLOOKUP($B1091,FoodDB!$A$2:$I$1014,5,0)</f>
        <v>0</v>
      </c>
      <c r="G1091">
        <f>$C1091*VLOOKUP($B1091,FoodDB!$A$2:$I$1014,6,0)</f>
        <v>0</v>
      </c>
      <c r="H1091">
        <f>$C1091*VLOOKUP($B1091,FoodDB!$A$2:$I$1014,7,0)</f>
        <v>0</v>
      </c>
      <c r="I1091">
        <f>$C1091*VLOOKUP($B1091,FoodDB!$A$2:$I$1014,8,0)</f>
        <v>0</v>
      </c>
      <c r="J1091">
        <f>$C1091*VLOOKUP($B1091,FoodDB!$A$2:$I$1014,9,0)</f>
        <v>0</v>
      </c>
    </row>
    <row r="1092" spans="1:19" x14ac:dyDescent="0.25">
      <c r="B1092" s="99" t="s">
        <v>107</v>
      </c>
      <c r="C1092" s="100">
        <v>0</v>
      </c>
      <c r="D1092">
        <f>$C1092*VLOOKUP($B1092,FoodDB!$A$2:$I$1014,3,0)</f>
        <v>0</v>
      </c>
      <c r="E1092">
        <f>$C1092*VLOOKUP($B1092,FoodDB!$A$2:$I$1014,4,0)</f>
        <v>0</v>
      </c>
      <c r="F1092">
        <f>$C1092*VLOOKUP($B1092,FoodDB!$A$2:$I$1014,5,0)</f>
        <v>0</v>
      </c>
      <c r="G1092">
        <f>$C1092*VLOOKUP($B1092,FoodDB!$A$2:$I$1014,6,0)</f>
        <v>0</v>
      </c>
      <c r="H1092">
        <f>$C1092*VLOOKUP($B1092,FoodDB!$A$2:$I$1014,7,0)</f>
        <v>0</v>
      </c>
      <c r="I1092">
        <f>$C1092*VLOOKUP($B1092,FoodDB!$A$2:$I$1014,8,0)</f>
        <v>0</v>
      </c>
      <c r="J1092">
        <f>$C1092*VLOOKUP($B1092,FoodDB!$A$2:$I$1014,9,0)</f>
        <v>0</v>
      </c>
    </row>
    <row r="1093" spans="1:19" x14ac:dyDescent="0.25">
      <c r="A1093" t="s">
        <v>97</v>
      </c>
      <c r="G1093">
        <f>SUM(G1086:G1092)</f>
        <v>0</v>
      </c>
      <c r="H1093">
        <f>SUM(H1086:H1092)</f>
        <v>0</v>
      </c>
      <c r="I1093">
        <f>SUM(I1086:I1092)</f>
        <v>0</v>
      </c>
      <c r="J1093">
        <f>SUM(G1093:I1093)</f>
        <v>0</v>
      </c>
    </row>
    <row r="1094" spans="1:19" x14ac:dyDescent="0.25">
      <c r="A1094" t="s">
        <v>101</v>
      </c>
      <c r="B1094" t="s">
        <v>102</v>
      </c>
      <c r="E1094" s="103"/>
      <c r="F1094" s="103"/>
      <c r="G1094" s="103">
        <f>VLOOKUP($A1086,LossChart!$A$3:$AB$105,14,0)</f>
        <v>815.45659631338913</v>
      </c>
      <c r="H1094" s="103">
        <f>VLOOKUP($A1086,LossChart!$A$3:$AB$105,15,0)</f>
        <v>116</v>
      </c>
      <c r="I1094" s="103">
        <f>VLOOKUP($A1086,LossChart!$A$3:$AB$105,16,0)</f>
        <v>477.30407413615825</v>
      </c>
      <c r="J1094" s="103">
        <f>VLOOKUP($A1086,LossChart!$A$3:$AB$105,17,0)</f>
        <v>1408.7606704495474</v>
      </c>
      <c r="K1094" s="103"/>
    </row>
    <row r="1095" spans="1:19" x14ac:dyDescent="0.25">
      <c r="A1095" t="s">
        <v>103</v>
      </c>
      <c r="G1095">
        <f>G1094-G1093</f>
        <v>815.45659631338913</v>
      </c>
      <c r="H1095">
        <f>H1094-H1093</f>
        <v>116</v>
      </c>
      <c r="I1095">
        <f>I1094-I1093</f>
        <v>477.30407413615825</v>
      </c>
      <c r="J1095">
        <f>J1094-J1093</f>
        <v>1408.7606704495474</v>
      </c>
    </row>
    <row r="1097" spans="1:19" ht="60" x14ac:dyDescent="0.25">
      <c r="A1097" s="26" t="s">
        <v>63</v>
      </c>
      <c r="B1097" s="26" t="s">
        <v>92</v>
      </c>
      <c r="C1097" s="26" t="s">
        <v>93</v>
      </c>
      <c r="D1097" s="97" t="str">
        <f>FoodDB!$C$1</f>
        <v>Fat
(g)</v>
      </c>
      <c r="E1097" s="97" t="str">
        <f>FoodDB!$D$1</f>
        <v xml:space="preserve"> Carbs
(g)</v>
      </c>
      <c r="F1097" s="97" t="str">
        <f>FoodDB!$E$1</f>
        <v>Protein
(g)</v>
      </c>
      <c r="G1097" s="97" t="str">
        <f>FoodDB!$F$1</f>
        <v>Fat
(Cal)</v>
      </c>
      <c r="H1097" s="97" t="str">
        <f>FoodDB!$G$1</f>
        <v>Carb
(Cal)</v>
      </c>
      <c r="I1097" s="97" t="str">
        <f>FoodDB!$H$1</f>
        <v>Protein
(Cal)</v>
      </c>
      <c r="J1097" s="97" t="str">
        <f>FoodDB!$I$1</f>
        <v>Total
Calories</v>
      </c>
      <c r="K1097" s="97"/>
      <c r="L1097" s="97" t="s">
        <v>109</v>
      </c>
      <c r="M1097" s="97" t="s">
        <v>110</v>
      </c>
      <c r="N1097" s="97" t="s">
        <v>111</v>
      </c>
      <c r="O1097" s="97" t="s">
        <v>112</v>
      </c>
      <c r="P1097" s="97" t="s">
        <v>117</v>
      </c>
      <c r="Q1097" s="97" t="s">
        <v>118</v>
      </c>
      <c r="R1097" s="97" t="s">
        <v>119</v>
      </c>
      <c r="S1097" s="97" t="s">
        <v>120</v>
      </c>
    </row>
    <row r="1098" spans="1:19" x14ac:dyDescent="0.25">
      <c r="A1098" s="98">
        <f>A1086+1</f>
        <v>43085</v>
      </c>
      <c r="B1098" s="99" t="s">
        <v>107</v>
      </c>
      <c r="C1098" s="100">
        <v>0</v>
      </c>
      <c r="D1098">
        <f>$C1098*VLOOKUP($B1098,FoodDB!$A$2:$I$1014,3,0)</f>
        <v>0</v>
      </c>
      <c r="E1098">
        <f>$C1098*VLOOKUP($B1098,FoodDB!$A$2:$I$1014,4,0)</f>
        <v>0</v>
      </c>
      <c r="F1098">
        <f>$C1098*VLOOKUP($B1098,FoodDB!$A$2:$I$1014,5,0)</f>
        <v>0</v>
      </c>
      <c r="G1098">
        <f>$C1098*VLOOKUP($B1098,FoodDB!$A$2:$I$1014,6,0)</f>
        <v>0</v>
      </c>
      <c r="H1098">
        <f>$C1098*VLOOKUP($B1098,FoodDB!$A$2:$I$1014,7,0)</f>
        <v>0</v>
      </c>
      <c r="I1098">
        <f>$C1098*VLOOKUP($B1098,FoodDB!$A$2:$I$1014,8,0)</f>
        <v>0</v>
      </c>
      <c r="J1098">
        <f>$C1098*VLOOKUP($B1098,FoodDB!$A$2:$I$1014,9,0)</f>
        <v>0</v>
      </c>
      <c r="L1098">
        <f>SUM(G1098:G1104)</f>
        <v>0</v>
      </c>
      <c r="M1098">
        <f>SUM(H1098:H1104)</f>
        <v>0</v>
      </c>
      <c r="N1098">
        <f>SUM(I1098:I1104)</f>
        <v>0</v>
      </c>
      <c r="O1098">
        <f>SUM(L1098:N1098)</f>
        <v>0</v>
      </c>
      <c r="P1098" s="103">
        <f>VLOOKUP($A1098,LossChart!$A$3:$AB$105,14,0)-L1098</f>
        <v>819.41757109811351</v>
      </c>
      <c r="Q1098" s="103">
        <f>VLOOKUP($A1098,LossChart!$A$3:$AB$105,15,0)-M1098</f>
        <v>116</v>
      </c>
      <c r="R1098" s="103">
        <f>VLOOKUP($A1098,LossChart!$A$3:$AB$105,16,0)-N1098</f>
        <v>477.30407413615825</v>
      </c>
      <c r="S1098" s="103">
        <f>VLOOKUP($A1098,LossChart!$A$3:$AB$105,17,0)-O1098</f>
        <v>1412.7216452342718</v>
      </c>
    </row>
    <row r="1099" spans="1:19" x14ac:dyDescent="0.25">
      <c r="B1099" s="99" t="s">
        <v>107</v>
      </c>
      <c r="C1099" s="100">
        <v>0</v>
      </c>
      <c r="D1099">
        <f>$C1099*VLOOKUP($B1099,FoodDB!$A$2:$I$1014,3,0)</f>
        <v>0</v>
      </c>
      <c r="E1099">
        <f>$C1099*VLOOKUP($B1099,FoodDB!$A$2:$I$1014,4,0)</f>
        <v>0</v>
      </c>
      <c r="F1099">
        <f>$C1099*VLOOKUP($B1099,FoodDB!$A$2:$I$1014,5,0)</f>
        <v>0</v>
      </c>
      <c r="G1099">
        <f>$C1099*VLOOKUP($B1099,FoodDB!$A$2:$I$1014,6,0)</f>
        <v>0</v>
      </c>
      <c r="H1099">
        <f>$C1099*VLOOKUP($B1099,FoodDB!$A$2:$I$1014,7,0)</f>
        <v>0</v>
      </c>
      <c r="I1099">
        <f>$C1099*VLOOKUP($B1099,FoodDB!$A$2:$I$1014,8,0)</f>
        <v>0</v>
      </c>
      <c r="J1099">
        <f>$C1099*VLOOKUP($B1099,FoodDB!$A$2:$I$1014,9,0)</f>
        <v>0</v>
      </c>
    </row>
    <row r="1100" spans="1:19" x14ac:dyDescent="0.25">
      <c r="B1100" s="99" t="s">
        <v>107</v>
      </c>
      <c r="C1100" s="100">
        <v>0</v>
      </c>
      <c r="D1100">
        <f>$C1100*VLOOKUP($B1100,FoodDB!$A$2:$I$1014,3,0)</f>
        <v>0</v>
      </c>
      <c r="E1100">
        <f>$C1100*VLOOKUP($B1100,FoodDB!$A$2:$I$1014,4,0)</f>
        <v>0</v>
      </c>
      <c r="F1100">
        <f>$C1100*VLOOKUP($B1100,FoodDB!$A$2:$I$1014,5,0)</f>
        <v>0</v>
      </c>
      <c r="G1100">
        <f>$C1100*VLOOKUP($B1100,FoodDB!$A$2:$I$1014,6,0)</f>
        <v>0</v>
      </c>
      <c r="H1100">
        <f>$C1100*VLOOKUP($B1100,FoodDB!$A$2:$I$1014,7,0)</f>
        <v>0</v>
      </c>
      <c r="I1100">
        <f>$C1100*VLOOKUP($B1100,FoodDB!$A$2:$I$1014,8,0)</f>
        <v>0</v>
      </c>
      <c r="J1100">
        <f>$C1100*VLOOKUP($B1100,FoodDB!$A$2:$I$1014,9,0)</f>
        <v>0</v>
      </c>
    </row>
    <row r="1101" spans="1:19" x14ac:dyDescent="0.25">
      <c r="B1101" s="99" t="s">
        <v>107</v>
      </c>
      <c r="C1101" s="100">
        <v>0</v>
      </c>
      <c r="D1101">
        <f>$C1101*VLOOKUP($B1101,FoodDB!$A$2:$I$1014,3,0)</f>
        <v>0</v>
      </c>
      <c r="E1101">
        <f>$C1101*VLOOKUP($B1101,FoodDB!$A$2:$I$1014,4,0)</f>
        <v>0</v>
      </c>
      <c r="F1101">
        <f>$C1101*VLOOKUP($B1101,FoodDB!$A$2:$I$1014,5,0)</f>
        <v>0</v>
      </c>
      <c r="G1101">
        <f>$C1101*VLOOKUP($B1101,FoodDB!$A$2:$I$1014,6,0)</f>
        <v>0</v>
      </c>
      <c r="H1101">
        <f>$C1101*VLOOKUP($B1101,FoodDB!$A$2:$I$1014,7,0)</f>
        <v>0</v>
      </c>
      <c r="I1101">
        <f>$C1101*VLOOKUP($B1101,FoodDB!$A$2:$I$1014,8,0)</f>
        <v>0</v>
      </c>
      <c r="J1101">
        <f>$C1101*VLOOKUP($B1101,FoodDB!$A$2:$I$1014,9,0)</f>
        <v>0</v>
      </c>
    </row>
    <row r="1102" spans="1:19" x14ac:dyDescent="0.25">
      <c r="B1102" s="99" t="s">
        <v>107</v>
      </c>
      <c r="C1102" s="100">
        <v>0</v>
      </c>
      <c r="D1102">
        <f>$C1102*VLOOKUP($B1102,FoodDB!$A$2:$I$1014,3,0)</f>
        <v>0</v>
      </c>
      <c r="E1102">
        <f>$C1102*VLOOKUP($B1102,FoodDB!$A$2:$I$1014,4,0)</f>
        <v>0</v>
      </c>
      <c r="F1102">
        <f>$C1102*VLOOKUP($B1102,FoodDB!$A$2:$I$1014,5,0)</f>
        <v>0</v>
      </c>
      <c r="G1102">
        <f>$C1102*VLOOKUP($B1102,FoodDB!$A$2:$I$1014,6,0)</f>
        <v>0</v>
      </c>
      <c r="H1102">
        <f>$C1102*VLOOKUP($B1102,FoodDB!$A$2:$I$1014,7,0)</f>
        <v>0</v>
      </c>
      <c r="I1102">
        <f>$C1102*VLOOKUP($B1102,FoodDB!$A$2:$I$1014,8,0)</f>
        <v>0</v>
      </c>
      <c r="J1102">
        <f>$C1102*VLOOKUP($B1102,FoodDB!$A$2:$I$1014,9,0)</f>
        <v>0</v>
      </c>
    </row>
    <row r="1103" spans="1:19" x14ac:dyDescent="0.25">
      <c r="B1103" s="99" t="s">
        <v>107</v>
      </c>
      <c r="C1103" s="100">
        <v>0</v>
      </c>
      <c r="D1103">
        <f>$C1103*VLOOKUP($B1103,FoodDB!$A$2:$I$1014,3,0)</f>
        <v>0</v>
      </c>
      <c r="E1103">
        <f>$C1103*VLOOKUP($B1103,FoodDB!$A$2:$I$1014,4,0)</f>
        <v>0</v>
      </c>
      <c r="F1103">
        <f>$C1103*VLOOKUP($B1103,FoodDB!$A$2:$I$1014,5,0)</f>
        <v>0</v>
      </c>
      <c r="G1103">
        <f>$C1103*VLOOKUP($B1103,FoodDB!$A$2:$I$1014,6,0)</f>
        <v>0</v>
      </c>
      <c r="H1103">
        <f>$C1103*VLOOKUP($B1103,FoodDB!$A$2:$I$1014,7,0)</f>
        <v>0</v>
      </c>
      <c r="I1103">
        <f>$C1103*VLOOKUP($B1103,FoodDB!$A$2:$I$1014,8,0)</f>
        <v>0</v>
      </c>
      <c r="J1103">
        <f>$C1103*VLOOKUP($B1103,FoodDB!$A$2:$I$1014,9,0)</f>
        <v>0</v>
      </c>
    </row>
    <row r="1104" spans="1:19" x14ac:dyDescent="0.25">
      <c r="B1104" s="99" t="s">
        <v>107</v>
      </c>
      <c r="C1104" s="100">
        <v>0</v>
      </c>
      <c r="D1104">
        <f>$C1104*VLOOKUP($B1104,FoodDB!$A$2:$I$1014,3,0)</f>
        <v>0</v>
      </c>
      <c r="E1104">
        <f>$C1104*VLOOKUP($B1104,FoodDB!$A$2:$I$1014,4,0)</f>
        <v>0</v>
      </c>
      <c r="F1104">
        <f>$C1104*VLOOKUP($B1104,FoodDB!$A$2:$I$1014,5,0)</f>
        <v>0</v>
      </c>
      <c r="G1104">
        <f>$C1104*VLOOKUP($B1104,FoodDB!$A$2:$I$1014,6,0)</f>
        <v>0</v>
      </c>
      <c r="H1104">
        <f>$C1104*VLOOKUP($B1104,FoodDB!$A$2:$I$1014,7,0)</f>
        <v>0</v>
      </c>
      <c r="I1104">
        <f>$C1104*VLOOKUP($B1104,FoodDB!$A$2:$I$1014,8,0)</f>
        <v>0</v>
      </c>
      <c r="J1104">
        <f>$C1104*VLOOKUP($B1104,FoodDB!$A$2:$I$1014,9,0)</f>
        <v>0</v>
      </c>
    </row>
    <row r="1105" spans="1:19" x14ac:dyDescent="0.25">
      <c r="A1105" t="s">
        <v>97</v>
      </c>
      <c r="G1105">
        <f>SUM(G1098:G1104)</f>
        <v>0</v>
      </c>
      <c r="H1105">
        <f>SUM(H1098:H1104)</f>
        <v>0</v>
      </c>
      <c r="I1105">
        <f>SUM(I1098:I1104)</f>
        <v>0</v>
      </c>
      <c r="J1105">
        <f>SUM(G1105:I1105)</f>
        <v>0</v>
      </c>
    </row>
    <row r="1106" spans="1:19" x14ac:dyDescent="0.25">
      <c r="A1106" t="s">
        <v>101</v>
      </c>
      <c r="B1106" t="s">
        <v>102</v>
      </c>
      <c r="E1106" s="103"/>
      <c r="F1106" s="103"/>
      <c r="G1106" s="103">
        <f>VLOOKUP($A1098,LossChart!$A$3:$AB$105,14,0)</f>
        <v>819.41757109811351</v>
      </c>
      <c r="H1106" s="103">
        <f>VLOOKUP($A1098,LossChart!$A$3:$AB$105,15,0)</f>
        <v>116</v>
      </c>
      <c r="I1106" s="103">
        <f>VLOOKUP($A1098,LossChart!$A$3:$AB$105,16,0)</f>
        <v>477.30407413615825</v>
      </c>
      <c r="J1106" s="103">
        <f>VLOOKUP($A1098,LossChart!$A$3:$AB$105,17,0)</f>
        <v>1412.7216452342718</v>
      </c>
      <c r="K1106" s="103"/>
    </row>
    <row r="1107" spans="1:19" x14ac:dyDescent="0.25">
      <c r="A1107" t="s">
        <v>103</v>
      </c>
      <c r="G1107">
        <f>G1106-G1105</f>
        <v>819.41757109811351</v>
      </c>
      <c r="H1107">
        <f>H1106-H1105</f>
        <v>116</v>
      </c>
      <c r="I1107">
        <f>I1106-I1105</f>
        <v>477.30407413615825</v>
      </c>
      <c r="J1107">
        <f>J1106-J1105</f>
        <v>1412.7216452342718</v>
      </c>
    </row>
    <row r="1109" spans="1:19" ht="60" x14ac:dyDescent="0.25">
      <c r="A1109" s="26" t="s">
        <v>63</v>
      </c>
      <c r="B1109" s="26" t="s">
        <v>92</v>
      </c>
      <c r="C1109" s="26" t="s">
        <v>93</v>
      </c>
      <c r="D1109" s="97" t="str">
        <f>FoodDB!$C$1</f>
        <v>Fat
(g)</v>
      </c>
      <c r="E1109" s="97" t="str">
        <f>FoodDB!$D$1</f>
        <v xml:space="preserve"> Carbs
(g)</v>
      </c>
      <c r="F1109" s="97" t="str">
        <f>FoodDB!$E$1</f>
        <v>Protein
(g)</v>
      </c>
      <c r="G1109" s="97" t="str">
        <f>FoodDB!$F$1</f>
        <v>Fat
(Cal)</v>
      </c>
      <c r="H1109" s="97" t="str">
        <f>FoodDB!$G$1</f>
        <v>Carb
(Cal)</v>
      </c>
      <c r="I1109" s="97" t="str">
        <f>FoodDB!$H$1</f>
        <v>Protein
(Cal)</v>
      </c>
      <c r="J1109" s="97" t="str">
        <f>FoodDB!$I$1</f>
        <v>Total
Calories</v>
      </c>
      <c r="K1109" s="97"/>
      <c r="L1109" s="97" t="s">
        <v>109</v>
      </c>
      <c r="M1109" s="97" t="s">
        <v>110</v>
      </c>
      <c r="N1109" s="97" t="s">
        <v>111</v>
      </c>
      <c r="O1109" s="97" t="s">
        <v>112</v>
      </c>
      <c r="P1109" s="97" t="s">
        <v>117</v>
      </c>
      <c r="Q1109" s="97" t="s">
        <v>118</v>
      </c>
      <c r="R1109" s="97" t="s">
        <v>119</v>
      </c>
      <c r="S1109" s="97" t="s">
        <v>120</v>
      </c>
    </row>
    <row r="1110" spans="1:19" x14ac:dyDescent="0.25">
      <c r="A1110" s="98">
        <f>A1098+1</f>
        <v>43086</v>
      </c>
      <c r="B1110" s="99" t="s">
        <v>107</v>
      </c>
      <c r="C1110" s="100">
        <v>0</v>
      </c>
      <c r="D1110">
        <f>$C1110*VLOOKUP($B1110,FoodDB!$A$2:$I$1014,3,0)</f>
        <v>0</v>
      </c>
      <c r="E1110">
        <f>$C1110*VLOOKUP($B1110,FoodDB!$A$2:$I$1014,4,0)</f>
        <v>0</v>
      </c>
      <c r="F1110">
        <f>$C1110*VLOOKUP($B1110,FoodDB!$A$2:$I$1014,5,0)</f>
        <v>0</v>
      </c>
      <c r="G1110">
        <f>$C1110*VLOOKUP($B1110,FoodDB!$A$2:$I$1014,6,0)</f>
        <v>0</v>
      </c>
      <c r="H1110">
        <f>$C1110*VLOOKUP($B1110,FoodDB!$A$2:$I$1014,7,0)</f>
        <v>0</v>
      </c>
      <c r="I1110">
        <f>$C1110*VLOOKUP($B1110,FoodDB!$A$2:$I$1014,8,0)</f>
        <v>0</v>
      </c>
      <c r="J1110">
        <f>$C1110*VLOOKUP($B1110,FoodDB!$A$2:$I$1014,9,0)</f>
        <v>0</v>
      </c>
      <c r="L1110">
        <f>SUM(G1110:G1116)</f>
        <v>0</v>
      </c>
      <c r="M1110">
        <f>SUM(H1110:H1116)</f>
        <v>0</v>
      </c>
      <c r="N1110">
        <f>SUM(I1110:I1116)</f>
        <v>0</v>
      </c>
      <c r="O1110">
        <f>SUM(L1110:N1110)</f>
        <v>0</v>
      </c>
      <c r="P1110" s="103">
        <f>VLOOKUP($A1110,LossChart!$A$3:$AB$105,14,0)-L1110</f>
        <v>823.34346296331569</v>
      </c>
      <c r="Q1110" s="103">
        <f>VLOOKUP($A1110,LossChart!$A$3:$AB$105,15,0)-M1110</f>
        <v>116</v>
      </c>
      <c r="R1110" s="103">
        <f>VLOOKUP($A1110,LossChart!$A$3:$AB$105,16,0)-N1110</f>
        <v>477.30407413615825</v>
      </c>
      <c r="S1110" s="103">
        <f>VLOOKUP($A1110,LossChart!$A$3:$AB$105,17,0)-O1110</f>
        <v>1416.647537099474</v>
      </c>
    </row>
    <row r="1111" spans="1:19" x14ac:dyDescent="0.25">
      <c r="B1111" s="99" t="s">
        <v>107</v>
      </c>
      <c r="C1111" s="100">
        <v>0</v>
      </c>
      <c r="D1111">
        <f>$C1111*VLOOKUP($B1111,FoodDB!$A$2:$I$1014,3,0)</f>
        <v>0</v>
      </c>
      <c r="E1111">
        <f>$C1111*VLOOKUP($B1111,FoodDB!$A$2:$I$1014,4,0)</f>
        <v>0</v>
      </c>
      <c r="F1111">
        <f>$C1111*VLOOKUP($B1111,FoodDB!$A$2:$I$1014,5,0)</f>
        <v>0</v>
      </c>
      <c r="G1111">
        <f>$C1111*VLOOKUP($B1111,FoodDB!$A$2:$I$1014,6,0)</f>
        <v>0</v>
      </c>
      <c r="H1111">
        <f>$C1111*VLOOKUP($B1111,FoodDB!$A$2:$I$1014,7,0)</f>
        <v>0</v>
      </c>
      <c r="I1111">
        <f>$C1111*VLOOKUP($B1111,FoodDB!$A$2:$I$1014,8,0)</f>
        <v>0</v>
      </c>
      <c r="J1111">
        <f>$C1111*VLOOKUP($B1111,FoodDB!$A$2:$I$1014,9,0)</f>
        <v>0</v>
      </c>
    </row>
    <row r="1112" spans="1:19" x14ac:dyDescent="0.25">
      <c r="B1112" s="99" t="s">
        <v>107</v>
      </c>
      <c r="C1112" s="100">
        <v>0</v>
      </c>
      <c r="D1112">
        <f>$C1112*VLOOKUP($B1112,FoodDB!$A$2:$I$1014,3,0)</f>
        <v>0</v>
      </c>
      <c r="E1112">
        <f>$C1112*VLOOKUP($B1112,FoodDB!$A$2:$I$1014,4,0)</f>
        <v>0</v>
      </c>
      <c r="F1112">
        <f>$C1112*VLOOKUP($B1112,FoodDB!$A$2:$I$1014,5,0)</f>
        <v>0</v>
      </c>
      <c r="G1112">
        <f>$C1112*VLOOKUP($B1112,FoodDB!$A$2:$I$1014,6,0)</f>
        <v>0</v>
      </c>
      <c r="H1112">
        <f>$C1112*VLOOKUP($B1112,FoodDB!$A$2:$I$1014,7,0)</f>
        <v>0</v>
      </c>
      <c r="I1112">
        <f>$C1112*VLOOKUP($B1112,FoodDB!$A$2:$I$1014,8,0)</f>
        <v>0</v>
      </c>
      <c r="J1112">
        <f>$C1112*VLOOKUP($B1112,FoodDB!$A$2:$I$1014,9,0)</f>
        <v>0</v>
      </c>
    </row>
    <row r="1113" spans="1:19" x14ac:dyDescent="0.25">
      <c r="B1113" s="99" t="s">
        <v>107</v>
      </c>
      <c r="C1113" s="100">
        <v>0</v>
      </c>
      <c r="D1113">
        <f>$C1113*VLOOKUP($B1113,FoodDB!$A$2:$I$1014,3,0)</f>
        <v>0</v>
      </c>
      <c r="E1113">
        <f>$C1113*VLOOKUP($B1113,FoodDB!$A$2:$I$1014,4,0)</f>
        <v>0</v>
      </c>
      <c r="F1113">
        <f>$C1113*VLOOKUP($B1113,FoodDB!$A$2:$I$1014,5,0)</f>
        <v>0</v>
      </c>
      <c r="G1113">
        <f>$C1113*VLOOKUP($B1113,FoodDB!$A$2:$I$1014,6,0)</f>
        <v>0</v>
      </c>
      <c r="H1113">
        <f>$C1113*VLOOKUP($B1113,FoodDB!$A$2:$I$1014,7,0)</f>
        <v>0</v>
      </c>
      <c r="I1113">
        <f>$C1113*VLOOKUP($B1113,FoodDB!$A$2:$I$1014,8,0)</f>
        <v>0</v>
      </c>
      <c r="J1113">
        <f>$C1113*VLOOKUP($B1113,FoodDB!$A$2:$I$1014,9,0)</f>
        <v>0</v>
      </c>
    </row>
    <row r="1114" spans="1:19" x14ac:dyDescent="0.25">
      <c r="B1114" s="99" t="s">
        <v>107</v>
      </c>
      <c r="C1114" s="100">
        <v>0</v>
      </c>
      <c r="D1114">
        <f>$C1114*VLOOKUP($B1114,FoodDB!$A$2:$I$1014,3,0)</f>
        <v>0</v>
      </c>
      <c r="E1114">
        <f>$C1114*VLOOKUP($B1114,FoodDB!$A$2:$I$1014,4,0)</f>
        <v>0</v>
      </c>
      <c r="F1114">
        <f>$C1114*VLOOKUP($B1114,FoodDB!$A$2:$I$1014,5,0)</f>
        <v>0</v>
      </c>
      <c r="G1114">
        <f>$C1114*VLOOKUP($B1114,FoodDB!$A$2:$I$1014,6,0)</f>
        <v>0</v>
      </c>
      <c r="H1114">
        <f>$C1114*VLOOKUP($B1114,FoodDB!$A$2:$I$1014,7,0)</f>
        <v>0</v>
      </c>
      <c r="I1114">
        <f>$C1114*VLOOKUP($B1114,FoodDB!$A$2:$I$1014,8,0)</f>
        <v>0</v>
      </c>
      <c r="J1114">
        <f>$C1114*VLOOKUP($B1114,FoodDB!$A$2:$I$1014,9,0)</f>
        <v>0</v>
      </c>
    </row>
    <row r="1115" spans="1:19" x14ac:dyDescent="0.25">
      <c r="B1115" s="99" t="s">
        <v>107</v>
      </c>
      <c r="C1115" s="100">
        <v>0</v>
      </c>
      <c r="D1115">
        <f>$C1115*VLOOKUP($B1115,FoodDB!$A$2:$I$1014,3,0)</f>
        <v>0</v>
      </c>
      <c r="E1115">
        <f>$C1115*VLOOKUP($B1115,FoodDB!$A$2:$I$1014,4,0)</f>
        <v>0</v>
      </c>
      <c r="F1115">
        <f>$C1115*VLOOKUP($B1115,FoodDB!$A$2:$I$1014,5,0)</f>
        <v>0</v>
      </c>
      <c r="G1115">
        <f>$C1115*VLOOKUP($B1115,FoodDB!$A$2:$I$1014,6,0)</f>
        <v>0</v>
      </c>
      <c r="H1115">
        <f>$C1115*VLOOKUP($B1115,FoodDB!$A$2:$I$1014,7,0)</f>
        <v>0</v>
      </c>
      <c r="I1115">
        <f>$C1115*VLOOKUP($B1115,FoodDB!$A$2:$I$1014,8,0)</f>
        <v>0</v>
      </c>
      <c r="J1115">
        <f>$C1115*VLOOKUP($B1115,FoodDB!$A$2:$I$1014,9,0)</f>
        <v>0</v>
      </c>
    </row>
    <row r="1116" spans="1:19" x14ac:dyDescent="0.25">
      <c r="B1116" s="99" t="s">
        <v>107</v>
      </c>
      <c r="C1116" s="100">
        <v>0</v>
      </c>
      <c r="D1116">
        <f>$C1116*VLOOKUP($B1116,FoodDB!$A$2:$I$1014,3,0)</f>
        <v>0</v>
      </c>
      <c r="E1116">
        <f>$C1116*VLOOKUP($B1116,FoodDB!$A$2:$I$1014,4,0)</f>
        <v>0</v>
      </c>
      <c r="F1116">
        <f>$C1116*VLOOKUP($B1116,FoodDB!$A$2:$I$1014,5,0)</f>
        <v>0</v>
      </c>
      <c r="G1116">
        <f>$C1116*VLOOKUP($B1116,FoodDB!$A$2:$I$1014,6,0)</f>
        <v>0</v>
      </c>
      <c r="H1116">
        <f>$C1116*VLOOKUP($B1116,FoodDB!$A$2:$I$1014,7,0)</f>
        <v>0</v>
      </c>
      <c r="I1116">
        <f>$C1116*VLOOKUP($B1116,FoodDB!$A$2:$I$1014,8,0)</f>
        <v>0</v>
      </c>
      <c r="J1116">
        <f>$C1116*VLOOKUP($B1116,FoodDB!$A$2:$I$1014,9,0)</f>
        <v>0</v>
      </c>
    </row>
    <row r="1117" spans="1:19" x14ac:dyDescent="0.25">
      <c r="A1117" t="s">
        <v>97</v>
      </c>
      <c r="G1117">
        <f>SUM(G1110:G1116)</f>
        <v>0</v>
      </c>
      <c r="H1117">
        <f>SUM(H1110:H1116)</f>
        <v>0</v>
      </c>
      <c r="I1117">
        <f>SUM(I1110:I1116)</f>
        <v>0</v>
      </c>
      <c r="J1117">
        <f>SUM(G1117:I1117)</f>
        <v>0</v>
      </c>
    </row>
    <row r="1118" spans="1:19" x14ac:dyDescent="0.25">
      <c r="A1118" t="s">
        <v>101</v>
      </c>
      <c r="B1118" t="s">
        <v>102</v>
      </c>
      <c r="E1118" s="103"/>
      <c r="F1118" s="103"/>
      <c r="G1118" s="103">
        <f>VLOOKUP($A1110,LossChart!$A$3:$AB$105,14,0)</f>
        <v>823.34346296331569</v>
      </c>
      <c r="H1118" s="103">
        <f>VLOOKUP($A1110,LossChart!$A$3:$AB$105,15,0)</f>
        <v>116</v>
      </c>
      <c r="I1118" s="103">
        <f>VLOOKUP($A1110,LossChart!$A$3:$AB$105,16,0)</f>
        <v>477.30407413615825</v>
      </c>
      <c r="J1118" s="103">
        <f>VLOOKUP($A1110,LossChart!$A$3:$AB$105,17,0)</f>
        <v>1416.647537099474</v>
      </c>
      <c r="K1118" s="103"/>
    </row>
    <row r="1119" spans="1:19" x14ac:dyDescent="0.25">
      <c r="A1119" t="s">
        <v>103</v>
      </c>
      <c r="G1119">
        <f>G1118-G1117</f>
        <v>823.34346296331569</v>
      </c>
      <c r="H1119">
        <f>H1118-H1117</f>
        <v>116</v>
      </c>
      <c r="I1119">
        <f>I1118-I1117</f>
        <v>477.30407413615825</v>
      </c>
      <c r="J1119">
        <f>J1118-J1117</f>
        <v>1416.647537099474</v>
      </c>
    </row>
    <row r="1121" spans="1:19" ht="60" x14ac:dyDescent="0.25">
      <c r="A1121" s="26" t="s">
        <v>63</v>
      </c>
      <c r="B1121" s="26" t="s">
        <v>92</v>
      </c>
      <c r="C1121" s="26" t="s">
        <v>93</v>
      </c>
      <c r="D1121" s="97" t="str">
        <f>FoodDB!$C$1</f>
        <v>Fat
(g)</v>
      </c>
      <c r="E1121" s="97" t="str">
        <f>FoodDB!$D$1</f>
        <v xml:space="preserve"> Carbs
(g)</v>
      </c>
      <c r="F1121" s="97" t="str">
        <f>FoodDB!$E$1</f>
        <v>Protein
(g)</v>
      </c>
      <c r="G1121" s="97" t="str">
        <f>FoodDB!$F$1</f>
        <v>Fat
(Cal)</v>
      </c>
      <c r="H1121" s="97" t="str">
        <f>FoodDB!$G$1</f>
        <v>Carb
(Cal)</v>
      </c>
      <c r="I1121" s="97" t="str">
        <f>FoodDB!$H$1</f>
        <v>Protein
(Cal)</v>
      </c>
      <c r="J1121" s="97" t="str">
        <f>FoodDB!$I$1</f>
        <v>Total
Calories</v>
      </c>
      <c r="K1121" s="97"/>
      <c r="L1121" s="97" t="s">
        <v>109</v>
      </c>
      <c r="M1121" s="97" t="s">
        <v>110</v>
      </c>
      <c r="N1121" s="97" t="s">
        <v>111</v>
      </c>
      <c r="O1121" s="97" t="s">
        <v>112</v>
      </c>
      <c r="P1121" s="97" t="s">
        <v>117</v>
      </c>
      <c r="Q1121" s="97" t="s">
        <v>118</v>
      </c>
      <c r="R1121" s="97" t="s">
        <v>119</v>
      </c>
      <c r="S1121" s="97" t="s">
        <v>120</v>
      </c>
    </row>
    <row r="1122" spans="1:19" x14ac:dyDescent="0.25">
      <c r="A1122" s="98">
        <f>A1110+1</f>
        <v>43087</v>
      </c>
      <c r="B1122" s="99" t="s">
        <v>107</v>
      </c>
      <c r="C1122" s="100">
        <v>0</v>
      </c>
      <c r="D1122">
        <f>$C1122*VLOOKUP($B1122,FoodDB!$A$2:$I$1014,3,0)</f>
        <v>0</v>
      </c>
      <c r="E1122">
        <f>$C1122*VLOOKUP($B1122,FoodDB!$A$2:$I$1014,4,0)</f>
        <v>0</v>
      </c>
      <c r="F1122">
        <f>$C1122*VLOOKUP($B1122,FoodDB!$A$2:$I$1014,5,0)</f>
        <v>0</v>
      </c>
      <c r="G1122">
        <f>$C1122*VLOOKUP($B1122,FoodDB!$A$2:$I$1014,6,0)</f>
        <v>0</v>
      </c>
      <c r="H1122">
        <f>$C1122*VLOOKUP($B1122,FoodDB!$A$2:$I$1014,7,0)</f>
        <v>0</v>
      </c>
      <c r="I1122">
        <f>$C1122*VLOOKUP($B1122,FoodDB!$A$2:$I$1014,8,0)</f>
        <v>0</v>
      </c>
      <c r="J1122">
        <f>$C1122*VLOOKUP($B1122,FoodDB!$A$2:$I$1014,9,0)</f>
        <v>0</v>
      </c>
      <c r="L1122">
        <f>SUM(G1122:G1128)</f>
        <v>0</v>
      </c>
      <c r="M1122">
        <f>SUM(H1122:H1128)</f>
        <v>0</v>
      </c>
      <c r="N1122">
        <f>SUM(I1122:I1128)</f>
        <v>0</v>
      </c>
      <c r="O1122">
        <f>SUM(L1122:N1122)</f>
        <v>0</v>
      </c>
      <c r="P1122" s="103">
        <f>VLOOKUP($A1122,LossChart!$A$3:$AB$105,14,0)-L1122</f>
        <v>827.23458264342639</v>
      </c>
      <c r="Q1122" s="103">
        <f>VLOOKUP($A1122,LossChart!$A$3:$AB$105,15,0)-M1122</f>
        <v>116</v>
      </c>
      <c r="R1122" s="103">
        <f>VLOOKUP($A1122,LossChart!$A$3:$AB$105,16,0)-N1122</f>
        <v>477.30407413615825</v>
      </c>
      <c r="S1122" s="103">
        <f>VLOOKUP($A1122,LossChart!$A$3:$AB$105,17,0)-O1122</f>
        <v>1420.5386567795847</v>
      </c>
    </row>
    <row r="1123" spans="1:19" x14ac:dyDescent="0.25">
      <c r="B1123" s="99" t="s">
        <v>107</v>
      </c>
      <c r="C1123" s="100">
        <v>0</v>
      </c>
      <c r="D1123">
        <f>$C1123*VLOOKUP($B1123,FoodDB!$A$2:$I$1014,3,0)</f>
        <v>0</v>
      </c>
      <c r="E1123">
        <f>$C1123*VLOOKUP($B1123,FoodDB!$A$2:$I$1014,4,0)</f>
        <v>0</v>
      </c>
      <c r="F1123">
        <f>$C1123*VLOOKUP($B1123,FoodDB!$A$2:$I$1014,5,0)</f>
        <v>0</v>
      </c>
      <c r="G1123">
        <f>$C1123*VLOOKUP($B1123,FoodDB!$A$2:$I$1014,6,0)</f>
        <v>0</v>
      </c>
      <c r="H1123">
        <f>$C1123*VLOOKUP($B1123,FoodDB!$A$2:$I$1014,7,0)</f>
        <v>0</v>
      </c>
      <c r="I1123">
        <f>$C1123*VLOOKUP($B1123,FoodDB!$A$2:$I$1014,8,0)</f>
        <v>0</v>
      </c>
      <c r="J1123">
        <f>$C1123*VLOOKUP($B1123,FoodDB!$A$2:$I$1014,9,0)</f>
        <v>0</v>
      </c>
    </row>
    <row r="1124" spans="1:19" x14ac:dyDescent="0.25">
      <c r="B1124" s="99" t="s">
        <v>107</v>
      </c>
      <c r="C1124" s="100">
        <v>0</v>
      </c>
      <c r="D1124">
        <f>$C1124*VLOOKUP($B1124,FoodDB!$A$2:$I$1014,3,0)</f>
        <v>0</v>
      </c>
      <c r="E1124">
        <f>$C1124*VLOOKUP($B1124,FoodDB!$A$2:$I$1014,4,0)</f>
        <v>0</v>
      </c>
      <c r="F1124">
        <f>$C1124*VLOOKUP($B1124,FoodDB!$A$2:$I$1014,5,0)</f>
        <v>0</v>
      </c>
      <c r="G1124">
        <f>$C1124*VLOOKUP($B1124,FoodDB!$A$2:$I$1014,6,0)</f>
        <v>0</v>
      </c>
      <c r="H1124">
        <f>$C1124*VLOOKUP($B1124,FoodDB!$A$2:$I$1014,7,0)</f>
        <v>0</v>
      </c>
      <c r="I1124">
        <f>$C1124*VLOOKUP($B1124,FoodDB!$A$2:$I$1014,8,0)</f>
        <v>0</v>
      </c>
      <c r="J1124">
        <f>$C1124*VLOOKUP($B1124,FoodDB!$A$2:$I$1014,9,0)</f>
        <v>0</v>
      </c>
    </row>
    <row r="1125" spans="1:19" x14ac:dyDescent="0.25">
      <c r="B1125" s="99" t="s">
        <v>107</v>
      </c>
      <c r="C1125" s="100">
        <v>0</v>
      </c>
      <c r="D1125">
        <f>$C1125*VLOOKUP($B1125,FoodDB!$A$2:$I$1014,3,0)</f>
        <v>0</v>
      </c>
      <c r="E1125">
        <f>$C1125*VLOOKUP($B1125,FoodDB!$A$2:$I$1014,4,0)</f>
        <v>0</v>
      </c>
      <c r="F1125">
        <f>$C1125*VLOOKUP($B1125,FoodDB!$A$2:$I$1014,5,0)</f>
        <v>0</v>
      </c>
      <c r="G1125">
        <f>$C1125*VLOOKUP($B1125,FoodDB!$A$2:$I$1014,6,0)</f>
        <v>0</v>
      </c>
      <c r="H1125">
        <f>$C1125*VLOOKUP($B1125,FoodDB!$A$2:$I$1014,7,0)</f>
        <v>0</v>
      </c>
      <c r="I1125">
        <f>$C1125*VLOOKUP($B1125,FoodDB!$A$2:$I$1014,8,0)</f>
        <v>0</v>
      </c>
      <c r="J1125">
        <f>$C1125*VLOOKUP($B1125,FoodDB!$A$2:$I$1014,9,0)</f>
        <v>0</v>
      </c>
    </row>
    <row r="1126" spans="1:19" x14ac:dyDescent="0.25">
      <c r="B1126" s="99" t="s">
        <v>107</v>
      </c>
      <c r="C1126" s="100">
        <v>0</v>
      </c>
      <c r="D1126">
        <f>$C1126*VLOOKUP($B1126,FoodDB!$A$2:$I$1014,3,0)</f>
        <v>0</v>
      </c>
      <c r="E1126">
        <f>$C1126*VLOOKUP($B1126,FoodDB!$A$2:$I$1014,4,0)</f>
        <v>0</v>
      </c>
      <c r="F1126">
        <f>$C1126*VLOOKUP($B1126,FoodDB!$A$2:$I$1014,5,0)</f>
        <v>0</v>
      </c>
      <c r="G1126">
        <f>$C1126*VLOOKUP($B1126,FoodDB!$A$2:$I$1014,6,0)</f>
        <v>0</v>
      </c>
      <c r="H1126">
        <f>$C1126*VLOOKUP($B1126,FoodDB!$A$2:$I$1014,7,0)</f>
        <v>0</v>
      </c>
      <c r="I1126">
        <f>$C1126*VLOOKUP($B1126,FoodDB!$A$2:$I$1014,8,0)</f>
        <v>0</v>
      </c>
      <c r="J1126">
        <f>$C1126*VLOOKUP($B1126,FoodDB!$A$2:$I$1014,9,0)</f>
        <v>0</v>
      </c>
    </row>
    <row r="1127" spans="1:19" x14ac:dyDescent="0.25">
      <c r="B1127" s="99" t="s">
        <v>107</v>
      </c>
      <c r="C1127" s="100">
        <v>0</v>
      </c>
      <c r="D1127">
        <f>$C1127*VLOOKUP($B1127,FoodDB!$A$2:$I$1014,3,0)</f>
        <v>0</v>
      </c>
      <c r="E1127">
        <f>$C1127*VLOOKUP($B1127,FoodDB!$A$2:$I$1014,4,0)</f>
        <v>0</v>
      </c>
      <c r="F1127">
        <f>$C1127*VLOOKUP($B1127,FoodDB!$A$2:$I$1014,5,0)</f>
        <v>0</v>
      </c>
      <c r="G1127">
        <f>$C1127*VLOOKUP($B1127,FoodDB!$A$2:$I$1014,6,0)</f>
        <v>0</v>
      </c>
      <c r="H1127">
        <f>$C1127*VLOOKUP($B1127,FoodDB!$A$2:$I$1014,7,0)</f>
        <v>0</v>
      </c>
      <c r="I1127">
        <f>$C1127*VLOOKUP($B1127,FoodDB!$A$2:$I$1014,8,0)</f>
        <v>0</v>
      </c>
      <c r="J1127">
        <f>$C1127*VLOOKUP($B1127,FoodDB!$A$2:$I$1014,9,0)</f>
        <v>0</v>
      </c>
    </row>
    <row r="1128" spans="1:19" x14ac:dyDescent="0.25">
      <c r="B1128" s="99" t="s">
        <v>107</v>
      </c>
      <c r="C1128" s="100">
        <v>0</v>
      </c>
      <c r="D1128">
        <f>$C1128*VLOOKUP($B1128,FoodDB!$A$2:$I$1014,3,0)</f>
        <v>0</v>
      </c>
      <c r="E1128">
        <f>$C1128*VLOOKUP($B1128,FoodDB!$A$2:$I$1014,4,0)</f>
        <v>0</v>
      </c>
      <c r="F1128">
        <f>$C1128*VLOOKUP($B1128,FoodDB!$A$2:$I$1014,5,0)</f>
        <v>0</v>
      </c>
      <c r="G1128">
        <f>$C1128*VLOOKUP($B1128,FoodDB!$A$2:$I$1014,6,0)</f>
        <v>0</v>
      </c>
      <c r="H1128">
        <f>$C1128*VLOOKUP($B1128,FoodDB!$A$2:$I$1014,7,0)</f>
        <v>0</v>
      </c>
      <c r="I1128">
        <f>$C1128*VLOOKUP($B1128,FoodDB!$A$2:$I$1014,8,0)</f>
        <v>0</v>
      </c>
      <c r="J1128">
        <f>$C1128*VLOOKUP($B1128,FoodDB!$A$2:$I$1014,9,0)</f>
        <v>0</v>
      </c>
    </row>
    <row r="1129" spans="1:19" x14ac:dyDescent="0.25">
      <c r="A1129" t="s">
        <v>97</v>
      </c>
      <c r="G1129">
        <f>SUM(G1122:G1128)</f>
        <v>0</v>
      </c>
      <c r="H1129">
        <f>SUM(H1122:H1128)</f>
        <v>0</v>
      </c>
      <c r="I1129">
        <f>SUM(I1122:I1128)</f>
        <v>0</v>
      </c>
      <c r="J1129">
        <f>SUM(G1129:I1129)</f>
        <v>0</v>
      </c>
    </row>
    <row r="1130" spans="1:19" x14ac:dyDescent="0.25">
      <c r="A1130" t="s">
        <v>101</v>
      </c>
      <c r="B1130" t="s">
        <v>102</v>
      </c>
      <c r="E1130" s="103"/>
      <c r="F1130" s="103"/>
      <c r="G1130" s="103">
        <f>VLOOKUP($A1122,LossChart!$A$3:$AB$105,14,0)</f>
        <v>827.23458264342639</v>
      </c>
      <c r="H1130" s="103">
        <f>VLOOKUP($A1122,LossChart!$A$3:$AB$105,15,0)</f>
        <v>116</v>
      </c>
      <c r="I1130" s="103">
        <f>VLOOKUP($A1122,LossChart!$A$3:$AB$105,16,0)</f>
        <v>477.30407413615825</v>
      </c>
      <c r="J1130" s="103">
        <f>VLOOKUP($A1122,LossChart!$A$3:$AB$105,17,0)</f>
        <v>1420.5386567795847</v>
      </c>
      <c r="K1130" s="103"/>
    </row>
    <row r="1131" spans="1:19" x14ac:dyDescent="0.25">
      <c r="A1131" t="s">
        <v>103</v>
      </c>
      <c r="G1131">
        <f>G1130-G1129</f>
        <v>827.23458264342639</v>
      </c>
      <c r="H1131">
        <f>H1130-H1129</f>
        <v>116</v>
      </c>
      <c r="I1131">
        <f>I1130-I1129</f>
        <v>477.30407413615825</v>
      </c>
      <c r="J1131">
        <f>J1130-J1129</f>
        <v>1420.5386567795847</v>
      </c>
    </row>
    <row r="1133" spans="1:19" ht="60" x14ac:dyDescent="0.25">
      <c r="A1133" s="26" t="s">
        <v>63</v>
      </c>
      <c r="B1133" s="26" t="s">
        <v>92</v>
      </c>
      <c r="C1133" s="26" t="s">
        <v>93</v>
      </c>
      <c r="D1133" s="97" t="str">
        <f>FoodDB!$C$1</f>
        <v>Fat
(g)</v>
      </c>
      <c r="E1133" s="97" t="str">
        <f>FoodDB!$D$1</f>
        <v xml:space="preserve"> Carbs
(g)</v>
      </c>
      <c r="F1133" s="97" t="str">
        <f>FoodDB!$E$1</f>
        <v>Protein
(g)</v>
      </c>
      <c r="G1133" s="97" t="str">
        <f>FoodDB!$F$1</f>
        <v>Fat
(Cal)</v>
      </c>
      <c r="H1133" s="97" t="str">
        <f>FoodDB!$G$1</f>
        <v>Carb
(Cal)</v>
      </c>
      <c r="I1133" s="97" t="str">
        <f>FoodDB!$H$1</f>
        <v>Protein
(Cal)</v>
      </c>
      <c r="J1133" s="97" t="str">
        <f>FoodDB!$I$1</f>
        <v>Total
Calories</v>
      </c>
      <c r="K1133" s="97"/>
      <c r="L1133" s="97" t="s">
        <v>109</v>
      </c>
      <c r="M1133" s="97" t="s">
        <v>110</v>
      </c>
      <c r="N1133" s="97" t="s">
        <v>111</v>
      </c>
      <c r="O1133" s="97" t="s">
        <v>112</v>
      </c>
      <c r="P1133" s="97" t="s">
        <v>117</v>
      </c>
      <c r="Q1133" s="97" t="s">
        <v>118</v>
      </c>
      <c r="R1133" s="97" t="s">
        <v>119</v>
      </c>
      <c r="S1133" s="97" t="s">
        <v>120</v>
      </c>
    </row>
    <row r="1134" spans="1:19" x14ac:dyDescent="0.25">
      <c r="A1134" s="98">
        <f>A1122+1</f>
        <v>43088</v>
      </c>
      <c r="B1134" s="99" t="s">
        <v>107</v>
      </c>
      <c r="C1134" s="100">
        <v>0</v>
      </c>
      <c r="D1134">
        <f>$C1134*VLOOKUP($B1134,FoodDB!$A$2:$I$1014,3,0)</f>
        <v>0</v>
      </c>
      <c r="E1134">
        <f>$C1134*VLOOKUP($B1134,FoodDB!$A$2:$I$1014,4,0)</f>
        <v>0</v>
      </c>
      <c r="F1134">
        <f>$C1134*VLOOKUP($B1134,FoodDB!$A$2:$I$1014,5,0)</f>
        <v>0</v>
      </c>
      <c r="G1134">
        <f>$C1134*VLOOKUP($B1134,FoodDB!$A$2:$I$1014,6,0)</f>
        <v>0</v>
      </c>
      <c r="H1134">
        <f>$C1134*VLOOKUP($B1134,FoodDB!$A$2:$I$1014,7,0)</f>
        <v>0</v>
      </c>
      <c r="I1134">
        <f>$C1134*VLOOKUP($B1134,FoodDB!$A$2:$I$1014,8,0)</f>
        <v>0</v>
      </c>
      <c r="J1134">
        <f>$C1134*VLOOKUP($B1134,FoodDB!$A$2:$I$1014,9,0)</f>
        <v>0</v>
      </c>
      <c r="L1134">
        <f>SUM(G1134:G1140)</f>
        <v>0</v>
      </c>
      <c r="M1134">
        <f>SUM(H1134:H1140)</f>
        <v>0</v>
      </c>
      <c r="N1134">
        <f>SUM(I1134:I1140)</f>
        <v>0</v>
      </c>
      <c r="O1134">
        <f>SUM(L1134:N1134)</f>
        <v>0</v>
      </c>
      <c r="P1134" s="103">
        <f>VLOOKUP($A1134,LossChart!$A$3:$AB$105,14,0)-L1134</f>
        <v>831.09123812065627</v>
      </c>
      <c r="Q1134" s="103">
        <f>VLOOKUP($A1134,LossChart!$A$3:$AB$105,15,0)-M1134</f>
        <v>116</v>
      </c>
      <c r="R1134" s="103">
        <f>VLOOKUP($A1134,LossChart!$A$3:$AB$105,16,0)-N1134</f>
        <v>477.30407413615825</v>
      </c>
      <c r="S1134" s="103">
        <f>VLOOKUP($A1134,LossChart!$A$3:$AB$105,17,0)-O1134</f>
        <v>1424.3953122568146</v>
      </c>
    </row>
    <row r="1135" spans="1:19" x14ac:dyDescent="0.25">
      <c r="B1135" s="99" t="s">
        <v>107</v>
      </c>
      <c r="C1135" s="100">
        <v>0</v>
      </c>
      <c r="D1135">
        <f>$C1135*VLOOKUP($B1135,FoodDB!$A$2:$I$1014,3,0)</f>
        <v>0</v>
      </c>
      <c r="E1135">
        <f>$C1135*VLOOKUP($B1135,FoodDB!$A$2:$I$1014,4,0)</f>
        <v>0</v>
      </c>
      <c r="F1135">
        <f>$C1135*VLOOKUP($B1135,FoodDB!$A$2:$I$1014,5,0)</f>
        <v>0</v>
      </c>
      <c r="G1135">
        <f>$C1135*VLOOKUP($B1135,FoodDB!$A$2:$I$1014,6,0)</f>
        <v>0</v>
      </c>
      <c r="H1135">
        <f>$C1135*VLOOKUP($B1135,FoodDB!$A$2:$I$1014,7,0)</f>
        <v>0</v>
      </c>
      <c r="I1135">
        <f>$C1135*VLOOKUP($B1135,FoodDB!$A$2:$I$1014,8,0)</f>
        <v>0</v>
      </c>
      <c r="J1135">
        <f>$C1135*VLOOKUP($B1135,FoodDB!$A$2:$I$1014,9,0)</f>
        <v>0</v>
      </c>
    </row>
    <row r="1136" spans="1:19" x14ac:dyDescent="0.25">
      <c r="B1136" s="99" t="s">
        <v>107</v>
      </c>
      <c r="C1136" s="100">
        <v>0</v>
      </c>
      <c r="D1136">
        <f>$C1136*VLOOKUP($B1136,FoodDB!$A$2:$I$1014,3,0)</f>
        <v>0</v>
      </c>
      <c r="E1136">
        <f>$C1136*VLOOKUP($B1136,FoodDB!$A$2:$I$1014,4,0)</f>
        <v>0</v>
      </c>
      <c r="F1136">
        <f>$C1136*VLOOKUP($B1136,FoodDB!$A$2:$I$1014,5,0)</f>
        <v>0</v>
      </c>
      <c r="G1136">
        <f>$C1136*VLOOKUP($B1136,FoodDB!$A$2:$I$1014,6,0)</f>
        <v>0</v>
      </c>
      <c r="H1136">
        <f>$C1136*VLOOKUP($B1136,FoodDB!$A$2:$I$1014,7,0)</f>
        <v>0</v>
      </c>
      <c r="I1136">
        <f>$C1136*VLOOKUP($B1136,FoodDB!$A$2:$I$1014,8,0)</f>
        <v>0</v>
      </c>
      <c r="J1136">
        <f>$C1136*VLOOKUP($B1136,FoodDB!$A$2:$I$1014,9,0)</f>
        <v>0</v>
      </c>
    </row>
    <row r="1137" spans="1:19" x14ac:dyDescent="0.25">
      <c r="B1137" s="99" t="s">
        <v>107</v>
      </c>
      <c r="C1137" s="100">
        <v>0</v>
      </c>
      <c r="D1137">
        <f>$C1137*VLOOKUP($B1137,FoodDB!$A$2:$I$1014,3,0)</f>
        <v>0</v>
      </c>
      <c r="E1137">
        <f>$C1137*VLOOKUP($B1137,FoodDB!$A$2:$I$1014,4,0)</f>
        <v>0</v>
      </c>
      <c r="F1137">
        <f>$C1137*VLOOKUP($B1137,FoodDB!$A$2:$I$1014,5,0)</f>
        <v>0</v>
      </c>
      <c r="G1137">
        <f>$C1137*VLOOKUP($B1137,FoodDB!$A$2:$I$1014,6,0)</f>
        <v>0</v>
      </c>
      <c r="H1137">
        <f>$C1137*VLOOKUP($B1137,FoodDB!$A$2:$I$1014,7,0)</f>
        <v>0</v>
      </c>
      <c r="I1137">
        <f>$C1137*VLOOKUP($B1137,FoodDB!$A$2:$I$1014,8,0)</f>
        <v>0</v>
      </c>
      <c r="J1137">
        <f>$C1137*VLOOKUP($B1137,FoodDB!$A$2:$I$1014,9,0)</f>
        <v>0</v>
      </c>
    </row>
    <row r="1138" spans="1:19" x14ac:dyDescent="0.25">
      <c r="B1138" s="99" t="s">
        <v>107</v>
      </c>
      <c r="C1138" s="100">
        <v>0</v>
      </c>
      <c r="D1138">
        <f>$C1138*VLOOKUP($B1138,FoodDB!$A$2:$I$1014,3,0)</f>
        <v>0</v>
      </c>
      <c r="E1138">
        <f>$C1138*VLOOKUP($B1138,FoodDB!$A$2:$I$1014,4,0)</f>
        <v>0</v>
      </c>
      <c r="F1138">
        <f>$C1138*VLOOKUP($B1138,FoodDB!$A$2:$I$1014,5,0)</f>
        <v>0</v>
      </c>
      <c r="G1138">
        <f>$C1138*VLOOKUP($B1138,FoodDB!$A$2:$I$1014,6,0)</f>
        <v>0</v>
      </c>
      <c r="H1138">
        <f>$C1138*VLOOKUP($B1138,FoodDB!$A$2:$I$1014,7,0)</f>
        <v>0</v>
      </c>
      <c r="I1138">
        <f>$C1138*VLOOKUP($B1138,FoodDB!$A$2:$I$1014,8,0)</f>
        <v>0</v>
      </c>
      <c r="J1138">
        <f>$C1138*VLOOKUP($B1138,FoodDB!$A$2:$I$1014,9,0)</f>
        <v>0</v>
      </c>
    </row>
    <row r="1139" spans="1:19" x14ac:dyDescent="0.25">
      <c r="B1139" s="99" t="s">
        <v>107</v>
      </c>
      <c r="C1139" s="100">
        <v>0</v>
      </c>
      <c r="D1139">
        <f>$C1139*VLOOKUP($B1139,FoodDB!$A$2:$I$1014,3,0)</f>
        <v>0</v>
      </c>
      <c r="E1139">
        <f>$C1139*VLOOKUP($B1139,FoodDB!$A$2:$I$1014,4,0)</f>
        <v>0</v>
      </c>
      <c r="F1139">
        <f>$C1139*VLOOKUP($B1139,FoodDB!$A$2:$I$1014,5,0)</f>
        <v>0</v>
      </c>
      <c r="G1139">
        <f>$C1139*VLOOKUP($B1139,FoodDB!$A$2:$I$1014,6,0)</f>
        <v>0</v>
      </c>
      <c r="H1139">
        <f>$C1139*VLOOKUP($B1139,FoodDB!$A$2:$I$1014,7,0)</f>
        <v>0</v>
      </c>
      <c r="I1139">
        <f>$C1139*VLOOKUP($B1139,FoodDB!$A$2:$I$1014,8,0)</f>
        <v>0</v>
      </c>
      <c r="J1139">
        <f>$C1139*VLOOKUP($B1139,FoodDB!$A$2:$I$1014,9,0)</f>
        <v>0</v>
      </c>
    </row>
    <row r="1140" spans="1:19" x14ac:dyDescent="0.25">
      <c r="B1140" s="99" t="s">
        <v>107</v>
      </c>
      <c r="C1140" s="100">
        <v>0</v>
      </c>
      <c r="D1140">
        <f>$C1140*VLOOKUP($B1140,FoodDB!$A$2:$I$1014,3,0)</f>
        <v>0</v>
      </c>
      <c r="E1140">
        <f>$C1140*VLOOKUP($B1140,FoodDB!$A$2:$I$1014,4,0)</f>
        <v>0</v>
      </c>
      <c r="F1140">
        <f>$C1140*VLOOKUP($B1140,FoodDB!$A$2:$I$1014,5,0)</f>
        <v>0</v>
      </c>
      <c r="G1140">
        <f>$C1140*VLOOKUP($B1140,FoodDB!$A$2:$I$1014,6,0)</f>
        <v>0</v>
      </c>
      <c r="H1140">
        <f>$C1140*VLOOKUP($B1140,FoodDB!$A$2:$I$1014,7,0)</f>
        <v>0</v>
      </c>
      <c r="I1140">
        <f>$C1140*VLOOKUP($B1140,FoodDB!$A$2:$I$1014,8,0)</f>
        <v>0</v>
      </c>
      <c r="J1140">
        <f>$C1140*VLOOKUP($B1140,FoodDB!$A$2:$I$1014,9,0)</f>
        <v>0</v>
      </c>
    </row>
    <row r="1141" spans="1:19" x14ac:dyDescent="0.25">
      <c r="A1141" t="s">
        <v>97</v>
      </c>
      <c r="G1141">
        <f>SUM(G1134:G1140)</f>
        <v>0</v>
      </c>
      <c r="H1141">
        <f>SUM(H1134:H1140)</f>
        <v>0</v>
      </c>
      <c r="I1141">
        <f>SUM(I1134:I1140)</f>
        <v>0</v>
      </c>
      <c r="J1141">
        <f>SUM(G1141:I1141)</f>
        <v>0</v>
      </c>
    </row>
    <row r="1142" spans="1:19" x14ac:dyDescent="0.25">
      <c r="A1142" t="s">
        <v>101</v>
      </c>
      <c r="B1142" t="s">
        <v>102</v>
      </c>
      <c r="E1142" s="103"/>
      <c r="F1142" s="103"/>
      <c r="G1142" s="103">
        <f>VLOOKUP($A1134,LossChart!$A$3:$AB$105,14,0)</f>
        <v>831.09123812065627</v>
      </c>
      <c r="H1142" s="103">
        <f>VLOOKUP($A1134,LossChart!$A$3:$AB$105,15,0)</f>
        <v>116</v>
      </c>
      <c r="I1142" s="103">
        <f>VLOOKUP($A1134,LossChart!$A$3:$AB$105,16,0)</f>
        <v>477.30407413615825</v>
      </c>
      <c r="J1142" s="103">
        <f>VLOOKUP($A1134,LossChart!$A$3:$AB$105,17,0)</f>
        <v>1424.3953122568146</v>
      </c>
      <c r="K1142" s="103"/>
    </row>
    <row r="1143" spans="1:19" x14ac:dyDescent="0.25">
      <c r="A1143" t="s">
        <v>103</v>
      </c>
      <c r="G1143">
        <f>G1142-G1141</f>
        <v>831.09123812065627</v>
      </c>
      <c r="H1143">
        <f>H1142-H1141</f>
        <v>116</v>
      </c>
      <c r="I1143">
        <f>I1142-I1141</f>
        <v>477.30407413615825</v>
      </c>
      <c r="J1143">
        <f>J1142-J1141</f>
        <v>1424.3953122568146</v>
      </c>
    </row>
    <row r="1145" spans="1:19" ht="60" x14ac:dyDescent="0.25">
      <c r="A1145" s="26" t="s">
        <v>63</v>
      </c>
      <c r="B1145" s="26" t="s">
        <v>92</v>
      </c>
      <c r="C1145" s="26" t="s">
        <v>93</v>
      </c>
      <c r="D1145" s="97" t="str">
        <f>FoodDB!$C$1</f>
        <v>Fat
(g)</v>
      </c>
      <c r="E1145" s="97" t="str">
        <f>FoodDB!$D$1</f>
        <v xml:space="preserve"> Carbs
(g)</v>
      </c>
      <c r="F1145" s="97" t="str">
        <f>FoodDB!$E$1</f>
        <v>Protein
(g)</v>
      </c>
      <c r="G1145" s="97" t="str">
        <f>FoodDB!$F$1</f>
        <v>Fat
(Cal)</v>
      </c>
      <c r="H1145" s="97" t="str">
        <f>FoodDB!$G$1</f>
        <v>Carb
(Cal)</v>
      </c>
      <c r="I1145" s="97" t="str">
        <f>FoodDB!$H$1</f>
        <v>Protein
(Cal)</v>
      </c>
      <c r="J1145" s="97" t="str">
        <f>FoodDB!$I$1</f>
        <v>Total
Calories</v>
      </c>
      <c r="K1145" s="97"/>
      <c r="L1145" s="97" t="s">
        <v>109</v>
      </c>
      <c r="M1145" s="97" t="s">
        <v>110</v>
      </c>
      <c r="N1145" s="97" t="s">
        <v>111</v>
      </c>
      <c r="O1145" s="97" t="s">
        <v>112</v>
      </c>
      <c r="P1145" s="97" t="s">
        <v>117</v>
      </c>
      <c r="Q1145" s="97" t="s">
        <v>118</v>
      </c>
      <c r="R1145" s="97" t="s">
        <v>119</v>
      </c>
      <c r="S1145" s="97" t="s">
        <v>120</v>
      </c>
    </row>
    <row r="1146" spans="1:19" x14ac:dyDescent="0.25">
      <c r="A1146" s="98">
        <f>A1134+1</f>
        <v>43089</v>
      </c>
      <c r="B1146" s="99" t="s">
        <v>107</v>
      </c>
      <c r="C1146" s="100">
        <v>0</v>
      </c>
      <c r="D1146">
        <f>$C1146*VLOOKUP($B1146,FoodDB!$A$2:$I$1014,3,0)</f>
        <v>0</v>
      </c>
      <c r="E1146">
        <f>$C1146*VLOOKUP($B1146,FoodDB!$A$2:$I$1014,4,0)</f>
        <v>0</v>
      </c>
      <c r="F1146">
        <f>$C1146*VLOOKUP($B1146,FoodDB!$A$2:$I$1014,5,0)</f>
        <v>0</v>
      </c>
      <c r="G1146">
        <f>$C1146*VLOOKUP($B1146,FoodDB!$A$2:$I$1014,6,0)</f>
        <v>0</v>
      </c>
      <c r="H1146">
        <f>$C1146*VLOOKUP($B1146,FoodDB!$A$2:$I$1014,7,0)</f>
        <v>0</v>
      </c>
      <c r="I1146">
        <f>$C1146*VLOOKUP($B1146,FoodDB!$A$2:$I$1014,8,0)</f>
        <v>0</v>
      </c>
      <c r="J1146">
        <f>$C1146*VLOOKUP($B1146,FoodDB!$A$2:$I$1014,9,0)</f>
        <v>0</v>
      </c>
      <c r="L1146">
        <f>SUM(G1146:G1152)</f>
        <v>0</v>
      </c>
      <c r="M1146">
        <f>SUM(H1146:H1152)</f>
        <v>0</v>
      </c>
      <c r="N1146">
        <f>SUM(I1146:I1152)</f>
        <v>0</v>
      </c>
      <c r="O1146">
        <f>SUM(L1146:N1146)</f>
        <v>0</v>
      </c>
      <c r="P1146" s="103">
        <f>VLOOKUP($A1146,LossChart!$A$3:$AB$105,14,0)-L1146</f>
        <v>834.91373464937351</v>
      </c>
      <c r="Q1146" s="103">
        <f>VLOOKUP($A1146,LossChart!$A$3:$AB$105,15,0)-M1146</f>
        <v>116</v>
      </c>
      <c r="R1146" s="103">
        <f>VLOOKUP($A1146,LossChart!$A$3:$AB$105,16,0)-N1146</f>
        <v>477.30407413615825</v>
      </c>
      <c r="S1146" s="103">
        <f>VLOOKUP($A1146,LossChart!$A$3:$AB$105,17,0)-O1146</f>
        <v>1428.2178087855318</v>
      </c>
    </row>
    <row r="1147" spans="1:19" x14ac:dyDescent="0.25">
      <c r="B1147" s="99" t="s">
        <v>107</v>
      </c>
      <c r="C1147" s="100">
        <v>0</v>
      </c>
      <c r="D1147">
        <f>$C1147*VLOOKUP($B1147,FoodDB!$A$2:$I$1014,3,0)</f>
        <v>0</v>
      </c>
      <c r="E1147">
        <f>$C1147*VLOOKUP($B1147,FoodDB!$A$2:$I$1014,4,0)</f>
        <v>0</v>
      </c>
      <c r="F1147">
        <f>$C1147*VLOOKUP($B1147,FoodDB!$A$2:$I$1014,5,0)</f>
        <v>0</v>
      </c>
      <c r="G1147">
        <f>$C1147*VLOOKUP($B1147,FoodDB!$A$2:$I$1014,6,0)</f>
        <v>0</v>
      </c>
      <c r="H1147">
        <f>$C1147*VLOOKUP($B1147,FoodDB!$A$2:$I$1014,7,0)</f>
        <v>0</v>
      </c>
      <c r="I1147">
        <f>$C1147*VLOOKUP($B1147,FoodDB!$A$2:$I$1014,8,0)</f>
        <v>0</v>
      </c>
      <c r="J1147">
        <f>$C1147*VLOOKUP($B1147,FoodDB!$A$2:$I$1014,9,0)</f>
        <v>0</v>
      </c>
    </row>
    <row r="1148" spans="1:19" x14ac:dyDescent="0.25">
      <c r="B1148" s="99" t="s">
        <v>107</v>
      </c>
      <c r="C1148" s="100">
        <v>0</v>
      </c>
      <c r="D1148">
        <f>$C1148*VLOOKUP($B1148,FoodDB!$A$2:$I$1014,3,0)</f>
        <v>0</v>
      </c>
      <c r="E1148">
        <f>$C1148*VLOOKUP($B1148,FoodDB!$A$2:$I$1014,4,0)</f>
        <v>0</v>
      </c>
      <c r="F1148">
        <f>$C1148*VLOOKUP($B1148,FoodDB!$A$2:$I$1014,5,0)</f>
        <v>0</v>
      </c>
      <c r="G1148">
        <f>$C1148*VLOOKUP($B1148,FoodDB!$A$2:$I$1014,6,0)</f>
        <v>0</v>
      </c>
      <c r="H1148">
        <f>$C1148*VLOOKUP($B1148,FoodDB!$A$2:$I$1014,7,0)</f>
        <v>0</v>
      </c>
      <c r="I1148">
        <f>$C1148*VLOOKUP($B1148,FoodDB!$A$2:$I$1014,8,0)</f>
        <v>0</v>
      </c>
      <c r="J1148">
        <f>$C1148*VLOOKUP($B1148,FoodDB!$A$2:$I$1014,9,0)</f>
        <v>0</v>
      </c>
    </row>
    <row r="1149" spans="1:19" x14ac:dyDescent="0.25">
      <c r="B1149" s="99" t="s">
        <v>107</v>
      </c>
      <c r="C1149" s="100">
        <v>0</v>
      </c>
      <c r="D1149">
        <f>$C1149*VLOOKUP($B1149,FoodDB!$A$2:$I$1014,3,0)</f>
        <v>0</v>
      </c>
      <c r="E1149">
        <f>$C1149*VLOOKUP($B1149,FoodDB!$A$2:$I$1014,4,0)</f>
        <v>0</v>
      </c>
      <c r="F1149">
        <f>$C1149*VLOOKUP($B1149,FoodDB!$A$2:$I$1014,5,0)</f>
        <v>0</v>
      </c>
      <c r="G1149">
        <f>$C1149*VLOOKUP($B1149,FoodDB!$A$2:$I$1014,6,0)</f>
        <v>0</v>
      </c>
      <c r="H1149">
        <f>$C1149*VLOOKUP($B1149,FoodDB!$A$2:$I$1014,7,0)</f>
        <v>0</v>
      </c>
      <c r="I1149">
        <f>$C1149*VLOOKUP($B1149,FoodDB!$A$2:$I$1014,8,0)</f>
        <v>0</v>
      </c>
      <c r="J1149">
        <f>$C1149*VLOOKUP($B1149,FoodDB!$A$2:$I$1014,9,0)</f>
        <v>0</v>
      </c>
    </row>
    <row r="1150" spans="1:19" x14ac:dyDescent="0.25">
      <c r="B1150" s="99" t="s">
        <v>107</v>
      </c>
      <c r="C1150" s="100">
        <v>0</v>
      </c>
      <c r="D1150">
        <f>$C1150*VLOOKUP($B1150,FoodDB!$A$2:$I$1014,3,0)</f>
        <v>0</v>
      </c>
      <c r="E1150">
        <f>$C1150*VLOOKUP($B1150,FoodDB!$A$2:$I$1014,4,0)</f>
        <v>0</v>
      </c>
      <c r="F1150">
        <f>$C1150*VLOOKUP($B1150,FoodDB!$A$2:$I$1014,5,0)</f>
        <v>0</v>
      </c>
      <c r="G1150">
        <f>$C1150*VLOOKUP($B1150,FoodDB!$A$2:$I$1014,6,0)</f>
        <v>0</v>
      </c>
      <c r="H1150">
        <f>$C1150*VLOOKUP($B1150,FoodDB!$A$2:$I$1014,7,0)</f>
        <v>0</v>
      </c>
      <c r="I1150">
        <f>$C1150*VLOOKUP($B1150,FoodDB!$A$2:$I$1014,8,0)</f>
        <v>0</v>
      </c>
      <c r="J1150">
        <f>$C1150*VLOOKUP($B1150,FoodDB!$A$2:$I$1014,9,0)</f>
        <v>0</v>
      </c>
    </row>
    <row r="1151" spans="1:19" x14ac:dyDescent="0.25">
      <c r="B1151" s="99" t="s">
        <v>107</v>
      </c>
      <c r="C1151" s="100">
        <v>0</v>
      </c>
      <c r="D1151">
        <f>$C1151*VLOOKUP($B1151,FoodDB!$A$2:$I$1014,3,0)</f>
        <v>0</v>
      </c>
      <c r="E1151">
        <f>$C1151*VLOOKUP($B1151,FoodDB!$A$2:$I$1014,4,0)</f>
        <v>0</v>
      </c>
      <c r="F1151">
        <f>$C1151*VLOOKUP($B1151,FoodDB!$A$2:$I$1014,5,0)</f>
        <v>0</v>
      </c>
      <c r="G1151">
        <f>$C1151*VLOOKUP($B1151,FoodDB!$A$2:$I$1014,6,0)</f>
        <v>0</v>
      </c>
      <c r="H1151">
        <f>$C1151*VLOOKUP($B1151,FoodDB!$A$2:$I$1014,7,0)</f>
        <v>0</v>
      </c>
      <c r="I1151">
        <f>$C1151*VLOOKUP($B1151,FoodDB!$A$2:$I$1014,8,0)</f>
        <v>0</v>
      </c>
      <c r="J1151">
        <f>$C1151*VLOOKUP($B1151,FoodDB!$A$2:$I$1014,9,0)</f>
        <v>0</v>
      </c>
    </row>
    <row r="1152" spans="1:19" x14ac:dyDescent="0.25">
      <c r="B1152" s="99" t="s">
        <v>107</v>
      </c>
      <c r="C1152" s="100">
        <v>0</v>
      </c>
      <c r="D1152">
        <f>$C1152*VLOOKUP($B1152,FoodDB!$A$2:$I$1014,3,0)</f>
        <v>0</v>
      </c>
      <c r="E1152">
        <f>$C1152*VLOOKUP($B1152,FoodDB!$A$2:$I$1014,4,0)</f>
        <v>0</v>
      </c>
      <c r="F1152">
        <f>$C1152*VLOOKUP($B1152,FoodDB!$A$2:$I$1014,5,0)</f>
        <v>0</v>
      </c>
      <c r="G1152">
        <f>$C1152*VLOOKUP($B1152,FoodDB!$A$2:$I$1014,6,0)</f>
        <v>0</v>
      </c>
      <c r="H1152">
        <f>$C1152*VLOOKUP($B1152,FoodDB!$A$2:$I$1014,7,0)</f>
        <v>0</v>
      </c>
      <c r="I1152">
        <f>$C1152*VLOOKUP($B1152,FoodDB!$A$2:$I$1014,8,0)</f>
        <v>0</v>
      </c>
      <c r="J1152">
        <f>$C1152*VLOOKUP($B1152,FoodDB!$A$2:$I$1014,9,0)</f>
        <v>0</v>
      </c>
    </row>
    <row r="1153" spans="1:19" x14ac:dyDescent="0.25">
      <c r="A1153" t="s">
        <v>97</v>
      </c>
      <c r="G1153">
        <f>SUM(G1146:G1152)</f>
        <v>0</v>
      </c>
      <c r="H1153">
        <f>SUM(H1146:H1152)</f>
        <v>0</v>
      </c>
      <c r="I1153">
        <f>SUM(I1146:I1152)</f>
        <v>0</v>
      </c>
      <c r="J1153">
        <f>SUM(G1153:I1153)</f>
        <v>0</v>
      </c>
    </row>
    <row r="1154" spans="1:19" x14ac:dyDescent="0.25">
      <c r="A1154" t="s">
        <v>101</v>
      </c>
      <c r="B1154" t="s">
        <v>102</v>
      </c>
      <c r="E1154" s="103"/>
      <c r="F1154" s="103"/>
      <c r="G1154" s="103">
        <f>VLOOKUP($A1146,LossChart!$A$3:$AB$105,14,0)</f>
        <v>834.91373464937351</v>
      </c>
      <c r="H1154" s="103">
        <f>VLOOKUP($A1146,LossChart!$A$3:$AB$105,15,0)</f>
        <v>116</v>
      </c>
      <c r="I1154" s="103">
        <f>VLOOKUP($A1146,LossChart!$A$3:$AB$105,16,0)</f>
        <v>477.30407413615825</v>
      </c>
      <c r="J1154" s="103">
        <f>VLOOKUP($A1146,LossChart!$A$3:$AB$105,17,0)</f>
        <v>1428.2178087855318</v>
      </c>
      <c r="K1154" s="103"/>
    </row>
    <row r="1155" spans="1:19" x14ac:dyDescent="0.25">
      <c r="A1155" t="s">
        <v>103</v>
      </c>
      <c r="G1155">
        <f>G1154-G1153</f>
        <v>834.91373464937351</v>
      </c>
      <c r="H1155">
        <f>H1154-H1153</f>
        <v>116</v>
      </c>
      <c r="I1155">
        <f>I1154-I1153</f>
        <v>477.30407413615825</v>
      </c>
      <c r="J1155">
        <f>J1154-J1153</f>
        <v>1428.2178087855318</v>
      </c>
    </row>
    <row r="1157" spans="1:19" ht="60" x14ac:dyDescent="0.25">
      <c r="A1157" s="26" t="s">
        <v>63</v>
      </c>
      <c r="B1157" s="26" t="s">
        <v>92</v>
      </c>
      <c r="C1157" s="26" t="s">
        <v>93</v>
      </c>
      <c r="D1157" s="97" t="str">
        <f>FoodDB!$C$1</f>
        <v>Fat
(g)</v>
      </c>
      <c r="E1157" s="97" t="str">
        <f>FoodDB!$D$1</f>
        <v xml:space="preserve"> Carbs
(g)</v>
      </c>
      <c r="F1157" s="97" t="str">
        <f>FoodDB!$E$1</f>
        <v>Protein
(g)</v>
      </c>
      <c r="G1157" s="97" t="str">
        <f>FoodDB!$F$1</f>
        <v>Fat
(Cal)</v>
      </c>
      <c r="H1157" s="97" t="str">
        <f>FoodDB!$G$1</f>
        <v>Carb
(Cal)</v>
      </c>
      <c r="I1157" s="97" t="str">
        <f>FoodDB!$H$1</f>
        <v>Protein
(Cal)</v>
      </c>
      <c r="J1157" s="97" t="str">
        <f>FoodDB!$I$1</f>
        <v>Total
Calories</v>
      </c>
      <c r="K1157" s="97"/>
      <c r="L1157" s="97" t="s">
        <v>109</v>
      </c>
      <c r="M1157" s="97" t="s">
        <v>110</v>
      </c>
      <c r="N1157" s="97" t="s">
        <v>111</v>
      </c>
      <c r="O1157" s="97" t="s">
        <v>112</v>
      </c>
      <c r="P1157" s="97" t="s">
        <v>117</v>
      </c>
      <c r="Q1157" s="97" t="s">
        <v>118</v>
      </c>
      <c r="R1157" s="97" t="s">
        <v>119</v>
      </c>
      <c r="S1157" s="97" t="s">
        <v>120</v>
      </c>
    </row>
    <row r="1158" spans="1:19" x14ac:dyDescent="0.25">
      <c r="A1158" s="98">
        <f>A1146+1</f>
        <v>43090</v>
      </c>
      <c r="B1158" s="99" t="s">
        <v>107</v>
      </c>
      <c r="C1158" s="100">
        <v>0</v>
      </c>
      <c r="D1158">
        <f>$C1158*VLOOKUP($B1158,FoodDB!$A$2:$I$1014,3,0)</f>
        <v>0</v>
      </c>
      <c r="E1158">
        <f>$C1158*VLOOKUP($B1158,FoodDB!$A$2:$I$1014,4,0)</f>
        <v>0</v>
      </c>
      <c r="F1158">
        <f>$C1158*VLOOKUP($B1158,FoodDB!$A$2:$I$1014,5,0)</f>
        <v>0</v>
      </c>
      <c r="G1158">
        <f>$C1158*VLOOKUP($B1158,FoodDB!$A$2:$I$1014,6,0)</f>
        <v>0</v>
      </c>
      <c r="H1158">
        <f>$C1158*VLOOKUP($B1158,FoodDB!$A$2:$I$1014,7,0)</f>
        <v>0</v>
      </c>
      <c r="I1158">
        <f>$C1158*VLOOKUP($B1158,FoodDB!$A$2:$I$1014,8,0)</f>
        <v>0</v>
      </c>
      <c r="J1158">
        <f>$C1158*VLOOKUP($B1158,FoodDB!$A$2:$I$1014,9,0)</f>
        <v>0</v>
      </c>
      <c r="L1158">
        <f>SUM(G1158:G1164)</f>
        <v>0</v>
      </c>
      <c r="M1158">
        <f>SUM(H1158:H1164)</f>
        <v>0</v>
      </c>
      <c r="N1158">
        <f>SUM(I1158:I1164)</f>
        <v>0</v>
      </c>
      <c r="O1158">
        <f>SUM(L1158:N1158)</f>
        <v>0</v>
      </c>
      <c r="P1158" s="103">
        <f>VLOOKUP($A1158,LossChart!$A$3:$AB$105,14,0)-L1158</f>
        <v>838.70237478026502</v>
      </c>
      <c r="Q1158" s="103">
        <f>VLOOKUP($A1158,LossChart!$A$3:$AB$105,15,0)-M1158</f>
        <v>116</v>
      </c>
      <c r="R1158" s="103">
        <f>VLOOKUP($A1158,LossChart!$A$3:$AB$105,16,0)-N1158</f>
        <v>477.30407413615825</v>
      </c>
      <c r="S1158" s="103">
        <f>VLOOKUP($A1158,LossChart!$A$3:$AB$105,17,0)-O1158</f>
        <v>1432.0064489164233</v>
      </c>
    </row>
    <row r="1159" spans="1:19" x14ac:dyDescent="0.25">
      <c r="B1159" s="99" t="s">
        <v>107</v>
      </c>
      <c r="C1159" s="100">
        <v>0</v>
      </c>
      <c r="D1159">
        <f>$C1159*VLOOKUP($B1159,FoodDB!$A$2:$I$1014,3,0)</f>
        <v>0</v>
      </c>
      <c r="E1159">
        <f>$C1159*VLOOKUP($B1159,FoodDB!$A$2:$I$1014,4,0)</f>
        <v>0</v>
      </c>
      <c r="F1159">
        <f>$C1159*VLOOKUP($B1159,FoodDB!$A$2:$I$1014,5,0)</f>
        <v>0</v>
      </c>
      <c r="G1159">
        <f>$C1159*VLOOKUP($B1159,FoodDB!$A$2:$I$1014,6,0)</f>
        <v>0</v>
      </c>
      <c r="H1159">
        <f>$C1159*VLOOKUP($B1159,FoodDB!$A$2:$I$1014,7,0)</f>
        <v>0</v>
      </c>
      <c r="I1159">
        <f>$C1159*VLOOKUP($B1159,FoodDB!$A$2:$I$1014,8,0)</f>
        <v>0</v>
      </c>
      <c r="J1159">
        <f>$C1159*VLOOKUP($B1159,FoodDB!$A$2:$I$1014,9,0)</f>
        <v>0</v>
      </c>
    </row>
    <row r="1160" spans="1:19" x14ac:dyDescent="0.25">
      <c r="B1160" s="99" t="s">
        <v>107</v>
      </c>
      <c r="C1160" s="100">
        <v>0</v>
      </c>
      <c r="D1160">
        <f>$C1160*VLOOKUP($B1160,FoodDB!$A$2:$I$1014,3,0)</f>
        <v>0</v>
      </c>
      <c r="E1160">
        <f>$C1160*VLOOKUP($B1160,FoodDB!$A$2:$I$1014,4,0)</f>
        <v>0</v>
      </c>
      <c r="F1160">
        <f>$C1160*VLOOKUP($B1160,FoodDB!$A$2:$I$1014,5,0)</f>
        <v>0</v>
      </c>
      <c r="G1160">
        <f>$C1160*VLOOKUP($B1160,FoodDB!$A$2:$I$1014,6,0)</f>
        <v>0</v>
      </c>
      <c r="H1160">
        <f>$C1160*VLOOKUP($B1160,FoodDB!$A$2:$I$1014,7,0)</f>
        <v>0</v>
      </c>
      <c r="I1160">
        <f>$C1160*VLOOKUP($B1160,FoodDB!$A$2:$I$1014,8,0)</f>
        <v>0</v>
      </c>
      <c r="J1160">
        <f>$C1160*VLOOKUP($B1160,FoodDB!$A$2:$I$1014,9,0)</f>
        <v>0</v>
      </c>
    </row>
    <row r="1161" spans="1:19" x14ac:dyDescent="0.25">
      <c r="B1161" s="99" t="s">
        <v>107</v>
      </c>
      <c r="C1161" s="100">
        <v>0</v>
      </c>
      <c r="D1161">
        <f>$C1161*VLOOKUP($B1161,FoodDB!$A$2:$I$1014,3,0)</f>
        <v>0</v>
      </c>
      <c r="E1161">
        <f>$C1161*VLOOKUP($B1161,FoodDB!$A$2:$I$1014,4,0)</f>
        <v>0</v>
      </c>
      <c r="F1161">
        <f>$C1161*VLOOKUP($B1161,FoodDB!$A$2:$I$1014,5,0)</f>
        <v>0</v>
      </c>
      <c r="G1161">
        <f>$C1161*VLOOKUP($B1161,FoodDB!$A$2:$I$1014,6,0)</f>
        <v>0</v>
      </c>
      <c r="H1161">
        <f>$C1161*VLOOKUP($B1161,FoodDB!$A$2:$I$1014,7,0)</f>
        <v>0</v>
      </c>
      <c r="I1161">
        <f>$C1161*VLOOKUP($B1161,FoodDB!$A$2:$I$1014,8,0)</f>
        <v>0</v>
      </c>
      <c r="J1161">
        <f>$C1161*VLOOKUP($B1161,FoodDB!$A$2:$I$1014,9,0)</f>
        <v>0</v>
      </c>
    </row>
    <row r="1162" spans="1:19" x14ac:dyDescent="0.25">
      <c r="B1162" s="99" t="s">
        <v>107</v>
      </c>
      <c r="C1162" s="100">
        <v>0</v>
      </c>
      <c r="D1162">
        <f>$C1162*VLOOKUP($B1162,FoodDB!$A$2:$I$1014,3,0)</f>
        <v>0</v>
      </c>
      <c r="E1162">
        <f>$C1162*VLOOKUP($B1162,FoodDB!$A$2:$I$1014,4,0)</f>
        <v>0</v>
      </c>
      <c r="F1162">
        <f>$C1162*VLOOKUP($B1162,FoodDB!$A$2:$I$1014,5,0)</f>
        <v>0</v>
      </c>
      <c r="G1162">
        <f>$C1162*VLOOKUP($B1162,FoodDB!$A$2:$I$1014,6,0)</f>
        <v>0</v>
      </c>
      <c r="H1162">
        <f>$C1162*VLOOKUP($B1162,FoodDB!$A$2:$I$1014,7,0)</f>
        <v>0</v>
      </c>
      <c r="I1162">
        <f>$C1162*VLOOKUP($B1162,FoodDB!$A$2:$I$1014,8,0)</f>
        <v>0</v>
      </c>
      <c r="J1162">
        <f>$C1162*VLOOKUP($B1162,FoodDB!$A$2:$I$1014,9,0)</f>
        <v>0</v>
      </c>
    </row>
    <row r="1163" spans="1:19" x14ac:dyDescent="0.25">
      <c r="B1163" s="99" t="s">
        <v>107</v>
      </c>
      <c r="C1163" s="100">
        <v>0</v>
      </c>
      <c r="D1163">
        <f>$C1163*VLOOKUP($B1163,FoodDB!$A$2:$I$1014,3,0)</f>
        <v>0</v>
      </c>
      <c r="E1163">
        <f>$C1163*VLOOKUP($B1163,FoodDB!$A$2:$I$1014,4,0)</f>
        <v>0</v>
      </c>
      <c r="F1163">
        <f>$C1163*VLOOKUP($B1163,FoodDB!$A$2:$I$1014,5,0)</f>
        <v>0</v>
      </c>
      <c r="G1163">
        <f>$C1163*VLOOKUP($B1163,FoodDB!$A$2:$I$1014,6,0)</f>
        <v>0</v>
      </c>
      <c r="H1163">
        <f>$C1163*VLOOKUP($B1163,FoodDB!$A$2:$I$1014,7,0)</f>
        <v>0</v>
      </c>
      <c r="I1163">
        <f>$C1163*VLOOKUP($B1163,FoodDB!$A$2:$I$1014,8,0)</f>
        <v>0</v>
      </c>
      <c r="J1163">
        <f>$C1163*VLOOKUP($B1163,FoodDB!$A$2:$I$1014,9,0)</f>
        <v>0</v>
      </c>
    </row>
    <row r="1164" spans="1:19" x14ac:dyDescent="0.25">
      <c r="B1164" s="99" t="s">
        <v>107</v>
      </c>
      <c r="C1164" s="100">
        <v>0</v>
      </c>
      <c r="D1164">
        <f>$C1164*VLOOKUP($B1164,FoodDB!$A$2:$I$1014,3,0)</f>
        <v>0</v>
      </c>
      <c r="E1164">
        <f>$C1164*VLOOKUP($B1164,FoodDB!$A$2:$I$1014,4,0)</f>
        <v>0</v>
      </c>
      <c r="F1164">
        <f>$C1164*VLOOKUP($B1164,FoodDB!$A$2:$I$1014,5,0)</f>
        <v>0</v>
      </c>
      <c r="G1164">
        <f>$C1164*VLOOKUP($B1164,FoodDB!$A$2:$I$1014,6,0)</f>
        <v>0</v>
      </c>
      <c r="H1164">
        <f>$C1164*VLOOKUP($B1164,FoodDB!$A$2:$I$1014,7,0)</f>
        <v>0</v>
      </c>
      <c r="I1164">
        <f>$C1164*VLOOKUP($B1164,FoodDB!$A$2:$I$1014,8,0)</f>
        <v>0</v>
      </c>
      <c r="J1164">
        <f>$C1164*VLOOKUP($B1164,FoodDB!$A$2:$I$1014,9,0)</f>
        <v>0</v>
      </c>
    </row>
    <row r="1165" spans="1:19" x14ac:dyDescent="0.25">
      <c r="A1165" t="s">
        <v>97</v>
      </c>
      <c r="G1165">
        <f>SUM(G1158:G1164)</f>
        <v>0</v>
      </c>
      <c r="H1165">
        <f>SUM(H1158:H1164)</f>
        <v>0</v>
      </c>
      <c r="I1165">
        <f>SUM(I1158:I1164)</f>
        <v>0</v>
      </c>
      <c r="J1165">
        <f>SUM(G1165:I1165)</f>
        <v>0</v>
      </c>
    </row>
    <row r="1166" spans="1:19" x14ac:dyDescent="0.25">
      <c r="A1166" t="s">
        <v>101</v>
      </c>
      <c r="B1166" t="s">
        <v>102</v>
      </c>
      <c r="E1166" s="103"/>
      <c r="F1166" s="103"/>
      <c r="G1166" s="103">
        <f>VLOOKUP($A1158,LossChart!$A$3:$AB$105,14,0)</f>
        <v>838.70237478026502</v>
      </c>
      <c r="H1166" s="103">
        <f>VLOOKUP($A1158,LossChart!$A$3:$AB$105,15,0)</f>
        <v>116</v>
      </c>
      <c r="I1166" s="103">
        <f>VLOOKUP($A1158,LossChart!$A$3:$AB$105,16,0)</f>
        <v>477.30407413615825</v>
      </c>
      <c r="J1166" s="103">
        <f>VLOOKUP($A1158,LossChart!$A$3:$AB$105,17,0)</f>
        <v>1432.0064489164233</v>
      </c>
      <c r="K1166" s="103"/>
    </row>
    <row r="1167" spans="1:19" x14ac:dyDescent="0.25">
      <c r="A1167" t="s">
        <v>103</v>
      </c>
      <c r="G1167">
        <f>G1166-G1165</f>
        <v>838.70237478026502</v>
      </c>
      <c r="H1167">
        <f>H1166-H1165</f>
        <v>116</v>
      </c>
      <c r="I1167">
        <f>I1166-I1165</f>
        <v>477.30407413615825</v>
      </c>
      <c r="J1167">
        <f>J1166-J1165</f>
        <v>1432.0064489164233</v>
      </c>
    </row>
    <row r="1169" spans="1:19" ht="60" x14ac:dyDescent="0.25">
      <c r="A1169" s="26" t="s">
        <v>63</v>
      </c>
      <c r="B1169" s="26" t="s">
        <v>92</v>
      </c>
      <c r="C1169" s="26" t="s">
        <v>93</v>
      </c>
      <c r="D1169" s="97" t="str">
        <f>FoodDB!$C$1</f>
        <v>Fat
(g)</v>
      </c>
      <c r="E1169" s="97" t="str">
        <f>FoodDB!$D$1</f>
        <v xml:space="preserve"> Carbs
(g)</v>
      </c>
      <c r="F1169" s="97" t="str">
        <f>FoodDB!$E$1</f>
        <v>Protein
(g)</v>
      </c>
      <c r="G1169" s="97" t="str">
        <f>FoodDB!$F$1</f>
        <v>Fat
(Cal)</v>
      </c>
      <c r="H1169" s="97" t="str">
        <f>FoodDB!$G$1</f>
        <v>Carb
(Cal)</v>
      </c>
      <c r="I1169" s="97" t="str">
        <f>FoodDB!$H$1</f>
        <v>Protein
(Cal)</v>
      </c>
      <c r="J1169" s="97" t="str">
        <f>FoodDB!$I$1</f>
        <v>Total
Calories</v>
      </c>
      <c r="K1169" s="97"/>
      <c r="L1169" s="97" t="s">
        <v>109</v>
      </c>
      <c r="M1169" s="97" t="s">
        <v>110</v>
      </c>
      <c r="N1169" s="97" t="s">
        <v>111</v>
      </c>
      <c r="O1169" s="97" t="s">
        <v>112</v>
      </c>
      <c r="P1169" s="97" t="s">
        <v>117</v>
      </c>
      <c r="Q1169" s="97" t="s">
        <v>118</v>
      </c>
      <c r="R1169" s="97" t="s">
        <v>119</v>
      </c>
      <c r="S1169" s="97" t="s">
        <v>120</v>
      </c>
    </row>
    <row r="1170" spans="1:19" x14ac:dyDescent="0.25">
      <c r="A1170" s="98">
        <f>A1158+1</f>
        <v>43091</v>
      </c>
      <c r="B1170" s="99" t="s">
        <v>107</v>
      </c>
      <c r="C1170" s="100">
        <v>0</v>
      </c>
      <c r="D1170">
        <f>$C1170*VLOOKUP($B1170,FoodDB!$A$2:$I$1014,3,0)</f>
        <v>0</v>
      </c>
      <c r="E1170">
        <f>$C1170*VLOOKUP($B1170,FoodDB!$A$2:$I$1014,4,0)</f>
        <v>0</v>
      </c>
      <c r="F1170">
        <f>$C1170*VLOOKUP($B1170,FoodDB!$A$2:$I$1014,5,0)</f>
        <v>0</v>
      </c>
      <c r="G1170">
        <f>$C1170*VLOOKUP($B1170,FoodDB!$A$2:$I$1014,6,0)</f>
        <v>0</v>
      </c>
      <c r="H1170">
        <f>$C1170*VLOOKUP($B1170,FoodDB!$A$2:$I$1014,7,0)</f>
        <v>0</v>
      </c>
      <c r="I1170">
        <f>$C1170*VLOOKUP($B1170,FoodDB!$A$2:$I$1014,8,0)</f>
        <v>0</v>
      </c>
      <c r="J1170">
        <f>$C1170*VLOOKUP($B1170,FoodDB!$A$2:$I$1014,9,0)</f>
        <v>0</v>
      </c>
      <c r="L1170">
        <f>SUM(G1170:G1176)</f>
        <v>0</v>
      </c>
      <c r="M1170">
        <f>SUM(H1170:H1176)</f>
        <v>0</v>
      </c>
      <c r="N1170">
        <f>SUM(I1170:I1176)</f>
        <v>0</v>
      </c>
      <c r="O1170">
        <f>SUM(L1170:N1170)</f>
        <v>0</v>
      </c>
      <c r="P1170" s="103">
        <f>VLOOKUP($A1170,LossChart!$A$3:$AB$105,14,0)-L1170</f>
        <v>842.45745838428275</v>
      </c>
      <c r="Q1170" s="103">
        <f>VLOOKUP($A1170,LossChart!$A$3:$AB$105,15,0)-M1170</f>
        <v>116</v>
      </c>
      <c r="R1170" s="103">
        <f>VLOOKUP($A1170,LossChart!$A$3:$AB$105,16,0)-N1170</f>
        <v>477.30407413615825</v>
      </c>
      <c r="S1170" s="103">
        <f>VLOOKUP($A1170,LossChart!$A$3:$AB$105,17,0)-O1170</f>
        <v>1435.7615325204411</v>
      </c>
    </row>
    <row r="1171" spans="1:19" x14ac:dyDescent="0.25">
      <c r="B1171" s="99" t="s">
        <v>107</v>
      </c>
      <c r="C1171" s="100">
        <v>0</v>
      </c>
      <c r="D1171">
        <f>$C1171*VLOOKUP($B1171,FoodDB!$A$2:$I$1014,3,0)</f>
        <v>0</v>
      </c>
      <c r="E1171">
        <f>$C1171*VLOOKUP($B1171,FoodDB!$A$2:$I$1014,4,0)</f>
        <v>0</v>
      </c>
      <c r="F1171">
        <f>$C1171*VLOOKUP($B1171,FoodDB!$A$2:$I$1014,5,0)</f>
        <v>0</v>
      </c>
      <c r="G1171">
        <f>$C1171*VLOOKUP($B1171,FoodDB!$A$2:$I$1014,6,0)</f>
        <v>0</v>
      </c>
      <c r="H1171">
        <f>$C1171*VLOOKUP($B1171,FoodDB!$A$2:$I$1014,7,0)</f>
        <v>0</v>
      </c>
      <c r="I1171">
        <f>$C1171*VLOOKUP($B1171,FoodDB!$A$2:$I$1014,8,0)</f>
        <v>0</v>
      </c>
      <c r="J1171">
        <f>$C1171*VLOOKUP($B1171,FoodDB!$A$2:$I$1014,9,0)</f>
        <v>0</v>
      </c>
    </row>
    <row r="1172" spans="1:19" x14ac:dyDescent="0.25">
      <c r="B1172" s="99" t="s">
        <v>107</v>
      </c>
      <c r="C1172" s="100">
        <v>0</v>
      </c>
      <c r="D1172">
        <f>$C1172*VLOOKUP($B1172,FoodDB!$A$2:$I$1014,3,0)</f>
        <v>0</v>
      </c>
      <c r="E1172">
        <f>$C1172*VLOOKUP($B1172,FoodDB!$A$2:$I$1014,4,0)</f>
        <v>0</v>
      </c>
      <c r="F1172">
        <f>$C1172*VLOOKUP($B1172,FoodDB!$A$2:$I$1014,5,0)</f>
        <v>0</v>
      </c>
      <c r="G1172">
        <f>$C1172*VLOOKUP($B1172,FoodDB!$A$2:$I$1014,6,0)</f>
        <v>0</v>
      </c>
      <c r="H1172">
        <f>$C1172*VLOOKUP($B1172,FoodDB!$A$2:$I$1014,7,0)</f>
        <v>0</v>
      </c>
      <c r="I1172">
        <f>$C1172*VLOOKUP($B1172,FoodDB!$A$2:$I$1014,8,0)</f>
        <v>0</v>
      </c>
      <c r="J1172">
        <f>$C1172*VLOOKUP($B1172,FoodDB!$A$2:$I$1014,9,0)</f>
        <v>0</v>
      </c>
    </row>
    <row r="1173" spans="1:19" x14ac:dyDescent="0.25">
      <c r="B1173" s="99" t="s">
        <v>107</v>
      </c>
      <c r="C1173" s="100">
        <v>0</v>
      </c>
      <c r="D1173">
        <f>$C1173*VLOOKUP($B1173,FoodDB!$A$2:$I$1014,3,0)</f>
        <v>0</v>
      </c>
      <c r="E1173">
        <f>$C1173*VLOOKUP($B1173,FoodDB!$A$2:$I$1014,4,0)</f>
        <v>0</v>
      </c>
      <c r="F1173">
        <f>$C1173*VLOOKUP($B1173,FoodDB!$A$2:$I$1014,5,0)</f>
        <v>0</v>
      </c>
      <c r="G1173">
        <f>$C1173*VLOOKUP($B1173,FoodDB!$A$2:$I$1014,6,0)</f>
        <v>0</v>
      </c>
      <c r="H1173">
        <f>$C1173*VLOOKUP($B1173,FoodDB!$A$2:$I$1014,7,0)</f>
        <v>0</v>
      </c>
      <c r="I1173">
        <f>$C1173*VLOOKUP($B1173,FoodDB!$A$2:$I$1014,8,0)</f>
        <v>0</v>
      </c>
      <c r="J1173">
        <f>$C1173*VLOOKUP($B1173,FoodDB!$A$2:$I$1014,9,0)</f>
        <v>0</v>
      </c>
    </row>
    <row r="1174" spans="1:19" x14ac:dyDescent="0.25">
      <c r="B1174" s="99" t="s">
        <v>107</v>
      </c>
      <c r="C1174" s="100">
        <v>0</v>
      </c>
      <c r="D1174">
        <f>$C1174*VLOOKUP($B1174,FoodDB!$A$2:$I$1014,3,0)</f>
        <v>0</v>
      </c>
      <c r="E1174">
        <f>$C1174*VLOOKUP($B1174,FoodDB!$A$2:$I$1014,4,0)</f>
        <v>0</v>
      </c>
      <c r="F1174">
        <f>$C1174*VLOOKUP($B1174,FoodDB!$A$2:$I$1014,5,0)</f>
        <v>0</v>
      </c>
      <c r="G1174">
        <f>$C1174*VLOOKUP($B1174,FoodDB!$A$2:$I$1014,6,0)</f>
        <v>0</v>
      </c>
      <c r="H1174">
        <f>$C1174*VLOOKUP($B1174,FoodDB!$A$2:$I$1014,7,0)</f>
        <v>0</v>
      </c>
      <c r="I1174">
        <f>$C1174*VLOOKUP($B1174,FoodDB!$A$2:$I$1014,8,0)</f>
        <v>0</v>
      </c>
      <c r="J1174">
        <f>$C1174*VLOOKUP($B1174,FoodDB!$A$2:$I$1014,9,0)</f>
        <v>0</v>
      </c>
    </row>
    <row r="1175" spans="1:19" x14ac:dyDescent="0.25">
      <c r="B1175" s="99" t="s">
        <v>107</v>
      </c>
      <c r="C1175" s="100">
        <v>0</v>
      </c>
      <c r="D1175">
        <f>$C1175*VLOOKUP($B1175,FoodDB!$A$2:$I$1014,3,0)</f>
        <v>0</v>
      </c>
      <c r="E1175">
        <f>$C1175*VLOOKUP($B1175,FoodDB!$A$2:$I$1014,4,0)</f>
        <v>0</v>
      </c>
      <c r="F1175">
        <f>$C1175*VLOOKUP($B1175,FoodDB!$A$2:$I$1014,5,0)</f>
        <v>0</v>
      </c>
      <c r="G1175">
        <f>$C1175*VLOOKUP($B1175,FoodDB!$A$2:$I$1014,6,0)</f>
        <v>0</v>
      </c>
      <c r="H1175">
        <f>$C1175*VLOOKUP($B1175,FoodDB!$A$2:$I$1014,7,0)</f>
        <v>0</v>
      </c>
      <c r="I1175">
        <f>$C1175*VLOOKUP($B1175,FoodDB!$A$2:$I$1014,8,0)</f>
        <v>0</v>
      </c>
      <c r="J1175">
        <f>$C1175*VLOOKUP($B1175,FoodDB!$A$2:$I$1014,9,0)</f>
        <v>0</v>
      </c>
    </row>
    <row r="1176" spans="1:19" x14ac:dyDescent="0.25">
      <c r="B1176" s="99" t="s">
        <v>107</v>
      </c>
      <c r="C1176" s="100">
        <v>0</v>
      </c>
      <c r="D1176">
        <f>$C1176*VLOOKUP($B1176,FoodDB!$A$2:$I$1014,3,0)</f>
        <v>0</v>
      </c>
      <c r="E1176">
        <f>$C1176*VLOOKUP($B1176,FoodDB!$A$2:$I$1014,4,0)</f>
        <v>0</v>
      </c>
      <c r="F1176">
        <f>$C1176*VLOOKUP($B1176,FoodDB!$A$2:$I$1014,5,0)</f>
        <v>0</v>
      </c>
      <c r="G1176">
        <f>$C1176*VLOOKUP($B1176,FoodDB!$A$2:$I$1014,6,0)</f>
        <v>0</v>
      </c>
      <c r="H1176">
        <f>$C1176*VLOOKUP($B1176,FoodDB!$A$2:$I$1014,7,0)</f>
        <v>0</v>
      </c>
      <c r="I1176">
        <f>$C1176*VLOOKUP($B1176,FoodDB!$A$2:$I$1014,8,0)</f>
        <v>0</v>
      </c>
      <c r="J1176">
        <f>$C1176*VLOOKUP($B1176,FoodDB!$A$2:$I$1014,9,0)</f>
        <v>0</v>
      </c>
    </row>
    <row r="1177" spans="1:19" x14ac:dyDescent="0.25">
      <c r="A1177" t="s">
        <v>97</v>
      </c>
      <c r="G1177">
        <f>SUM(G1170:G1176)</f>
        <v>0</v>
      </c>
      <c r="H1177">
        <f>SUM(H1170:H1176)</f>
        <v>0</v>
      </c>
      <c r="I1177">
        <f>SUM(I1170:I1176)</f>
        <v>0</v>
      </c>
      <c r="J1177">
        <f>SUM(G1177:I1177)</f>
        <v>0</v>
      </c>
    </row>
    <row r="1178" spans="1:19" x14ac:dyDescent="0.25">
      <c r="A1178" t="s">
        <v>101</v>
      </c>
      <c r="B1178" t="s">
        <v>102</v>
      </c>
      <c r="E1178" s="103"/>
      <c r="F1178" s="103"/>
      <c r="G1178" s="103">
        <f>VLOOKUP($A1170,LossChart!$A$3:$AB$105,14,0)</f>
        <v>842.45745838428275</v>
      </c>
      <c r="H1178" s="103">
        <f>VLOOKUP($A1170,LossChart!$A$3:$AB$105,15,0)</f>
        <v>116</v>
      </c>
      <c r="I1178" s="103">
        <f>VLOOKUP($A1170,LossChart!$A$3:$AB$105,16,0)</f>
        <v>477.30407413615825</v>
      </c>
      <c r="J1178" s="103">
        <f>VLOOKUP($A1170,LossChart!$A$3:$AB$105,17,0)</f>
        <v>1435.7615325204411</v>
      </c>
      <c r="K1178" s="103"/>
    </row>
    <row r="1179" spans="1:19" x14ac:dyDescent="0.25">
      <c r="A1179" t="s">
        <v>103</v>
      </c>
      <c r="G1179">
        <f>G1178-G1177</f>
        <v>842.45745838428275</v>
      </c>
      <c r="H1179">
        <f>H1178-H1177</f>
        <v>116</v>
      </c>
      <c r="I1179">
        <f>I1178-I1177</f>
        <v>477.30407413615825</v>
      </c>
      <c r="J1179">
        <f>J1178-J1177</f>
        <v>1435.7615325204411</v>
      </c>
    </row>
    <row r="1181" spans="1:19" ht="60" x14ac:dyDescent="0.25">
      <c r="A1181" s="26" t="s">
        <v>63</v>
      </c>
      <c r="B1181" s="26" t="s">
        <v>92</v>
      </c>
      <c r="C1181" s="26" t="s">
        <v>93</v>
      </c>
      <c r="D1181" s="97" t="str">
        <f>FoodDB!$C$1</f>
        <v>Fat
(g)</v>
      </c>
      <c r="E1181" s="97" t="str">
        <f>FoodDB!$D$1</f>
        <v xml:space="preserve"> Carbs
(g)</v>
      </c>
      <c r="F1181" s="97" t="str">
        <f>FoodDB!$E$1</f>
        <v>Protein
(g)</v>
      </c>
      <c r="G1181" s="97" t="str">
        <f>FoodDB!$F$1</f>
        <v>Fat
(Cal)</v>
      </c>
      <c r="H1181" s="97" t="str">
        <f>FoodDB!$G$1</f>
        <v>Carb
(Cal)</v>
      </c>
      <c r="I1181" s="97" t="str">
        <f>FoodDB!$H$1</f>
        <v>Protein
(Cal)</v>
      </c>
      <c r="J1181" s="97" t="str">
        <f>FoodDB!$I$1</f>
        <v>Total
Calories</v>
      </c>
      <c r="K1181" s="97"/>
      <c r="L1181" s="97" t="s">
        <v>109</v>
      </c>
      <c r="M1181" s="97" t="s">
        <v>110</v>
      </c>
      <c r="N1181" s="97" t="s">
        <v>111</v>
      </c>
      <c r="O1181" s="97" t="s">
        <v>112</v>
      </c>
      <c r="P1181" s="97" t="s">
        <v>117</v>
      </c>
      <c r="Q1181" s="97" t="s">
        <v>118</v>
      </c>
      <c r="R1181" s="97" t="s">
        <v>119</v>
      </c>
      <c r="S1181" s="97" t="s">
        <v>120</v>
      </c>
    </row>
    <row r="1182" spans="1:19" x14ac:dyDescent="0.25">
      <c r="A1182" s="98">
        <f>A1170+1</f>
        <v>43092</v>
      </c>
      <c r="B1182" s="99" t="s">
        <v>107</v>
      </c>
      <c r="C1182" s="100">
        <v>0</v>
      </c>
      <c r="D1182">
        <f>$C1182*VLOOKUP($B1182,FoodDB!$A$2:$I$1014,3,0)</f>
        <v>0</v>
      </c>
      <c r="E1182">
        <f>$C1182*VLOOKUP($B1182,FoodDB!$A$2:$I$1014,4,0)</f>
        <v>0</v>
      </c>
      <c r="F1182">
        <f>$C1182*VLOOKUP($B1182,FoodDB!$A$2:$I$1014,5,0)</f>
        <v>0</v>
      </c>
      <c r="G1182">
        <f>$C1182*VLOOKUP($B1182,FoodDB!$A$2:$I$1014,6,0)</f>
        <v>0</v>
      </c>
      <c r="H1182">
        <f>$C1182*VLOOKUP($B1182,FoodDB!$A$2:$I$1014,7,0)</f>
        <v>0</v>
      </c>
      <c r="I1182">
        <f>$C1182*VLOOKUP($B1182,FoodDB!$A$2:$I$1014,8,0)</f>
        <v>0</v>
      </c>
      <c r="J1182">
        <f>$C1182*VLOOKUP($B1182,FoodDB!$A$2:$I$1014,9,0)</f>
        <v>0</v>
      </c>
      <c r="L1182">
        <f>SUM(G1182:G1188)</f>
        <v>0</v>
      </c>
      <c r="M1182">
        <f>SUM(H1182:H1188)</f>
        <v>0</v>
      </c>
      <c r="N1182">
        <f>SUM(I1182:I1188)</f>
        <v>0</v>
      </c>
      <c r="O1182">
        <f>SUM(L1182:N1182)</f>
        <v>0</v>
      </c>
      <c r="P1182" s="103">
        <f>VLOOKUP($A1182,LossChart!$A$3:$AB$105,14,0)-L1182</f>
        <v>846.17928267637899</v>
      </c>
      <c r="Q1182" s="103">
        <f>VLOOKUP($A1182,LossChart!$A$3:$AB$105,15,0)-M1182</f>
        <v>116</v>
      </c>
      <c r="R1182" s="103">
        <f>VLOOKUP($A1182,LossChart!$A$3:$AB$105,16,0)-N1182</f>
        <v>477.30407413615825</v>
      </c>
      <c r="S1182" s="103">
        <f>VLOOKUP($A1182,LossChart!$A$3:$AB$105,17,0)-O1182</f>
        <v>1439.4833568125373</v>
      </c>
    </row>
    <row r="1183" spans="1:19" x14ac:dyDescent="0.25">
      <c r="B1183" s="99" t="s">
        <v>107</v>
      </c>
      <c r="C1183" s="100">
        <v>0</v>
      </c>
      <c r="D1183">
        <f>$C1183*VLOOKUP($B1183,FoodDB!$A$2:$I$1014,3,0)</f>
        <v>0</v>
      </c>
      <c r="E1183">
        <f>$C1183*VLOOKUP($B1183,FoodDB!$A$2:$I$1014,4,0)</f>
        <v>0</v>
      </c>
      <c r="F1183">
        <f>$C1183*VLOOKUP($B1183,FoodDB!$A$2:$I$1014,5,0)</f>
        <v>0</v>
      </c>
      <c r="G1183">
        <f>$C1183*VLOOKUP($B1183,FoodDB!$A$2:$I$1014,6,0)</f>
        <v>0</v>
      </c>
      <c r="H1183">
        <f>$C1183*VLOOKUP($B1183,FoodDB!$A$2:$I$1014,7,0)</f>
        <v>0</v>
      </c>
      <c r="I1183">
        <f>$C1183*VLOOKUP($B1183,FoodDB!$A$2:$I$1014,8,0)</f>
        <v>0</v>
      </c>
      <c r="J1183">
        <f>$C1183*VLOOKUP($B1183,FoodDB!$A$2:$I$1014,9,0)</f>
        <v>0</v>
      </c>
    </row>
    <row r="1184" spans="1:19" x14ac:dyDescent="0.25">
      <c r="B1184" s="99" t="s">
        <v>107</v>
      </c>
      <c r="C1184" s="100">
        <v>0</v>
      </c>
      <c r="D1184">
        <f>$C1184*VLOOKUP($B1184,FoodDB!$A$2:$I$1014,3,0)</f>
        <v>0</v>
      </c>
      <c r="E1184">
        <f>$C1184*VLOOKUP($B1184,FoodDB!$A$2:$I$1014,4,0)</f>
        <v>0</v>
      </c>
      <c r="F1184">
        <f>$C1184*VLOOKUP($B1184,FoodDB!$A$2:$I$1014,5,0)</f>
        <v>0</v>
      </c>
      <c r="G1184">
        <f>$C1184*VLOOKUP($B1184,FoodDB!$A$2:$I$1014,6,0)</f>
        <v>0</v>
      </c>
      <c r="H1184">
        <f>$C1184*VLOOKUP($B1184,FoodDB!$A$2:$I$1014,7,0)</f>
        <v>0</v>
      </c>
      <c r="I1184">
        <f>$C1184*VLOOKUP($B1184,FoodDB!$A$2:$I$1014,8,0)</f>
        <v>0</v>
      </c>
      <c r="J1184">
        <f>$C1184*VLOOKUP($B1184,FoodDB!$A$2:$I$1014,9,0)</f>
        <v>0</v>
      </c>
    </row>
    <row r="1185" spans="1:19" x14ac:dyDescent="0.25">
      <c r="B1185" s="99" t="s">
        <v>107</v>
      </c>
      <c r="C1185" s="100">
        <v>0</v>
      </c>
      <c r="D1185">
        <f>$C1185*VLOOKUP($B1185,FoodDB!$A$2:$I$1014,3,0)</f>
        <v>0</v>
      </c>
      <c r="E1185">
        <f>$C1185*VLOOKUP($B1185,FoodDB!$A$2:$I$1014,4,0)</f>
        <v>0</v>
      </c>
      <c r="F1185">
        <f>$C1185*VLOOKUP($B1185,FoodDB!$A$2:$I$1014,5,0)</f>
        <v>0</v>
      </c>
      <c r="G1185">
        <f>$C1185*VLOOKUP($B1185,FoodDB!$A$2:$I$1014,6,0)</f>
        <v>0</v>
      </c>
      <c r="H1185">
        <f>$C1185*VLOOKUP($B1185,FoodDB!$A$2:$I$1014,7,0)</f>
        <v>0</v>
      </c>
      <c r="I1185">
        <f>$C1185*VLOOKUP($B1185,FoodDB!$A$2:$I$1014,8,0)</f>
        <v>0</v>
      </c>
      <c r="J1185">
        <f>$C1185*VLOOKUP($B1185,FoodDB!$A$2:$I$1014,9,0)</f>
        <v>0</v>
      </c>
    </row>
    <row r="1186" spans="1:19" x14ac:dyDescent="0.25">
      <c r="B1186" s="99" t="s">
        <v>107</v>
      </c>
      <c r="C1186" s="100">
        <v>0</v>
      </c>
      <c r="D1186">
        <f>$C1186*VLOOKUP($B1186,FoodDB!$A$2:$I$1014,3,0)</f>
        <v>0</v>
      </c>
      <c r="E1186">
        <f>$C1186*VLOOKUP($B1186,FoodDB!$A$2:$I$1014,4,0)</f>
        <v>0</v>
      </c>
      <c r="F1186">
        <f>$C1186*VLOOKUP($B1186,FoodDB!$A$2:$I$1014,5,0)</f>
        <v>0</v>
      </c>
      <c r="G1186">
        <f>$C1186*VLOOKUP($B1186,FoodDB!$A$2:$I$1014,6,0)</f>
        <v>0</v>
      </c>
      <c r="H1186">
        <f>$C1186*VLOOKUP($B1186,FoodDB!$A$2:$I$1014,7,0)</f>
        <v>0</v>
      </c>
      <c r="I1186">
        <f>$C1186*VLOOKUP($B1186,FoodDB!$A$2:$I$1014,8,0)</f>
        <v>0</v>
      </c>
      <c r="J1186">
        <f>$C1186*VLOOKUP($B1186,FoodDB!$A$2:$I$1014,9,0)</f>
        <v>0</v>
      </c>
    </row>
    <row r="1187" spans="1:19" x14ac:dyDescent="0.25">
      <c r="B1187" s="99" t="s">
        <v>107</v>
      </c>
      <c r="C1187" s="100">
        <v>0</v>
      </c>
      <c r="D1187">
        <f>$C1187*VLOOKUP($B1187,FoodDB!$A$2:$I$1014,3,0)</f>
        <v>0</v>
      </c>
      <c r="E1187">
        <f>$C1187*VLOOKUP($B1187,FoodDB!$A$2:$I$1014,4,0)</f>
        <v>0</v>
      </c>
      <c r="F1187">
        <f>$C1187*VLOOKUP($B1187,FoodDB!$A$2:$I$1014,5,0)</f>
        <v>0</v>
      </c>
      <c r="G1187">
        <f>$C1187*VLOOKUP($B1187,FoodDB!$A$2:$I$1014,6,0)</f>
        <v>0</v>
      </c>
      <c r="H1187">
        <f>$C1187*VLOOKUP($B1187,FoodDB!$A$2:$I$1014,7,0)</f>
        <v>0</v>
      </c>
      <c r="I1187">
        <f>$C1187*VLOOKUP($B1187,FoodDB!$A$2:$I$1014,8,0)</f>
        <v>0</v>
      </c>
      <c r="J1187">
        <f>$C1187*VLOOKUP($B1187,FoodDB!$A$2:$I$1014,9,0)</f>
        <v>0</v>
      </c>
    </row>
    <row r="1188" spans="1:19" x14ac:dyDescent="0.25">
      <c r="B1188" s="99" t="s">
        <v>107</v>
      </c>
      <c r="C1188" s="100">
        <v>0</v>
      </c>
      <c r="D1188">
        <f>$C1188*VLOOKUP($B1188,FoodDB!$A$2:$I$1014,3,0)</f>
        <v>0</v>
      </c>
      <c r="E1188">
        <f>$C1188*VLOOKUP($B1188,FoodDB!$A$2:$I$1014,4,0)</f>
        <v>0</v>
      </c>
      <c r="F1188">
        <f>$C1188*VLOOKUP($B1188,FoodDB!$A$2:$I$1014,5,0)</f>
        <v>0</v>
      </c>
      <c r="G1188">
        <f>$C1188*VLOOKUP($B1188,FoodDB!$A$2:$I$1014,6,0)</f>
        <v>0</v>
      </c>
      <c r="H1188">
        <f>$C1188*VLOOKUP($B1188,FoodDB!$A$2:$I$1014,7,0)</f>
        <v>0</v>
      </c>
      <c r="I1188">
        <f>$C1188*VLOOKUP($B1188,FoodDB!$A$2:$I$1014,8,0)</f>
        <v>0</v>
      </c>
      <c r="J1188">
        <f>$C1188*VLOOKUP($B1188,FoodDB!$A$2:$I$1014,9,0)</f>
        <v>0</v>
      </c>
    </row>
    <row r="1189" spans="1:19" x14ac:dyDescent="0.25">
      <c r="A1189" t="s">
        <v>97</v>
      </c>
      <c r="G1189">
        <f>SUM(G1182:G1188)</f>
        <v>0</v>
      </c>
      <c r="H1189">
        <f>SUM(H1182:H1188)</f>
        <v>0</v>
      </c>
      <c r="I1189">
        <f>SUM(I1182:I1188)</f>
        <v>0</v>
      </c>
      <c r="J1189">
        <f>SUM(G1189:I1189)</f>
        <v>0</v>
      </c>
    </row>
    <row r="1190" spans="1:19" x14ac:dyDescent="0.25">
      <c r="A1190" t="s">
        <v>101</v>
      </c>
      <c r="B1190" t="s">
        <v>102</v>
      </c>
      <c r="E1190" s="103"/>
      <c r="F1190" s="103"/>
      <c r="G1190" s="103">
        <f>VLOOKUP($A1182,LossChart!$A$3:$AB$105,14,0)</f>
        <v>846.17928267637899</v>
      </c>
      <c r="H1190" s="103">
        <f>VLOOKUP($A1182,LossChart!$A$3:$AB$105,15,0)</f>
        <v>116</v>
      </c>
      <c r="I1190" s="103">
        <f>VLOOKUP($A1182,LossChart!$A$3:$AB$105,16,0)</f>
        <v>477.30407413615825</v>
      </c>
      <c r="J1190" s="103">
        <f>VLOOKUP($A1182,LossChart!$A$3:$AB$105,17,0)</f>
        <v>1439.4833568125373</v>
      </c>
      <c r="K1190" s="103"/>
    </row>
    <row r="1191" spans="1:19" x14ac:dyDescent="0.25">
      <c r="A1191" t="s">
        <v>103</v>
      </c>
      <c r="G1191">
        <f>G1190-G1189</f>
        <v>846.17928267637899</v>
      </c>
      <c r="H1191">
        <f>H1190-H1189</f>
        <v>116</v>
      </c>
      <c r="I1191">
        <f>I1190-I1189</f>
        <v>477.30407413615825</v>
      </c>
      <c r="J1191">
        <f>J1190-J1189</f>
        <v>1439.4833568125373</v>
      </c>
    </row>
    <row r="1193" spans="1:19" ht="60" x14ac:dyDescent="0.25">
      <c r="A1193" s="26" t="s">
        <v>63</v>
      </c>
      <c r="B1193" s="26" t="s">
        <v>92</v>
      </c>
      <c r="C1193" s="26" t="s">
        <v>93</v>
      </c>
      <c r="D1193" s="97" t="str">
        <f>FoodDB!$C$1</f>
        <v>Fat
(g)</v>
      </c>
      <c r="E1193" s="97" t="str">
        <f>FoodDB!$D$1</f>
        <v xml:space="preserve"> Carbs
(g)</v>
      </c>
      <c r="F1193" s="97" t="str">
        <f>FoodDB!$E$1</f>
        <v>Protein
(g)</v>
      </c>
      <c r="G1193" s="97" t="str">
        <f>FoodDB!$F$1</f>
        <v>Fat
(Cal)</v>
      </c>
      <c r="H1193" s="97" t="str">
        <f>FoodDB!$G$1</f>
        <v>Carb
(Cal)</v>
      </c>
      <c r="I1193" s="97" t="str">
        <f>FoodDB!$H$1</f>
        <v>Protein
(Cal)</v>
      </c>
      <c r="J1193" s="97" t="str">
        <f>FoodDB!$I$1</f>
        <v>Total
Calories</v>
      </c>
      <c r="K1193" s="97"/>
      <c r="L1193" s="97" t="s">
        <v>109</v>
      </c>
      <c r="M1193" s="97" t="s">
        <v>110</v>
      </c>
      <c r="N1193" s="97" t="s">
        <v>111</v>
      </c>
      <c r="O1193" s="97" t="s">
        <v>112</v>
      </c>
      <c r="P1193" s="97" t="s">
        <v>117</v>
      </c>
      <c r="Q1193" s="97" t="s">
        <v>118</v>
      </c>
      <c r="R1193" s="97" t="s">
        <v>119</v>
      </c>
      <c r="S1193" s="97" t="s">
        <v>120</v>
      </c>
    </row>
    <row r="1194" spans="1:19" x14ac:dyDescent="0.25">
      <c r="A1194" s="98">
        <f>A1182+1</f>
        <v>43093</v>
      </c>
      <c r="B1194" s="99" t="s">
        <v>107</v>
      </c>
      <c r="C1194" s="100">
        <v>0</v>
      </c>
      <c r="D1194">
        <f>$C1194*VLOOKUP($B1194,FoodDB!$A$2:$I$1014,3,0)</f>
        <v>0</v>
      </c>
      <c r="E1194">
        <f>$C1194*VLOOKUP($B1194,FoodDB!$A$2:$I$1014,4,0)</f>
        <v>0</v>
      </c>
      <c r="F1194">
        <f>$C1194*VLOOKUP($B1194,FoodDB!$A$2:$I$1014,5,0)</f>
        <v>0</v>
      </c>
      <c r="G1194">
        <f>$C1194*VLOOKUP($B1194,FoodDB!$A$2:$I$1014,6,0)</f>
        <v>0</v>
      </c>
      <c r="H1194">
        <f>$C1194*VLOOKUP($B1194,FoodDB!$A$2:$I$1014,7,0)</f>
        <v>0</v>
      </c>
      <c r="I1194">
        <f>$C1194*VLOOKUP($B1194,FoodDB!$A$2:$I$1014,8,0)</f>
        <v>0</v>
      </c>
      <c r="J1194">
        <f>$C1194*VLOOKUP($B1194,FoodDB!$A$2:$I$1014,9,0)</f>
        <v>0</v>
      </c>
      <c r="L1194">
        <f>SUM(G1194:G1200)</f>
        <v>0</v>
      </c>
      <c r="M1194">
        <f>SUM(H1194:H1200)</f>
        <v>0</v>
      </c>
      <c r="N1194">
        <f>SUM(I1194:I1200)</f>
        <v>0</v>
      </c>
      <c r="O1194">
        <f>SUM(L1194:N1194)</f>
        <v>0</v>
      </c>
      <c r="P1194" s="103">
        <f>VLOOKUP($A1194,LossChart!$A$3:$AB$105,14,0)-L1194</f>
        <v>849.86814223903116</v>
      </c>
      <c r="Q1194" s="103">
        <f>VLOOKUP($A1194,LossChart!$A$3:$AB$105,15,0)-M1194</f>
        <v>116</v>
      </c>
      <c r="R1194" s="103">
        <f>VLOOKUP($A1194,LossChart!$A$3:$AB$105,16,0)-N1194</f>
        <v>477.30407413615825</v>
      </c>
      <c r="S1194" s="103">
        <f>VLOOKUP($A1194,LossChart!$A$3:$AB$105,17,0)-O1194</f>
        <v>1443.1722163751895</v>
      </c>
    </row>
    <row r="1195" spans="1:19" x14ac:dyDescent="0.25">
      <c r="B1195" s="99" t="s">
        <v>107</v>
      </c>
      <c r="C1195" s="100">
        <v>0</v>
      </c>
      <c r="D1195">
        <f>$C1195*VLOOKUP($B1195,FoodDB!$A$2:$I$1014,3,0)</f>
        <v>0</v>
      </c>
      <c r="E1195">
        <f>$C1195*VLOOKUP($B1195,FoodDB!$A$2:$I$1014,4,0)</f>
        <v>0</v>
      </c>
      <c r="F1195">
        <f>$C1195*VLOOKUP($B1195,FoodDB!$A$2:$I$1014,5,0)</f>
        <v>0</v>
      </c>
      <c r="G1195">
        <f>$C1195*VLOOKUP($B1195,FoodDB!$A$2:$I$1014,6,0)</f>
        <v>0</v>
      </c>
      <c r="H1195">
        <f>$C1195*VLOOKUP($B1195,FoodDB!$A$2:$I$1014,7,0)</f>
        <v>0</v>
      </c>
      <c r="I1195">
        <f>$C1195*VLOOKUP($B1195,FoodDB!$A$2:$I$1014,8,0)</f>
        <v>0</v>
      </c>
      <c r="J1195">
        <f>$C1195*VLOOKUP($B1195,FoodDB!$A$2:$I$1014,9,0)</f>
        <v>0</v>
      </c>
    </row>
    <row r="1196" spans="1:19" x14ac:dyDescent="0.25">
      <c r="B1196" s="99" t="s">
        <v>107</v>
      </c>
      <c r="C1196" s="100">
        <v>0</v>
      </c>
      <c r="D1196">
        <f>$C1196*VLOOKUP($B1196,FoodDB!$A$2:$I$1014,3,0)</f>
        <v>0</v>
      </c>
      <c r="E1196">
        <f>$C1196*VLOOKUP($B1196,FoodDB!$A$2:$I$1014,4,0)</f>
        <v>0</v>
      </c>
      <c r="F1196">
        <f>$C1196*VLOOKUP($B1196,FoodDB!$A$2:$I$1014,5,0)</f>
        <v>0</v>
      </c>
      <c r="G1196">
        <f>$C1196*VLOOKUP($B1196,FoodDB!$A$2:$I$1014,6,0)</f>
        <v>0</v>
      </c>
      <c r="H1196">
        <f>$C1196*VLOOKUP($B1196,FoodDB!$A$2:$I$1014,7,0)</f>
        <v>0</v>
      </c>
      <c r="I1196">
        <f>$C1196*VLOOKUP($B1196,FoodDB!$A$2:$I$1014,8,0)</f>
        <v>0</v>
      </c>
      <c r="J1196">
        <f>$C1196*VLOOKUP($B1196,FoodDB!$A$2:$I$1014,9,0)</f>
        <v>0</v>
      </c>
    </row>
    <row r="1197" spans="1:19" x14ac:dyDescent="0.25">
      <c r="B1197" s="99" t="s">
        <v>107</v>
      </c>
      <c r="C1197" s="100">
        <v>0</v>
      </c>
      <c r="D1197">
        <f>$C1197*VLOOKUP($B1197,FoodDB!$A$2:$I$1014,3,0)</f>
        <v>0</v>
      </c>
      <c r="E1197">
        <f>$C1197*VLOOKUP($B1197,FoodDB!$A$2:$I$1014,4,0)</f>
        <v>0</v>
      </c>
      <c r="F1197">
        <f>$C1197*VLOOKUP($B1197,FoodDB!$A$2:$I$1014,5,0)</f>
        <v>0</v>
      </c>
      <c r="G1197">
        <f>$C1197*VLOOKUP($B1197,FoodDB!$A$2:$I$1014,6,0)</f>
        <v>0</v>
      </c>
      <c r="H1197">
        <f>$C1197*VLOOKUP($B1197,FoodDB!$A$2:$I$1014,7,0)</f>
        <v>0</v>
      </c>
      <c r="I1197">
        <f>$C1197*VLOOKUP($B1197,FoodDB!$A$2:$I$1014,8,0)</f>
        <v>0</v>
      </c>
      <c r="J1197">
        <f>$C1197*VLOOKUP($B1197,FoodDB!$A$2:$I$1014,9,0)</f>
        <v>0</v>
      </c>
    </row>
    <row r="1198" spans="1:19" x14ac:dyDescent="0.25">
      <c r="B1198" s="99" t="s">
        <v>107</v>
      </c>
      <c r="C1198" s="100">
        <v>0</v>
      </c>
      <c r="D1198">
        <f>$C1198*VLOOKUP($B1198,FoodDB!$A$2:$I$1014,3,0)</f>
        <v>0</v>
      </c>
      <c r="E1198">
        <f>$C1198*VLOOKUP($B1198,FoodDB!$A$2:$I$1014,4,0)</f>
        <v>0</v>
      </c>
      <c r="F1198">
        <f>$C1198*VLOOKUP($B1198,FoodDB!$A$2:$I$1014,5,0)</f>
        <v>0</v>
      </c>
      <c r="G1198">
        <f>$C1198*VLOOKUP($B1198,FoodDB!$A$2:$I$1014,6,0)</f>
        <v>0</v>
      </c>
      <c r="H1198">
        <f>$C1198*VLOOKUP($B1198,FoodDB!$A$2:$I$1014,7,0)</f>
        <v>0</v>
      </c>
      <c r="I1198">
        <f>$C1198*VLOOKUP($B1198,FoodDB!$A$2:$I$1014,8,0)</f>
        <v>0</v>
      </c>
      <c r="J1198">
        <f>$C1198*VLOOKUP($B1198,FoodDB!$A$2:$I$1014,9,0)</f>
        <v>0</v>
      </c>
    </row>
    <row r="1199" spans="1:19" x14ac:dyDescent="0.25">
      <c r="B1199" s="99" t="s">
        <v>107</v>
      </c>
      <c r="C1199" s="100">
        <v>0</v>
      </c>
      <c r="D1199">
        <f>$C1199*VLOOKUP($B1199,FoodDB!$A$2:$I$1014,3,0)</f>
        <v>0</v>
      </c>
      <c r="E1199">
        <f>$C1199*VLOOKUP($B1199,FoodDB!$A$2:$I$1014,4,0)</f>
        <v>0</v>
      </c>
      <c r="F1199">
        <f>$C1199*VLOOKUP($B1199,FoodDB!$A$2:$I$1014,5,0)</f>
        <v>0</v>
      </c>
      <c r="G1199">
        <f>$C1199*VLOOKUP($B1199,FoodDB!$A$2:$I$1014,6,0)</f>
        <v>0</v>
      </c>
      <c r="H1199">
        <f>$C1199*VLOOKUP($B1199,FoodDB!$A$2:$I$1014,7,0)</f>
        <v>0</v>
      </c>
      <c r="I1199">
        <f>$C1199*VLOOKUP($B1199,FoodDB!$A$2:$I$1014,8,0)</f>
        <v>0</v>
      </c>
      <c r="J1199">
        <f>$C1199*VLOOKUP($B1199,FoodDB!$A$2:$I$1014,9,0)</f>
        <v>0</v>
      </c>
    </row>
    <row r="1200" spans="1:19" x14ac:dyDescent="0.25">
      <c r="B1200" s="99" t="s">
        <v>107</v>
      </c>
      <c r="C1200" s="100">
        <v>0</v>
      </c>
      <c r="D1200">
        <f>$C1200*VLOOKUP($B1200,FoodDB!$A$2:$I$1014,3,0)</f>
        <v>0</v>
      </c>
      <c r="E1200">
        <f>$C1200*VLOOKUP($B1200,FoodDB!$A$2:$I$1014,4,0)</f>
        <v>0</v>
      </c>
      <c r="F1200">
        <f>$C1200*VLOOKUP($B1200,FoodDB!$A$2:$I$1014,5,0)</f>
        <v>0</v>
      </c>
      <c r="G1200">
        <f>$C1200*VLOOKUP($B1200,FoodDB!$A$2:$I$1014,6,0)</f>
        <v>0</v>
      </c>
      <c r="H1200">
        <f>$C1200*VLOOKUP($B1200,FoodDB!$A$2:$I$1014,7,0)</f>
        <v>0</v>
      </c>
      <c r="I1200">
        <f>$C1200*VLOOKUP($B1200,FoodDB!$A$2:$I$1014,8,0)</f>
        <v>0</v>
      </c>
      <c r="J1200">
        <f>$C1200*VLOOKUP($B1200,FoodDB!$A$2:$I$1014,9,0)</f>
        <v>0</v>
      </c>
    </row>
    <row r="1201" spans="1:19" x14ac:dyDescent="0.25">
      <c r="A1201" t="s">
        <v>97</v>
      </c>
      <c r="G1201">
        <f>SUM(G1194:G1200)</f>
        <v>0</v>
      </c>
      <c r="H1201">
        <f>SUM(H1194:H1200)</f>
        <v>0</v>
      </c>
      <c r="I1201">
        <f>SUM(I1194:I1200)</f>
        <v>0</v>
      </c>
      <c r="J1201">
        <f>SUM(G1201:I1201)</f>
        <v>0</v>
      </c>
    </row>
    <row r="1202" spans="1:19" x14ac:dyDescent="0.25">
      <c r="A1202" t="s">
        <v>101</v>
      </c>
      <c r="B1202" t="s">
        <v>102</v>
      </c>
      <c r="E1202" s="103"/>
      <c r="F1202" s="103"/>
      <c r="G1202" s="103">
        <f>VLOOKUP($A1194,LossChart!$A$3:$AB$105,14,0)</f>
        <v>849.86814223903116</v>
      </c>
      <c r="H1202" s="103">
        <f>VLOOKUP($A1194,LossChart!$A$3:$AB$105,15,0)</f>
        <v>116</v>
      </c>
      <c r="I1202" s="103">
        <f>VLOOKUP($A1194,LossChart!$A$3:$AB$105,16,0)</f>
        <v>477.30407413615825</v>
      </c>
      <c r="J1202" s="103">
        <f>VLOOKUP($A1194,LossChart!$A$3:$AB$105,17,0)</f>
        <v>1443.1722163751895</v>
      </c>
      <c r="K1202" s="103"/>
    </row>
    <row r="1203" spans="1:19" x14ac:dyDescent="0.25">
      <c r="A1203" t="s">
        <v>103</v>
      </c>
      <c r="G1203">
        <f>G1202-G1201</f>
        <v>849.86814223903116</v>
      </c>
      <c r="H1203">
        <f>H1202-H1201</f>
        <v>116</v>
      </c>
      <c r="I1203">
        <f>I1202-I1201</f>
        <v>477.30407413615825</v>
      </c>
      <c r="J1203">
        <f>J1202-J1201</f>
        <v>1443.1722163751895</v>
      </c>
    </row>
    <row r="1205" spans="1:19" ht="60" x14ac:dyDescent="0.25">
      <c r="A1205" s="26" t="s">
        <v>63</v>
      </c>
      <c r="B1205" s="26" t="s">
        <v>92</v>
      </c>
      <c r="C1205" s="26" t="s">
        <v>93</v>
      </c>
      <c r="D1205" s="97" t="str">
        <f>FoodDB!$C$1</f>
        <v>Fat
(g)</v>
      </c>
      <c r="E1205" s="97" t="str">
        <f>FoodDB!$D$1</f>
        <v xml:space="preserve"> Carbs
(g)</v>
      </c>
      <c r="F1205" s="97" t="str">
        <f>FoodDB!$E$1</f>
        <v>Protein
(g)</v>
      </c>
      <c r="G1205" s="97" t="str">
        <f>FoodDB!$F$1</f>
        <v>Fat
(Cal)</v>
      </c>
      <c r="H1205" s="97" t="str">
        <f>FoodDB!$G$1</f>
        <v>Carb
(Cal)</v>
      </c>
      <c r="I1205" s="97" t="str">
        <f>FoodDB!$H$1</f>
        <v>Protein
(Cal)</v>
      </c>
      <c r="J1205" s="97" t="str">
        <f>FoodDB!$I$1</f>
        <v>Total
Calories</v>
      </c>
      <c r="K1205" s="97"/>
      <c r="L1205" s="97" t="s">
        <v>109</v>
      </c>
      <c r="M1205" s="97" t="s">
        <v>110</v>
      </c>
      <c r="N1205" s="97" t="s">
        <v>111</v>
      </c>
      <c r="O1205" s="97" t="s">
        <v>112</v>
      </c>
      <c r="P1205" s="97" t="s">
        <v>117</v>
      </c>
      <c r="Q1205" s="97" t="s">
        <v>118</v>
      </c>
      <c r="R1205" s="97" t="s">
        <v>119</v>
      </c>
      <c r="S1205" s="97" t="s">
        <v>120</v>
      </c>
    </row>
    <row r="1206" spans="1:19" x14ac:dyDescent="0.25">
      <c r="A1206" s="98">
        <f>A1194+1</f>
        <v>43094</v>
      </c>
      <c r="B1206" s="99" t="s">
        <v>107</v>
      </c>
      <c r="C1206" s="100">
        <v>0</v>
      </c>
      <c r="D1206">
        <f>$C1206*VLOOKUP($B1206,FoodDB!$A$2:$I$1014,3,0)</f>
        <v>0</v>
      </c>
      <c r="E1206">
        <f>$C1206*VLOOKUP($B1206,FoodDB!$A$2:$I$1014,4,0)</f>
        <v>0</v>
      </c>
      <c r="F1206">
        <f>$C1206*VLOOKUP($B1206,FoodDB!$A$2:$I$1014,5,0)</f>
        <v>0</v>
      </c>
      <c r="G1206">
        <f>$C1206*VLOOKUP($B1206,FoodDB!$A$2:$I$1014,6,0)</f>
        <v>0</v>
      </c>
      <c r="H1206">
        <f>$C1206*VLOOKUP($B1206,FoodDB!$A$2:$I$1014,7,0)</f>
        <v>0</v>
      </c>
      <c r="I1206">
        <f>$C1206*VLOOKUP($B1206,FoodDB!$A$2:$I$1014,8,0)</f>
        <v>0</v>
      </c>
      <c r="J1206">
        <f>$C1206*VLOOKUP($B1206,FoodDB!$A$2:$I$1014,9,0)</f>
        <v>0</v>
      </c>
      <c r="L1206">
        <f>SUM(G1206:G1212)</f>
        <v>0</v>
      </c>
      <c r="M1206">
        <f>SUM(H1206:H1212)</f>
        <v>0</v>
      </c>
      <c r="N1206">
        <f>SUM(I1206:I1212)</f>
        <v>0</v>
      </c>
      <c r="O1206">
        <f>SUM(L1206:N1206)</f>
        <v>0</v>
      </c>
      <c r="P1206" s="103">
        <f>VLOOKUP($A1206,LossChart!$A$3:$AB$105,14,0)-L1206</f>
        <v>853.5243290455569</v>
      </c>
      <c r="Q1206" s="103">
        <f>VLOOKUP($A1206,LossChart!$A$3:$AB$105,15,0)-M1206</f>
        <v>116</v>
      </c>
      <c r="R1206" s="103">
        <f>VLOOKUP($A1206,LossChart!$A$3:$AB$105,16,0)-N1206</f>
        <v>477.30407413615825</v>
      </c>
      <c r="S1206" s="103">
        <f>VLOOKUP($A1206,LossChart!$A$3:$AB$105,17,0)-O1206</f>
        <v>1446.8284031817152</v>
      </c>
    </row>
    <row r="1207" spans="1:19" x14ac:dyDescent="0.25">
      <c r="B1207" s="99" t="s">
        <v>107</v>
      </c>
      <c r="C1207" s="100">
        <v>0</v>
      </c>
      <c r="D1207">
        <f>$C1207*VLOOKUP($B1207,FoodDB!$A$2:$I$1014,3,0)</f>
        <v>0</v>
      </c>
      <c r="E1207">
        <f>$C1207*VLOOKUP($B1207,FoodDB!$A$2:$I$1014,4,0)</f>
        <v>0</v>
      </c>
      <c r="F1207">
        <f>$C1207*VLOOKUP($B1207,FoodDB!$A$2:$I$1014,5,0)</f>
        <v>0</v>
      </c>
      <c r="G1207">
        <f>$C1207*VLOOKUP($B1207,FoodDB!$A$2:$I$1014,6,0)</f>
        <v>0</v>
      </c>
      <c r="H1207">
        <f>$C1207*VLOOKUP($B1207,FoodDB!$A$2:$I$1014,7,0)</f>
        <v>0</v>
      </c>
      <c r="I1207">
        <f>$C1207*VLOOKUP($B1207,FoodDB!$A$2:$I$1014,8,0)</f>
        <v>0</v>
      </c>
      <c r="J1207">
        <f>$C1207*VLOOKUP($B1207,FoodDB!$A$2:$I$1014,9,0)</f>
        <v>0</v>
      </c>
    </row>
    <row r="1208" spans="1:19" x14ac:dyDescent="0.25">
      <c r="B1208" s="99" t="s">
        <v>107</v>
      </c>
      <c r="C1208" s="100">
        <v>0</v>
      </c>
      <c r="D1208">
        <f>$C1208*VLOOKUP($B1208,FoodDB!$A$2:$I$1014,3,0)</f>
        <v>0</v>
      </c>
      <c r="E1208">
        <f>$C1208*VLOOKUP($B1208,FoodDB!$A$2:$I$1014,4,0)</f>
        <v>0</v>
      </c>
      <c r="F1208">
        <f>$C1208*VLOOKUP($B1208,FoodDB!$A$2:$I$1014,5,0)</f>
        <v>0</v>
      </c>
      <c r="G1208">
        <f>$C1208*VLOOKUP($B1208,FoodDB!$A$2:$I$1014,6,0)</f>
        <v>0</v>
      </c>
      <c r="H1208">
        <f>$C1208*VLOOKUP($B1208,FoodDB!$A$2:$I$1014,7,0)</f>
        <v>0</v>
      </c>
      <c r="I1208">
        <f>$C1208*VLOOKUP($B1208,FoodDB!$A$2:$I$1014,8,0)</f>
        <v>0</v>
      </c>
      <c r="J1208">
        <f>$C1208*VLOOKUP($B1208,FoodDB!$A$2:$I$1014,9,0)</f>
        <v>0</v>
      </c>
    </row>
    <row r="1209" spans="1:19" x14ac:dyDescent="0.25">
      <c r="B1209" s="99" t="s">
        <v>107</v>
      </c>
      <c r="C1209" s="100">
        <v>0</v>
      </c>
      <c r="D1209">
        <f>$C1209*VLOOKUP($B1209,FoodDB!$A$2:$I$1014,3,0)</f>
        <v>0</v>
      </c>
      <c r="E1209">
        <f>$C1209*VLOOKUP($B1209,FoodDB!$A$2:$I$1014,4,0)</f>
        <v>0</v>
      </c>
      <c r="F1209">
        <f>$C1209*VLOOKUP($B1209,FoodDB!$A$2:$I$1014,5,0)</f>
        <v>0</v>
      </c>
      <c r="G1209">
        <f>$C1209*VLOOKUP($B1209,FoodDB!$A$2:$I$1014,6,0)</f>
        <v>0</v>
      </c>
      <c r="H1209">
        <f>$C1209*VLOOKUP($B1209,FoodDB!$A$2:$I$1014,7,0)</f>
        <v>0</v>
      </c>
      <c r="I1209">
        <f>$C1209*VLOOKUP($B1209,FoodDB!$A$2:$I$1014,8,0)</f>
        <v>0</v>
      </c>
      <c r="J1209">
        <f>$C1209*VLOOKUP($B1209,FoodDB!$A$2:$I$1014,9,0)</f>
        <v>0</v>
      </c>
    </row>
    <row r="1210" spans="1:19" x14ac:dyDescent="0.25">
      <c r="B1210" s="99" t="s">
        <v>107</v>
      </c>
      <c r="C1210" s="100">
        <v>0</v>
      </c>
      <c r="D1210">
        <f>$C1210*VLOOKUP($B1210,FoodDB!$A$2:$I$1014,3,0)</f>
        <v>0</v>
      </c>
      <c r="E1210">
        <f>$C1210*VLOOKUP($B1210,FoodDB!$A$2:$I$1014,4,0)</f>
        <v>0</v>
      </c>
      <c r="F1210">
        <f>$C1210*VLOOKUP($B1210,FoodDB!$A$2:$I$1014,5,0)</f>
        <v>0</v>
      </c>
      <c r="G1210">
        <f>$C1210*VLOOKUP($B1210,FoodDB!$A$2:$I$1014,6,0)</f>
        <v>0</v>
      </c>
      <c r="H1210">
        <f>$C1210*VLOOKUP($B1210,FoodDB!$A$2:$I$1014,7,0)</f>
        <v>0</v>
      </c>
      <c r="I1210">
        <f>$C1210*VLOOKUP($B1210,FoodDB!$A$2:$I$1014,8,0)</f>
        <v>0</v>
      </c>
      <c r="J1210">
        <f>$C1210*VLOOKUP($B1210,FoodDB!$A$2:$I$1014,9,0)</f>
        <v>0</v>
      </c>
    </row>
    <row r="1211" spans="1:19" x14ac:dyDescent="0.25">
      <c r="B1211" s="99" t="s">
        <v>107</v>
      </c>
      <c r="C1211" s="100">
        <v>0</v>
      </c>
      <c r="D1211">
        <f>$C1211*VLOOKUP($B1211,FoodDB!$A$2:$I$1014,3,0)</f>
        <v>0</v>
      </c>
      <c r="E1211">
        <f>$C1211*VLOOKUP($B1211,FoodDB!$A$2:$I$1014,4,0)</f>
        <v>0</v>
      </c>
      <c r="F1211">
        <f>$C1211*VLOOKUP($B1211,FoodDB!$A$2:$I$1014,5,0)</f>
        <v>0</v>
      </c>
      <c r="G1211">
        <f>$C1211*VLOOKUP($B1211,FoodDB!$A$2:$I$1014,6,0)</f>
        <v>0</v>
      </c>
      <c r="H1211">
        <f>$C1211*VLOOKUP($B1211,FoodDB!$A$2:$I$1014,7,0)</f>
        <v>0</v>
      </c>
      <c r="I1211">
        <f>$C1211*VLOOKUP($B1211,FoodDB!$A$2:$I$1014,8,0)</f>
        <v>0</v>
      </c>
      <c r="J1211">
        <f>$C1211*VLOOKUP($B1211,FoodDB!$A$2:$I$1014,9,0)</f>
        <v>0</v>
      </c>
    </row>
    <row r="1212" spans="1:19" x14ac:dyDescent="0.25">
      <c r="B1212" s="99" t="s">
        <v>107</v>
      </c>
      <c r="C1212" s="100">
        <v>0</v>
      </c>
      <c r="D1212">
        <f>$C1212*VLOOKUP($B1212,FoodDB!$A$2:$I$1014,3,0)</f>
        <v>0</v>
      </c>
      <c r="E1212">
        <f>$C1212*VLOOKUP($B1212,FoodDB!$A$2:$I$1014,4,0)</f>
        <v>0</v>
      </c>
      <c r="F1212">
        <f>$C1212*VLOOKUP($B1212,FoodDB!$A$2:$I$1014,5,0)</f>
        <v>0</v>
      </c>
      <c r="G1212">
        <f>$C1212*VLOOKUP($B1212,FoodDB!$A$2:$I$1014,6,0)</f>
        <v>0</v>
      </c>
      <c r="H1212">
        <f>$C1212*VLOOKUP($B1212,FoodDB!$A$2:$I$1014,7,0)</f>
        <v>0</v>
      </c>
      <c r="I1212">
        <f>$C1212*VLOOKUP($B1212,FoodDB!$A$2:$I$1014,8,0)</f>
        <v>0</v>
      </c>
      <c r="J1212">
        <f>$C1212*VLOOKUP($B1212,FoodDB!$A$2:$I$1014,9,0)</f>
        <v>0</v>
      </c>
    </row>
    <row r="1213" spans="1:19" x14ac:dyDescent="0.25">
      <c r="A1213" t="s">
        <v>97</v>
      </c>
      <c r="G1213">
        <f>SUM(G1206:G1212)</f>
        <v>0</v>
      </c>
      <c r="H1213">
        <f>SUM(H1206:H1212)</f>
        <v>0</v>
      </c>
      <c r="I1213">
        <f>SUM(I1206:I1212)</f>
        <v>0</v>
      </c>
      <c r="J1213">
        <f>SUM(G1213:I1213)</f>
        <v>0</v>
      </c>
    </row>
    <row r="1214" spans="1:19" x14ac:dyDescent="0.25">
      <c r="A1214" t="s">
        <v>101</v>
      </c>
      <c r="B1214" t="s">
        <v>102</v>
      </c>
      <c r="E1214" s="103"/>
      <c r="F1214" s="103"/>
      <c r="G1214" s="103">
        <f>VLOOKUP($A1206,LossChart!$A$3:$AB$105,14,0)</f>
        <v>853.5243290455569</v>
      </c>
      <c r="H1214" s="103">
        <f>VLOOKUP($A1206,LossChart!$A$3:$AB$105,15,0)</f>
        <v>116</v>
      </c>
      <c r="I1214" s="103">
        <f>VLOOKUP($A1206,LossChart!$A$3:$AB$105,16,0)</f>
        <v>477.30407413615825</v>
      </c>
      <c r="J1214" s="103">
        <f>VLOOKUP($A1206,LossChart!$A$3:$AB$105,17,0)</f>
        <v>1446.8284031817152</v>
      </c>
      <c r="K1214" s="103"/>
    </row>
    <row r="1215" spans="1:19" x14ac:dyDescent="0.25">
      <c r="A1215" t="s">
        <v>103</v>
      </c>
      <c r="G1215">
        <f>G1214-G1213</f>
        <v>853.5243290455569</v>
      </c>
      <c r="H1215">
        <f>H1214-H1213</f>
        <v>116</v>
      </c>
      <c r="I1215">
        <f>I1214-I1213</f>
        <v>477.30407413615825</v>
      </c>
      <c r="J1215">
        <f>J1214-J1213</f>
        <v>1446.8284031817152</v>
      </c>
    </row>
    <row r="1217" spans="1:19" ht="60" x14ac:dyDescent="0.25">
      <c r="A1217" s="26" t="s">
        <v>63</v>
      </c>
      <c r="B1217" s="26" t="s">
        <v>92</v>
      </c>
      <c r="C1217" s="26" t="s">
        <v>93</v>
      </c>
      <c r="D1217" s="97" t="str">
        <f>FoodDB!$C$1</f>
        <v>Fat
(g)</v>
      </c>
      <c r="E1217" s="97" t="str">
        <f>FoodDB!$D$1</f>
        <v xml:space="preserve"> Carbs
(g)</v>
      </c>
      <c r="F1217" s="97" t="str">
        <f>FoodDB!$E$1</f>
        <v>Protein
(g)</v>
      </c>
      <c r="G1217" s="97" t="str">
        <f>FoodDB!$F$1</f>
        <v>Fat
(Cal)</v>
      </c>
      <c r="H1217" s="97" t="str">
        <f>FoodDB!$G$1</f>
        <v>Carb
(Cal)</v>
      </c>
      <c r="I1217" s="97" t="str">
        <f>FoodDB!$H$1</f>
        <v>Protein
(Cal)</v>
      </c>
      <c r="J1217" s="97" t="str">
        <f>FoodDB!$I$1</f>
        <v>Total
Calories</v>
      </c>
      <c r="K1217" s="97"/>
      <c r="L1217" s="97" t="s">
        <v>109</v>
      </c>
      <c r="M1217" s="97" t="s">
        <v>110</v>
      </c>
      <c r="N1217" s="97" t="s">
        <v>111</v>
      </c>
      <c r="O1217" s="97" t="s">
        <v>112</v>
      </c>
      <c r="P1217" s="97" t="s">
        <v>117</v>
      </c>
      <c r="Q1217" s="97" t="s">
        <v>118</v>
      </c>
      <c r="R1217" s="97" t="s">
        <v>119</v>
      </c>
      <c r="S1217" s="97" t="s">
        <v>120</v>
      </c>
    </row>
    <row r="1218" spans="1:19" x14ac:dyDescent="0.25">
      <c r="A1218" s="98">
        <f>A1206+1</f>
        <v>43095</v>
      </c>
      <c r="B1218" s="99" t="s">
        <v>107</v>
      </c>
      <c r="C1218" s="100">
        <v>0</v>
      </c>
      <c r="D1218">
        <f>$C1218*VLOOKUP($B1218,FoodDB!$A$2:$I$1014,3,0)</f>
        <v>0</v>
      </c>
      <c r="E1218">
        <f>$C1218*VLOOKUP($B1218,FoodDB!$A$2:$I$1014,4,0)</f>
        <v>0</v>
      </c>
      <c r="F1218">
        <f>$C1218*VLOOKUP($B1218,FoodDB!$A$2:$I$1014,5,0)</f>
        <v>0</v>
      </c>
      <c r="G1218">
        <f>$C1218*VLOOKUP($B1218,FoodDB!$A$2:$I$1014,6,0)</f>
        <v>0</v>
      </c>
      <c r="H1218">
        <f>$C1218*VLOOKUP($B1218,FoodDB!$A$2:$I$1014,7,0)</f>
        <v>0</v>
      </c>
      <c r="I1218">
        <f>$C1218*VLOOKUP($B1218,FoodDB!$A$2:$I$1014,8,0)</f>
        <v>0</v>
      </c>
      <c r="J1218">
        <f>$C1218*VLOOKUP($B1218,FoodDB!$A$2:$I$1014,9,0)</f>
        <v>0</v>
      </c>
      <c r="L1218">
        <f>SUM(G1218:G1224)</f>
        <v>0</v>
      </c>
      <c r="M1218">
        <f>SUM(H1218:H1224)</f>
        <v>0</v>
      </c>
      <c r="N1218">
        <f>SUM(I1218:I1224)</f>
        <v>0</v>
      </c>
      <c r="O1218">
        <f>SUM(L1218:N1218)</f>
        <v>0</v>
      </c>
      <c r="P1218" s="103">
        <f>VLOOKUP($A1218,LossChart!$A$3:$AB$999,14,0)-L1218</f>
        <v>857.1481324832248</v>
      </c>
      <c r="Q1218" s="103">
        <f>VLOOKUP($A1218,LossChart!$A$3:$AB$999,15,0)-M1218</f>
        <v>116</v>
      </c>
      <c r="R1218" s="103">
        <f>VLOOKUP($A1218,LossChart!$A$3:$AB$999,16,0)-N1218</f>
        <v>477.30407413615825</v>
      </c>
      <c r="S1218" s="103">
        <f>VLOOKUP($A1218,LossChart!$A$3:$AB$999,17,0)-O1218</f>
        <v>1450.4522066193831</v>
      </c>
    </row>
    <row r="1219" spans="1:19" x14ac:dyDescent="0.25">
      <c r="B1219" s="99" t="s">
        <v>107</v>
      </c>
      <c r="C1219" s="100">
        <v>0</v>
      </c>
      <c r="D1219">
        <f>$C1219*VLOOKUP($B1219,FoodDB!$A$2:$I$1014,3,0)</f>
        <v>0</v>
      </c>
      <c r="E1219">
        <f>$C1219*VLOOKUP($B1219,FoodDB!$A$2:$I$1014,4,0)</f>
        <v>0</v>
      </c>
      <c r="F1219">
        <f>$C1219*VLOOKUP($B1219,FoodDB!$A$2:$I$1014,5,0)</f>
        <v>0</v>
      </c>
      <c r="G1219">
        <f>$C1219*VLOOKUP($B1219,FoodDB!$A$2:$I$1014,6,0)</f>
        <v>0</v>
      </c>
      <c r="H1219">
        <f>$C1219*VLOOKUP($B1219,FoodDB!$A$2:$I$1014,7,0)</f>
        <v>0</v>
      </c>
      <c r="I1219">
        <f>$C1219*VLOOKUP($B1219,FoodDB!$A$2:$I$1014,8,0)</f>
        <v>0</v>
      </c>
      <c r="J1219">
        <f>$C1219*VLOOKUP($B1219,FoodDB!$A$2:$I$1014,9,0)</f>
        <v>0</v>
      </c>
    </row>
    <row r="1220" spans="1:19" x14ac:dyDescent="0.25">
      <c r="B1220" s="99" t="s">
        <v>107</v>
      </c>
      <c r="C1220" s="100">
        <v>0</v>
      </c>
      <c r="D1220">
        <f>$C1220*VLOOKUP($B1220,FoodDB!$A$2:$I$1014,3,0)</f>
        <v>0</v>
      </c>
      <c r="E1220">
        <f>$C1220*VLOOKUP($B1220,FoodDB!$A$2:$I$1014,4,0)</f>
        <v>0</v>
      </c>
      <c r="F1220">
        <f>$C1220*VLOOKUP($B1220,FoodDB!$A$2:$I$1014,5,0)</f>
        <v>0</v>
      </c>
      <c r="G1220">
        <f>$C1220*VLOOKUP($B1220,FoodDB!$A$2:$I$1014,6,0)</f>
        <v>0</v>
      </c>
      <c r="H1220">
        <f>$C1220*VLOOKUP($B1220,FoodDB!$A$2:$I$1014,7,0)</f>
        <v>0</v>
      </c>
      <c r="I1220">
        <f>$C1220*VLOOKUP($B1220,FoodDB!$A$2:$I$1014,8,0)</f>
        <v>0</v>
      </c>
      <c r="J1220">
        <f>$C1220*VLOOKUP($B1220,FoodDB!$A$2:$I$1014,9,0)</f>
        <v>0</v>
      </c>
    </row>
    <row r="1221" spans="1:19" x14ac:dyDescent="0.25">
      <c r="B1221" s="99" t="s">
        <v>107</v>
      </c>
      <c r="C1221" s="100">
        <v>0</v>
      </c>
      <c r="D1221">
        <f>$C1221*VLOOKUP($B1221,FoodDB!$A$2:$I$1014,3,0)</f>
        <v>0</v>
      </c>
      <c r="E1221">
        <f>$C1221*VLOOKUP($B1221,FoodDB!$A$2:$I$1014,4,0)</f>
        <v>0</v>
      </c>
      <c r="F1221">
        <f>$C1221*VLOOKUP($B1221,FoodDB!$A$2:$I$1014,5,0)</f>
        <v>0</v>
      </c>
      <c r="G1221">
        <f>$C1221*VLOOKUP($B1221,FoodDB!$A$2:$I$1014,6,0)</f>
        <v>0</v>
      </c>
      <c r="H1221">
        <f>$C1221*VLOOKUP($B1221,FoodDB!$A$2:$I$1014,7,0)</f>
        <v>0</v>
      </c>
      <c r="I1221">
        <f>$C1221*VLOOKUP($B1221,FoodDB!$A$2:$I$1014,8,0)</f>
        <v>0</v>
      </c>
      <c r="J1221">
        <f>$C1221*VLOOKUP($B1221,FoodDB!$A$2:$I$1014,9,0)</f>
        <v>0</v>
      </c>
    </row>
    <row r="1222" spans="1:19" x14ac:dyDescent="0.25">
      <c r="B1222" s="99" t="s">
        <v>107</v>
      </c>
      <c r="C1222" s="100">
        <v>0</v>
      </c>
      <c r="D1222">
        <f>$C1222*VLOOKUP($B1222,FoodDB!$A$2:$I$1014,3,0)</f>
        <v>0</v>
      </c>
      <c r="E1222">
        <f>$C1222*VLOOKUP($B1222,FoodDB!$A$2:$I$1014,4,0)</f>
        <v>0</v>
      </c>
      <c r="F1222">
        <f>$C1222*VLOOKUP($B1222,FoodDB!$A$2:$I$1014,5,0)</f>
        <v>0</v>
      </c>
      <c r="G1222">
        <f>$C1222*VLOOKUP($B1222,FoodDB!$A$2:$I$1014,6,0)</f>
        <v>0</v>
      </c>
      <c r="H1222">
        <f>$C1222*VLOOKUP($B1222,FoodDB!$A$2:$I$1014,7,0)</f>
        <v>0</v>
      </c>
      <c r="I1222">
        <f>$C1222*VLOOKUP($B1222,FoodDB!$A$2:$I$1014,8,0)</f>
        <v>0</v>
      </c>
      <c r="J1222">
        <f>$C1222*VLOOKUP($B1222,FoodDB!$A$2:$I$1014,9,0)</f>
        <v>0</v>
      </c>
    </row>
    <row r="1223" spans="1:19" x14ac:dyDescent="0.25">
      <c r="B1223" s="99" t="s">
        <v>107</v>
      </c>
      <c r="C1223" s="100">
        <v>0</v>
      </c>
      <c r="D1223">
        <f>$C1223*VLOOKUP($B1223,FoodDB!$A$2:$I$1014,3,0)</f>
        <v>0</v>
      </c>
      <c r="E1223">
        <f>$C1223*VLOOKUP($B1223,FoodDB!$A$2:$I$1014,4,0)</f>
        <v>0</v>
      </c>
      <c r="F1223">
        <f>$C1223*VLOOKUP($B1223,FoodDB!$A$2:$I$1014,5,0)</f>
        <v>0</v>
      </c>
      <c r="G1223">
        <f>$C1223*VLOOKUP($B1223,FoodDB!$A$2:$I$1014,6,0)</f>
        <v>0</v>
      </c>
      <c r="H1223">
        <f>$C1223*VLOOKUP($B1223,FoodDB!$A$2:$I$1014,7,0)</f>
        <v>0</v>
      </c>
      <c r="I1223">
        <f>$C1223*VLOOKUP($B1223,FoodDB!$A$2:$I$1014,8,0)</f>
        <v>0</v>
      </c>
      <c r="J1223">
        <f>$C1223*VLOOKUP($B1223,FoodDB!$A$2:$I$1014,9,0)</f>
        <v>0</v>
      </c>
    </row>
    <row r="1224" spans="1:19" x14ac:dyDescent="0.25">
      <c r="B1224" s="99" t="s">
        <v>107</v>
      </c>
      <c r="C1224" s="100">
        <v>0</v>
      </c>
      <c r="D1224">
        <f>$C1224*VLOOKUP($B1224,FoodDB!$A$2:$I$1014,3,0)</f>
        <v>0</v>
      </c>
      <c r="E1224">
        <f>$C1224*VLOOKUP($B1224,FoodDB!$A$2:$I$1014,4,0)</f>
        <v>0</v>
      </c>
      <c r="F1224">
        <f>$C1224*VLOOKUP($B1224,FoodDB!$A$2:$I$1014,5,0)</f>
        <v>0</v>
      </c>
      <c r="G1224">
        <f>$C1224*VLOOKUP($B1224,FoodDB!$A$2:$I$1014,6,0)</f>
        <v>0</v>
      </c>
      <c r="H1224">
        <f>$C1224*VLOOKUP($B1224,FoodDB!$A$2:$I$1014,7,0)</f>
        <v>0</v>
      </c>
      <c r="I1224">
        <f>$C1224*VLOOKUP($B1224,FoodDB!$A$2:$I$1014,8,0)</f>
        <v>0</v>
      </c>
      <c r="J1224">
        <f>$C1224*VLOOKUP($B1224,FoodDB!$A$2:$I$1014,9,0)</f>
        <v>0</v>
      </c>
    </row>
    <row r="1225" spans="1:19" x14ac:dyDescent="0.25">
      <c r="A1225" t="s">
        <v>97</v>
      </c>
      <c r="G1225">
        <f>SUM(G1218:G1224)</f>
        <v>0</v>
      </c>
      <c r="H1225">
        <f>SUM(H1218:H1224)</f>
        <v>0</v>
      </c>
      <c r="I1225">
        <f>SUM(I1218:I1224)</f>
        <v>0</v>
      </c>
      <c r="J1225">
        <f>SUM(G1225:I1225)</f>
        <v>0</v>
      </c>
    </row>
    <row r="1226" spans="1:19" x14ac:dyDescent="0.25">
      <c r="A1226" t="s">
        <v>101</v>
      </c>
      <c r="B1226" t="s">
        <v>102</v>
      </c>
      <c r="E1226" s="103"/>
      <c r="F1226" s="103"/>
      <c r="G1226" s="103" t="e">
        <f>VLOOKUP($A1218,LossChart!$A$3:$AB$105,14,0)</f>
        <v>#N/A</v>
      </c>
      <c r="H1226" s="103" t="e">
        <f>VLOOKUP($A1218,LossChart!$A$3:$AB$105,15,0)</f>
        <v>#N/A</v>
      </c>
      <c r="I1226" s="103" t="e">
        <f>VLOOKUP($A1218,LossChart!$A$3:$AB$105,16,0)</f>
        <v>#N/A</v>
      </c>
      <c r="J1226" s="103" t="e">
        <f>VLOOKUP($A1218,LossChart!$A$3:$AB$105,17,0)</f>
        <v>#N/A</v>
      </c>
      <c r="K1226" s="103"/>
    </row>
    <row r="1227" spans="1:19" x14ac:dyDescent="0.25">
      <c r="A1227" t="s">
        <v>103</v>
      </c>
      <c r="G1227" t="e">
        <f>G1226-G1225</f>
        <v>#N/A</v>
      </c>
      <c r="H1227" t="e">
        <f>H1226-H1225</f>
        <v>#N/A</v>
      </c>
      <c r="I1227" t="e">
        <f>I1226-I1225</f>
        <v>#N/A</v>
      </c>
      <c r="J1227" t="e">
        <f>J1226-J1225</f>
        <v>#N/A</v>
      </c>
    </row>
    <row r="1229" spans="1:19" ht="60" x14ac:dyDescent="0.25">
      <c r="A1229" s="26" t="s">
        <v>63</v>
      </c>
      <c r="B1229" s="26" t="s">
        <v>92</v>
      </c>
      <c r="C1229" s="26" t="s">
        <v>93</v>
      </c>
      <c r="D1229" s="97" t="str">
        <f>FoodDB!$C$1</f>
        <v>Fat
(g)</v>
      </c>
      <c r="E1229" s="97" t="str">
        <f>FoodDB!$D$1</f>
        <v xml:space="preserve"> Carbs
(g)</v>
      </c>
      <c r="F1229" s="97" t="str">
        <f>FoodDB!$E$1</f>
        <v>Protein
(g)</v>
      </c>
      <c r="G1229" s="97" t="str">
        <f>FoodDB!$F$1</f>
        <v>Fat
(Cal)</v>
      </c>
      <c r="H1229" s="97" t="str">
        <f>FoodDB!$G$1</f>
        <v>Carb
(Cal)</v>
      </c>
      <c r="I1229" s="97" t="str">
        <f>FoodDB!$H$1</f>
        <v>Protein
(Cal)</v>
      </c>
      <c r="J1229" s="97" t="str">
        <f>FoodDB!$I$1</f>
        <v>Total
Calories</v>
      </c>
      <c r="K1229" s="97"/>
      <c r="L1229" s="97" t="s">
        <v>109</v>
      </c>
      <c r="M1229" s="97" t="s">
        <v>110</v>
      </c>
      <c r="N1229" s="97" t="s">
        <v>111</v>
      </c>
      <c r="O1229" s="97" t="s">
        <v>112</v>
      </c>
      <c r="P1229" s="97" t="s">
        <v>117</v>
      </c>
      <c r="Q1229" s="97" t="s">
        <v>118</v>
      </c>
      <c r="R1229" s="97" t="s">
        <v>119</v>
      </c>
      <c r="S1229" s="97" t="s">
        <v>120</v>
      </c>
    </row>
    <row r="1230" spans="1:19" x14ac:dyDescent="0.25">
      <c r="A1230" s="98">
        <f>A1218+1</f>
        <v>43096</v>
      </c>
      <c r="B1230" s="99" t="s">
        <v>107</v>
      </c>
      <c r="C1230" s="100">
        <v>0</v>
      </c>
      <c r="D1230">
        <f>$C1230*VLOOKUP($B1230,FoodDB!$A$2:$I$1014,3,0)</f>
        <v>0</v>
      </c>
      <c r="E1230">
        <f>$C1230*VLOOKUP($B1230,FoodDB!$A$2:$I$1014,4,0)</f>
        <v>0</v>
      </c>
      <c r="F1230">
        <f>$C1230*VLOOKUP($B1230,FoodDB!$A$2:$I$1014,5,0)</f>
        <v>0</v>
      </c>
      <c r="G1230">
        <f>$C1230*VLOOKUP($B1230,FoodDB!$A$2:$I$1014,6,0)</f>
        <v>0</v>
      </c>
      <c r="H1230">
        <f>$C1230*VLOOKUP($B1230,FoodDB!$A$2:$I$1014,7,0)</f>
        <v>0</v>
      </c>
      <c r="I1230">
        <f>$C1230*VLOOKUP($B1230,FoodDB!$A$2:$I$1014,8,0)</f>
        <v>0</v>
      </c>
      <c r="J1230">
        <f>$C1230*VLOOKUP($B1230,FoodDB!$A$2:$I$1014,9,0)</f>
        <v>0</v>
      </c>
      <c r="L1230">
        <f>SUM(G1230:G1236)</f>
        <v>0</v>
      </c>
      <c r="M1230">
        <f>SUM(H1230:H1236)</f>
        <v>0</v>
      </c>
      <c r="N1230">
        <f>SUM(I1230:I1236)</f>
        <v>0</v>
      </c>
      <c r="O1230">
        <f>SUM(L1230:N1230)</f>
        <v>0</v>
      </c>
      <c r="P1230" s="103">
        <f>VLOOKUP($A1230,LossChart!$A$3:$AB$999,14,0)-L1230</f>
        <v>860.73983937615913</v>
      </c>
      <c r="Q1230" s="103">
        <f>VLOOKUP($A1230,LossChart!$A$3:$AB$999,15,0)-M1230</f>
        <v>116</v>
      </c>
      <c r="R1230" s="103">
        <f>VLOOKUP($A1230,LossChart!$A$3:$AB$999,16,0)-N1230</f>
        <v>477.30407413615825</v>
      </c>
      <c r="S1230" s="103">
        <f>VLOOKUP($A1230,LossChart!$A$3:$AB$999,17,0)-O1230</f>
        <v>1454.0439135123174</v>
      </c>
    </row>
    <row r="1231" spans="1:19" x14ac:dyDescent="0.25">
      <c r="B1231" s="99" t="s">
        <v>107</v>
      </c>
      <c r="C1231" s="100">
        <v>0</v>
      </c>
      <c r="D1231">
        <f>$C1231*VLOOKUP($B1231,FoodDB!$A$2:$I$1014,3,0)</f>
        <v>0</v>
      </c>
      <c r="E1231">
        <f>$C1231*VLOOKUP($B1231,FoodDB!$A$2:$I$1014,4,0)</f>
        <v>0</v>
      </c>
      <c r="F1231">
        <f>$C1231*VLOOKUP($B1231,FoodDB!$A$2:$I$1014,5,0)</f>
        <v>0</v>
      </c>
      <c r="G1231">
        <f>$C1231*VLOOKUP($B1231,FoodDB!$A$2:$I$1014,6,0)</f>
        <v>0</v>
      </c>
      <c r="H1231">
        <f>$C1231*VLOOKUP($B1231,FoodDB!$A$2:$I$1014,7,0)</f>
        <v>0</v>
      </c>
      <c r="I1231">
        <f>$C1231*VLOOKUP($B1231,FoodDB!$A$2:$I$1014,8,0)</f>
        <v>0</v>
      </c>
      <c r="J1231">
        <f>$C1231*VLOOKUP($B1231,FoodDB!$A$2:$I$1014,9,0)</f>
        <v>0</v>
      </c>
    </row>
    <row r="1232" spans="1:19" x14ac:dyDescent="0.25">
      <c r="B1232" s="99" t="s">
        <v>107</v>
      </c>
      <c r="C1232" s="100">
        <v>0</v>
      </c>
      <c r="D1232">
        <f>$C1232*VLOOKUP($B1232,FoodDB!$A$2:$I$1014,3,0)</f>
        <v>0</v>
      </c>
      <c r="E1232">
        <f>$C1232*VLOOKUP($B1232,FoodDB!$A$2:$I$1014,4,0)</f>
        <v>0</v>
      </c>
      <c r="F1232">
        <f>$C1232*VLOOKUP($B1232,FoodDB!$A$2:$I$1014,5,0)</f>
        <v>0</v>
      </c>
      <c r="G1232">
        <f>$C1232*VLOOKUP($B1232,FoodDB!$A$2:$I$1014,6,0)</f>
        <v>0</v>
      </c>
      <c r="H1232">
        <f>$C1232*VLOOKUP($B1232,FoodDB!$A$2:$I$1014,7,0)</f>
        <v>0</v>
      </c>
      <c r="I1232">
        <f>$C1232*VLOOKUP($B1232,FoodDB!$A$2:$I$1014,8,0)</f>
        <v>0</v>
      </c>
      <c r="J1232">
        <f>$C1232*VLOOKUP($B1232,FoodDB!$A$2:$I$1014,9,0)</f>
        <v>0</v>
      </c>
    </row>
    <row r="1233" spans="1:19" x14ac:dyDescent="0.25">
      <c r="B1233" s="99" t="s">
        <v>107</v>
      </c>
      <c r="C1233" s="100">
        <v>0</v>
      </c>
      <c r="D1233">
        <f>$C1233*VLOOKUP($B1233,FoodDB!$A$2:$I$1014,3,0)</f>
        <v>0</v>
      </c>
      <c r="E1233">
        <f>$C1233*VLOOKUP($B1233,FoodDB!$A$2:$I$1014,4,0)</f>
        <v>0</v>
      </c>
      <c r="F1233">
        <f>$C1233*VLOOKUP($B1233,FoodDB!$A$2:$I$1014,5,0)</f>
        <v>0</v>
      </c>
      <c r="G1233">
        <f>$C1233*VLOOKUP($B1233,FoodDB!$A$2:$I$1014,6,0)</f>
        <v>0</v>
      </c>
      <c r="H1233">
        <f>$C1233*VLOOKUP($B1233,FoodDB!$A$2:$I$1014,7,0)</f>
        <v>0</v>
      </c>
      <c r="I1233">
        <f>$C1233*VLOOKUP($B1233,FoodDB!$A$2:$I$1014,8,0)</f>
        <v>0</v>
      </c>
      <c r="J1233">
        <f>$C1233*VLOOKUP($B1233,FoodDB!$A$2:$I$1014,9,0)</f>
        <v>0</v>
      </c>
    </row>
    <row r="1234" spans="1:19" x14ac:dyDescent="0.25">
      <c r="B1234" s="99" t="s">
        <v>107</v>
      </c>
      <c r="C1234" s="100">
        <v>0</v>
      </c>
      <c r="D1234">
        <f>$C1234*VLOOKUP($B1234,FoodDB!$A$2:$I$1014,3,0)</f>
        <v>0</v>
      </c>
      <c r="E1234">
        <f>$C1234*VLOOKUP($B1234,FoodDB!$A$2:$I$1014,4,0)</f>
        <v>0</v>
      </c>
      <c r="F1234">
        <f>$C1234*VLOOKUP($B1234,FoodDB!$A$2:$I$1014,5,0)</f>
        <v>0</v>
      </c>
      <c r="G1234">
        <f>$C1234*VLOOKUP($B1234,FoodDB!$A$2:$I$1014,6,0)</f>
        <v>0</v>
      </c>
      <c r="H1234">
        <f>$C1234*VLOOKUP($B1234,FoodDB!$A$2:$I$1014,7,0)</f>
        <v>0</v>
      </c>
      <c r="I1234">
        <f>$C1234*VLOOKUP($B1234,FoodDB!$A$2:$I$1014,8,0)</f>
        <v>0</v>
      </c>
      <c r="J1234">
        <f>$C1234*VLOOKUP($B1234,FoodDB!$A$2:$I$1014,9,0)</f>
        <v>0</v>
      </c>
    </row>
    <row r="1235" spans="1:19" x14ac:dyDescent="0.25">
      <c r="B1235" s="99" t="s">
        <v>107</v>
      </c>
      <c r="C1235" s="100">
        <v>0</v>
      </c>
      <c r="D1235">
        <f>$C1235*VLOOKUP($B1235,FoodDB!$A$2:$I$1014,3,0)</f>
        <v>0</v>
      </c>
      <c r="E1235">
        <f>$C1235*VLOOKUP($B1235,FoodDB!$A$2:$I$1014,4,0)</f>
        <v>0</v>
      </c>
      <c r="F1235">
        <f>$C1235*VLOOKUP($B1235,FoodDB!$A$2:$I$1014,5,0)</f>
        <v>0</v>
      </c>
      <c r="G1235">
        <f>$C1235*VLOOKUP($B1235,FoodDB!$A$2:$I$1014,6,0)</f>
        <v>0</v>
      </c>
      <c r="H1235">
        <f>$C1235*VLOOKUP($B1235,FoodDB!$A$2:$I$1014,7,0)</f>
        <v>0</v>
      </c>
      <c r="I1235">
        <f>$C1235*VLOOKUP($B1235,FoodDB!$A$2:$I$1014,8,0)</f>
        <v>0</v>
      </c>
      <c r="J1235">
        <f>$C1235*VLOOKUP($B1235,FoodDB!$A$2:$I$1014,9,0)</f>
        <v>0</v>
      </c>
    </row>
    <row r="1236" spans="1:19" x14ac:dyDescent="0.25">
      <c r="B1236" s="99" t="s">
        <v>107</v>
      </c>
      <c r="C1236" s="100">
        <v>0</v>
      </c>
      <c r="D1236">
        <f>$C1236*VLOOKUP($B1236,FoodDB!$A$2:$I$1014,3,0)</f>
        <v>0</v>
      </c>
      <c r="E1236">
        <f>$C1236*VLOOKUP($B1236,FoodDB!$A$2:$I$1014,4,0)</f>
        <v>0</v>
      </c>
      <c r="F1236">
        <f>$C1236*VLOOKUP($B1236,FoodDB!$A$2:$I$1014,5,0)</f>
        <v>0</v>
      </c>
      <c r="G1236">
        <f>$C1236*VLOOKUP($B1236,FoodDB!$A$2:$I$1014,6,0)</f>
        <v>0</v>
      </c>
      <c r="H1236">
        <f>$C1236*VLOOKUP($B1236,FoodDB!$A$2:$I$1014,7,0)</f>
        <v>0</v>
      </c>
      <c r="I1236">
        <f>$C1236*VLOOKUP($B1236,FoodDB!$A$2:$I$1014,8,0)</f>
        <v>0</v>
      </c>
      <c r="J1236">
        <f>$C1236*VLOOKUP($B1236,FoodDB!$A$2:$I$1014,9,0)</f>
        <v>0</v>
      </c>
    </row>
    <row r="1237" spans="1:19" x14ac:dyDescent="0.25">
      <c r="A1237" t="s">
        <v>97</v>
      </c>
      <c r="G1237">
        <f>SUM(G1230:G1236)</f>
        <v>0</v>
      </c>
      <c r="H1237">
        <f>SUM(H1230:H1236)</f>
        <v>0</v>
      </c>
      <c r="I1237">
        <f>SUM(I1230:I1236)</f>
        <v>0</v>
      </c>
      <c r="J1237">
        <f>SUM(G1237:I1237)</f>
        <v>0</v>
      </c>
    </row>
    <row r="1238" spans="1:19" x14ac:dyDescent="0.25">
      <c r="A1238" t="s">
        <v>101</v>
      </c>
      <c r="B1238" t="s">
        <v>102</v>
      </c>
      <c r="E1238" s="103"/>
      <c r="F1238" s="103"/>
      <c r="G1238" s="103" t="e">
        <f>VLOOKUP($A1230,LossChart!$A$3:$AB$105,14,0)</f>
        <v>#N/A</v>
      </c>
      <c r="H1238" s="103" t="e">
        <f>VLOOKUP($A1230,LossChart!$A$3:$AB$105,15,0)</f>
        <v>#N/A</v>
      </c>
      <c r="I1238" s="103" t="e">
        <f>VLOOKUP($A1230,LossChart!$A$3:$AB$105,16,0)</f>
        <v>#N/A</v>
      </c>
      <c r="J1238" s="103" t="e">
        <f>VLOOKUP($A1230,LossChart!$A$3:$AB$105,17,0)</f>
        <v>#N/A</v>
      </c>
      <c r="K1238" s="103"/>
    </row>
    <row r="1239" spans="1:19" x14ac:dyDescent="0.25">
      <c r="A1239" t="s">
        <v>103</v>
      </c>
      <c r="G1239" t="e">
        <f>G1238-G1237</f>
        <v>#N/A</v>
      </c>
      <c r="H1239" t="e">
        <f>H1238-H1237</f>
        <v>#N/A</v>
      </c>
      <c r="I1239" t="e">
        <f>I1238-I1237</f>
        <v>#N/A</v>
      </c>
      <c r="J1239" t="e">
        <f>J1238-J1237</f>
        <v>#N/A</v>
      </c>
    </row>
    <row r="1241" spans="1:19" ht="60" x14ac:dyDescent="0.25">
      <c r="A1241" s="26" t="s">
        <v>63</v>
      </c>
      <c r="B1241" s="26" t="s">
        <v>92</v>
      </c>
      <c r="C1241" s="26" t="s">
        <v>93</v>
      </c>
      <c r="D1241" s="97" t="str">
        <f>FoodDB!$C$1</f>
        <v>Fat
(g)</v>
      </c>
      <c r="E1241" s="97" t="str">
        <f>FoodDB!$D$1</f>
        <v xml:space="preserve"> Carbs
(g)</v>
      </c>
      <c r="F1241" s="97" t="str">
        <f>FoodDB!$E$1</f>
        <v>Protein
(g)</v>
      </c>
      <c r="G1241" s="97" t="str">
        <f>FoodDB!$F$1</f>
        <v>Fat
(Cal)</v>
      </c>
      <c r="H1241" s="97" t="str">
        <f>FoodDB!$G$1</f>
        <v>Carb
(Cal)</v>
      </c>
      <c r="I1241" s="97" t="str">
        <f>FoodDB!$H$1</f>
        <v>Protein
(Cal)</v>
      </c>
      <c r="J1241" s="97" t="str">
        <f>FoodDB!$I$1</f>
        <v>Total
Calories</v>
      </c>
      <c r="K1241" s="97"/>
      <c r="L1241" s="97" t="s">
        <v>109</v>
      </c>
      <c r="M1241" s="97" t="s">
        <v>110</v>
      </c>
      <c r="N1241" s="97" t="s">
        <v>111</v>
      </c>
      <c r="O1241" s="97" t="s">
        <v>112</v>
      </c>
      <c r="P1241" s="97" t="s">
        <v>117</v>
      </c>
      <c r="Q1241" s="97" t="s">
        <v>118</v>
      </c>
      <c r="R1241" s="97" t="s">
        <v>119</v>
      </c>
      <c r="S1241" s="97" t="s">
        <v>120</v>
      </c>
    </row>
    <row r="1242" spans="1:19" x14ac:dyDescent="0.25">
      <c r="A1242" s="98">
        <f>A1230+1</f>
        <v>43097</v>
      </c>
      <c r="B1242" s="99" t="s">
        <v>107</v>
      </c>
      <c r="C1242" s="100">
        <v>0</v>
      </c>
      <c r="D1242">
        <f>$C1242*VLOOKUP($B1242,FoodDB!$A$2:$I$1014,3,0)</f>
        <v>0</v>
      </c>
      <c r="E1242">
        <f>$C1242*VLOOKUP($B1242,FoodDB!$A$2:$I$1014,4,0)</f>
        <v>0</v>
      </c>
      <c r="F1242">
        <f>$C1242*VLOOKUP($B1242,FoodDB!$A$2:$I$1014,5,0)</f>
        <v>0</v>
      </c>
      <c r="G1242">
        <f>$C1242*VLOOKUP($B1242,FoodDB!$A$2:$I$1014,6,0)</f>
        <v>0</v>
      </c>
      <c r="H1242">
        <f>$C1242*VLOOKUP($B1242,FoodDB!$A$2:$I$1014,7,0)</f>
        <v>0</v>
      </c>
      <c r="I1242">
        <f>$C1242*VLOOKUP($B1242,FoodDB!$A$2:$I$1014,8,0)</f>
        <v>0</v>
      </c>
      <c r="J1242">
        <f>$C1242*VLOOKUP($B1242,FoodDB!$A$2:$I$1014,9,0)</f>
        <v>0</v>
      </c>
      <c r="L1242">
        <f>SUM(G1242:G1248)</f>
        <v>0</v>
      </c>
      <c r="M1242">
        <f>SUM(H1242:H1248)</f>
        <v>0</v>
      </c>
      <c r="N1242">
        <f>SUM(I1242:I1248)</f>
        <v>0</v>
      </c>
      <c r="O1242">
        <f>SUM(L1242:N1242)</f>
        <v>0</v>
      </c>
      <c r="P1242" s="103">
        <f>VLOOKUP($A1242,LossChart!$A$3:$AB$999,14,0)-L1242</f>
        <v>864.2997340080417</v>
      </c>
      <c r="Q1242" s="103">
        <f>VLOOKUP($A1242,LossChart!$A$3:$AB$999,15,0)-M1242</f>
        <v>116</v>
      </c>
      <c r="R1242" s="103">
        <f>VLOOKUP($A1242,LossChart!$A$3:$AB$999,16,0)-N1242</f>
        <v>477.30407413615825</v>
      </c>
      <c r="S1242" s="103">
        <f>VLOOKUP($A1242,LossChart!$A$3:$AB$999,17,0)-O1242</f>
        <v>1457.6038081442</v>
      </c>
    </row>
    <row r="1243" spans="1:19" x14ac:dyDescent="0.25">
      <c r="B1243" s="99" t="s">
        <v>107</v>
      </c>
      <c r="C1243" s="100">
        <v>0</v>
      </c>
      <c r="D1243">
        <f>$C1243*VLOOKUP($B1243,FoodDB!$A$2:$I$1014,3,0)</f>
        <v>0</v>
      </c>
      <c r="E1243">
        <f>$C1243*VLOOKUP($B1243,FoodDB!$A$2:$I$1014,4,0)</f>
        <v>0</v>
      </c>
      <c r="F1243">
        <f>$C1243*VLOOKUP($B1243,FoodDB!$A$2:$I$1014,5,0)</f>
        <v>0</v>
      </c>
      <c r="G1243">
        <f>$C1243*VLOOKUP($B1243,FoodDB!$A$2:$I$1014,6,0)</f>
        <v>0</v>
      </c>
      <c r="H1243">
        <f>$C1243*VLOOKUP($B1243,FoodDB!$A$2:$I$1014,7,0)</f>
        <v>0</v>
      </c>
      <c r="I1243">
        <f>$C1243*VLOOKUP($B1243,FoodDB!$A$2:$I$1014,8,0)</f>
        <v>0</v>
      </c>
      <c r="J1243">
        <f>$C1243*VLOOKUP($B1243,FoodDB!$A$2:$I$1014,9,0)</f>
        <v>0</v>
      </c>
    </row>
    <row r="1244" spans="1:19" x14ac:dyDescent="0.25">
      <c r="B1244" s="99" t="s">
        <v>107</v>
      </c>
      <c r="C1244" s="100">
        <v>0</v>
      </c>
      <c r="D1244">
        <f>$C1244*VLOOKUP($B1244,FoodDB!$A$2:$I$1014,3,0)</f>
        <v>0</v>
      </c>
      <c r="E1244">
        <f>$C1244*VLOOKUP($B1244,FoodDB!$A$2:$I$1014,4,0)</f>
        <v>0</v>
      </c>
      <c r="F1244">
        <f>$C1244*VLOOKUP($B1244,FoodDB!$A$2:$I$1014,5,0)</f>
        <v>0</v>
      </c>
      <c r="G1244">
        <f>$C1244*VLOOKUP($B1244,FoodDB!$A$2:$I$1014,6,0)</f>
        <v>0</v>
      </c>
      <c r="H1244">
        <f>$C1244*VLOOKUP($B1244,FoodDB!$A$2:$I$1014,7,0)</f>
        <v>0</v>
      </c>
      <c r="I1244">
        <f>$C1244*VLOOKUP($B1244,FoodDB!$A$2:$I$1014,8,0)</f>
        <v>0</v>
      </c>
      <c r="J1244">
        <f>$C1244*VLOOKUP($B1244,FoodDB!$A$2:$I$1014,9,0)</f>
        <v>0</v>
      </c>
    </row>
    <row r="1245" spans="1:19" x14ac:dyDescent="0.25">
      <c r="B1245" s="99" t="s">
        <v>107</v>
      </c>
      <c r="C1245" s="100">
        <v>0</v>
      </c>
      <c r="D1245">
        <f>$C1245*VLOOKUP($B1245,FoodDB!$A$2:$I$1014,3,0)</f>
        <v>0</v>
      </c>
      <c r="E1245">
        <f>$C1245*VLOOKUP($B1245,FoodDB!$A$2:$I$1014,4,0)</f>
        <v>0</v>
      </c>
      <c r="F1245">
        <f>$C1245*VLOOKUP($B1245,FoodDB!$A$2:$I$1014,5,0)</f>
        <v>0</v>
      </c>
      <c r="G1245">
        <f>$C1245*VLOOKUP($B1245,FoodDB!$A$2:$I$1014,6,0)</f>
        <v>0</v>
      </c>
      <c r="H1245">
        <f>$C1245*VLOOKUP($B1245,FoodDB!$A$2:$I$1014,7,0)</f>
        <v>0</v>
      </c>
      <c r="I1245">
        <f>$C1245*VLOOKUP($B1245,FoodDB!$A$2:$I$1014,8,0)</f>
        <v>0</v>
      </c>
      <c r="J1245">
        <f>$C1245*VLOOKUP($B1245,FoodDB!$A$2:$I$1014,9,0)</f>
        <v>0</v>
      </c>
    </row>
    <row r="1246" spans="1:19" x14ac:dyDescent="0.25">
      <c r="B1246" s="99" t="s">
        <v>107</v>
      </c>
      <c r="C1246" s="100">
        <v>0</v>
      </c>
      <c r="D1246">
        <f>$C1246*VLOOKUP($B1246,FoodDB!$A$2:$I$1014,3,0)</f>
        <v>0</v>
      </c>
      <c r="E1246">
        <f>$C1246*VLOOKUP($B1246,FoodDB!$A$2:$I$1014,4,0)</f>
        <v>0</v>
      </c>
      <c r="F1246">
        <f>$C1246*VLOOKUP($B1246,FoodDB!$A$2:$I$1014,5,0)</f>
        <v>0</v>
      </c>
      <c r="G1246">
        <f>$C1246*VLOOKUP($B1246,FoodDB!$A$2:$I$1014,6,0)</f>
        <v>0</v>
      </c>
      <c r="H1246">
        <f>$C1246*VLOOKUP($B1246,FoodDB!$A$2:$I$1014,7,0)</f>
        <v>0</v>
      </c>
      <c r="I1246">
        <f>$C1246*VLOOKUP($B1246,FoodDB!$A$2:$I$1014,8,0)</f>
        <v>0</v>
      </c>
      <c r="J1246">
        <f>$C1246*VLOOKUP($B1246,FoodDB!$A$2:$I$1014,9,0)</f>
        <v>0</v>
      </c>
    </row>
    <row r="1247" spans="1:19" x14ac:dyDescent="0.25">
      <c r="B1247" s="99" t="s">
        <v>107</v>
      </c>
      <c r="C1247" s="100">
        <v>0</v>
      </c>
      <c r="D1247">
        <f>$C1247*VLOOKUP($B1247,FoodDB!$A$2:$I$1014,3,0)</f>
        <v>0</v>
      </c>
      <c r="E1247">
        <f>$C1247*VLOOKUP($B1247,FoodDB!$A$2:$I$1014,4,0)</f>
        <v>0</v>
      </c>
      <c r="F1247">
        <f>$C1247*VLOOKUP($B1247,FoodDB!$A$2:$I$1014,5,0)</f>
        <v>0</v>
      </c>
      <c r="G1247">
        <f>$C1247*VLOOKUP($B1247,FoodDB!$A$2:$I$1014,6,0)</f>
        <v>0</v>
      </c>
      <c r="H1247">
        <f>$C1247*VLOOKUP($B1247,FoodDB!$A$2:$I$1014,7,0)</f>
        <v>0</v>
      </c>
      <c r="I1247">
        <f>$C1247*VLOOKUP($B1247,FoodDB!$A$2:$I$1014,8,0)</f>
        <v>0</v>
      </c>
      <c r="J1247">
        <f>$C1247*VLOOKUP($B1247,FoodDB!$A$2:$I$1014,9,0)</f>
        <v>0</v>
      </c>
    </row>
    <row r="1248" spans="1:19" x14ac:dyDescent="0.25">
      <c r="B1248" s="99" t="s">
        <v>107</v>
      </c>
      <c r="C1248" s="100">
        <v>0</v>
      </c>
      <c r="D1248">
        <f>$C1248*VLOOKUP($B1248,FoodDB!$A$2:$I$1014,3,0)</f>
        <v>0</v>
      </c>
      <c r="E1248">
        <f>$C1248*VLOOKUP($B1248,FoodDB!$A$2:$I$1014,4,0)</f>
        <v>0</v>
      </c>
      <c r="F1248">
        <f>$C1248*VLOOKUP($B1248,FoodDB!$A$2:$I$1014,5,0)</f>
        <v>0</v>
      </c>
      <c r="G1248">
        <f>$C1248*VLOOKUP($B1248,FoodDB!$A$2:$I$1014,6,0)</f>
        <v>0</v>
      </c>
      <c r="H1248">
        <f>$C1248*VLOOKUP($B1248,FoodDB!$A$2:$I$1014,7,0)</f>
        <v>0</v>
      </c>
      <c r="I1248">
        <f>$C1248*VLOOKUP($B1248,FoodDB!$A$2:$I$1014,8,0)</f>
        <v>0</v>
      </c>
      <c r="J1248">
        <f>$C1248*VLOOKUP($B1248,FoodDB!$A$2:$I$1014,9,0)</f>
        <v>0</v>
      </c>
    </row>
    <row r="1249" spans="1:19" x14ac:dyDescent="0.25">
      <c r="A1249" t="s">
        <v>97</v>
      </c>
      <c r="G1249">
        <f>SUM(G1242:G1248)</f>
        <v>0</v>
      </c>
      <c r="H1249">
        <f>SUM(H1242:H1248)</f>
        <v>0</v>
      </c>
      <c r="I1249">
        <f>SUM(I1242:I1248)</f>
        <v>0</v>
      </c>
      <c r="J1249">
        <f>SUM(G1249:I1249)</f>
        <v>0</v>
      </c>
    </row>
    <row r="1250" spans="1:19" x14ac:dyDescent="0.25">
      <c r="A1250" t="s">
        <v>101</v>
      </c>
      <c r="B1250" t="s">
        <v>102</v>
      </c>
      <c r="E1250" s="103"/>
      <c r="F1250" s="103"/>
      <c r="G1250" s="103" t="e">
        <f>VLOOKUP($A1242,LossChart!$A$3:$AB$105,14,0)</f>
        <v>#N/A</v>
      </c>
      <c r="H1250" s="103" t="e">
        <f>VLOOKUP($A1242,LossChart!$A$3:$AB$105,15,0)</f>
        <v>#N/A</v>
      </c>
      <c r="I1250" s="103" t="e">
        <f>VLOOKUP($A1242,LossChart!$A$3:$AB$105,16,0)</f>
        <v>#N/A</v>
      </c>
      <c r="J1250" s="103" t="e">
        <f>VLOOKUP($A1242,LossChart!$A$3:$AB$105,17,0)</f>
        <v>#N/A</v>
      </c>
      <c r="K1250" s="103"/>
    </row>
    <row r="1251" spans="1:19" x14ac:dyDescent="0.25">
      <c r="A1251" t="s">
        <v>103</v>
      </c>
      <c r="G1251" t="e">
        <f>G1250-G1249</f>
        <v>#N/A</v>
      </c>
      <c r="H1251" t="e">
        <f>H1250-H1249</f>
        <v>#N/A</v>
      </c>
      <c r="I1251" t="e">
        <f>I1250-I1249</f>
        <v>#N/A</v>
      </c>
      <c r="J1251" t="e">
        <f>J1250-J1249</f>
        <v>#N/A</v>
      </c>
    </row>
    <row r="1253" spans="1:19" ht="60" x14ac:dyDescent="0.25">
      <c r="A1253" s="26" t="s">
        <v>63</v>
      </c>
      <c r="B1253" s="26" t="s">
        <v>92</v>
      </c>
      <c r="C1253" s="26" t="s">
        <v>93</v>
      </c>
      <c r="D1253" s="97" t="str">
        <f>FoodDB!$C$1</f>
        <v>Fat
(g)</v>
      </c>
      <c r="E1253" s="97" t="str">
        <f>FoodDB!$D$1</f>
        <v xml:space="preserve"> Carbs
(g)</v>
      </c>
      <c r="F1253" s="97" t="str">
        <f>FoodDB!$E$1</f>
        <v>Protein
(g)</v>
      </c>
      <c r="G1253" s="97" t="str">
        <f>FoodDB!$F$1</f>
        <v>Fat
(Cal)</v>
      </c>
      <c r="H1253" s="97" t="str">
        <f>FoodDB!$G$1</f>
        <v>Carb
(Cal)</v>
      </c>
      <c r="I1253" s="97" t="str">
        <f>FoodDB!$H$1</f>
        <v>Protein
(Cal)</v>
      </c>
      <c r="J1253" s="97" t="str">
        <f>FoodDB!$I$1</f>
        <v>Total
Calories</v>
      </c>
      <c r="K1253" s="97"/>
      <c r="L1253" s="97" t="s">
        <v>109</v>
      </c>
      <c r="M1253" s="97" t="s">
        <v>110</v>
      </c>
      <c r="N1253" s="97" t="s">
        <v>111</v>
      </c>
      <c r="O1253" s="97" t="s">
        <v>112</v>
      </c>
      <c r="P1253" s="97" t="s">
        <v>117</v>
      </c>
      <c r="Q1253" s="97" t="s">
        <v>118</v>
      </c>
      <c r="R1253" s="97" t="s">
        <v>119</v>
      </c>
      <c r="S1253" s="97" t="s">
        <v>120</v>
      </c>
    </row>
    <row r="1254" spans="1:19" x14ac:dyDescent="0.25">
      <c r="A1254" s="98">
        <f>A1242+1</f>
        <v>43098</v>
      </c>
      <c r="B1254" s="99" t="s">
        <v>107</v>
      </c>
      <c r="C1254" s="100">
        <v>0</v>
      </c>
      <c r="D1254">
        <f>$C1254*VLOOKUP($B1254,FoodDB!$A$2:$I$1014,3,0)</f>
        <v>0</v>
      </c>
      <c r="E1254">
        <f>$C1254*VLOOKUP($B1254,FoodDB!$A$2:$I$1014,4,0)</f>
        <v>0</v>
      </c>
      <c r="F1254">
        <f>$C1254*VLOOKUP($B1254,FoodDB!$A$2:$I$1014,5,0)</f>
        <v>0</v>
      </c>
      <c r="G1254">
        <f>$C1254*VLOOKUP($B1254,FoodDB!$A$2:$I$1014,6,0)</f>
        <v>0</v>
      </c>
      <c r="H1254">
        <f>$C1254*VLOOKUP($B1254,FoodDB!$A$2:$I$1014,7,0)</f>
        <v>0</v>
      </c>
      <c r="I1254">
        <f>$C1254*VLOOKUP($B1254,FoodDB!$A$2:$I$1014,8,0)</f>
        <v>0</v>
      </c>
      <c r="J1254">
        <f>$C1254*VLOOKUP($B1254,FoodDB!$A$2:$I$1014,9,0)</f>
        <v>0</v>
      </c>
      <c r="L1254">
        <f>SUM(G1254:G1260)</f>
        <v>0</v>
      </c>
      <c r="M1254">
        <f>SUM(H1254:H1260)</f>
        <v>0</v>
      </c>
      <c r="N1254">
        <f>SUM(I1254:I1260)</f>
        <v>0</v>
      </c>
      <c r="O1254">
        <f>SUM(L1254:N1254)</f>
        <v>0</v>
      </c>
      <c r="P1254" s="103">
        <f>VLOOKUP($A1254,LossChart!$A$3:$AB$999,14,0)-L1254</f>
        <v>867.8280981446137</v>
      </c>
      <c r="Q1254" s="103">
        <f>VLOOKUP($A1254,LossChart!$A$3:$AB$999,15,0)-M1254</f>
        <v>116</v>
      </c>
      <c r="R1254" s="103">
        <f>VLOOKUP($A1254,LossChart!$A$3:$AB$999,16,0)-N1254</f>
        <v>477.30407413615825</v>
      </c>
      <c r="S1254" s="103">
        <f>VLOOKUP($A1254,LossChart!$A$3:$AB$999,17,0)-O1254</f>
        <v>1461.132172280772</v>
      </c>
    </row>
    <row r="1255" spans="1:19" x14ac:dyDescent="0.25">
      <c r="B1255" s="99" t="s">
        <v>107</v>
      </c>
      <c r="C1255" s="100">
        <v>0</v>
      </c>
      <c r="D1255">
        <f>$C1255*VLOOKUP($B1255,FoodDB!$A$2:$I$1014,3,0)</f>
        <v>0</v>
      </c>
      <c r="E1255">
        <f>$C1255*VLOOKUP($B1255,FoodDB!$A$2:$I$1014,4,0)</f>
        <v>0</v>
      </c>
      <c r="F1255">
        <f>$C1255*VLOOKUP($B1255,FoodDB!$A$2:$I$1014,5,0)</f>
        <v>0</v>
      </c>
      <c r="G1255">
        <f>$C1255*VLOOKUP($B1255,FoodDB!$A$2:$I$1014,6,0)</f>
        <v>0</v>
      </c>
      <c r="H1255">
        <f>$C1255*VLOOKUP($B1255,FoodDB!$A$2:$I$1014,7,0)</f>
        <v>0</v>
      </c>
      <c r="I1255">
        <f>$C1255*VLOOKUP($B1255,FoodDB!$A$2:$I$1014,8,0)</f>
        <v>0</v>
      </c>
      <c r="J1255">
        <f>$C1255*VLOOKUP($B1255,FoodDB!$A$2:$I$1014,9,0)</f>
        <v>0</v>
      </c>
    </row>
    <row r="1256" spans="1:19" x14ac:dyDescent="0.25">
      <c r="B1256" s="99" t="s">
        <v>107</v>
      </c>
      <c r="C1256" s="100">
        <v>0</v>
      </c>
      <c r="D1256">
        <f>$C1256*VLOOKUP($B1256,FoodDB!$A$2:$I$1014,3,0)</f>
        <v>0</v>
      </c>
      <c r="E1256">
        <f>$C1256*VLOOKUP($B1256,FoodDB!$A$2:$I$1014,4,0)</f>
        <v>0</v>
      </c>
      <c r="F1256">
        <f>$C1256*VLOOKUP($B1256,FoodDB!$A$2:$I$1014,5,0)</f>
        <v>0</v>
      </c>
      <c r="G1256">
        <f>$C1256*VLOOKUP($B1256,FoodDB!$A$2:$I$1014,6,0)</f>
        <v>0</v>
      </c>
      <c r="H1256">
        <f>$C1256*VLOOKUP($B1256,FoodDB!$A$2:$I$1014,7,0)</f>
        <v>0</v>
      </c>
      <c r="I1256">
        <f>$C1256*VLOOKUP($B1256,FoodDB!$A$2:$I$1014,8,0)</f>
        <v>0</v>
      </c>
      <c r="J1256">
        <f>$C1256*VLOOKUP($B1256,FoodDB!$A$2:$I$1014,9,0)</f>
        <v>0</v>
      </c>
    </row>
    <row r="1257" spans="1:19" x14ac:dyDescent="0.25">
      <c r="B1257" s="99" t="s">
        <v>107</v>
      </c>
      <c r="C1257" s="100">
        <v>0</v>
      </c>
      <c r="D1257">
        <f>$C1257*VLOOKUP($B1257,FoodDB!$A$2:$I$1014,3,0)</f>
        <v>0</v>
      </c>
      <c r="E1257">
        <f>$C1257*VLOOKUP($B1257,FoodDB!$A$2:$I$1014,4,0)</f>
        <v>0</v>
      </c>
      <c r="F1257">
        <f>$C1257*VLOOKUP($B1257,FoodDB!$A$2:$I$1014,5,0)</f>
        <v>0</v>
      </c>
      <c r="G1257">
        <f>$C1257*VLOOKUP($B1257,FoodDB!$A$2:$I$1014,6,0)</f>
        <v>0</v>
      </c>
      <c r="H1257">
        <f>$C1257*VLOOKUP($B1257,FoodDB!$A$2:$I$1014,7,0)</f>
        <v>0</v>
      </c>
      <c r="I1257">
        <f>$C1257*VLOOKUP($B1257,FoodDB!$A$2:$I$1014,8,0)</f>
        <v>0</v>
      </c>
      <c r="J1257">
        <f>$C1257*VLOOKUP($B1257,FoodDB!$A$2:$I$1014,9,0)</f>
        <v>0</v>
      </c>
    </row>
    <row r="1258" spans="1:19" x14ac:dyDescent="0.25">
      <c r="B1258" s="99" t="s">
        <v>107</v>
      </c>
      <c r="C1258" s="100">
        <v>0</v>
      </c>
      <c r="D1258">
        <f>$C1258*VLOOKUP($B1258,FoodDB!$A$2:$I$1014,3,0)</f>
        <v>0</v>
      </c>
      <c r="E1258">
        <f>$C1258*VLOOKUP($B1258,FoodDB!$A$2:$I$1014,4,0)</f>
        <v>0</v>
      </c>
      <c r="F1258">
        <f>$C1258*VLOOKUP($B1258,FoodDB!$A$2:$I$1014,5,0)</f>
        <v>0</v>
      </c>
      <c r="G1258">
        <f>$C1258*VLOOKUP($B1258,FoodDB!$A$2:$I$1014,6,0)</f>
        <v>0</v>
      </c>
      <c r="H1258">
        <f>$C1258*VLOOKUP($B1258,FoodDB!$A$2:$I$1014,7,0)</f>
        <v>0</v>
      </c>
      <c r="I1258">
        <f>$C1258*VLOOKUP($B1258,FoodDB!$A$2:$I$1014,8,0)</f>
        <v>0</v>
      </c>
      <c r="J1258">
        <f>$C1258*VLOOKUP($B1258,FoodDB!$A$2:$I$1014,9,0)</f>
        <v>0</v>
      </c>
    </row>
    <row r="1259" spans="1:19" x14ac:dyDescent="0.25">
      <c r="B1259" s="99" t="s">
        <v>107</v>
      </c>
      <c r="C1259" s="100">
        <v>0</v>
      </c>
      <c r="D1259">
        <f>$C1259*VLOOKUP($B1259,FoodDB!$A$2:$I$1014,3,0)</f>
        <v>0</v>
      </c>
      <c r="E1259">
        <f>$C1259*VLOOKUP($B1259,FoodDB!$A$2:$I$1014,4,0)</f>
        <v>0</v>
      </c>
      <c r="F1259">
        <f>$C1259*VLOOKUP($B1259,FoodDB!$A$2:$I$1014,5,0)</f>
        <v>0</v>
      </c>
      <c r="G1259">
        <f>$C1259*VLOOKUP($B1259,FoodDB!$A$2:$I$1014,6,0)</f>
        <v>0</v>
      </c>
      <c r="H1259">
        <f>$C1259*VLOOKUP($B1259,FoodDB!$A$2:$I$1014,7,0)</f>
        <v>0</v>
      </c>
      <c r="I1259">
        <f>$C1259*VLOOKUP($B1259,FoodDB!$A$2:$I$1014,8,0)</f>
        <v>0</v>
      </c>
      <c r="J1259">
        <f>$C1259*VLOOKUP($B1259,FoodDB!$A$2:$I$1014,9,0)</f>
        <v>0</v>
      </c>
    </row>
    <row r="1260" spans="1:19" x14ac:dyDescent="0.25">
      <c r="B1260" s="99" t="s">
        <v>107</v>
      </c>
      <c r="C1260" s="100">
        <v>0</v>
      </c>
      <c r="D1260">
        <f>$C1260*VLOOKUP($B1260,FoodDB!$A$2:$I$1014,3,0)</f>
        <v>0</v>
      </c>
      <c r="E1260">
        <f>$C1260*VLOOKUP($B1260,FoodDB!$A$2:$I$1014,4,0)</f>
        <v>0</v>
      </c>
      <c r="F1260">
        <f>$C1260*VLOOKUP($B1260,FoodDB!$A$2:$I$1014,5,0)</f>
        <v>0</v>
      </c>
      <c r="G1260">
        <f>$C1260*VLOOKUP($B1260,FoodDB!$A$2:$I$1014,6,0)</f>
        <v>0</v>
      </c>
      <c r="H1260">
        <f>$C1260*VLOOKUP($B1260,FoodDB!$A$2:$I$1014,7,0)</f>
        <v>0</v>
      </c>
      <c r="I1260">
        <f>$C1260*VLOOKUP($B1260,FoodDB!$A$2:$I$1014,8,0)</f>
        <v>0</v>
      </c>
      <c r="J1260">
        <f>$C1260*VLOOKUP($B1260,FoodDB!$A$2:$I$1014,9,0)</f>
        <v>0</v>
      </c>
    </row>
    <row r="1261" spans="1:19" x14ac:dyDescent="0.25">
      <c r="A1261" t="s">
        <v>97</v>
      </c>
      <c r="G1261">
        <f>SUM(G1254:G1260)</f>
        <v>0</v>
      </c>
      <c r="H1261">
        <f>SUM(H1254:H1260)</f>
        <v>0</v>
      </c>
      <c r="I1261">
        <f>SUM(I1254:I1260)</f>
        <v>0</v>
      </c>
      <c r="J1261">
        <f>SUM(G1261:I1261)</f>
        <v>0</v>
      </c>
    </row>
    <row r="1262" spans="1:19" x14ac:dyDescent="0.25">
      <c r="A1262" t="s">
        <v>101</v>
      </c>
      <c r="B1262" t="s">
        <v>102</v>
      </c>
      <c r="E1262" s="103"/>
      <c r="F1262" s="103"/>
      <c r="G1262" s="103" t="e">
        <f>VLOOKUP($A1254,LossChart!$A$3:$AB$105,14,0)</f>
        <v>#N/A</v>
      </c>
      <c r="H1262" s="103" t="e">
        <f>VLOOKUP($A1254,LossChart!$A$3:$AB$105,15,0)</f>
        <v>#N/A</v>
      </c>
      <c r="I1262" s="103" t="e">
        <f>VLOOKUP($A1254,LossChart!$A$3:$AB$105,16,0)</f>
        <v>#N/A</v>
      </c>
      <c r="J1262" s="103" t="e">
        <f>VLOOKUP($A1254,LossChart!$A$3:$AB$105,17,0)</f>
        <v>#N/A</v>
      </c>
      <c r="K1262" s="103"/>
    </row>
    <row r="1263" spans="1:19" x14ac:dyDescent="0.25">
      <c r="A1263" t="s">
        <v>103</v>
      </c>
      <c r="G1263" t="e">
        <f>G1262-G1261</f>
        <v>#N/A</v>
      </c>
      <c r="H1263" t="e">
        <f>H1262-H1261</f>
        <v>#N/A</v>
      </c>
      <c r="I1263" t="e">
        <f>I1262-I1261</f>
        <v>#N/A</v>
      </c>
      <c r="J1263" t="e">
        <f>J1262-J1261</f>
        <v>#N/A</v>
      </c>
    </row>
    <row r="1265" spans="1:19" ht="60" x14ac:dyDescent="0.25">
      <c r="A1265" s="26" t="s">
        <v>63</v>
      </c>
      <c r="B1265" s="26" t="s">
        <v>92</v>
      </c>
      <c r="C1265" s="26" t="s">
        <v>93</v>
      </c>
      <c r="D1265" s="97" t="str">
        <f>FoodDB!$C$1</f>
        <v>Fat
(g)</v>
      </c>
      <c r="E1265" s="97" t="str">
        <f>FoodDB!$D$1</f>
        <v xml:space="preserve"> Carbs
(g)</v>
      </c>
      <c r="F1265" s="97" t="str">
        <f>FoodDB!$E$1</f>
        <v>Protein
(g)</v>
      </c>
      <c r="G1265" s="97" t="str">
        <f>FoodDB!$F$1</f>
        <v>Fat
(Cal)</v>
      </c>
      <c r="H1265" s="97" t="str">
        <f>FoodDB!$G$1</f>
        <v>Carb
(Cal)</v>
      </c>
      <c r="I1265" s="97" t="str">
        <f>FoodDB!$H$1</f>
        <v>Protein
(Cal)</v>
      </c>
      <c r="J1265" s="97" t="str">
        <f>FoodDB!$I$1</f>
        <v>Total
Calories</v>
      </c>
      <c r="K1265" s="97"/>
      <c r="L1265" s="97" t="s">
        <v>109</v>
      </c>
      <c r="M1265" s="97" t="s">
        <v>110</v>
      </c>
      <c r="N1265" s="97" t="s">
        <v>111</v>
      </c>
      <c r="O1265" s="97" t="s">
        <v>112</v>
      </c>
      <c r="P1265" s="97" t="s">
        <v>117</v>
      </c>
      <c r="Q1265" s="97" t="s">
        <v>118</v>
      </c>
      <c r="R1265" s="97" t="s">
        <v>119</v>
      </c>
      <c r="S1265" s="97" t="s">
        <v>120</v>
      </c>
    </row>
    <row r="1266" spans="1:19" x14ac:dyDescent="0.25">
      <c r="A1266" s="98">
        <f>A1254+1</f>
        <v>43099</v>
      </c>
      <c r="B1266" s="99" t="s">
        <v>107</v>
      </c>
      <c r="C1266" s="100">
        <v>0</v>
      </c>
      <c r="D1266">
        <f>$C1266*VLOOKUP($B1266,FoodDB!$A$2:$I$1014,3,0)</f>
        <v>0</v>
      </c>
      <c r="E1266">
        <f>$C1266*VLOOKUP($B1266,FoodDB!$A$2:$I$1014,4,0)</f>
        <v>0</v>
      </c>
      <c r="F1266">
        <f>$C1266*VLOOKUP($B1266,FoodDB!$A$2:$I$1014,5,0)</f>
        <v>0</v>
      </c>
      <c r="G1266">
        <f>$C1266*VLOOKUP($B1266,FoodDB!$A$2:$I$1014,6,0)</f>
        <v>0</v>
      </c>
      <c r="H1266">
        <f>$C1266*VLOOKUP($B1266,FoodDB!$A$2:$I$1014,7,0)</f>
        <v>0</v>
      </c>
      <c r="I1266">
        <f>$C1266*VLOOKUP($B1266,FoodDB!$A$2:$I$1014,8,0)</f>
        <v>0</v>
      </c>
      <c r="J1266">
        <f>$C1266*VLOOKUP($B1266,FoodDB!$A$2:$I$1014,9,0)</f>
        <v>0</v>
      </c>
      <c r="L1266">
        <f>SUM(G1266:G1272)</f>
        <v>0</v>
      </c>
      <c r="M1266">
        <f>SUM(H1266:H1272)</f>
        <v>0</v>
      </c>
      <c r="N1266">
        <f>SUM(I1266:I1272)</f>
        <v>0</v>
      </c>
      <c r="O1266">
        <f>SUM(L1266:N1266)</f>
        <v>0</v>
      </c>
      <c r="P1266" s="103">
        <f>VLOOKUP($A1266,LossChart!$A$3:$AB$999,14,0)-L1266</f>
        <v>871.32521105597561</v>
      </c>
      <c r="Q1266" s="103">
        <f>VLOOKUP($A1266,LossChart!$A$3:$AB$999,15,0)-M1266</f>
        <v>116</v>
      </c>
      <c r="R1266" s="103">
        <f>VLOOKUP($A1266,LossChart!$A$3:$AB$999,16,0)-N1266</f>
        <v>477.30407413615825</v>
      </c>
      <c r="S1266" s="103">
        <f>VLOOKUP($A1266,LossChart!$A$3:$AB$999,17,0)-O1266</f>
        <v>1464.6292851921339</v>
      </c>
    </row>
    <row r="1267" spans="1:19" x14ac:dyDescent="0.25">
      <c r="B1267" s="99" t="s">
        <v>107</v>
      </c>
      <c r="C1267" s="100">
        <v>0</v>
      </c>
      <c r="D1267">
        <f>$C1267*VLOOKUP($B1267,FoodDB!$A$2:$I$1014,3,0)</f>
        <v>0</v>
      </c>
      <c r="E1267">
        <f>$C1267*VLOOKUP($B1267,FoodDB!$A$2:$I$1014,4,0)</f>
        <v>0</v>
      </c>
      <c r="F1267">
        <f>$C1267*VLOOKUP($B1267,FoodDB!$A$2:$I$1014,5,0)</f>
        <v>0</v>
      </c>
      <c r="G1267">
        <f>$C1267*VLOOKUP($B1267,FoodDB!$A$2:$I$1014,6,0)</f>
        <v>0</v>
      </c>
      <c r="H1267">
        <f>$C1267*VLOOKUP($B1267,FoodDB!$A$2:$I$1014,7,0)</f>
        <v>0</v>
      </c>
      <c r="I1267">
        <f>$C1267*VLOOKUP($B1267,FoodDB!$A$2:$I$1014,8,0)</f>
        <v>0</v>
      </c>
      <c r="J1267">
        <f>$C1267*VLOOKUP($B1267,FoodDB!$A$2:$I$1014,9,0)</f>
        <v>0</v>
      </c>
    </row>
    <row r="1268" spans="1:19" x14ac:dyDescent="0.25">
      <c r="B1268" s="99" t="s">
        <v>107</v>
      </c>
      <c r="C1268" s="100">
        <v>0</v>
      </c>
      <c r="D1268">
        <f>$C1268*VLOOKUP($B1268,FoodDB!$A$2:$I$1014,3,0)</f>
        <v>0</v>
      </c>
      <c r="E1268">
        <f>$C1268*VLOOKUP($B1268,FoodDB!$A$2:$I$1014,4,0)</f>
        <v>0</v>
      </c>
      <c r="F1268">
        <f>$C1268*VLOOKUP($B1268,FoodDB!$A$2:$I$1014,5,0)</f>
        <v>0</v>
      </c>
      <c r="G1268">
        <f>$C1268*VLOOKUP($B1268,FoodDB!$A$2:$I$1014,6,0)</f>
        <v>0</v>
      </c>
      <c r="H1268">
        <f>$C1268*VLOOKUP($B1268,FoodDB!$A$2:$I$1014,7,0)</f>
        <v>0</v>
      </c>
      <c r="I1268">
        <f>$C1268*VLOOKUP($B1268,FoodDB!$A$2:$I$1014,8,0)</f>
        <v>0</v>
      </c>
      <c r="J1268">
        <f>$C1268*VLOOKUP($B1268,FoodDB!$A$2:$I$1014,9,0)</f>
        <v>0</v>
      </c>
    </row>
    <row r="1269" spans="1:19" x14ac:dyDescent="0.25">
      <c r="B1269" s="99" t="s">
        <v>107</v>
      </c>
      <c r="C1269" s="100">
        <v>0</v>
      </c>
      <c r="D1269">
        <f>$C1269*VLOOKUP($B1269,FoodDB!$A$2:$I$1014,3,0)</f>
        <v>0</v>
      </c>
      <c r="E1269">
        <f>$C1269*VLOOKUP($B1269,FoodDB!$A$2:$I$1014,4,0)</f>
        <v>0</v>
      </c>
      <c r="F1269">
        <f>$C1269*VLOOKUP($B1269,FoodDB!$A$2:$I$1014,5,0)</f>
        <v>0</v>
      </c>
      <c r="G1269">
        <f>$C1269*VLOOKUP($B1269,FoodDB!$A$2:$I$1014,6,0)</f>
        <v>0</v>
      </c>
      <c r="H1269">
        <f>$C1269*VLOOKUP($B1269,FoodDB!$A$2:$I$1014,7,0)</f>
        <v>0</v>
      </c>
      <c r="I1269">
        <f>$C1269*VLOOKUP($B1269,FoodDB!$A$2:$I$1014,8,0)</f>
        <v>0</v>
      </c>
      <c r="J1269">
        <f>$C1269*VLOOKUP($B1269,FoodDB!$A$2:$I$1014,9,0)</f>
        <v>0</v>
      </c>
    </row>
    <row r="1270" spans="1:19" x14ac:dyDescent="0.25">
      <c r="B1270" s="99" t="s">
        <v>107</v>
      </c>
      <c r="C1270" s="100">
        <v>0</v>
      </c>
      <c r="D1270">
        <f>$C1270*VLOOKUP($B1270,FoodDB!$A$2:$I$1014,3,0)</f>
        <v>0</v>
      </c>
      <c r="E1270">
        <f>$C1270*VLOOKUP($B1270,FoodDB!$A$2:$I$1014,4,0)</f>
        <v>0</v>
      </c>
      <c r="F1270">
        <f>$C1270*VLOOKUP($B1270,FoodDB!$A$2:$I$1014,5,0)</f>
        <v>0</v>
      </c>
      <c r="G1270">
        <f>$C1270*VLOOKUP($B1270,FoodDB!$A$2:$I$1014,6,0)</f>
        <v>0</v>
      </c>
      <c r="H1270">
        <f>$C1270*VLOOKUP($B1270,FoodDB!$A$2:$I$1014,7,0)</f>
        <v>0</v>
      </c>
      <c r="I1270">
        <f>$C1270*VLOOKUP($B1270,FoodDB!$A$2:$I$1014,8,0)</f>
        <v>0</v>
      </c>
      <c r="J1270">
        <f>$C1270*VLOOKUP($B1270,FoodDB!$A$2:$I$1014,9,0)</f>
        <v>0</v>
      </c>
    </row>
    <row r="1271" spans="1:19" x14ac:dyDescent="0.25">
      <c r="B1271" s="99" t="s">
        <v>107</v>
      </c>
      <c r="C1271" s="100">
        <v>0</v>
      </c>
      <c r="D1271">
        <f>$C1271*VLOOKUP($B1271,FoodDB!$A$2:$I$1014,3,0)</f>
        <v>0</v>
      </c>
      <c r="E1271">
        <f>$C1271*VLOOKUP($B1271,FoodDB!$A$2:$I$1014,4,0)</f>
        <v>0</v>
      </c>
      <c r="F1271">
        <f>$C1271*VLOOKUP($B1271,FoodDB!$A$2:$I$1014,5,0)</f>
        <v>0</v>
      </c>
      <c r="G1271">
        <f>$C1271*VLOOKUP($B1271,FoodDB!$A$2:$I$1014,6,0)</f>
        <v>0</v>
      </c>
      <c r="H1271">
        <f>$C1271*VLOOKUP($B1271,FoodDB!$A$2:$I$1014,7,0)</f>
        <v>0</v>
      </c>
      <c r="I1271">
        <f>$C1271*VLOOKUP($B1271,FoodDB!$A$2:$I$1014,8,0)</f>
        <v>0</v>
      </c>
      <c r="J1271">
        <f>$C1271*VLOOKUP($B1271,FoodDB!$A$2:$I$1014,9,0)</f>
        <v>0</v>
      </c>
    </row>
    <row r="1272" spans="1:19" x14ac:dyDescent="0.25">
      <c r="B1272" s="99" t="s">
        <v>107</v>
      </c>
      <c r="C1272" s="100">
        <v>0</v>
      </c>
      <c r="D1272">
        <f>$C1272*VLOOKUP($B1272,FoodDB!$A$2:$I$1014,3,0)</f>
        <v>0</v>
      </c>
      <c r="E1272">
        <f>$C1272*VLOOKUP($B1272,FoodDB!$A$2:$I$1014,4,0)</f>
        <v>0</v>
      </c>
      <c r="F1272">
        <f>$C1272*VLOOKUP($B1272,FoodDB!$A$2:$I$1014,5,0)</f>
        <v>0</v>
      </c>
      <c r="G1272">
        <f>$C1272*VLOOKUP($B1272,FoodDB!$A$2:$I$1014,6,0)</f>
        <v>0</v>
      </c>
      <c r="H1272">
        <f>$C1272*VLOOKUP($B1272,FoodDB!$A$2:$I$1014,7,0)</f>
        <v>0</v>
      </c>
      <c r="I1272">
        <f>$C1272*VLOOKUP($B1272,FoodDB!$A$2:$I$1014,8,0)</f>
        <v>0</v>
      </c>
      <c r="J1272">
        <f>$C1272*VLOOKUP($B1272,FoodDB!$A$2:$I$1014,9,0)</f>
        <v>0</v>
      </c>
    </row>
    <row r="1273" spans="1:19" x14ac:dyDescent="0.25">
      <c r="A1273" t="s">
        <v>97</v>
      </c>
      <c r="G1273">
        <f>SUM(G1266:G1272)</f>
        <v>0</v>
      </c>
      <c r="H1273">
        <f>SUM(H1266:H1272)</f>
        <v>0</v>
      </c>
      <c r="I1273">
        <f>SUM(I1266:I1272)</f>
        <v>0</v>
      </c>
      <c r="J1273">
        <f>SUM(G1273:I1273)</f>
        <v>0</v>
      </c>
    </row>
    <row r="1274" spans="1:19" x14ac:dyDescent="0.25">
      <c r="A1274" t="s">
        <v>101</v>
      </c>
      <c r="B1274" t="s">
        <v>102</v>
      </c>
      <c r="E1274" s="103"/>
      <c r="F1274" s="103"/>
      <c r="G1274" s="103" t="e">
        <f>VLOOKUP($A1266,LossChart!$A$3:$AB$105,14,0)</f>
        <v>#N/A</v>
      </c>
      <c r="H1274" s="103" t="e">
        <f>VLOOKUP($A1266,LossChart!$A$3:$AB$105,15,0)</f>
        <v>#N/A</v>
      </c>
      <c r="I1274" s="103" t="e">
        <f>VLOOKUP($A1266,LossChart!$A$3:$AB$105,16,0)</f>
        <v>#N/A</v>
      </c>
      <c r="J1274" s="103" t="e">
        <f>VLOOKUP($A1266,LossChart!$A$3:$AB$105,17,0)</f>
        <v>#N/A</v>
      </c>
      <c r="K1274" s="103"/>
    </row>
    <row r="1275" spans="1:19" x14ac:dyDescent="0.25">
      <c r="A1275" t="s">
        <v>103</v>
      </c>
      <c r="G1275" t="e">
        <f>G1274-G1273</f>
        <v>#N/A</v>
      </c>
      <c r="H1275" t="e">
        <f>H1274-H1273</f>
        <v>#N/A</v>
      </c>
      <c r="I1275" t="e">
        <f>I1274-I1273</f>
        <v>#N/A</v>
      </c>
      <c r="J1275" t="e">
        <f>J1274-J1273</f>
        <v>#N/A</v>
      </c>
    </row>
    <row r="1277" spans="1:19" ht="60" x14ac:dyDescent="0.25">
      <c r="A1277" s="26" t="s">
        <v>63</v>
      </c>
      <c r="B1277" s="26" t="s">
        <v>92</v>
      </c>
      <c r="C1277" s="26" t="s">
        <v>93</v>
      </c>
      <c r="D1277" s="97" t="str">
        <f>FoodDB!$C$1</f>
        <v>Fat
(g)</v>
      </c>
      <c r="E1277" s="97" t="str">
        <f>FoodDB!$D$1</f>
        <v xml:space="preserve"> Carbs
(g)</v>
      </c>
      <c r="F1277" s="97" t="str">
        <f>FoodDB!$E$1</f>
        <v>Protein
(g)</v>
      </c>
      <c r="G1277" s="97" t="str">
        <f>FoodDB!$F$1</f>
        <v>Fat
(Cal)</v>
      </c>
      <c r="H1277" s="97" t="str">
        <f>FoodDB!$G$1</f>
        <v>Carb
(Cal)</v>
      </c>
      <c r="I1277" s="97" t="str">
        <f>FoodDB!$H$1</f>
        <v>Protein
(Cal)</v>
      </c>
      <c r="J1277" s="97" t="str">
        <f>FoodDB!$I$1</f>
        <v>Total
Calories</v>
      </c>
      <c r="K1277" s="97"/>
      <c r="L1277" s="97" t="s">
        <v>109</v>
      </c>
      <c r="M1277" s="97" t="s">
        <v>110</v>
      </c>
      <c r="N1277" s="97" t="s">
        <v>111</v>
      </c>
      <c r="O1277" s="97" t="s">
        <v>112</v>
      </c>
      <c r="P1277" s="97" t="s">
        <v>117</v>
      </c>
      <c r="Q1277" s="97" t="s">
        <v>118</v>
      </c>
      <c r="R1277" s="97" t="s">
        <v>119</v>
      </c>
      <c r="S1277" s="97" t="s">
        <v>120</v>
      </c>
    </row>
    <row r="1278" spans="1:19" x14ac:dyDescent="0.25">
      <c r="A1278" s="98">
        <f>A1266+1</f>
        <v>43100</v>
      </c>
      <c r="B1278" s="99" t="s">
        <v>107</v>
      </c>
      <c r="C1278" s="100">
        <v>0</v>
      </c>
      <c r="D1278">
        <f>$C1278*VLOOKUP($B1278,FoodDB!$A$2:$I$1014,3,0)</f>
        <v>0</v>
      </c>
      <c r="E1278">
        <f>$C1278*VLOOKUP($B1278,FoodDB!$A$2:$I$1014,4,0)</f>
        <v>0</v>
      </c>
      <c r="F1278">
        <f>$C1278*VLOOKUP($B1278,FoodDB!$A$2:$I$1014,5,0)</f>
        <v>0</v>
      </c>
      <c r="G1278">
        <f>$C1278*VLOOKUP($B1278,FoodDB!$A$2:$I$1014,6,0)</f>
        <v>0</v>
      </c>
      <c r="H1278">
        <f>$C1278*VLOOKUP($B1278,FoodDB!$A$2:$I$1014,7,0)</f>
        <v>0</v>
      </c>
      <c r="I1278">
        <f>$C1278*VLOOKUP($B1278,FoodDB!$A$2:$I$1014,8,0)</f>
        <v>0</v>
      </c>
      <c r="J1278">
        <f>$C1278*VLOOKUP($B1278,FoodDB!$A$2:$I$1014,9,0)</f>
        <v>0</v>
      </c>
      <c r="L1278">
        <f>SUM(G1278:G1284)</f>
        <v>0</v>
      </c>
      <c r="M1278">
        <f>SUM(H1278:H1284)</f>
        <v>0</v>
      </c>
      <c r="N1278">
        <f>SUM(I1278:I1284)</f>
        <v>0</v>
      </c>
      <c r="O1278">
        <f>SUM(L1278:N1278)</f>
        <v>0</v>
      </c>
      <c r="P1278" s="103">
        <f>VLOOKUP($A1278,LossChart!$A$3:$AB$999,14,0)-L1278</f>
        <v>874.79134953869425</v>
      </c>
      <c r="Q1278" s="103">
        <f>VLOOKUP($A1278,LossChart!$A$3:$AB$999,15,0)-M1278</f>
        <v>116</v>
      </c>
      <c r="R1278" s="103">
        <f>VLOOKUP($A1278,LossChart!$A$3:$AB$999,16,0)-N1278</f>
        <v>477.30407413615825</v>
      </c>
      <c r="S1278" s="103">
        <f>VLOOKUP($A1278,LossChart!$A$3:$AB$999,17,0)-O1278</f>
        <v>1468.0954236748526</v>
      </c>
    </row>
    <row r="1279" spans="1:19" x14ac:dyDescent="0.25">
      <c r="B1279" s="99" t="s">
        <v>107</v>
      </c>
      <c r="C1279" s="100">
        <v>0</v>
      </c>
      <c r="D1279">
        <f>$C1279*VLOOKUP($B1279,FoodDB!$A$2:$I$1014,3,0)</f>
        <v>0</v>
      </c>
      <c r="E1279">
        <f>$C1279*VLOOKUP($B1279,FoodDB!$A$2:$I$1014,4,0)</f>
        <v>0</v>
      </c>
      <c r="F1279">
        <f>$C1279*VLOOKUP($B1279,FoodDB!$A$2:$I$1014,5,0)</f>
        <v>0</v>
      </c>
      <c r="G1279">
        <f>$C1279*VLOOKUP($B1279,FoodDB!$A$2:$I$1014,6,0)</f>
        <v>0</v>
      </c>
      <c r="H1279">
        <f>$C1279*VLOOKUP($B1279,FoodDB!$A$2:$I$1014,7,0)</f>
        <v>0</v>
      </c>
      <c r="I1279">
        <f>$C1279*VLOOKUP($B1279,FoodDB!$A$2:$I$1014,8,0)</f>
        <v>0</v>
      </c>
      <c r="J1279">
        <f>$C1279*VLOOKUP($B1279,FoodDB!$A$2:$I$1014,9,0)</f>
        <v>0</v>
      </c>
    </row>
    <row r="1280" spans="1:19" x14ac:dyDescent="0.25">
      <c r="B1280" s="99" t="s">
        <v>107</v>
      </c>
      <c r="C1280" s="100">
        <v>0</v>
      </c>
      <c r="D1280">
        <f>$C1280*VLOOKUP($B1280,FoodDB!$A$2:$I$1014,3,0)</f>
        <v>0</v>
      </c>
      <c r="E1280">
        <f>$C1280*VLOOKUP($B1280,FoodDB!$A$2:$I$1014,4,0)</f>
        <v>0</v>
      </c>
      <c r="F1280">
        <f>$C1280*VLOOKUP($B1280,FoodDB!$A$2:$I$1014,5,0)</f>
        <v>0</v>
      </c>
      <c r="G1280">
        <f>$C1280*VLOOKUP($B1280,FoodDB!$A$2:$I$1014,6,0)</f>
        <v>0</v>
      </c>
      <c r="H1280">
        <f>$C1280*VLOOKUP($B1280,FoodDB!$A$2:$I$1014,7,0)</f>
        <v>0</v>
      </c>
      <c r="I1280">
        <f>$C1280*VLOOKUP($B1280,FoodDB!$A$2:$I$1014,8,0)</f>
        <v>0</v>
      </c>
      <c r="J1280">
        <f>$C1280*VLOOKUP($B1280,FoodDB!$A$2:$I$1014,9,0)</f>
        <v>0</v>
      </c>
    </row>
    <row r="1281" spans="1:19" x14ac:dyDescent="0.25">
      <c r="B1281" s="99" t="s">
        <v>107</v>
      </c>
      <c r="C1281" s="100">
        <v>0</v>
      </c>
      <c r="D1281">
        <f>$C1281*VLOOKUP($B1281,FoodDB!$A$2:$I$1014,3,0)</f>
        <v>0</v>
      </c>
      <c r="E1281">
        <f>$C1281*VLOOKUP($B1281,FoodDB!$A$2:$I$1014,4,0)</f>
        <v>0</v>
      </c>
      <c r="F1281">
        <f>$C1281*VLOOKUP($B1281,FoodDB!$A$2:$I$1014,5,0)</f>
        <v>0</v>
      </c>
      <c r="G1281">
        <f>$C1281*VLOOKUP($B1281,FoodDB!$A$2:$I$1014,6,0)</f>
        <v>0</v>
      </c>
      <c r="H1281">
        <f>$C1281*VLOOKUP($B1281,FoodDB!$A$2:$I$1014,7,0)</f>
        <v>0</v>
      </c>
      <c r="I1281">
        <f>$C1281*VLOOKUP($B1281,FoodDB!$A$2:$I$1014,8,0)</f>
        <v>0</v>
      </c>
      <c r="J1281">
        <f>$C1281*VLOOKUP($B1281,FoodDB!$A$2:$I$1014,9,0)</f>
        <v>0</v>
      </c>
    </row>
    <row r="1282" spans="1:19" x14ac:dyDescent="0.25">
      <c r="B1282" s="99" t="s">
        <v>107</v>
      </c>
      <c r="C1282" s="100">
        <v>0</v>
      </c>
      <c r="D1282">
        <f>$C1282*VLOOKUP($B1282,FoodDB!$A$2:$I$1014,3,0)</f>
        <v>0</v>
      </c>
      <c r="E1282">
        <f>$C1282*VLOOKUP($B1282,FoodDB!$A$2:$I$1014,4,0)</f>
        <v>0</v>
      </c>
      <c r="F1282">
        <f>$C1282*VLOOKUP($B1282,FoodDB!$A$2:$I$1014,5,0)</f>
        <v>0</v>
      </c>
      <c r="G1282">
        <f>$C1282*VLOOKUP($B1282,FoodDB!$A$2:$I$1014,6,0)</f>
        <v>0</v>
      </c>
      <c r="H1282">
        <f>$C1282*VLOOKUP($B1282,FoodDB!$A$2:$I$1014,7,0)</f>
        <v>0</v>
      </c>
      <c r="I1282">
        <f>$C1282*VLOOKUP($B1282,FoodDB!$A$2:$I$1014,8,0)</f>
        <v>0</v>
      </c>
      <c r="J1282">
        <f>$C1282*VLOOKUP($B1282,FoodDB!$A$2:$I$1014,9,0)</f>
        <v>0</v>
      </c>
    </row>
    <row r="1283" spans="1:19" x14ac:dyDescent="0.25">
      <c r="B1283" s="99" t="s">
        <v>107</v>
      </c>
      <c r="C1283" s="100">
        <v>0</v>
      </c>
      <c r="D1283">
        <f>$C1283*VLOOKUP($B1283,FoodDB!$A$2:$I$1014,3,0)</f>
        <v>0</v>
      </c>
      <c r="E1283">
        <f>$C1283*VLOOKUP($B1283,FoodDB!$A$2:$I$1014,4,0)</f>
        <v>0</v>
      </c>
      <c r="F1283">
        <f>$C1283*VLOOKUP($B1283,FoodDB!$A$2:$I$1014,5,0)</f>
        <v>0</v>
      </c>
      <c r="G1283">
        <f>$C1283*VLOOKUP($B1283,FoodDB!$A$2:$I$1014,6,0)</f>
        <v>0</v>
      </c>
      <c r="H1283">
        <f>$C1283*VLOOKUP($B1283,FoodDB!$A$2:$I$1014,7,0)</f>
        <v>0</v>
      </c>
      <c r="I1283">
        <f>$C1283*VLOOKUP($B1283,FoodDB!$A$2:$I$1014,8,0)</f>
        <v>0</v>
      </c>
      <c r="J1283">
        <f>$C1283*VLOOKUP($B1283,FoodDB!$A$2:$I$1014,9,0)</f>
        <v>0</v>
      </c>
    </row>
    <row r="1284" spans="1:19" x14ac:dyDescent="0.25">
      <c r="B1284" s="99" t="s">
        <v>107</v>
      </c>
      <c r="C1284" s="100">
        <v>0</v>
      </c>
      <c r="D1284">
        <f>$C1284*VLOOKUP($B1284,FoodDB!$A$2:$I$1014,3,0)</f>
        <v>0</v>
      </c>
      <c r="E1284">
        <f>$C1284*VLOOKUP($B1284,FoodDB!$A$2:$I$1014,4,0)</f>
        <v>0</v>
      </c>
      <c r="F1284">
        <f>$C1284*VLOOKUP($B1284,FoodDB!$A$2:$I$1014,5,0)</f>
        <v>0</v>
      </c>
      <c r="G1284">
        <f>$C1284*VLOOKUP($B1284,FoodDB!$A$2:$I$1014,6,0)</f>
        <v>0</v>
      </c>
      <c r="H1284">
        <f>$C1284*VLOOKUP($B1284,FoodDB!$A$2:$I$1014,7,0)</f>
        <v>0</v>
      </c>
      <c r="I1284">
        <f>$C1284*VLOOKUP($B1284,FoodDB!$A$2:$I$1014,8,0)</f>
        <v>0</v>
      </c>
      <c r="J1284">
        <f>$C1284*VLOOKUP($B1284,FoodDB!$A$2:$I$1014,9,0)</f>
        <v>0</v>
      </c>
    </row>
    <row r="1285" spans="1:19" x14ac:dyDescent="0.25">
      <c r="A1285" t="s">
        <v>97</v>
      </c>
      <c r="G1285">
        <f>SUM(G1278:G1284)</f>
        <v>0</v>
      </c>
      <c r="H1285">
        <f>SUM(H1278:H1284)</f>
        <v>0</v>
      </c>
      <c r="I1285">
        <f>SUM(I1278:I1284)</f>
        <v>0</v>
      </c>
      <c r="J1285">
        <f>SUM(G1285:I1285)</f>
        <v>0</v>
      </c>
    </row>
    <row r="1286" spans="1:19" x14ac:dyDescent="0.25">
      <c r="A1286" t="s">
        <v>101</v>
      </c>
      <c r="B1286" t="s">
        <v>102</v>
      </c>
      <c r="E1286" s="103"/>
      <c r="F1286" s="103"/>
      <c r="G1286" s="103" t="e">
        <f>VLOOKUP($A1278,LossChart!$A$3:$AB$105,14,0)</f>
        <v>#N/A</v>
      </c>
      <c r="H1286" s="103" t="e">
        <f>VLOOKUP($A1278,LossChart!$A$3:$AB$105,15,0)</f>
        <v>#N/A</v>
      </c>
      <c r="I1286" s="103" t="e">
        <f>VLOOKUP($A1278,LossChart!$A$3:$AB$105,16,0)</f>
        <v>#N/A</v>
      </c>
      <c r="J1286" s="103" t="e">
        <f>VLOOKUP($A1278,LossChart!$A$3:$AB$105,17,0)</f>
        <v>#N/A</v>
      </c>
      <c r="K1286" s="103"/>
    </row>
    <row r="1287" spans="1:19" x14ac:dyDescent="0.25">
      <c r="A1287" t="s">
        <v>103</v>
      </c>
      <c r="G1287" t="e">
        <f>G1286-G1285</f>
        <v>#N/A</v>
      </c>
      <c r="H1287" t="e">
        <f>H1286-H1285</f>
        <v>#N/A</v>
      </c>
      <c r="I1287" t="e">
        <f>I1286-I1285</f>
        <v>#N/A</v>
      </c>
      <c r="J1287" t="e">
        <f>J1286-J1285</f>
        <v>#N/A</v>
      </c>
    </row>
    <row r="1289" spans="1:19" ht="60" x14ac:dyDescent="0.25">
      <c r="A1289" s="26" t="s">
        <v>63</v>
      </c>
      <c r="B1289" s="26" t="s">
        <v>92</v>
      </c>
      <c r="C1289" s="26" t="s">
        <v>93</v>
      </c>
      <c r="D1289" s="97" t="str">
        <f>FoodDB!$C$1</f>
        <v>Fat
(g)</v>
      </c>
      <c r="E1289" s="97" t="str">
        <f>FoodDB!$D$1</f>
        <v xml:space="preserve"> Carbs
(g)</v>
      </c>
      <c r="F1289" s="97" t="str">
        <f>FoodDB!$E$1</f>
        <v>Protein
(g)</v>
      </c>
      <c r="G1289" s="97" t="str">
        <f>FoodDB!$F$1</f>
        <v>Fat
(Cal)</v>
      </c>
      <c r="H1289" s="97" t="str">
        <f>FoodDB!$G$1</f>
        <v>Carb
(Cal)</v>
      </c>
      <c r="I1289" s="97" t="str">
        <f>FoodDB!$H$1</f>
        <v>Protein
(Cal)</v>
      </c>
      <c r="J1289" s="97" t="str">
        <f>FoodDB!$I$1</f>
        <v>Total
Calories</v>
      </c>
      <c r="K1289" s="97"/>
      <c r="L1289" s="97" t="s">
        <v>109</v>
      </c>
      <c r="M1289" s="97" t="s">
        <v>110</v>
      </c>
      <c r="N1289" s="97" t="s">
        <v>111</v>
      </c>
      <c r="O1289" s="97" t="s">
        <v>112</v>
      </c>
      <c r="P1289" s="97" t="s">
        <v>117</v>
      </c>
      <c r="Q1289" s="97" t="s">
        <v>118</v>
      </c>
      <c r="R1289" s="97" t="s">
        <v>119</v>
      </c>
      <c r="S1289" s="97" t="s">
        <v>120</v>
      </c>
    </row>
    <row r="1290" spans="1:19" x14ac:dyDescent="0.25">
      <c r="A1290" s="98">
        <f>A1278+1</f>
        <v>43101</v>
      </c>
      <c r="B1290" s="99" t="s">
        <v>107</v>
      </c>
      <c r="C1290" s="100">
        <v>0</v>
      </c>
      <c r="D1290">
        <f>$C1290*VLOOKUP($B1290,FoodDB!$A$2:$I$1014,3,0)</f>
        <v>0</v>
      </c>
      <c r="E1290">
        <f>$C1290*VLOOKUP($B1290,FoodDB!$A$2:$I$1014,4,0)</f>
        <v>0</v>
      </c>
      <c r="F1290">
        <f>$C1290*VLOOKUP($B1290,FoodDB!$A$2:$I$1014,5,0)</f>
        <v>0</v>
      </c>
      <c r="G1290">
        <f>$C1290*VLOOKUP($B1290,FoodDB!$A$2:$I$1014,6,0)</f>
        <v>0</v>
      </c>
      <c r="H1290">
        <f>$C1290*VLOOKUP($B1290,FoodDB!$A$2:$I$1014,7,0)</f>
        <v>0</v>
      </c>
      <c r="I1290">
        <f>$C1290*VLOOKUP($B1290,FoodDB!$A$2:$I$1014,8,0)</f>
        <v>0</v>
      </c>
      <c r="J1290">
        <f>$C1290*VLOOKUP($B1290,FoodDB!$A$2:$I$1014,9,0)</f>
        <v>0</v>
      </c>
      <c r="L1290">
        <f>SUM(G1290:G1296)</f>
        <v>0</v>
      </c>
      <c r="M1290">
        <f>SUM(H1290:H1296)</f>
        <v>0</v>
      </c>
      <c r="N1290">
        <f>SUM(I1290:I1296)</f>
        <v>0</v>
      </c>
      <c r="O1290">
        <f>SUM(L1290:N1290)</f>
        <v>0</v>
      </c>
      <c r="P1290" s="103" t="e">
        <f>VLOOKUP($A1290,LossChart!$A$3:$AB$999,14,0)-L1290</f>
        <v>#N/A</v>
      </c>
      <c r="Q1290" s="103" t="e">
        <f>VLOOKUP($A1290,LossChart!$A$3:$AB$999,15,0)-M1290</f>
        <v>#N/A</v>
      </c>
      <c r="R1290" s="103" t="e">
        <f>VLOOKUP($A1290,LossChart!$A$3:$AB$999,16,0)-N1290</f>
        <v>#N/A</v>
      </c>
      <c r="S1290" s="103" t="e">
        <f>VLOOKUP($A1290,LossChart!$A$3:$AB$999,17,0)-O1290</f>
        <v>#N/A</v>
      </c>
    </row>
    <row r="1291" spans="1:19" x14ac:dyDescent="0.25">
      <c r="B1291" s="99" t="s">
        <v>107</v>
      </c>
      <c r="C1291" s="100">
        <v>0</v>
      </c>
      <c r="D1291">
        <f>$C1291*VLOOKUP($B1291,FoodDB!$A$2:$I$1014,3,0)</f>
        <v>0</v>
      </c>
      <c r="E1291">
        <f>$C1291*VLOOKUP($B1291,FoodDB!$A$2:$I$1014,4,0)</f>
        <v>0</v>
      </c>
      <c r="F1291">
        <f>$C1291*VLOOKUP($B1291,FoodDB!$A$2:$I$1014,5,0)</f>
        <v>0</v>
      </c>
      <c r="G1291">
        <f>$C1291*VLOOKUP($B1291,FoodDB!$A$2:$I$1014,6,0)</f>
        <v>0</v>
      </c>
      <c r="H1291">
        <f>$C1291*VLOOKUP($B1291,FoodDB!$A$2:$I$1014,7,0)</f>
        <v>0</v>
      </c>
      <c r="I1291">
        <f>$C1291*VLOOKUP($B1291,FoodDB!$A$2:$I$1014,8,0)</f>
        <v>0</v>
      </c>
      <c r="J1291">
        <f>$C1291*VLOOKUP($B1291,FoodDB!$A$2:$I$1014,9,0)</f>
        <v>0</v>
      </c>
    </row>
    <row r="1292" spans="1:19" x14ac:dyDescent="0.25">
      <c r="B1292" s="99" t="s">
        <v>107</v>
      </c>
      <c r="C1292" s="100">
        <v>0</v>
      </c>
      <c r="D1292">
        <f>$C1292*VLOOKUP($B1292,FoodDB!$A$2:$I$1014,3,0)</f>
        <v>0</v>
      </c>
      <c r="E1292">
        <f>$C1292*VLOOKUP($B1292,FoodDB!$A$2:$I$1014,4,0)</f>
        <v>0</v>
      </c>
      <c r="F1292">
        <f>$C1292*VLOOKUP($B1292,FoodDB!$A$2:$I$1014,5,0)</f>
        <v>0</v>
      </c>
      <c r="G1292">
        <f>$C1292*VLOOKUP($B1292,FoodDB!$A$2:$I$1014,6,0)</f>
        <v>0</v>
      </c>
      <c r="H1292">
        <f>$C1292*VLOOKUP($B1292,FoodDB!$A$2:$I$1014,7,0)</f>
        <v>0</v>
      </c>
      <c r="I1292">
        <f>$C1292*VLOOKUP($B1292,FoodDB!$A$2:$I$1014,8,0)</f>
        <v>0</v>
      </c>
      <c r="J1292">
        <f>$C1292*VLOOKUP($B1292,FoodDB!$A$2:$I$1014,9,0)</f>
        <v>0</v>
      </c>
    </row>
    <row r="1293" spans="1:19" x14ac:dyDescent="0.25">
      <c r="B1293" s="99" t="s">
        <v>107</v>
      </c>
      <c r="C1293" s="100">
        <v>0</v>
      </c>
      <c r="D1293">
        <f>$C1293*VLOOKUP($B1293,FoodDB!$A$2:$I$1014,3,0)</f>
        <v>0</v>
      </c>
      <c r="E1293">
        <f>$C1293*VLOOKUP($B1293,FoodDB!$A$2:$I$1014,4,0)</f>
        <v>0</v>
      </c>
      <c r="F1293">
        <f>$C1293*VLOOKUP($B1293,FoodDB!$A$2:$I$1014,5,0)</f>
        <v>0</v>
      </c>
      <c r="G1293">
        <f>$C1293*VLOOKUP($B1293,FoodDB!$A$2:$I$1014,6,0)</f>
        <v>0</v>
      </c>
      <c r="H1293">
        <f>$C1293*VLOOKUP($B1293,FoodDB!$A$2:$I$1014,7,0)</f>
        <v>0</v>
      </c>
      <c r="I1293">
        <f>$C1293*VLOOKUP($B1293,FoodDB!$A$2:$I$1014,8,0)</f>
        <v>0</v>
      </c>
      <c r="J1293">
        <f>$C1293*VLOOKUP($B1293,FoodDB!$A$2:$I$1014,9,0)</f>
        <v>0</v>
      </c>
    </row>
    <row r="1294" spans="1:19" x14ac:dyDescent="0.25">
      <c r="B1294" s="99" t="s">
        <v>107</v>
      </c>
      <c r="C1294" s="100">
        <v>0</v>
      </c>
      <c r="D1294">
        <f>$C1294*VLOOKUP($B1294,FoodDB!$A$2:$I$1014,3,0)</f>
        <v>0</v>
      </c>
      <c r="E1294">
        <f>$C1294*VLOOKUP($B1294,FoodDB!$A$2:$I$1014,4,0)</f>
        <v>0</v>
      </c>
      <c r="F1294">
        <f>$C1294*VLOOKUP($B1294,FoodDB!$A$2:$I$1014,5,0)</f>
        <v>0</v>
      </c>
      <c r="G1294">
        <f>$C1294*VLOOKUP($B1294,FoodDB!$A$2:$I$1014,6,0)</f>
        <v>0</v>
      </c>
      <c r="H1294">
        <f>$C1294*VLOOKUP($B1294,FoodDB!$A$2:$I$1014,7,0)</f>
        <v>0</v>
      </c>
      <c r="I1294">
        <f>$C1294*VLOOKUP($B1294,FoodDB!$A$2:$I$1014,8,0)</f>
        <v>0</v>
      </c>
      <c r="J1294">
        <f>$C1294*VLOOKUP($B1294,FoodDB!$A$2:$I$1014,9,0)</f>
        <v>0</v>
      </c>
    </row>
    <row r="1295" spans="1:19" x14ac:dyDescent="0.25">
      <c r="B1295" s="99" t="s">
        <v>107</v>
      </c>
      <c r="C1295" s="100">
        <v>0</v>
      </c>
      <c r="D1295">
        <f>$C1295*VLOOKUP($B1295,FoodDB!$A$2:$I$1014,3,0)</f>
        <v>0</v>
      </c>
      <c r="E1295">
        <f>$C1295*VLOOKUP($B1295,FoodDB!$A$2:$I$1014,4,0)</f>
        <v>0</v>
      </c>
      <c r="F1295">
        <f>$C1295*VLOOKUP($B1295,FoodDB!$A$2:$I$1014,5,0)</f>
        <v>0</v>
      </c>
      <c r="G1295">
        <f>$C1295*VLOOKUP($B1295,FoodDB!$A$2:$I$1014,6,0)</f>
        <v>0</v>
      </c>
      <c r="H1295">
        <f>$C1295*VLOOKUP($B1295,FoodDB!$A$2:$I$1014,7,0)</f>
        <v>0</v>
      </c>
      <c r="I1295">
        <f>$C1295*VLOOKUP($B1295,FoodDB!$A$2:$I$1014,8,0)</f>
        <v>0</v>
      </c>
      <c r="J1295">
        <f>$C1295*VLOOKUP($B1295,FoodDB!$A$2:$I$1014,9,0)</f>
        <v>0</v>
      </c>
    </row>
    <row r="1296" spans="1:19" x14ac:dyDescent="0.25">
      <c r="B1296" s="99" t="s">
        <v>107</v>
      </c>
      <c r="C1296" s="100">
        <v>0</v>
      </c>
      <c r="D1296">
        <f>$C1296*VLOOKUP($B1296,FoodDB!$A$2:$I$1014,3,0)</f>
        <v>0</v>
      </c>
      <c r="E1296">
        <f>$C1296*VLOOKUP($B1296,FoodDB!$A$2:$I$1014,4,0)</f>
        <v>0</v>
      </c>
      <c r="F1296">
        <f>$C1296*VLOOKUP($B1296,FoodDB!$A$2:$I$1014,5,0)</f>
        <v>0</v>
      </c>
      <c r="G1296">
        <f>$C1296*VLOOKUP($B1296,FoodDB!$A$2:$I$1014,6,0)</f>
        <v>0</v>
      </c>
      <c r="H1296">
        <f>$C1296*VLOOKUP($B1296,FoodDB!$A$2:$I$1014,7,0)</f>
        <v>0</v>
      </c>
      <c r="I1296">
        <f>$C1296*VLOOKUP($B1296,FoodDB!$A$2:$I$1014,8,0)</f>
        <v>0</v>
      </c>
      <c r="J1296">
        <f>$C1296*VLOOKUP($B1296,FoodDB!$A$2:$I$1014,9,0)</f>
        <v>0</v>
      </c>
    </row>
    <row r="1297" spans="1:11" x14ac:dyDescent="0.25">
      <c r="A1297" t="s">
        <v>97</v>
      </c>
      <c r="G1297">
        <f>SUM(G1290:G1296)</f>
        <v>0</v>
      </c>
      <c r="H1297">
        <f>SUM(H1290:H1296)</f>
        <v>0</v>
      </c>
      <c r="I1297">
        <f>SUM(I1290:I1296)</f>
        <v>0</v>
      </c>
      <c r="J1297">
        <f>SUM(G1297:I1297)</f>
        <v>0</v>
      </c>
    </row>
    <row r="1298" spans="1:11" x14ac:dyDescent="0.25">
      <c r="A1298" t="s">
        <v>101</v>
      </c>
      <c r="B1298" t="s">
        <v>102</v>
      </c>
      <c r="E1298" s="103"/>
      <c r="F1298" s="103"/>
      <c r="G1298" s="103" t="e">
        <f>VLOOKUP($A1290,LossChart!$A$3:$AB$105,14,0)</f>
        <v>#N/A</v>
      </c>
      <c r="H1298" s="103" t="e">
        <f>VLOOKUP($A1290,LossChart!$A$3:$AB$105,15,0)</f>
        <v>#N/A</v>
      </c>
      <c r="I1298" s="103" t="e">
        <f>VLOOKUP($A1290,LossChart!$A$3:$AB$105,16,0)</f>
        <v>#N/A</v>
      </c>
      <c r="J1298" s="103" t="e">
        <f>VLOOKUP($A1290,LossChart!$A$3:$AB$105,17,0)</f>
        <v>#N/A</v>
      </c>
      <c r="K1298" s="103"/>
    </row>
    <row r="1299" spans="1:11" x14ac:dyDescent="0.25">
      <c r="A1299" t="s">
        <v>103</v>
      </c>
      <c r="G1299" t="e">
        <f>G1298-G1297</f>
        <v>#N/A</v>
      </c>
      <c r="H1299" t="e">
        <f>H1298-H1297</f>
        <v>#N/A</v>
      </c>
      <c r="I1299" t="e">
        <f>I1298-I1297</f>
        <v>#N/A</v>
      </c>
      <c r="J1299" t="e">
        <f>J1298-J1297</f>
        <v>#N/A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operator="equal" allowBlank="1" showErrorMessage="1">
          <x14:formula1>
            <xm:f>FoodDB!$A$2:$A$44</xm:f>
          </x14:formula1>
          <x14:formula2>
            <xm:f>0</xm:f>
          </x14:formula2>
          <xm:sqref>B2:B5 B9:B10 B14:B16 B20:B23 B29:B33 B39:B43 B49:B55 B61:B67 B73:B79 B85:B91 B97:B103 B109:B115 B121:B127 B130:B136 B142:B148 B154:B161 B167:B174 B180:B186 B192:B198 B204:B213 B1290:B1296 B234:B240 B246:B252 B258:B264 B270:B276 B282:B288 B294:B300 B306:B312 B318:B324 B330:B336 B342:B348 B354:B360 B366:B372 B378:B384 B390:B396 B402:B408 B414:B420 B426:B432 B438:B444 B450:B456 B462:B468 B474:B480 B486:B492 B498:B504 B510:B516 B522:B528 B534:B540 B546:B552 B558:B564 B570:B576 B582:B588 B594:B600 B606:B612 B618:B624 B630:B636 B642:B648 B654:B660 B666:B672 B678:B684 B690:B696 B702:B708 B714:B720 B726:B732 B738:B744 B750:B756 B762:B768 B774:B780 B786:B792 B798:B804 B810:B816 B822:B828 B834:B840 B846:B852 B858:B864 B870:B876 B882:B888 B894:B900 B906:B912 B918:B924 B930:B936 B942:B948 B954:B960 B966:B972 B978:B984 B990:B996 B1002:B1008 B1014:B1020 B1026:B1032 B1038:B1044 B1050:B1056 B1062:B1068 B1074:B1080 B1086:B1092 B1098:B1104 B1110:B1116 B1122:B1128 B1134:B1140 B1146:B1152 B1158:B1164 B1170:B1176 B1182:B1188 B1194:B1200 B1206:B1212 B1218:B1224 B1230:B1236 B1242:B1248 B1254:B1260 B1266:B1272 B1278:B1284 B219:B228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"/>
  <sheetViews>
    <sheetView zoomScale="160" zoomScaleNormal="160" workbookViewId="0">
      <pane ySplit="1" topLeftCell="A17" activePane="bottomLeft" state="frozen"/>
      <selection pane="bottomLeft" activeCell="A30" sqref="A30"/>
    </sheetView>
  </sheetViews>
  <sheetFormatPr defaultRowHeight="15" x14ac:dyDescent="0.25"/>
  <cols>
    <col min="1" max="1" width="20.85546875" style="38" customWidth="1"/>
    <col min="2" max="2" width="11" style="104" customWidth="1"/>
    <col min="3" max="3" width="5.140625" style="38" customWidth="1"/>
    <col min="4" max="4" width="5.85546875" style="38" customWidth="1"/>
    <col min="5" max="5" width="12.140625" style="38" customWidth="1"/>
    <col min="6" max="6" width="6.28515625" style="38" customWidth="1"/>
    <col min="7" max="7" width="5.140625" style="38" customWidth="1"/>
    <col min="8" max="8" width="7.42578125" style="38" customWidth="1"/>
    <col min="9" max="9" width="8.85546875" style="38" customWidth="1"/>
    <col min="10" max="1025" width="11.5703125" style="38" customWidth="1"/>
  </cols>
  <sheetData>
    <row r="1" spans="1:9" ht="45" x14ac:dyDescent="0.25">
      <c r="A1" s="105" t="s">
        <v>92</v>
      </c>
      <c r="B1" s="106" t="s">
        <v>132</v>
      </c>
      <c r="C1" s="107" t="s">
        <v>70</v>
      </c>
      <c r="D1" s="107" t="s">
        <v>133</v>
      </c>
      <c r="E1" s="107" t="s">
        <v>72</v>
      </c>
      <c r="F1" s="107" t="s">
        <v>134</v>
      </c>
      <c r="G1" s="107" t="s">
        <v>135</v>
      </c>
      <c r="H1" s="107" t="s">
        <v>136</v>
      </c>
      <c r="I1" s="108" t="s">
        <v>137</v>
      </c>
    </row>
    <row r="2" spans="1:9" x14ac:dyDescent="0.25">
      <c r="A2" s="38" t="s">
        <v>107</v>
      </c>
      <c r="B2" s="104">
        <v>1</v>
      </c>
      <c r="C2" s="109">
        <v>0</v>
      </c>
      <c r="D2" s="109">
        <v>0</v>
      </c>
      <c r="E2" s="109">
        <v>0</v>
      </c>
      <c r="F2" s="109">
        <f>9*C2</f>
        <v>0</v>
      </c>
      <c r="G2" s="109">
        <f t="shared" ref="G2:H4" si="0">4*D2</f>
        <v>0</v>
      </c>
      <c r="H2" s="109">
        <f t="shared" si="0"/>
        <v>0</v>
      </c>
      <c r="I2" s="109">
        <f>SUM(F2:H2)</f>
        <v>0</v>
      </c>
    </row>
    <row r="3" spans="1:9" x14ac:dyDescent="0.25">
      <c r="A3" s="38" t="s">
        <v>126</v>
      </c>
      <c r="B3" s="104" t="s">
        <v>138</v>
      </c>
      <c r="C3" s="109">
        <v>15</v>
      </c>
      <c r="D3" s="109">
        <v>2</v>
      </c>
      <c r="E3" s="109">
        <v>7</v>
      </c>
      <c r="F3" s="109">
        <f>9*C3</f>
        <v>135</v>
      </c>
      <c r="G3" s="109">
        <f t="shared" si="0"/>
        <v>8</v>
      </c>
      <c r="H3" s="109">
        <f t="shared" si="0"/>
        <v>28</v>
      </c>
      <c r="I3" s="109">
        <f>SUM(F3:H3)</f>
        <v>171</v>
      </c>
    </row>
    <row r="4" spans="1:9" x14ac:dyDescent="0.25">
      <c r="A4" s="38" t="s">
        <v>105</v>
      </c>
      <c r="B4" s="104" t="s">
        <v>139</v>
      </c>
      <c r="C4" s="38">
        <v>0.1</v>
      </c>
      <c r="D4" s="38">
        <v>1.8</v>
      </c>
      <c r="E4" s="38">
        <v>2.2000000000000002</v>
      </c>
      <c r="F4" s="109">
        <f>9*C4</f>
        <v>0.9</v>
      </c>
      <c r="G4" s="109">
        <f t="shared" si="0"/>
        <v>7.2</v>
      </c>
      <c r="H4" s="109">
        <f t="shared" si="0"/>
        <v>8.8000000000000007</v>
      </c>
      <c r="I4" s="109">
        <f>SUM(F4:H4)</f>
        <v>16.899999999999999</v>
      </c>
    </row>
    <row r="5" spans="1:9" x14ac:dyDescent="0.25">
      <c r="A5" s="38" t="s">
        <v>129</v>
      </c>
      <c r="B5" s="104" t="s">
        <v>139</v>
      </c>
      <c r="D5" s="38">
        <v>5.35</v>
      </c>
      <c r="F5" s="109"/>
      <c r="G5" s="109"/>
      <c r="H5" s="109"/>
      <c r="I5" s="109"/>
    </row>
    <row r="6" spans="1:9" x14ac:dyDescent="0.25">
      <c r="A6" s="38" t="s">
        <v>95</v>
      </c>
      <c r="B6" s="104" t="s">
        <v>140</v>
      </c>
      <c r="C6" s="109">
        <f>4.5*0/14</f>
        <v>0</v>
      </c>
      <c r="D6" s="109">
        <f>4.5*2/14</f>
        <v>0.6428571428571429</v>
      </c>
      <c r="E6" s="109">
        <f>4.5*1/14</f>
        <v>0.32142857142857145</v>
      </c>
      <c r="F6" s="109">
        <f t="shared" ref="F6:F33" si="1">9*C6</f>
        <v>0</v>
      </c>
      <c r="G6" s="109">
        <f t="shared" ref="G6:G33" si="2">4*D6</f>
        <v>2.5714285714285716</v>
      </c>
      <c r="H6" s="109">
        <f t="shared" ref="H6:H33" si="3">4*E6</f>
        <v>1.2857142857142858</v>
      </c>
      <c r="I6" s="109">
        <f t="shared" ref="I6:I33" si="4">SUM(F6:H6)</f>
        <v>3.8571428571428577</v>
      </c>
    </row>
    <row r="7" spans="1:9" x14ac:dyDescent="0.25">
      <c r="A7" s="38" t="s">
        <v>108</v>
      </c>
      <c r="B7" s="104" t="s">
        <v>141</v>
      </c>
      <c r="C7" s="109">
        <v>12</v>
      </c>
      <c r="D7" s="109">
        <v>0</v>
      </c>
      <c r="E7" s="109">
        <v>0</v>
      </c>
      <c r="F7" s="109">
        <f t="shared" si="1"/>
        <v>108</v>
      </c>
      <c r="G7" s="109">
        <f t="shared" si="2"/>
        <v>0</v>
      </c>
      <c r="H7" s="109">
        <f t="shared" si="3"/>
        <v>0</v>
      </c>
      <c r="I7" s="109">
        <f t="shared" si="4"/>
        <v>108</v>
      </c>
    </row>
    <row r="8" spans="1:9" x14ac:dyDescent="0.25">
      <c r="A8" s="38" t="s">
        <v>142</v>
      </c>
      <c r="B8" s="104" t="s">
        <v>143</v>
      </c>
      <c r="C8" s="109">
        <v>1.6</v>
      </c>
      <c r="D8" s="109">
        <f>29-12</f>
        <v>17</v>
      </c>
      <c r="E8" s="109">
        <v>11</v>
      </c>
      <c r="F8" s="109">
        <f t="shared" si="1"/>
        <v>14.4</v>
      </c>
      <c r="G8" s="109">
        <f t="shared" si="2"/>
        <v>68</v>
      </c>
      <c r="H8" s="109">
        <f t="shared" si="3"/>
        <v>44</v>
      </c>
      <c r="I8" s="109">
        <f t="shared" si="4"/>
        <v>126.4</v>
      </c>
    </row>
    <row r="9" spans="1:9" x14ac:dyDescent="0.25">
      <c r="A9" s="110" t="s">
        <v>96</v>
      </c>
      <c r="B9" s="111" t="s">
        <v>141</v>
      </c>
      <c r="C9" s="109">
        <v>9</v>
      </c>
      <c r="D9" s="109">
        <v>2</v>
      </c>
      <c r="E9" s="112">
        <v>4.7</v>
      </c>
      <c r="F9" s="109">
        <f t="shared" si="1"/>
        <v>81</v>
      </c>
      <c r="G9" s="109">
        <f t="shared" si="2"/>
        <v>8</v>
      </c>
      <c r="H9" s="109">
        <f t="shared" si="3"/>
        <v>18.8</v>
      </c>
      <c r="I9" s="109">
        <f t="shared" si="4"/>
        <v>107.8</v>
      </c>
    </row>
    <row r="10" spans="1:9" x14ac:dyDescent="0.25">
      <c r="A10" s="38" t="s">
        <v>125</v>
      </c>
      <c r="B10" s="104" t="s">
        <v>139</v>
      </c>
      <c r="C10" s="109">
        <v>3.6</v>
      </c>
      <c r="D10" s="109">
        <v>0</v>
      </c>
      <c r="E10" s="109">
        <v>31</v>
      </c>
      <c r="F10" s="109">
        <f t="shared" si="1"/>
        <v>32.4</v>
      </c>
      <c r="G10" s="109">
        <f t="shared" si="2"/>
        <v>0</v>
      </c>
      <c r="H10" s="109">
        <f t="shared" si="3"/>
        <v>124</v>
      </c>
      <c r="I10" s="109">
        <f t="shared" si="4"/>
        <v>156.4</v>
      </c>
    </row>
    <row r="11" spans="1:9" x14ac:dyDescent="0.25">
      <c r="A11" s="38" t="s">
        <v>144</v>
      </c>
      <c r="B11" s="104" t="s">
        <v>145</v>
      </c>
      <c r="C11" s="109">
        <v>10</v>
      </c>
      <c r="D11" s="109">
        <v>0</v>
      </c>
      <c r="E11" s="109">
        <v>28</v>
      </c>
      <c r="F11" s="109">
        <f t="shared" si="1"/>
        <v>90</v>
      </c>
      <c r="G11" s="109">
        <f t="shared" si="2"/>
        <v>0</v>
      </c>
      <c r="H11" s="109">
        <f t="shared" si="3"/>
        <v>112</v>
      </c>
      <c r="I11" s="109">
        <f t="shared" si="4"/>
        <v>202</v>
      </c>
    </row>
    <row r="12" spans="1:9" x14ac:dyDescent="0.25">
      <c r="A12" s="38" t="s">
        <v>146</v>
      </c>
      <c r="B12" s="104">
        <v>1</v>
      </c>
      <c r="C12" s="109">
        <v>8.3000000000000007</v>
      </c>
      <c r="D12" s="109">
        <v>0</v>
      </c>
      <c r="E12" s="109">
        <v>11.46</v>
      </c>
      <c r="F12" s="109">
        <f t="shared" si="1"/>
        <v>74.7</v>
      </c>
      <c r="G12" s="109">
        <f t="shared" si="2"/>
        <v>0</v>
      </c>
      <c r="H12" s="109">
        <f t="shared" si="3"/>
        <v>45.84</v>
      </c>
      <c r="I12" s="109">
        <f t="shared" si="4"/>
        <v>120.54</v>
      </c>
    </row>
    <row r="13" spans="1:9" x14ac:dyDescent="0.25">
      <c r="A13" s="38" t="s">
        <v>98</v>
      </c>
      <c r="B13" s="104">
        <v>1</v>
      </c>
      <c r="C13" s="109">
        <v>6.18</v>
      </c>
      <c r="D13" s="109">
        <v>0</v>
      </c>
      <c r="E13" s="109">
        <v>8.52</v>
      </c>
      <c r="F13" s="109">
        <f t="shared" si="1"/>
        <v>55.62</v>
      </c>
      <c r="G13" s="109">
        <f t="shared" si="2"/>
        <v>0</v>
      </c>
      <c r="H13" s="109">
        <f t="shared" si="3"/>
        <v>34.08</v>
      </c>
      <c r="I13" s="109">
        <f t="shared" si="4"/>
        <v>89.699999999999989</v>
      </c>
    </row>
    <row r="14" spans="1:9" x14ac:dyDescent="0.25">
      <c r="A14" s="38" t="s">
        <v>147</v>
      </c>
      <c r="B14" s="104">
        <v>1</v>
      </c>
      <c r="C14" s="109">
        <v>5.4</v>
      </c>
      <c r="D14" s="109">
        <v>0</v>
      </c>
      <c r="E14" s="109">
        <v>7.46</v>
      </c>
      <c r="F14" s="109">
        <f t="shared" si="1"/>
        <v>48.6</v>
      </c>
      <c r="G14" s="109">
        <f t="shared" si="2"/>
        <v>0</v>
      </c>
      <c r="H14" s="109">
        <f t="shared" si="3"/>
        <v>29.84</v>
      </c>
      <c r="I14" s="109">
        <f t="shared" si="4"/>
        <v>78.44</v>
      </c>
    </row>
    <row r="15" spans="1:9" x14ac:dyDescent="0.25">
      <c r="A15" s="38" t="s">
        <v>148</v>
      </c>
      <c r="B15" s="104" t="s">
        <v>149</v>
      </c>
      <c r="C15" s="109">
        <v>0</v>
      </c>
      <c r="D15" s="109">
        <v>0</v>
      </c>
      <c r="E15" s="109">
        <v>0</v>
      </c>
      <c r="F15" s="109">
        <f t="shared" si="1"/>
        <v>0</v>
      </c>
      <c r="G15" s="109">
        <f t="shared" si="2"/>
        <v>0</v>
      </c>
      <c r="H15" s="109">
        <f t="shared" si="3"/>
        <v>0</v>
      </c>
      <c r="I15" s="109">
        <f t="shared" si="4"/>
        <v>0</v>
      </c>
    </row>
    <row r="16" spans="1:9" x14ac:dyDescent="0.25">
      <c r="A16" s="38" t="s">
        <v>124</v>
      </c>
      <c r="B16" s="104" t="s">
        <v>149</v>
      </c>
      <c r="C16" s="38">
        <v>1.5</v>
      </c>
      <c r="D16" s="38">
        <v>3</v>
      </c>
      <c r="E16" s="38">
        <v>25</v>
      </c>
      <c r="F16" s="109">
        <f t="shared" si="1"/>
        <v>13.5</v>
      </c>
      <c r="G16" s="109">
        <f t="shared" si="2"/>
        <v>12</v>
      </c>
      <c r="H16" s="109">
        <f t="shared" si="3"/>
        <v>100</v>
      </c>
      <c r="I16" s="109">
        <f t="shared" si="4"/>
        <v>125.5</v>
      </c>
    </row>
    <row r="17" spans="1:9" x14ac:dyDescent="0.25">
      <c r="A17" s="38" t="s">
        <v>100</v>
      </c>
      <c r="B17" s="104">
        <v>1</v>
      </c>
      <c r="C17" s="109">
        <v>5</v>
      </c>
      <c r="D17" s="109">
        <v>0</v>
      </c>
      <c r="E17" s="109">
        <v>6</v>
      </c>
      <c r="F17" s="109">
        <f t="shared" si="1"/>
        <v>45</v>
      </c>
      <c r="G17" s="109">
        <f t="shared" si="2"/>
        <v>0</v>
      </c>
      <c r="H17" s="109">
        <f t="shared" si="3"/>
        <v>24</v>
      </c>
      <c r="I17" s="109">
        <f t="shared" si="4"/>
        <v>69</v>
      </c>
    </row>
    <row r="18" spans="1:9" x14ac:dyDescent="0.25">
      <c r="A18" s="38" t="s">
        <v>106</v>
      </c>
      <c r="B18" s="104">
        <v>1</v>
      </c>
      <c r="C18" s="38">
        <v>0.5</v>
      </c>
      <c r="D18" s="38">
        <v>0</v>
      </c>
      <c r="E18" s="38">
        <v>0</v>
      </c>
      <c r="F18" s="109">
        <f t="shared" si="1"/>
        <v>4.5</v>
      </c>
      <c r="G18" s="109">
        <f t="shared" si="2"/>
        <v>0</v>
      </c>
      <c r="H18" s="109">
        <f t="shared" si="3"/>
        <v>0</v>
      </c>
      <c r="I18" s="109">
        <f t="shared" si="4"/>
        <v>4.5</v>
      </c>
    </row>
    <row r="19" spans="1:9" x14ac:dyDescent="0.25">
      <c r="A19" s="38" t="s">
        <v>121</v>
      </c>
      <c r="B19" s="104" t="s">
        <v>139</v>
      </c>
      <c r="C19" s="38">
        <v>18</v>
      </c>
      <c r="D19" s="38">
        <v>0</v>
      </c>
      <c r="E19" s="38">
        <v>26</v>
      </c>
      <c r="F19" s="109">
        <f t="shared" si="1"/>
        <v>162</v>
      </c>
      <c r="G19" s="109">
        <f t="shared" si="2"/>
        <v>0</v>
      </c>
      <c r="H19" s="109">
        <f t="shared" si="3"/>
        <v>104</v>
      </c>
      <c r="I19" s="109">
        <f t="shared" si="4"/>
        <v>266</v>
      </c>
    </row>
    <row r="20" spans="1:9" x14ac:dyDescent="0.25">
      <c r="A20" s="38" t="s">
        <v>94</v>
      </c>
      <c r="B20" s="104" t="s">
        <v>150</v>
      </c>
      <c r="C20" s="109">
        <v>0.5</v>
      </c>
      <c r="D20" s="109">
        <v>0</v>
      </c>
      <c r="E20" s="109">
        <v>50</v>
      </c>
      <c r="F20" s="109">
        <f t="shared" si="1"/>
        <v>4.5</v>
      </c>
      <c r="G20" s="109">
        <f t="shared" si="2"/>
        <v>0</v>
      </c>
      <c r="H20" s="109">
        <f t="shared" si="3"/>
        <v>200</v>
      </c>
      <c r="I20" s="109">
        <f t="shared" si="4"/>
        <v>204.5</v>
      </c>
    </row>
    <row r="21" spans="1:9" x14ac:dyDescent="0.25">
      <c r="A21" s="38" t="s">
        <v>99</v>
      </c>
      <c r="B21" s="104" t="s">
        <v>151</v>
      </c>
      <c r="C21" s="109">
        <v>0</v>
      </c>
      <c r="D21" s="109">
        <v>1</v>
      </c>
      <c r="E21" s="109">
        <v>0.6</v>
      </c>
      <c r="F21" s="109">
        <f t="shared" si="1"/>
        <v>0</v>
      </c>
      <c r="G21" s="109">
        <f t="shared" si="2"/>
        <v>4</v>
      </c>
      <c r="H21" s="109">
        <f t="shared" si="3"/>
        <v>2.4</v>
      </c>
      <c r="I21" s="109">
        <f t="shared" si="4"/>
        <v>6.4</v>
      </c>
    </row>
    <row r="22" spans="1:9" x14ac:dyDescent="0.25">
      <c r="A22" s="38" t="s">
        <v>152</v>
      </c>
      <c r="B22" s="104" t="s">
        <v>141</v>
      </c>
      <c r="C22" s="109">
        <v>14</v>
      </c>
      <c r="D22" s="109">
        <v>0</v>
      </c>
      <c r="E22" s="109">
        <v>0</v>
      </c>
      <c r="F22" s="109">
        <f t="shared" si="1"/>
        <v>126</v>
      </c>
      <c r="G22" s="109">
        <f t="shared" si="2"/>
        <v>0</v>
      </c>
      <c r="H22" s="109">
        <f t="shared" si="3"/>
        <v>0</v>
      </c>
      <c r="I22" s="109">
        <f t="shared" si="4"/>
        <v>126</v>
      </c>
    </row>
    <row r="23" spans="1:9" x14ac:dyDescent="0.25">
      <c r="A23" s="38" t="s">
        <v>122</v>
      </c>
      <c r="B23" s="104" t="s">
        <v>153</v>
      </c>
      <c r="C23" s="109">
        <v>6</v>
      </c>
      <c r="D23" s="109">
        <v>0</v>
      </c>
      <c r="E23" s="109">
        <v>7</v>
      </c>
      <c r="F23" s="109">
        <f t="shared" si="1"/>
        <v>54</v>
      </c>
      <c r="G23" s="109">
        <f t="shared" si="2"/>
        <v>0</v>
      </c>
      <c r="H23" s="109">
        <f t="shared" si="3"/>
        <v>28</v>
      </c>
      <c r="I23" s="109">
        <f t="shared" si="4"/>
        <v>82</v>
      </c>
    </row>
    <row r="24" spans="1:9" x14ac:dyDescent="0.25">
      <c r="A24" s="38" t="s">
        <v>130</v>
      </c>
      <c r="B24" s="104" t="s">
        <v>154</v>
      </c>
      <c r="C24" s="109">
        <v>7</v>
      </c>
      <c r="D24" s="109">
        <v>3</v>
      </c>
      <c r="E24" s="109">
        <v>1</v>
      </c>
      <c r="F24" s="109">
        <f t="shared" si="1"/>
        <v>63</v>
      </c>
      <c r="G24" s="109">
        <f t="shared" si="2"/>
        <v>12</v>
      </c>
      <c r="H24" s="109">
        <f t="shared" si="3"/>
        <v>4</v>
      </c>
      <c r="I24" s="109">
        <f t="shared" si="4"/>
        <v>79</v>
      </c>
    </row>
    <row r="25" spans="1:9" x14ac:dyDescent="0.25">
      <c r="A25" s="38" t="s">
        <v>155</v>
      </c>
      <c r="B25" s="104" t="s">
        <v>156</v>
      </c>
      <c r="C25" s="109">
        <v>11</v>
      </c>
      <c r="D25" s="109">
        <v>0</v>
      </c>
      <c r="E25" s="109">
        <v>23</v>
      </c>
      <c r="F25" s="109">
        <f t="shared" si="1"/>
        <v>99</v>
      </c>
      <c r="G25" s="109">
        <f t="shared" si="2"/>
        <v>0</v>
      </c>
      <c r="H25" s="109">
        <f t="shared" si="3"/>
        <v>92</v>
      </c>
      <c r="I25" s="109">
        <f t="shared" si="4"/>
        <v>191</v>
      </c>
    </row>
    <row r="26" spans="1:9" x14ac:dyDescent="0.25">
      <c r="A26" s="38" t="s">
        <v>127</v>
      </c>
      <c r="B26" s="104" t="s">
        <v>157</v>
      </c>
      <c r="C26" s="109">
        <v>0.2</v>
      </c>
      <c r="D26" s="109">
        <v>2.4</v>
      </c>
      <c r="E26" s="109">
        <v>0.8</v>
      </c>
      <c r="F26" s="109">
        <f t="shared" si="1"/>
        <v>1.8</v>
      </c>
      <c r="G26" s="109">
        <f t="shared" si="2"/>
        <v>9.6</v>
      </c>
      <c r="H26" s="109">
        <f t="shared" si="3"/>
        <v>3.2</v>
      </c>
      <c r="I26" s="109">
        <f t="shared" si="4"/>
        <v>14.600000000000001</v>
      </c>
    </row>
    <row r="27" spans="1:9" x14ac:dyDescent="0.25">
      <c r="A27" s="38" t="s">
        <v>158</v>
      </c>
      <c r="B27" s="104" t="s">
        <v>159</v>
      </c>
      <c r="C27" s="109">
        <v>0.2</v>
      </c>
      <c r="D27" s="109">
        <v>3.3</v>
      </c>
      <c r="E27" s="109">
        <v>1.1000000000000001</v>
      </c>
      <c r="F27" s="109">
        <f t="shared" si="1"/>
        <v>1.8</v>
      </c>
      <c r="G27" s="109">
        <f t="shared" si="2"/>
        <v>13.2</v>
      </c>
      <c r="H27" s="109">
        <f t="shared" si="3"/>
        <v>4.4000000000000004</v>
      </c>
      <c r="I27" s="109">
        <f t="shared" si="4"/>
        <v>19.399999999999999</v>
      </c>
    </row>
    <row r="28" spans="1:9" x14ac:dyDescent="0.25">
      <c r="A28" s="38" t="s">
        <v>160</v>
      </c>
      <c r="B28" s="104" t="s">
        <v>161</v>
      </c>
      <c r="C28" s="109">
        <v>0.4</v>
      </c>
      <c r="D28" s="109">
        <v>4.8</v>
      </c>
      <c r="E28" s="109">
        <v>1.6</v>
      </c>
      <c r="F28" s="109">
        <f t="shared" si="1"/>
        <v>3.6</v>
      </c>
      <c r="G28" s="109">
        <f t="shared" si="2"/>
        <v>19.2</v>
      </c>
      <c r="H28" s="109">
        <f t="shared" si="3"/>
        <v>6.4</v>
      </c>
      <c r="I28" s="109">
        <f t="shared" si="4"/>
        <v>29.200000000000003</v>
      </c>
    </row>
    <row r="29" spans="1:9" x14ac:dyDescent="0.25">
      <c r="A29" s="38" t="s">
        <v>131</v>
      </c>
      <c r="B29" s="104" t="s">
        <v>162</v>
      </c>
      <c r="C29" s="38">
        <v>0.5</v>
      </c>
      <c r="D29" s="38">
        <v>1</v>
      </c>
      <c r="E29" s="38">
        <v>12</v>
      </c>
      <c r="F29" s="38">
        <f t="shared" si="1"/>
        <v>4.5</v>
      </c>
      <c r="G29" s="38">
        <f t="shared" si="2"/>
        <v>4</v>
      </c>
      <c r="H29" s="38">
        <f t="shared" si="3"/>
        <v>48</v>
      </c>
      <c r="I29" s="38">
        <f t="shared" si="4"/>
        <v>56.5</v>
      </c>
    </row>
    <row r="30" spans="1:9" x14ac:dyDescent="0.25">
      <c r="A30" s="38" t="s">
        <v>163</v>
      </c>
      <c r="B30" s="104" t="s">
        <v>164</v>
      </c>
      <c r="C30" s="38">
        <v>5</v>
      </c>
      <c r="D30" s="38">
        <v>0</v>
      </c>
      <c r="E30" s="38">
        <v>25</v>
      </c>
      <c r="F30" s="38">
        <f t="shared" si="1"/>
        <v>45</v>
      </c>
      <c r="G30" s="38">
        <f t="shared" si="2"/>
        <v>0</v>
      </c>
      <c r="H30" s="38">
        <f t="shared" si="3"/>
        <v>100</v>
      </c>
      <c r="I30" s="38">
        <f t="shared" si="4"/>
        <v>145</v>
      </c>
    </row>
    <row r="31" spans="1:9" x14ac:dyDescent="0.25">
      <c r="A31" s="38" t="s">
        <v>104</v>
      </c>
      <c r="B31" s="104" t="s">
        <v>165</v>
      </c>
      <c r="C31" s="109">
        <v>0.8</v>
      </c>
      <c r="D31" s="109">
        <v>0</v>
      </c>
      <c r="E31" s="109">
        <v>34</v>
      </c>
      <c r="F31" s="109">
        <f t="shared" si="1"/>
        <v>7.2</v>
      </c>
      <c r="G31" s="109">
        <f t="shared" si="2"/>
        <v>0</v>
      </c>
      <c r="H31" s="109">
        <f t="shared" si="3"/>
        <v>136</v>
      </c>
      <c r="I31" s="109">
        <f t="shared" si="4"/>
        <v>143.19999999999999</v>
      </c>
    </row>
    <row r="32" spans="1:9" x14ac:dyDescent="0.25">
      <c r="A32" s="38" t="s">
        <v>123</v>
      </c>
      <c r="B32" s="104" t="s">
        <v>166</v>
      </c>
      <c r="C32" s="109">
        <v>0.5</v>
      </c>
      <c r="D32" s="109">
        <v>2</v>
      </c>
      <c r="E32" s="109">
        <v>10</v>
      </c>
      <c r="F32" s="109">
        <f t="shared" si="1"/>
        <v>4.5</v>
      </c>
      <c r="G32" s="109">
        <f t="shared" si="2"/>
        <v>8</v>
      </c>
      <c r="H32" s="109">
        <f t="shared" si="3"/>
        <v>40</v>
      </c>
      <c r="I32" s="109">
        <f t="shared" si="4"/>
        <v>52.5</v>
      </c>
    </row>
    <row r="33" spans="1:9" x14ac:dyDescent="0.25">
      <c r="A33" s="38" t="s">
        <v>128</v>
      </c>
      <c r="B33" s="104" t="s">
        <v>167</v>
      </c>
      <c r="C33" s="38">
        <v>0.6</v>
      </c>
      <c r="D33" s="38">
        <v>4.9000000000000004</v>
      </c>
      <c r="E33" s="38">
        <v>2.4</v>
      </c>
      <c r="F33" s="38">
        <f t="shared" si="1"/>
        <v>5.3999999999999995</v>
      </c>
      <c r="G33" s="38">
        <f t="shared" si="2"/>
        <v>19.600000000000001</v>
      </c>
      <c r="H33" s="38">
        <f t="shared" si="3"/>
        <v>9.6</v>
      </c>
      <c r="I33" s="38">
        <f t="shared" si="4"/>
        <v>34.6</v>
      </c>
    </row>
  </sheetData>
  <autoFilter ref="A1:I20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8"/>
  <sheetViews>
    <sheetView zoomScale="160" zoomScaleNormal="160" workbookViewId="0">
      <selection activeCell="C16" sqref="C16"/>
    </sheetView>
  </sheetViews>
  <sheetFormatPr defaultRowHeight="15" x14ac:dyDescent="0.25"/>
  <cols>
    <col min="1" max="1" width="11.7109375" customWidth="1"/>
    <col min="2" max="2" width="6" customWidth="1"/>
    <col min="3" max="3" width="7.42578125" customWidth="1"/>
    <col min="4" max="4" width="6" customWidth="1"/>
    <col min="5" max="5" width="6.85546875" customWidth="1"/>
    <col min="6" max="6" width="9.7109375" customWidth="1"/>
    <col min="7" max="7" width="12.85546875" customWidth="1"/>
    <col min="8" max="8" width="7.5703125" customWidth="1"/>
    <col min="9" max="9" width="9.85546875" customWidth="1"/>
    <col min="10" max="10" width="6" style="38" customWidth="1"/>
    <col min="11" max="11" width="10.28515625" style="38" customWidth="1"/>
    <col min="12" max="12" width="12.85546875" style="38" customWidth="1"/>
    <col min="13" max="13" width="13.85546875" style="38" customWidth="1"/>
    <col min="14" max="14" width="9" style="38" customWidth="1"/>
    <col min="15" max="15" width="10.28515625" style="38" customWidth="1"/>
    <col min="16" max="16" width="12.85546875" style="38" customWidth="1"/>
    <col min="17" max="17" width="13.85546875" style="38" customWidth="1"/>
    <col min="18" max="18" width="8.7109375" customWidth="1"/>
    <col min="19" max="19" width="7.42578125" style="38" customWidth="1"/>
    <col min="20" max="20" width="5" style="38" customWidth="1"/>
    <col min="21" max="21" width="5.42578125" style="38" customWidth="1"/>
    <col min="22" max="22" width="6.5703125" style="38" customWidth="1"/>
    <col min="23" max="23" width="8.85546875" style="38" customWidth="1"/>
    <col min="24" max="24" width="8" style="38" customWidth="1"/>
    <col min="25" max="1025" width="8.7109375" customWidth="1"/>
  </cols>
  <sheetData>
    <row r="1" spans="1:24" ht="12" customHeight="1" x14ac:dyDescent="0.25">
      <c r="A1" s="26"/>
      <c r="B1" s="28"/>
      <c r="C1" s="39"/>
      <c r="D1" s="39"/>
      <c r="E1" s="39"/>
      <c r="F1" s="113"/>
      <c r="G1" s="113"/>
      <c r="H1" s="113"/>
      <c r="J1" s="1"/>
      <c r="K1" s="1"/>
      <c r="L1" s="1"/>
      <c r="M1" s="1"/>
      <c r="N1" s="1"/>
      <c r="O1" s="1"/>
      <c r="P1" s="1"/>
      <c r="Q1" s="1"/>
      <c r="S1" s="1"/>
      <c r="T1" s="1"/>
      <c r="U1" s="1"/>
      <c r="V1" s="1"/>
      <c r="W1" s="1"/>
      <c r="X1" s="1"/>
    </row>
    <row r="2" spans="1:24" ht="29.25" customHeight="1" x14ac:dyDescent="0.25">
      <c r="A2" s="41" t="s">
        <v>63</v>
      </c>
      <c r="B2" s="42" t="s">
        <v>64</v>
      </c>
      <c r="C2" s="42" t="s">
        <v>5</v>
      </c>
      <c r="D2" s="42" t="s">
        <v>48</v>
      </c>
      <c r="E2" s="42" t="s">
        <v>65</v>
      </c>
      <c r="F2" s="46" t="s">
        <v>66</v>
      </c>
      <c r="G2" s="46" t="s">
        <v>168</v>
      </c>
      <c r="H2" s="47" t="s">
        <v>169</v>
      </c>
      <c r="I2" s="91"/>
      <c r="J2" s="114"/>
      <c r="K2" s="114"/>
      <c r="L2" s="114"/>
      <c r="M2" s="114"/>
      <c r="N2" s="114"/>
      <c r="O2" s="114"/>
      <c r="P2" s="114"/>
      <c r="Q2" s="114"/>
      <c r="S2" s="115"/>
      <c r="T2" s="115"/>
      <c r="U2" s="115"/>
      <c r="V2" s="115"/>
      <c r="W2" s="115"/>
      <c r="X2" s="115"/>
    </row>
    <row r="3" spans="1:24" x14ac:dyDescent="0.25">
      <c r="A3" s="57">
        <v>42992</v>
      </c>
      <c r="B3" s="58">
        <v>1</v>
      </c>
      <c r="C3" s="59">
        <f>Measured!B5</f>
        <v>203.3</v>
      </c>
      <c r="D3" s="59">
        <v>160</v>
      </c>
      <c r="E3" s="59">
        <f t="shared" ref="E3:E66" si="0">C3-D3</f>
        <v>43.300000000000011</v>
      </c>
      <c r="F3" s="59">
        <f t="shared" ref="F3:F66" si="1">13*C3</f>
        <v>2642.9</v>
      </c>
      <c r="G3" s="59">
        <f t="shared" ref="G3:G66" si="2">E3*31</f>
        <v>1342.3000000000004</v>
      </c>
      <c r="H3" s="60">
        <f t="shared" ref="H3:H66" si="3">MIN($G3/3500,$F3/3500)</f>
        <v>0.38351428571428581</v>
      </c>
      <c r="I3" s="61"/>
      <c r="J3" s="116"/>
      <c r="K3" s="116"/>
      <c r="L3" s="116"/>
      <c r="M3" s="116"/>
      <c r="N3" s="117"/>
      <c r="O3" s="117"/>
      <c r="P3" s="117"/>
      <c r="Q3" s="117"/>
    </row>
    <row r="4" spans="1:24" x14ac:dyDescent="0.25">
      <c r="A4" s="70">
        <v>42993</v>
      </c>
      <c r="B4" s="71">
        <f t="shared" ref="B4:B67" si="4">B3+1</f>
        <v>2</v>
      </c>
      <c r="C4" s="72">
        <f t="shared" ref="C4:C67" si="5">C3-H3</f>
        <v>202.91648571428573</v>
      </c>
      <c r="D4" s="72">
        <v>160</v>
      </c>
      <c r="E4" s="72">
        <f t="shared" si="0"/>
        <v>42.916485714285727</v>
      </c>
      <c r="F4" s="72">
        <f t="shared" si="1"/>
        <v>2637.9143142857147</v>
      </c>
      <c r="G4" s="72">
        <f t="shared" si="2"/>
        <v>1330.4110571428575</v>
      </c>
      <c r="H4" s="73">
        <f t="shared" si="3"/>
        <v>0.38011744489795929</v>
      </c>
      <c r="I4" s="61"/>
      <c r="J4" s="118"/>
      <c r="K4" s="118"/>
      <c r="L4" s="118"/>
      <c r="M4" s="118"/>
      <c r="N4" s="117"/>
      <c r="O4" s="117"/>
      <c r="P4" s="117"/>
      <c r="Q4" s="117"/>
    </row>
    <row r="5" spans="1:24" x14ac:dyDescent="0.25">
      <c r="A5" s="70">
        <v>42994</v>
      </c>
      <c r="B5" s="71">
        <f t="shared" si="4"/>
        <v>3</v>
      </c>
      <c r="C5" s="72">
        <f t="shared" si="5"/>
        <v>202.53636826938776</v>
      </c>
      <c r="D5" s="72">
        <v>160</v>
      </c>
      <c r="E5" s="72">
        <f t="shared" si="0"/>
        <v>42.536368269387765</v>
      </c>
      <c r="F5" s="72">
        <f t="shared" si="1"/>
        <v>2632.9727875020408</v>
      </c>
      <c r="G5" s="72">
        <f t="shared" si="2"/>
        <v>1318.6274163510207</v>
      </c>
      <c r="H5" s="73">
        <f t="shared" si="3"/>
        <v>0.37675069038600589</v>
      </c>
      <c r="I5" s="61"/>
      <c r="J5" s="118"/>
      <c r="K5" s="118"/>
      <c r="L5" s="118"/>
      <c r="M5" s="118"/>
      <c r="N5" s="117"/>
      <c r="O5" s="117"/>
      <c r="P5" s="117"/>
      <c r="Q5" s="117"/>
    </row>
    <row r="6" spans="1:24" x14ac:dyDescent="0.25">
      <c r="A6" s="70">
        <v>42995</v>
      </c>
      <c r="B6" s="71">
        <f t="shared" si="4"/>
        <v>4</v>
      </c>
      <c r="C6" s="72">
        <f t="shared" si="5"/>
        <v>202.15961757900175</v>
      </c>
      <c r="D6" s="72">
        <v>160</v>
      </c>
      <c r="E6" s="72">
        <f t="shared" si="0"/>
        <v>42.159617579001747</v>
      </c>
      <c r="F6" s="72">
        <f t="shared" si="1"/>
        <v>2628.0750285270228</v>
      </c>
      <c r="G6" s="72">
        <f t="shared" si="2"/>
        <v>1306.948144949054</v>
      </c>
      <c r="H6" s="73">
        <f t="shared" si="3"/>
        <v>0.37341375569972973</v>
      </c>
      <c r="I6" s="61"/>
      <c r="J6" s="118"/>
      <c r="K6" s="118"/>
      <c r="L6" s="118"/>
      <c r="M6" s="118"/>
      <c r="N6" s="117"/>
      <c r="O6" s="117"/>
      <c r="P6" s="117"/>
      <c r="Q6" s="117"/>
    </row>
    <row r="7" spans="1:24" x14ac:dyDescent="0.25">
      <c r="A7" s="70">
        <v>42996</v>
      </c>
      <c r="B7" s="71">
        <f t="shared" si="4"/>
        <v>5</v>
      </c>
      <c r="C7" s="72">
        <f t="shared" si="5"/>
        <v>201.786203823302</v>
      </c>
      <c r="D7" s="72">
        <v>160</v>
      </c>
      <c r="E7" s="72">
        <f t="shared" si="0"/>
        <v>41.786203823302003</v>
      </c>
      <c r="F7" s="72">
        <f t="shared" si="1"/>
        <v>2623.220649702926</v>
      </c>
      <c r="G7" s="72">
        <f t="shared" si="2"/>
        <v>1295.3723185223621</v>
      </c>
      <c r="H7" s="73">
        <f t="shared" si="3"/>
        <v>0.37010637672067487</v>
      </c>
      <c r="I7" s="61"/>
    </row>
    <row r="8" spans="1:24" x14ac:dyDescent="0.25">
      <c r="A8" s="70">
        <v>42997</v>
      </c>
      <c r="B8" s="71">
        <f t="shared" si="4"/>
        <v>6</v>
      </c>
      <c r="C8" s="72">
        <f t="shared" si="5"/>
        <v>201.41609744658132</v>
      </c>
      <c r="D8" s="72">
        <v>160</v>
      </c>
      <c r="E8" s="72">
        <f t="shared" si="0"/>
        <v>41.416097446581318</v>
      </c>
      <c r="F8" s="72">
        <f t="shared" si="1"/>
        <v>2618.4092668055573</v>
      </c>
      <c r="G8" s="72">
        <f t="shared" si="2"/>
        <v>1283.8990208440209</v>
      </c>
      <c r="H8" s="73">
        <f t="shared" si="3"/>
        <v>0.36682829166972025</v>
      </c>
      <c r="I8" s="61"/>
    </row>
    <row r="9" spans="1:24" x14ac:dyDescent="0.25">
      <c r="A9" s="70">
        <v>42998</v>
      </c>
      <c r="B9" s="71">
        <f t="shared" si="4"/>
        <v>7</v>
      </c>
      <c r="C9" s="72">
        <f t="shared" si="5"/>
        <v>201.0492691549116</v>
      </c>
      <c r="D9" s="72">
        <v>160</v>
      </c>
      <c r="E9" s="72">
        <f t="shared" si="0"/>
        <v>41.049269154911599</v>
      </c>
      <c r="F9" s="72">
        <f t="shared" si="1"/>
        <v>2613.6404990138508</v>
      </c>
      <c r="G9" s="72">
        <f t="shared" si="2"/>
        <v>1272.5273438022596</v>
      </c>
      <c r="H9" s="73">
        <f t="shared" si="3"/>
        <v>0.36357924108635986</v>
      </c>
      <c r="I9" s="61"/>
    </row>
    <row r="10" spans="1:24" x14ac:dyDescent="0.25">
      <c r="A10" s="70">
        <v>42999</v>
      </c>
      <c r="B10" s="71">
        <f t="shared" si="4"/>
        <v>8</v>
      </c>
      <c r="C10" s="72">
        <f t="shared" si="5"/>
        <v>200.68568991382523</v>
      </c>
      <c r="D10" s="72">
        <v>160</v>
      </c>
      <c r="E10" s="72">
        <f t="shared" si="0"/>
        <v>40.685689913825229</v>
      </c>
      <c r="F10" s="72">
        <f t="shared" si="1"/>
        <v>2608.9139688797281</v>
      </c>
      <c r="G10" s="72">
        <f t="shared" si="2"/>
        <v>1261.2563873285822</v>
      </c>
      <c r="H10" s="73">
        <f t="shared" si="3"/>
        <v>0.36035896780816634</v>
      </c>
      <c r="I10" s="61"/>
    </row>
    <row r="11" spans="1:24" x14ac:dyDescent="0.25">
      <c r="A11" s="70">
        <v>43000</v>
      </c>
      <c r="B11" s="71">
        <f t="shared" si="4"/>
        <v>9</v>
      </c>
      <c r="C11" s="72">
        <f t="shared" si="5"/>
        <v>200.32533094601706</v>
      </c>
      <c r="D11" s="72">
        <v>160</v>
      </c>
      <c r="E11" s="72">
        <f t="shared" si="0"/>
        <v>40.325330946017061</v>
      </c>
      <c r="F11" s="72">
        <f t="shared" si="1"/>
        <v>2604.2293022982217</v>
      </c>
      <c r="G11" s="72">
        <f t="shared" si="2"/>
        <v>1250.085259326529</v>
      </c>
      <c r="H11" s="73">
        <f t="shared" si="3"/>
        <v>0.35716721695043685</v>
      </c>
      <c r="I11" s="61"/>
    </row>
    <row r="12" spans="1:24" x14ac:dyDescent="0.25">
      <c r="A12" s="70">
        <v>43001</v>
      </c>
      <c r="B12" s="71">
        <f t="shared" si="4"/>
        <v>10</v>
      </c>
      <c r="C12" s="72">
        <f t="shared" si="5"/>
        <v>199.96816372906662</v>
      </c>
      <c r="D12" s="72">
        <v>160</v>
      </c>
      <c r="E12" s="72">
        <f t="shared" si="0"/>
        <v>39.968163729066617</v>
      </c>
      <c r="F12" s="72">
        <f t="shared" si="1"/>
        <v>2599.5861284778662</v>
      </c>
      <c r="G12" s="72">
        <f t="shared" si="2"/>
        <v>1239.0130756010651</v>
      </c>
      <c r="H12" s="73">
        <f t="shared" si="3"/>
        <v>0.35400373588601858</v>
      </c>
      <c r="I12" s="61"/>
    </row>
    <row r="13" spans="1:24" x14ac:dyDescent="0.25">
      <c r="A13" s="70">
        <v>43002</v>
      </c>
      <c r="B13" s="71">
        <f t="shared" si="4"/>
        <v>11</v>
      </c>
      <c r="C13" s="72">
        <f t="shared" si="5"/>
        <v>199.61415999318061</v>
      </c>
      <c r="D13" s="72">
        <v>160</v>
      </c>
      <c r="E13" s="72">
        <f t="shared" si="0"/>
        <v>39.614159993180607</v>
      </c>
      <c r="F13" s="72">
        <f t="shared" si="1"/>
        <v>2594.9840799113481</v>
      </c>
      <c r="G13" s="72">
        <f t="shared" si="2"/>
        <v>1228.0389597885987</v>
      </c>
      <c r="H13" s="73">
        <f t="shared" si="3"/>
        <v>0.35086827422531391</v>
      </c>
      <c r="I13" s="61"/>
    </row>
    <row r="14" spans="1:24" x14ac:dyDescent="0.25">
      <c r="A14" s="70">
        <v>43003</v>
      </c>
      <c r="B14" s="71">
        <f t="shared" si="4"/>
        <v>12</v>
      </c>
      <c r="C14" s="72">
        <f t="shared" si="5"/>
        <v>199.26329171895529</v>
      </c>
      <c r="D14" s="72">
        <v>160</v>
      </c>
      <c r="E14" s="72">
        <f t="shared" si="0"/>
        <v>39.263291718955287</v>
      </c>
      <c r="F14" s="72">
        <f t="shared" si="1"/>
        <v>2590.4227923464186</v>
      </c>
      <c r="G14" s="72">
        <f t="shared" si="2"/>
        <v>1217.1620432876139</v>
      </c>
      <c r="H14" s="73">
        <f t="shared" si="3"/>
        <v>0.34776058379646113</v>
      </c>
      <c r="I14" s="61"/>
    </row>
    <row r="15" spans="1:24" x14ac:dyDescent="0.25">
      <c r="A15" s="70">
        <v>43004</v>
      </c>
      <c r="B15" s="71">
        <f t="shared" si="4"/>
        <v>13</v>
      </c>
      <c r="C15" s="72">
        <f t="shared" si="5"/>
        <v>198.91553113515883</v>
      </c>
      <c r="D15" s="72">
        <v>160</v>
      </c>
      <c r="E15" s="72">
        <f t="shared" si="0"/>
        <v>38.91553113515883</v>
      </c>
      <c r="F15" s="72">
        <f t="shared" si="1"/>
        <v>2585.9019047570646</v>
      </c>
      <c r="G15" s="72">
        <f t="shared" si="2"/>
        <v>1206.3814651899238</v>
      </c>
      <c r="H15" s="73">
        <f t="shared" si="3"/>
        <v>0.34468041862569254</v>
      </c>
      <c r="I15" s="61"/>
    </row>
    <row r="16" spans="1:24" x14ac:dyDescent="0.25">
      <c r="A16" s="70">
        <v>43005</v>
      </c>
      <c r="B16" s="71">
        <f t="shared" si="4"/>
        <v>14</v>
      </c>
      <c r="C16" s="72">
        <f t="shared" si="5"/>
        <v>198.57085071653313</v>
      </c>
      <c r="D16" s="72">
        <v>160</v>
      </c>
      <c r="E16" s="72">
        <f t="shared" si="0"/>
        <v>38.57085071653313</v>
      </c>
      <c r="F16" s="72">
        <f t="shared" si="1"/>
        <v>2581.4210593149305</v>
      </c>
      <c r="G16" s="72">
        <f t="shared" si="2"/>
        <v>1195.696372212527</v>
      </c>
      <c r="H16" s="73">
        <f t="shared" si="3"/>
        <v>0.34162753491786485</v>
      </c>
      <c r="I16" s="61"/>
    </row>
    <row r="17" spans="1:9" x14ac:dyDescent="0.25">
      <c r="A17" s="70">
        <v>43006</v>
      </c>
      <c r="B17" s="71">
        <f t="shared" si="4"/>
        <v>15</v>
      </c>
      <c r="C17" s="72">
        <f t="shared" si="5"/>
        <v>198.22922318161525</v>
      </c>
      <c r="D17" s="72">
        <v>160</v>
      </c>
      <c r="E17" s="72">
        <f t="shared" si="0"/>
        <v>38.229223181615254</v>
      </c>
      <c r="F17" s="72">
        <f t="shared" si="1"/>
        <v>2576.9799013609982</v>
      </c>
      <c r="G17" s="72">
        <f t="shared" si="2"/>
        <v>1185.1059186300729</v>
      </c>
      <c r="H17" s="73">
        <f t="shared" si="3"/>
        <v>0.3386016910371637</v>
      </c>
      <c r="I17" s="61"/>
    </row>
    <row r="18" spans="1:9" x14ac:dyDescent="0.25">
      <c r="A18" s="70">
        <v>43007</v>
      </c>
      <c r="B18" s="71">
        <f t="shared" si="4"/>
        <v>16</v>
      </c>
      <c r="C18" s="72">
        <f t="shared" si="5"/>
        <v>197.8906214905781</v>
      </c>
      <c r="D18" s="72">
        <v>160</v>
      </c>
      <c r="E18" s="72">
        <f t="shared" si="0"/>
        <v>37.890621490578098</v>
      </c>
      <c r="F18" s="72">
        <f t="shared" si="1"/>
        <v>2572.5780793775152</v>
      </c>
      <c r="G18" s="72">
        <f t="shared" si="2"/>
        <v>1174.6092662079211</v>
      </c>
      <c r="H18" s="73">
        <f t="shared" si="3"/>
        <v>0.33560264748797747</v>
      </c>
      <c r="I18" s="61"/>
    </row>
    <row r="19" spans="1:9" x14ac:dyDescent="0.25">
      <c r="A19" s="70">
        <v>43008</v>
      </c>
      <c r="B19" s="71">
        <f t="shared" si="4"/>
        <v>17</v>
      </c>
      <c r="C19" s="72">
        <f t="shared" si="5"/>
        <v>197.55501884309012</v>
      </c>
      <c r="D19" s="72">
        <v>160</v>
      </c>
      <c r="E19" s="72">
        <f t="shared" si="0"/>
        <v>37.555018843090124</v>
      </c>
      <c r="F19" s="72">
        <f t="shared" si="1"/>
        <v>2568.2152449601717</v>
      </c>
      <c r="G19" s="72">
        <f t="shared" si="2"/>
        <v>1164.2055841357937</v>
      </c>
      <c r="H19" s="73">
        <f t="shared" si="3"/>
        <v>0.33263016689594105</v>
      </c>
      <c r="I19" s="61"/>
    </row>
    <row r="20" spans="1:9" x14ac:dyDescent="0.25">
      <c r="A20" s="70">
        <v>43009</v>
      </c>
      <c r="B20" s="71">
        <f t="shared" si="4"/>
        <v>18</v>
      </c>
      <c r="C20" s="72">
        <f t="shared" si="5"/>
        <v>197.22238867619419</v>
      </c>
      <c r="D20" s="72">
        <v>160</v>
      </c>
      <c r="E20" s="72">
        <f t="shared" si="0"/>
        <v>37.222388676194186</v>
      </c>
      <c r="F20" s="72">
        <f t="shared" si="1"/>
        <v>2563.8910527905246</v>
      </c>
      <c r="G20" s="72">
        <f t="shared" si="2"/>
        <v>1153.8940489620197</v>
      </c>
      <c r="H20" s="73">
        <f t="shared" si="3"/>
        <v>0.32968401398914848</v>
      </c>
      <c r="I20" s="61"/>
    </row>
    <row r="21" spans="1:9" x14ac:dyDescent="0.25">
      <c r="A21" s="70">
        <v>43010</v>
      </c>
      <c r="B21" s="71">
        <f t="shared" si="4"/>
        <v>19</v>
      </c>
      <c r="C21" s="72">
        <f t="shared" si="5"/>
        <v>196.89270466220503</v>
      </c>
      <c r="D21" s="72">
        <v>160</v>
      </c>
      <c r="E21" s="72">
        <f t="shared" si="0"/>
        <v>36.892704662205034</v>
      </c>
      <c r="F21" s="72">
        <f t="shared" si="1"/>
        <v>2559.6051606086653</v>
      </c>
      <c r="G21" s="72">
        <f t="shared" si="2"/>
        <v>1143.6738445283561</v>
      </c>
      <c r="H21" s="73">
        <f t="shared" si="3"/>
        <v>0.32676395557953031</v>
      </c>
      <c r="I21" s="61"/>
    </row>
    <row r="22" spans="1:9" x14ac:dyDescent="0.25">
      <c r="A22" s="70">
        <v>43011</v>
      </c>
      <c r="B22" s="71">
        <f t="shared" si="4"/>
        <v>20</v>
      </c>
      <c r="C22" s="72">
        <f t="shared" si="5"/>
        <v>196.5659407066255</v>
      </c>
      <c r="D22" s="72">
        <v>160</v>
      </c>
      <c r="E22" s="72">
        <f t="shared" si="0"/>
        <v>36.565940706625497</v>
      </c>
      <c r="F22" s="72">
        <f t="shared" si="1"/>
        <v>2555.3572291861315</v>
      </c>
      <c r="G22" s="72">
        <f t="shared" si="2"/>
        <v>1133.5441619053904</v>
      </c>
      <c r="H22" s="73">
        <f t="shared" si="3"/>
        <v>0.32386976054439726</v>
      </c>
      <c r="I22" s="61"/>
    </row>
    <row r="23" spans="1:9" x14ac:dyDescent="0.25">
      <c r="A23" s="70">
        <v>43012</v>
      </c>
      <c r="B23" s="71">
        <f t="shared" si="4"/>
        <v>21</v>
      </c>
      <c r="C23" s="72">
        <f t="shared" si="5"/>
        <v>196.2420709460811</v>
      </c>
      <c r="D23" s="72">
        <v>160</v>
      </c>
      <c r="E23" s="72">
        <f t="shared" si="0"/>
        <v>36.2420709460811</v>
      </c>
      <c r="F23" s="72">
        <f t="shared" si="1"/>
        <v>2551.1469222990545</v>
      </c>
      <c r="G23" s="72">
        <f t="shared" si="2"/>
        <v>1123.504199328514</v>
      </c>
      <c r="H23" s="73">
        <f t="shared" si="3"/>
        <v>0.32100119980814684</v>
      </c>
      <c r="I23" s="61"/>
    </row>
    <row r="24" spans="1:9" x14ac:dyDescent="0.25">
      <c r="A24" s="70">
        <v>43013</v>
      </c>
      <c r="B24" s="71">
        <f t="shared" si="4"/>
        <v>22</v>
      </c>
      <c r="C24" s="72">
        <f t="shared" si="5"/>
        <v>195.92106974627296</v>
      </c>
      <c r="D24" s="72">
        <v>160</v>
      </c>
      <c r="E24" s="72">
        <f t="shared" si="0"/>
        <v>35.921069746272963</v>
      </c>
      <c r="F24" s="72">
        <f t="shared" si="1"/>
        <v>2546.9739067015485</v>
      </c>
      <c r="G24" s="72">
        <f t="shared" si="2"/>
        <v>1113.5531621344619</v>
      </c>
      <c r="H24" s="73">
        <f t="shared" si="3"/>
        <v>0.31815804632413197</v>
      </c>
      <c r="I24" s="61"/>
    </row>
    <row r="25" spans="1:9" x14ac:dyDescent="0.25">
      <c r="A25" s="70">
        <v>43014</v>
      </c>
      <c r="B25" s="71">
        <f t="shared" si="4"/>
        <v>23</v>
      </c>
      <c r="C25" s="72">
        <f t="shared" si="5"/>
        <v>195.60291169994883</v>
      </c>
      <c r="D25" s="72">
        <v>160</v>
      </c>
      <c r="E25" s="72">
        <f t="shared" si="0"/>
        <v>35.602911699948834</v>
      </c>
      <c r="F25" s="72">
        <f t="shared" si="1"/>
        <v>2542.8378520993347</v>
      </c>
      <c r="G25" s="72">
        <f t="shared" si="2"/>
        <v>1103.6902626984138</v>
      </c>
      <c r="H25" s="73">
        <f t="shared" si="3"/>
        <v>0.31534007505668965</v>
      </c>
      <c r="I25" s="61"/>
    </row>
    <row r="26" spans="1:9" x14ac:dyDescent="0.25">
      <c r="A26" s="70">
        <v>43015</v>
      </c>
      <c r="B26" s="71">
        <f t="shared" si="4"/>
        <v>24</v>
      </c>
      <c r="C26" s="72">
        <f t="shared" si="5"/>
        <v>195.28757162489214</v>
      </c>
      <c r="D26" s="72">
        <v>160</v>
      </c>
      <c r="E26" s="72">
        <f t="shared" si="0"/>
        <v>35.287571624892138</v>
      </c>
      <c r="F26" s="72">
        <f t="shared" si="1"/>
        <v>2538.7384311235978</v>
      </c>
      <c r="G26" s="72">
        <f t="shared" si="2"/>
        <v>1093.9147203716564</v>
      </c>
      <c r="H26" s="73">
        <f t="shared" si="3"/>
        <v>0.3125470629633304</v>
      </c>
      <c r="I26" s="61"/>
    </row>
    <row r="27" spans="1:9" x14ac:dyDescent="0.25">
      <c r="A27" s="70">
        <v>43016</v>
      </c>
      <c r="B27" s="71">
        <f t="shared" si="4"/>
        <v>25</v>
      </c>
      <c r="C27" s="72">
        <f t="shared" si="5"/>
        <v>194.97502456192882</v>
      </c>
      <c r="D27" s="72">
        <v>160</v>
      </c>
      <c r="E27" s="72">
        <f t="shared" si="0"/>
        <v>34.975024561928819</v>
      </c>
      <c r="F27" s="72">
        <f t="shared" si="1"/>
        <v>2534.6753193050745</v>
      </c>
      <c r="G27" s="72">
        <f t="shared" si="2"/>
        <v>1084.2257614197933</v>
      </c>
      <c r="H27" s="73">
        <f t="shared" si="3"/>
        <v>0.30977878897708383</v>
      </c>
      <c r="I27" s="61"/>
    </row>
    <row r="28" spans="1:9" x14ac:dyDescent="0.25">
      <c r="A28" s="70">
        <v>43017</v>
      </c>
      <c r="B28" s="71">
        <f t="shared" si="4"/>
        <v>26</v>
      </c>
      <c r="C28" s="72">
        <f t="shared" si="5"/>
        <v>194.66524577295175</v>
      </c>
      <c r="D28" s="72">
        <v>160</v>
      </c>
      <c r="E28" s="72">
        <f t="shared" si="0"/>
        <v>34.665245772951749</v>
      </c>
      <c r="F28" s="72">
        <f t="shared" si="1"/>
        <v>2530.6481950483726</v>
      </c>
      <c r="G28" s="72">
        <f t="shared" si="2"/>
        <v>1074.6226189615043</v>
      </c>
      <c r="H28" s="73">
        <f t="shared" si="3"/>
        <v>0.30703503398900123</v>
      </c>
      <c r="I28" s="61"/>
    </row>
    <row r="29" spans="1:9" x14ac:dyDescent="0.25">
      <c r="A29" s="70">
        <v>43018</v>
      </c>
      <c r="B29" s="71">
        <f t="shared" si="4"/>
        <v>27</v>
      </c>
      <c r="C29" s="72">
        <f t="shared" si="5"/>
        <v>194.35821073896275</v>
      </c>
      <c r="D29" s="72">
        <v>160</v>
      </c>
      <c r="E29" s="72">
        <f t="shared" si="0"/>
        <v>34.358210738962754</v>
      </c>
      <c r="F29" s="72">
        <f t="shared" si="1"/>
        <v>2526.6567396065157</v>
      </c>
      <c r="G29" s="72">
        <f t="shared" si="2"/>
        <v>1065.1045329078454</v>
      </c>
      <c r="H29" s="73">
        <f t="shared" si="3"/>
        <v>0.30431558083081295</v>
      </c>
      <c r="I29" s="61"/>
    </row>
    <row r="30" spans="1:9" x14ac:dyDescent="0.25">
      <c r="A30" s="70">
        <v>43019</v>
      </c>
      <c r="B30" s="71">
        <f t="shared" si="4"/>
        <v>28</v>
      </c>
      <c r="C30" s="72">
        <f t="shared" si="5"/>
        <v>194.05389515813195</v>
      </c>
      <c r="D30" s="72">
        <v>160</v>
      </c>
      <c r="E30" s="72">
        <f t="shared" si="0"/>
        <v>34.053895158131951</v>
      </c>
      <c r="F30" s="72">
        <f t="shared" si="1"/>
        <v>2522.7006370557156</v>
      </c>
      <c r="G30" s="72">
        <f t="shared" si="2"/>
        <v>1055.6707499020904</v>
      </c>
      <c r="H30" s="73">
        <f t="shared" si="3"/>
        <v>0.3016202142577401</v>
      </c>
      <c r="I30" s="61"/>
    </row>
    <row r="31" spans="1:9" x14ac:dyDescent="0.25">
      <c r="A31" s="70">
        <v>43020</v>
      </c>
      <c r="B31" s="71">
        <f t="shared" si="4"/>
        <v>29</v>
      </c>
      <c r="C31" s="72">
        <f t="shared" si="5"/>
        <v>193.7522749438742</v>
      </c>
      <c r="D31" s="72">
        <v>160</v>
      </c>
      <c r="E31" s="72">
        <f t="shared" si="0"/>
        <v>33.752274943874198</v>
      </c>
      <c r="F31" s="72">
        <f t="shared" si="1"/>
        <v>2518.7795742703647</v>
      </c>
      <c r="G31" s="72">
        <f t="shared" si="2"/>
        <v>1046.3205232601001</v>
      </c>
      <c r="H31" s="73">
        <f t="shared" si="3"/>
        <v>0.29894872093145719</v>
      </c>
      <c r="I31" s="61"/>
    </row>
    <row r="32" spans="1:9" x14ac:dyDescent="0.25">
      <c r="A32" s="70">
        <v>43021</v>
      </c>
      <c r="B32" s="71">
        <f t="shared" si="4"/>
        <v>30</v>
      </c>
      <c r="C32" s="72">
        <f t="shared" si="5"/>
        <v>193.45332622294274</v>
      </c>
      <c r="D32" s="72">
        <v>160</v>
      </c>
      <c r="E32" s="72">
        <f t="shared" si="0"/>
        <v>33.453326222942735</v>
      </c>
      <c r="F32" s="72">
        <f t="shared" si="1"/>
        <v>2514.8932408982555</v>
      </c>
      <c r="G32" s="72">
        <f t="shared" si="2"/>
        <v>1037.0531129112248</v>
      </c>
      <c r="H32" s="73">
        <f t="shared" si="3"/>
        <v>0.29630088940320709</v>
      </c>
      <c r="I32" s="61"/>
    </row>
    <row r="33" spans="1:9" x14ac:dyDescent="0.25">
      <c r="A33" s="70">
        <v>43022</v>
      </c>
      <c r="B33" s="71">
        <f t="shared" si="4"/>
        <v>31</v>
      </c>
      <c r="C33" s="72">
        <f t="shared" si="5"/>
        <v>193.15702533353954</v>
      </c>
      <c r="D33" s="72">
        <v>160</v>
      </c>
      <c r="E33" s="72">
        <f t="shared" si="0"/>
        <v>33.157025333539536</v>
      </c>
      <c r="F33" s="72">
        <f t="shared" si="1"/>
        <v>2511.0413293360139</v>
      </c>
      <c r="G33" s="72">
        <f t="shared" si="2"/>
        <v>1027.8677853397257</v>
      </c>
      <c r="H33" s="73">
        <f t="shared" si="3"/>
        <v>0.29367651009706452</v>
      </c>
      <c r="I33" s="61"/>
    </row>
    <row r="34" spans="1:9" x14ac:dyDescent="0.25">
      <c r="A34" s="70">
        <v>43023</v>
      </c>
      <c r="B34" s="71">
        <f t="shared" si="4"/>
        <v>32</v>
      </c>
      <c r="C34" s="72">
        <f t="shared" si="5"/>
        <v>192.86334882344246</v>
      </c>
      <c r="D34" s="72">
        <v>160</v>
      </c>
      <c r="E34" s="72">
        <f t="shared" si="0"/>
        <v>32.863348823442465</v>
      </c>
      <c r="F34" s="72">
        <f t="shared" si="1"/>
        <v>2507.2235347047522</v>
      </c>
      <c r="G34" s="72">
        <f t="shared" si="2"/>
        <v>1018.7638135267164</v>
      </c>
      <c r="H34" s="73">
        <f t="shared" si="3"/>
        <v>0.29107537529334754</v>
      </c>
      <c r="I34" s="61"/>
    </row>
    <row r="35" spans="1:9" x14ac:dyDescent="0.25">
      <c r="A35" s="70">
        <v>43024</v>
      </c>
      <c r="B35" s="71">
        <f t="shared" si="4"/>
        <v>33</v>
      </c>
      <c r="C35" s="72">
        <f t="shared" si="5"/>
        <v>192.5722734481491</v>
      </c>
      <c r="D35" s="72">
        <v>160</v>
      </c>
      <c r="E35" s="72">
        <f t="shared" si="0"/>
        <v>32.572273448149105</v>
      </c>
      <c r="F35" s="72">
        <f t="shared" si="1"/>
        <v>2503.4395548259386</v>
      </c>
      <c r="G35" s="72">
        <f t="shared" si="2"/>
        <v>1009.7404768926223</v>
      </c>
      <c r="H35" s="73">
        <f t="shared" si="3"/>
        <v>0.28849727911217782</v>
      </c>
      <c r="I35" s="61"/>
    </row>
    <row r="36" spans="1:9" x14ac:dyDescent="0.25">
      <c r="A36" s="70">
        <v>43025</v>
      </c>
      <c r="B36" s="71">
        <f t="shared" si="4"/>
        <v>34</v>
      </c>
      <c r="C36" s="72">
        <f t="shared" si="5"/>
        <v>192.28377616903694</v>
      </c>
      <c r="D36" s="72">
        <v>160</v>
      </c>
      <c r="E36" s="72">
        <f t="shared" si="0"/>
        <v>32.28377616903694</v>
      </c>
      <c r="F36" s="72">
        <f t="shared" si="1"/>
        <v>2499.6890901974803</v>
      </c>
      <c r="G36" s="72">
        <f t="shared" si="2"/>
        <v>1000.7970612401451</v>
      </c>
      <c r="H36" s="73">
        <f t="shared" si="3"/>
        <v>0.28594201749718434</v>
      </c>
      <c r="I36" s="61"/>
    </row>
    <row r="37" spans="1:9" x14ac:dyDescent="0.25">
      <c r="A37" s="70">
        <v>43026</v>
      </c>
      <c r="B37" s="71">
        <f t="shared" si="4"/>
        <v>35</v>
      </c>
      <c r="C37" s="72">
        <f t="shared" si="5"/>
        <v>191.99783415153976</v>
      </c>
      <c r="D37" s="72">
        <v>160</v>
      </c>
      <c r="E37" s="72">
        <f t="shared" si="0"/>
        <v>31.997834151539763</v>
      </c>
      <c r="F37" s="72">
        <f t="shared" si="1"/>
        <v>2495.9718439700168</v>
      </c>
      <c r="G37" s="72">
        <f t="shared" si="2"/>
        <v>991.93285869773263</v>
      </c>
      <c r="H37" s="73">
        <f t="shared" si="3"/>
        <v>0.28340938819935219</v>
      </c>
      <c r="I37" s="61"/>
    </row>
    <row r="38" spans="1:9" x14ac:dyDescent="0.25">
      <c r="A38" s="70">
        <v>43027</v>
      </c>
      <c r="B38" s="71">
        <f t="shared" si="4"/>
        <v>36</v>
      </c>
      <c r="C38" s="72">
        <f t="shared" si="5"/>
        <v>191.71442476334042</v>
      </c>
      <c r="D38" s="72">
        <v>160</v>
      </c>
      <c r="E38" s="72">
        <f t="shared" si="0"/>
        <v>31.714424763340418</v>
      </c>
      <c r="F38" s="72">
        <f t="shared" si="1"/>
        <v>2492.2875219234256</v>
      </c>
      <c r="G38" s="72">
        <f t="shared" si="2"/>
        <v>983.14716766355298</v>
      </c>
      <c r="H38" s="73">
        <f t="shared" si="3"/>
        <v>0.28089919076101516</v>
      </c>
      <c r="I38" s="61"/>
    </row>
    <row r="39" spans="1:9" x14ac:dyDescent="0.25">
      <c r="A39" s="70">
        <v>43028</v>
      </c>
      <c r="B39" s="71">
        <f t="shared" si="4"/>
        <v>37</v>
      </c>
      <c r="C39" s="72">
        <f t="shared" si="5"/>
        <v>191.43352557257941</v>
      </c>
      <c r="D39" s="72">
        <v>160</v>
      </c>
      <c r="E39" s="72">
        <f t="shared" si="0"/>
        <v>31.433525572579413</v>
      </c>
      <c r="F39" s="72">
        <f t="shared" si="1"/>
        <v>2488.6358324435323</v>
      </c>
      <c r="G39" s="72">
        <f t="shared" si="2"/>
        <v>974.43929274996185</v>
      </c>
      <c r="H39" s="73">
        <f t="shared" si="3"/>
        <v>0.27841122649998912</v>
      </c>
      <c r="I39" s="61"/>
    </row>
    <row r="40" spans="1:9" x14ac:dyDescent="0.25">
      <c r="A40" s="70">
        <v>43029</v>
      </c>
      <c r="B40" s="71">
        <f t="shared" si="4"/>
        <v>38</v>
      </c>
      <c r="C40" s="72">
        <f t="shared" si="5"/>
        <v>191.15511434607942</v>
      </c>
      <c r="D40" s="72">
        <v>160</v>
      </c>
      <c r="E40" s="72">
        <f t="shared" si="0"/>
        <v>31.155114346079415</v>
      </c>
      <c r="F40" s="72">
        <f t="shared" si="1"/>
        <v>2485.0164864990325</v>
      </c>
      <c r="G40" s="72">
        <f t="shared" si="2"/>
        <v>965.80854472846181</v>
      </c>
      <c r="H40" s="73">
        <f t="shared" si="3"/>
        <v>0.27594529849384625</v>
      </c>
      <c r="I40" s="61"/>
    </row>
    <row r="41" spans="1:9" x14ac:dyDescent="0.25">
      <c r="A41" s="70">
        <v>43030</v>
      </c>
      <c r="B41" s="71">
        <f t="shared" si="4"/>
        <v>39</v>
      </c>
      <c r="C41" s="72">
        <f t="shared" si="5"/>
        <v>190.87916904758558</v>
      </c>
      <c r="D41" s="72">
        <v>160</v>
      </c>
      <c r="E41" s="72">
        <f t="shared" si="0"/>
        <v>30.879169047585577</v>
      </c>
      <c r="F41" s="72">
        <f t="shared" si="1"/>
        <v>2481.4291976186123</v>
      </c>
      <c r="G41" s="72">
        <f t="shared" si="2"/>
        <v>957.25424047515287</v>
      </c>
      <c r="H41" s="73">
        <f t="shared" si="3"/>
        <v>0.27350121156432938</v>
      </c>
      <c r="I41" s="61"/>
    </row>
    <row r="42" spans="1:9" x14ac:dyDescent="0.25">
      <c r="A42" s="70">
        <v>43031</v>
      </c>
      <c r="B42" s="71">
        <f t="shared" si="4"/>
        <v>40</v>
      </c>
      <c r="C42" s="72">
        <f t="shared" si="5"/>
        <v>190.60566783602124</v>
      </c>
      <c r="D42" s="72">
        <v>160</v>
      </c>
      <c r="E42" s="72">
        <f t="shared" si="0"/>
        <v>30.60566783602124</v>
      </c>
      <c r="F42" s="72">
        <f t="shared" si="1"/>
        <v>2477.873681868276</v>
      </c>
      <c r="G42" s="72">
        <f t="shared" si="2"/>
        <v>948.77570291665847</v>
      </c>
      <c r="H42" s="73">
        <f t="shared" si="3"/>
        <v>0.27107877226190241</v>
      </c>
      <c r="I42" s="61"/>
    </row>
    <row r="43" spans="1:9" x14ac:dyDescent="0.25">
      <c r="A43" s="70">
        <v>43032</v>
      </c>
      <c r="B43" s="71">
        <f t="shared" si="4"/>
        <v>41</v>
      </c>
      <c r="C43" s="72">
        <f t="shared" si="5"/>
        <v>190.33458906375932</v>
      </c>
      <c r="D43" s="72">
        <v>160</v>
      </c>
      <c r="E43" s="72">
        <f t="shared" si="0"/>
        <v>30.334589063759324</v>
      </c>
      <c r="F43" s="72">
        <f t="shared" si="1"/>
        <v>2474.3496578288714</v>
      </c>
      <c r="G43" s="72">
        <f t="shared" si="2"/>
        <v>940.37226097653911</v>
      </c>
      <c r="H43" s="73">
        <f t="shared" si="3"/>
        <v>0.26867778885043975</v>
      </c>
      <c r="I43" s="61"/>
    </row>
    <row r="44" spans="1:9" x14ac:dyDescent="0.25">
      <c r="A44" s="70">
        <v>43033</v>
      </c>
      <c r="B44" s="71">
        <f t="shared" si="4"/>
        <v>42</v>
      </c>
      <c r="C44" s="72">
        <f t="shared" si="5"/>
        <v>190.06591127490887</v>
      </c>
      <c r="D44" s="72">
        <v>160</v>
      </c>
      <c r="E44" s="72">
        <f t="shared" si="0"/>
        <v>30.065911274908871</v>
      </c>
      <c r="F44" s="72">
        <f t="shared" si="1"/>
        <v>2470.8568465738153</v>
      </c>
      <c r="G44" s="72">
        <f t="shared" si="2"/>
        <v>932.04324952217496</v>
      </c>
      <c r="H44" s="73">
        <f t="shared" si="3"/>
        <v>0.26629807129204996</v>
      </c>
      <c r="I44" s="61"/>
    </row>
    <row r="45" spans="1:9" x14ac:dyDescent="0.25">
      <c r="A45" s="70">
        <v>43034</v>
      </c>
      <c r="B45" s="71">
        <f t="shared" si="4"/>
        <v>43</v>
      </c>
      <c r="C45" s="72">
        <f t="shared" si="5"/>
        <v>189.79961320361681</v>
      </c>
      <c r="D45" s="72">
        <v>160</v>
      </c>
      <c r="E45" s="72">
        <f t="shared" si="0"/>
        <v>29.799613203616815</v>
      </c>
      <c r="F45" s="72">
        <f t="shared" si="1"/>
        <v>2467.3949716470188</v>
      </c>
      <c r="G45" s="72">
        <f t="shared" si="2"/>
        <v>923.78800931212129</v>
      </c>
      <c r="H45" s="73">
        <f t="shared" si="3"/>
        <v>0.26393943123203467</v>
      </c>
      <c r="I45" s="61"/>
    </row>
    <row r="46" spans="1:9" x14ac:dyDescent="0.25">
      <c r="A46" s="70">
        <v>43035</v>
      </c>
      <c r="B46" s="71">
        <f t="shared" si="4"/>
        <v>44</v>
      </c>
      <c r="C46" s="72">
        <f t="shared" si="5"/>
        <v>189.53567377238477</v>
      </c>
      <c r="D46" s="72">
        <v>160</v>
      </c>
      <c r="E46" s="72">
        <f t="shared" si="0"/>
        <v>29.535673772384769</v>
      </c>
      <c r="F46" s="72">
        <f t="shared" si="1"/>
        <v>2463.963759041002</v>
      </c>
      <c r="G46" s="72">
        <f t="shared" si="2"/>
        <v>915.60588694392777</v>
      </c>
      <c r="H46" s="73">
        <f t="shared" si="3"/>
        <v>0.26160168198397937</v>
      </c>
      <c r="I46" s="61"/>
    </row>
    <row r="47" spans="1:9" x14ac:dyDescent="0.25">
      <c r="A47" s="70">
        <v>43036</v>
      </c>
      <c r="B47" s="71">
        <f t="shared" si="4"/>
        <v>45</v>
      </c>
      <c r="C47" s="72">
        <f t="shared" si="5"/>
        <v>189.27407209040078</v>
      </c>
      <c r="D47" s="72">
        <v>160</v>
      </c>
      <c r="E47" s="72">
        <f t="shared" si="0"/>
        <v>29.274072090400779</v>
      </c>
      <c r="F47" s="72">
        <f t="shared" si="1"/>
        <v>2460.5629371752102</v>
      </c>
      <c r="G47" s="72">
        <f t="shared" si="2"/>
        <v>907.49623480242417</v>
      </c>
      <c r="H47" s="73">
        <f t="shared" si="3"/>
        <v>0.25928463851497835</v>
      </c>
      <c r="I47" s="61"/>
    </row>
    <row r="48" spans="1:9" x14ac:dyDescent="0.25">
      <c r="A48" s="70">
        <v>43037</v>
      </c>
      <c r="B48" s="71">
        <f t="shared" si="4"/>
        <v>46</v>
      </c>
      <c r="C48" s="72">
        <f t="shared" si="5"/>
        <v>189.01478745188581</v>
      </c>
      <c r="D48" s="72">
        <v>160</v>
      </c>
      <c r="E48" s="72">
        <f t="shared" si="0"/>
        <v>29.014787451885809</v>
      </c>
      <c r="F48" s="72">
        <f t="shared" si="1"/>
        <v>2457.1922368745154</v>
      </c>
      <c r="G48" s="72">
        <f t="shared" si="2"/>
        <v>899.45841100846008</v>
      </c>
      <c r="H48" s="73">
        <f t="shared" si="3"/>
        <v>0.25698811743098859</v>
      </c>
      <c r="I48" s="61"/>
    </row>
    <row r="49" spans="1:9" x14ac:dyDescent="0.25">
      <c r="A49" s="70">
        <v>43038</v>
      </c>
      <c r="B49" s="71">
        <f t="shared" si="4"/>
        <v>47</v>
      </c>
      <c r="C49" s="72">
        <f t="shared" si="5"/>
        <v>188.75779933445483</v>
      </c>
      <c r="D49" s="72">
        <v>160</v>
      </c>
      <c r="E49" s="72">
        <f t="shared" si="0"/>
        <v>28.75779933445483</v>
      </c>
      <c r="F49" s="72">
        <f t="shared" si="1"/>
        <v>2453.8513913479128</v>
      </c>
      <c r="G49" s="72">
        <f t="shared" si="2"/>
        <v>891.49177936809974</v>
      </c>
      <c r="H49" s="73">
        <f t="shared" si="3"/>
        <v>0.2547119369623142</v>
      </c>
      <c r="I49" s="61"/>
    </row>
    <row r="50" spans="1:9" x14ac:dyDescent="0.25">
      <c r="A50" s="70">
        <v>43039</v>
      </c>
      <c r="B50" s="71">
        <f t="shared" si="4"/>
        <v>48</v>
      </c>
      <c r="C50" s="72">
        <f t="shared" si="5"/>
        <v>188.50308739749252</v>
      </c>
      <c r="D50" s="72">
        <v>160</v>
      </c>
      <c r="E50" s="72">
        <f t="shared" si="0"/>
        <v>28.503087397492521</v>
      </c>
      <c r="F50" s="72">
        <f t="shared" si="1"/>
        <v>2450.5401361674026</v>
      </c>
      <c r="G50" s="72">
        <f t="shared" si="2"/>
        <v>883.59570932226814</v>
      </c>
      <c r="H50" s="73">
        <f t="shared" si="3"/>
        <v>0.25245591694921948</v>
      </c>
      <c r="I50" s="61"/>
    </row>
    <row r="51" spans="1:9" x14ac:dyDescent="0.25">
      <c r="A51" s="70">
        <v>43040</v>
      </c>
      <c r="B51" s="71">
        <f t="shared" si="4"/>
        <v>49</v>
      </c>
      <c r="C51" s="72">
        <f t="shared" si="5"/>
        <v>188.25063148054329</v>
      </c>
      <c r="D51" s="72">
        <v>160</v>
      </c>
      <c r="E51" s="72">
        <f t="shared" si="0"/>
        <v>28.250631480543291</v>
      </c>
      <c r="F51" s="72">
        <f t="shared" si="1"/>
        <v>2447.258209247063</v>
      </c>
      <c r="G51" s="72">
        <f t="shared" si="2"/>
        <v>875.76957589684207</v>
      </c>
      <c r="H51" s="73">
        <f t="shared" si="3"/>
        <v>0.25021987882766916</v>
      </c>
      <c r="I51" s="61"/>
    </row>
    <row r="52" spans="1:9" x14ac:dyDescent="0.25">
      <c r="A52" s="70">
        <v>43041</v>
      </c>
      <c r="B52" s="71">
        <f t="shared" si="4"/>
        <v>50</v>
      </c>
      <c r="C52" s="72">
        <f t="shared" si="5"/>
        <v>188.00041160171563</v>
      </c>
      <c r="D52" s="72">
        <v>160</v>
      </c>
      <c r="E52" s="72">
        <f t="shared" si="0"/>
        <v>28.000411601715626</v>
      </c>
      <c r="F52" s="72">
        <f t="shared" si="1"/>
        <v>2444.0053508223032</v>
      </c>
      <c r="G52" s="72">
        <f t="shared" si="2"/>
        <v>868.01275965318439</v>
      </c>
      <c r="H52" s="73">
        <f t="shared" si="3"/>
        <v>0.24800364561519553</v>
      </c>
      <c r="I52" s="61"/>
    </row>
    <row r="53" spans="1:9" x14ac:dyDescent="0.25">
      <c r="A53" s="70">
        <v>43042</v>
      </c>
      <c r="B53" s="71">
        <f t="shared" si="4"/>
        <v>51</v>
      </c>
      <c r="C53" s="72">
        <f t="shared" si="5"/>
        <v>187.75240795610043</v>
      </c>
      <c r="D53" s="72">
        <v>160</v>
      </c>
      <c r="E53" s="72">
        <f t="shared" si="0"/>
        <v>27.752407956100427</v>
      </c>
      <c r="F53" s="72">
        <f t="shared" si="1"/>
        <v>2440.7813034293054</v>
      </c>
      <c r="G53" s="72">
        <f t="shared" si="2"/>
        <v>860.32464663911321</v>
      </c>
      <c r="H53" s="73">
        <f t="shared" si="3"/>
        <v>0.24580704189688948</v>
      </c>
      <c r="I53" s="61"/>
    </row>
    <row r="54" spans="1:9" x14ac:dyDescent="0.25">
      <c r="A54" s="70">
        <v>43043</v>
      </c>
      <c r="B54" s="71">
        <f t="shared" si="4"/>
        <v>52</v>
      </c>
      <c r="C54" s="72">
        <f t="shared" si="5"/>
        <v>187.50660091420355</v>
      </c>
      <c r="D54" s="72">
        <v>160</v>
      </c>
      <c r="E54" s="72">
        <f t="shared" si="0"/>
        <v>27.506600914203545</v>
      </c>
      <c r="F54" s="72">
        <f t="shared" si="1"/>
        <v>2437.5858118846463</v>
      </c>
      <c r="G54" s="72">
        <f t="shared" si="2"/>
        <v>852.70462834030991</v>
      </c>
      <c r="H54" s="73">
        <f t="shared" si="3"/>
        <v>0.24362989381151712</v>
      </c>
      <c r="I54" s="61"/>
    </row>
    <row r="55" spans="1:9" x14ac:dyDescent="0.25">
      <c r="A55" s="70">
        <v>43044</v>
      </c>
      <c r="B55" s="71">
        <f t="shared" si="4"/>
        <v>53</v>
      </c>
      <c r="C55" s="72">
        <f t="shared" si="5"/>
        <v>187.26297102039203</v>
      </c>
      <c r="D55" s="72">
        <v>160</v>
      </c>
      <c r="E55" s="72">
        <f t="shared" si="0"/>
        <v>27.26297102039203</v>
      </c>
      <c r="F55" s="72">
        <f t="shared" si="1"/>
        <v>2434.4186232650964</v>
      </c>
      <c r="G55" s="72">
        <f t="shared" si="2"/>
        <v>845.15210163215295</v>
      </c>
      <c r="H55" s="73">
        <f t="shared" si="3"/>
        <v>0.241472029037758</v>
      </c>
      <c r="I55" s="61"/>
    </row>
    <row r="56" spans="1:9" x14ac:dyDescent="0.25">
      <c r="A56" s="70">
        <v>43045</v>
      </c>
      <c r="B56" s="71">
        <f t="shared" si="4"/>
        <v>54</v>
      </c>
      <c r="C56" s="72">
        <f t="shared" si="5"/>
        <v>187.02149899135426</v>
      </c>
      <c r="D56" s="72">
        <v>160</v>
      </c>
      <c r="E56" s="72">
        <f t="shared" si="0"/>
        <v>27.021498991354264</v>
      </c>
      <c r="F56" s="72">
        <f t="shared" si="1"/>
        <v>2431.2794868876053</v>
      </c>
      <c r="G56" s="72">
        <f t="shared" si="2"/>
        <v>837.66646873198215</v>
      </c>
      <c r="H56" s="73">
        <f t="shared" si="3"/>
        <v>0.23933327678056632</v>
      </c>
      <c r="I56" s="61"/>
    </row>
    <row r="57" spans="1:9" x14ac:dyDescent="0.25">
      <c r="A57" s="70">
        <v>43046</v>
      </c>
      <c r="B57" s="71">
        <f t="shared" si="4"/>
        <v>55</v>
      </c>
      <c r="C57" s="72">
        <f t="shared" si="5"/>
        <v>186.78216571457369</v>
      </c>
      <c r="D57" s="72">
        <v>160</v>
      </c>
      <c r="E57" s="72">
        <f t="shared" si="0"/>
        <v>26.782165714573694</v>
      </c>
      <c r="F57" s="72">
        <f t="shared" si="1"/>
        <v>2428.168154289458</v>
      </c>
      <c r="G57" s="72">
        <f t="shared" si="2"/>
        <v>830.2471371517845</v>
      </c>
      <c r="H57" s="73">
        <f t="shared" si="3"/>
        <v>0.2372134677576527</v>
      </c>
      <c r="I57" s="61"/>
    </row>
    <row r="58" spans="1:9" x14ac:dyDescent="0.25">
      <c r="A58" s="70">
        <v>43047</v>
      </c>
      <c r="B58" s="71">
        <f t="shared" si="4"/>
        <v>56</v>
      </c>
      <c r="C58" s="72">
        <f t="shared" si="5"/>
        <v>186.54495224681605</v>
      </c>
      <c r="D58" s="72">
        <v>160</v>
      </c>
      <c r="E58" s="72">
        <f t="shared" si="0"/>
        <v>26.544952246816052</v>
      </c>
      <c r="F58" s="72">
        <f t="shared" si="1"/>
        <v>2425.0843792086089</v>
      </c>
      <c r="G58" s="72">
        <f t="shared" si="2"/>
        <v>822.89351965129765</v>
      </c>
      <c r="H58" s="73">
        <f t="shared" si="3"/>
        <v>0.23511243418608505</v>
      </c>
      <c r="I58" s="61"/>
    </row>
    <row r="59" spans="1:9" x14ac:dyDescent="0.25">
      <c r="A59" s="70">
        <v>43048</v>
      </c>
      <c r="B59" s="71">
        <f t="shared" si="4"/>
        <v>57</v>
      </c>
      <c r="C59" s="72">
        <f t="shared" si="5"/>
        <v>186.30983981262997</v>
      </c>
      <c r="D59" s="72">
        <v>160</v>
      </c>
      <c r="E59" s="72">
        <f t="shared" si="0"/>
        <v>26.309839812629974</v>
      </c>
      <c r="F59" s="72">
        <f t="shared" si="1"/>
        <v>2422.0279175641895</v>
      </c>
      <c r="G59" s="72">
        <f t="shared" si="2"/>
        <v>815.60503419152917</v>
      </c>
      <c r="H59" s="73">
        <f t="shared" si="3"/>
        <v>0.23303000976900834</v>
      </c>
      <c r="I59" s="61"/>
    </row>
    <row r="60" spans="1:9" x14ac:dyDescent="0.25">
      <c r="A60" s="70">
        <v>43049</v>
      </c>
      <c r="B60" s="71">
        <f t="shared" si="4"/>
        <v>58</v>
      </c>
      <c r="C60" s="72">
        <f t="shared" si="5"/>
        <v>186.07680980286096</v>
      </c>
      <c r="D60" s="72">
        <v>160</v>
      </c>
      <c r="E60" s="72">
        <f t="shared" si="0"/>
        <v>26.076809802860964</v>
      </c>
      <c r="F60" s="72">
        <f t="shared" si="1"/>
        <v>2418.9985274371925</v>
      </c>
      <c r="G60" s="72">
        <f t="shared" si="2"/>
        <v>808.38110388868995</v>
      </c>
      <c r="H60" s="73">
        <f t="shared" si="3"/>
        <v>0.23096602968248284</v>
      </c>
      <c r="I60" s="61"/>
    </row>
    <row r="61" spans="1:9" x14ac:dyDescent="0.25">
      <c r="A61" s="70">
        <v>43050</v>
      </c>
      <c r="B61" s="71">
        <f t="shared" si="4"/>
        <v>59</v>
      </c>
      <c r="C61" s="72">
        <f t="shared" si="5"/>
        <v>185.84584377317847</v>
      </c>
      <c r="D61" s="72">
        <v>160</v>
      </c>
      <c r="E61" s="72">
        <f t="shared" si="0"/>
        <v>25.845843773178473</v>
      </c>
      <c r="F61" s="72">
        <f t="shared" si="1"/>
        <v>2415.9959690513201</v>
      </c>
      <c r="G61" s="72">
        <f t="shared" si="2"/>
        <v>801.22115696853268</v>
      </c>
      <c r="H61" s="73">
        <f t="shared" si="3"/>
        <v>0.22892033056243791</v>
      </c>
      <c r="I61" s="61"/>
    </row>
    <row r="62" spans="1:9" x14ac:dyDescent="0.25">
      <c r="A62" s="70">
        <v>43051</v>
      </c>
      <c r="B62" s="71">
        <f t="shared" si="4"/>
        <v>60</v>
      </c>
      <c r="C62" s="72">
        <f t="shared" si="5"/>
        <v>185.61692344261604</v>
      </c>
      <c r="D62" s="72">
        <v>160</v>
      </c>
      <c r="E62" s="72">
        <f t="shared" si="0"/>
        <v>25.616923442616041</v>
      </c>
      <c r="F62" s="72">
        <f t="shared" si="1"/>
        <v>2413.0200047540084</v>
      </c>
      <c r="G62" s="72">
        <f t="shared" si="2"/>
        <v>794.12462672109723</v>
      </c>
      <c r="H62" s="73">
        <f t="shared" si="3"/>
        <v>0.22689275049174207</v>
      </c>
      <c r="I62" s="61"/>
    </row>
    <row r="63" spans="1:9" x14ac:dyDescent="0.25">
      <c r="A63" s="70">
        <v>43052</v>
      </c>
      <c r="B63" s="71">
        <f t="shared" si="4"/>
        <v>61</v>
      </c>
      <c r="C63" s="72">
        <f t="shared" si="5"/>
        <v>185.3900306921243</v>
      </c>
      <c r="D63" s="72">
        <v>160</v>
      </c>
      <c r="E63" s="72">
        <f t="shared" si="0"/>
        <v>25.390030692124299</v>
      </c>
      <c r="F63" s="72">
        <f t="shared" si="1"/>
        <v>2410.0703989976159</v>
      </c>
      <c r="G63" s="72">
        <f t="shared" si="2"/>
        <v>787.0909514558532</v>
      </c>
      <c r="H63" s="73">
        <f t="shared" si="3"/>
        <v>0.22488312898738663</v>
      </c>
      <c r="I63" s="61"/>
    </row>
    <row r="64" spans="1:9" x14ac:dyDescent="0.25">
      <c r="A64" s="70">
        <v>43053</v>
      </c>
      <c r="B64" s="71">
        <f t="shared" si="4"/>
        <v>62</v>
      </c>
      <c r="C64" s="72">
        <f t="shared" si="5"/>
        <v>185.16514756313691</v>
      </c>
      <c r="D64" s="72">
        <v>160</v>
      </c>
      <c r="E64" s="72">
        <f t="shared" si="0"/>
        <v>25.165147563136912</v>
      </c>
      <c r="F64" s="72">
        <f t="shared" si="1"/>
        <v>2407.1469183207801</v>
      </c>
      <c r="G64" s="72">
        <f t="shared" si="2"/>
        <v>780.11957445724431</v>
      </c>
      <c r="H64" s="73">
        <f t="shared" si="3"/>
        <v>0.22289130698778409</v>
      </c>
      <c r="I64" s="61"/>
    </row>
    <row r="65" spans="1:9" x14ac:dyDescent="0.25">
      <c r="A65" s="70">
        <v>43054</v>
      </c>
      <c r="B65" s="71">
        <f t="shared" si="4"/>
        <v>63</v>
      </c>
      <c r="C65" s="72">
        <f t="shared" si="5"/>
        <v>184.94225625614914</v>
      </c>
      <c r="D65" s="72">
        <v>160</v>
      </c>
      <c r="E65" s="72">
        <f t="shared" si="0"/>
        <v>24.942256256149136</v>
      </c>
      <c r="F65" s="72">
        <f t="shared" si="1"/>
        <v>2404.2493313299387</v>
      </c>
      <c r="G65" s="72">
        <f t="shared" si="2"/>
        <v>773.20994394062325</v>
      </c>
      <c r="H65" s="73">
        <f t="shared" si="3"/>
        <v>0.22091712684017806</v>
      </c>
      <c r="I65" s="61"/>
    </row>
    <row r="66" spans="1:9" x14ac:dyDescent="0.25">
      <c r="A66" s="70">
        <v>43055</v>
      </c>
      <c r="B66" s="71">
        <f t="shared" si="4"/>
        <v>64</v>
      </c>
      <c r="C66" s="72">
        <f t="shared" si="5"/>
        <v>184.72133912930894</v>
      </c>
      <c r="D66" s="72">
        <v>160</v>
      </c>
      <c r="E66" s="72">
        <f t="shared" si="0"/>
        <v>24.721339129308944</v>
      </c>
      <c r="F66" s="72">
        <f t="shared" si="1"/>
        <v>2401.3774086810163</v>
      </c>
      <c r="G66" s="72">
        <f t="shared" si="2"/>
        <v>766.36151300857728</v>
      </c>
      <c r="H66" s="73">
        <f t="shared" si="3"/>
        <v>0.21896043228816495</v>
      </c>
      <c r="I66" s="61"/>
    </row>
    <row r="67" spans="1:9" x14ac:dyDescent="0.25">
      <c r="A67" s="70">
        <v>43056</v>
      </c>
      <c r="B67" s="71">
        <f t="shared" si="4"/>
        <v>65</v>
      </c>
      <c r="C67" s="72">
        <f t="shared" si="5"/>
        <v>184.50237869702079</v>
      </c>
      <c r="D67" s="72">
        <v>160</v>
      </c>
      <c r="E67" s="72">
        <f t="shared" ref="E67:E130" si="6">C67-D67</f>
        <v>24.502378697020788</v>
      </c>
      <c r="F67" s="72">
        <f t="shared" ref="F67:F130" si="7">13*C67</f>
        <v>2398.5309230612702</v>
      </c>
      <c r="G67" s="72">
        <f t="shared" ref="G67:G130" si="8">E67*31</f>
        <v>759.57373960764448</v>
      </c>
      <c r="H67" s="73">
        <f t="shared" ref="H67:H130" si="9">MIN($G67/3500,$F67/3500)</f>
        <v>0.217021068459327</v>
      </c>
      <c r="I67" s="61"/>
    </row>
    <row r="68" spans="1:9" x14ac:dyDescent="0.25">
      <c r="A68" s="70">
        <v>43057</v>
      </c>
      <c r="B68" s="71">
        <f t="shared" ref="B68:B131" si="10">B67+1</f>
        <v>66</v>
      </c>
      <c r="C68" s="72">
        <f t="shared" ref="C68:C131" si="11">C67-H67</f>
        <v>184.28535762856146</v>
      </c>
      <c r="D68" s="72">
        <v>160</v>
      </c>
      <c r="E68" s="72">
        <f t="shared" si="6"/>
        <v>24.285357628561457</v>
      </c>
      <c r="F68" s="72">
        <f t="shared" si="7"/>
        <v>2395.7096491712991</v>
      </c>
      <c r="G68" s="72">
        <f t="shared" si="8"/>
        <v>752.84608648540518</v>
      </c>
      <c r="H68" s="73">
        <f t="shared" si="9"/>
        <v>0.21509888185297291</v>
      </c>
      <c r="I68" s="61"/>
    </row>
    <row r="69" spans="1:9" x14ac:dyDescent="0.25">
      <c r="A69" s="70">
        <v>43058</v>
      </c>
      <c r="B69" s="71">
        <f t="shared" si="10"/>
        <v>67</v>
      </c>
      <c r="C69" s="72">
        <f t="shared" si="11"/>
        <v>184.07025874670848</v>
      </c>
      <c r="D69" s="72">
        <v>160</v>
      </c>
      <c r="E69" s="72">
        <f t="shared" si="6"/>
        <v>24.070258746708475</v>
      </c>
      <c r="F69" s="72">
        <f t="shared" si="7"/>
        <v>2392.91336370721</v>
      </c>
      <c r="G69" s="72">
        <f t="shared" si="8"/>
        <v>746.17802114796268</v>
      </c>
      <c r="H69" s="73">
        <f t="shared" si="9"/>
        <v>0.21319372032798933</v>
      </c>
      <c r="I69" s="61"/>
    </row>
    <row r="70" spans="1:9" x14ac:dyDescent="0.25">
      <c r="A70" s="70">
        <v>43059</v>
      </c>
      <c r="B70" s="71">
        <f t="shared" si="10"/>
        <v>68</v>
      </c>
      <c r="C70" s="72">
        <f t="shared" si="11"/>
        <v>183.8570650263805</v>
      </c>
      <c r="D70" s="72">
        <v>160</v>
      </c>
      <c r="E70" s="72">
        <f t="shared" si="6"/>
        <v>23.857065026380496</v>
      </c>
      <c r="F70" s="72">
        <f t="shared" si="7"/>
        <v>2390.1418453429465</v>
      </c>
      <c r="G70" s="72">
        <f t="shared" si="8"/>
        <v>739.56901581779539</v>
      </c>
      <c r="H70" s="73">
        <f t="shared" si="9"/>
        <v>0.21130543309079869</v>
      </c>
      <c r="I70" s="61"/>
    </row>
    <row r="71" spans="1:9" x14ac:dyDescent="0.25">
      <c r="A71" s="70">
        <v>43060</v>
      </c>
      <c r="B71" s="71">
        <f t="shared" si="10"/>
        <v>69</v>
      </c>
      <c r="C71" s="72">
        <f t="shared" si="11"/>
        <v>183.64575959328971</v>
      </c>
      <c r="D71" s="72">
        <v>160</v>
      </c>
      <c r="E71" s="72">
        <f t="shared" si="6"/>
        <v>23.645759593289711</v>
      </c>
      <c r="F71" s="72">
        <f t="shared" si="7"/>
        <v>2387.3948747127661</v>
      </c>
      <c r="G71" s="72">
        <f t="shared" si="8"/>
        <v>733.01854739198097</v>
      </c>
      <c r="H71" s="73">
        <f t="shared" si="9"/>
        <v>0.20943387068342315</v>
      </c>
      <c r="I71" s="61"/>
    </row>
    <row r="72" spans="1:9" x14ac:dyDescent="0.25">
      <c r="A72" s="70">
        <v>43061</v>
      </c>
      <c r="B72" s="71">
        <f t="shared" si="10"/>
        <v>70</v>
      </c>
      <c r="C72" s="72">
        <f t="shared" si="11"/>
        <v>183.43632572260628</v>
      </c>
      <c r="D72" s="72">
        <v>160</v>
      </c>
      <c r="E72" s="72">
        <f t="shared" si="6"/>
        <v>23.436325722606284</v>
      </c>
      <c r="F72" s="72">
        <f t="shared" si="7"/>
        <v>2384.6722343938818</v>
      </c>
      <c r="G72" s="72">
        <f t="shared" si="8"/>
        <v>726.52609740079481</v>
      </c>
      <c r="H72" s="73">
        <f t="shared" si="9"/>
        <v>0.20757888497165566</v>
      </c>
      <c r="I72" s="61"/>
    </row>
    <row r="73" spans="1:9" x14ac:dyDescent="0.25">
      <c r="A73" s="70">
        <v>43062</v>
      </c>
      <c r="B73" s="71">
        <f t="shared" si="10"/>
        <v>71</v>
      </c>
      <c r="C73" s="72">
        <f t="shared" si="11"/>
        <v>183.22874683763462</v>
      </c>
      <c r="D73" s="72">
        <v>160</v>
      </c>
      <c r="E73" s="72">
        <f t="shared" si="6"/>
        <v>23.228746837634617</v>
      </c>
      <c r="F73" s="72">
        <f t="shared" si="7"/>
        <v>2381.9737088892498</v>
      </c>
      <c r="G73" s="72">
        <f t="shared" si="8"/>
        <v>720.09115196667312</v>
      </c>
      <c r="H73" s="73">
        <f t="shared" si="9"/>
        <v>0.20574032913333518</v>
      </c>
      <c r="I73" s="61"/>
    </row>
    <row r="74" spans="1:9" x14ac:dyDescent="0.25">
      <c r="A74" s="70">
        <v>43063</v>
      </c>
      <c r="B74" s="71">
        <f t="shared" si="10"/>
        <v>72</v>
      </c>
      <c r="C74" s="72">
        <f t="shared" si="11"/>
        <v>183.02300650850128</v>
      </c>
      <c r="D74" s="72">
        <v>160</v>
      </c>
      <c r="E74" s="72">
        <f t="shared" si="6"/>
        <v>23.023006508501282</v>
      </c>
      <c r="F74" s="72">
        <f t="shared" si="7"/>
        <v>2379.2990846105167</v>
      </c>
      <c r="G74" s="72">
        <f t="shared" si="8"/>
        <v>713.7132017635397</v>
      </c>
      <c r="H74" s="73">
        <f t="shared" si="9"/>
        <v>0.20391805764672563</v>
      </c>
      <c r="I74" s="61"/>
    </row>
    <row r="75" spans="1:9" x14ac:dyDescent="0.25">
      <c r="A75" s="70">
        <v>43064</v>
      </c>
      <c r="B75" s="71">
        <f t="shared" si="10"/>
        <v>73</v>
      </c>
      <c r="C75" s="72">
        <f t="shared" si="11"/>
        <v>182.81908845085457</v>
      </c>
      <c r="D75" s="72">
        <v>160</v>
      </c>
      <c r="E75" s="72">
        <f t="shared" si="6"/>
        <v>22.819088450854565</v>
      </c>
      <c r="F75" s="72">
        <f t="shared" si="7"/>
        <v>2376.6481498611092</v>
      </c>
      <c r="G75" s="72">
        <f t="shared" si="8"/>
        <v>707.39174197649152</v>
      </c>
      <c r="H75" s="73">
        <f t="shared" si="9"/>
        <v>0.20211192627899757</v>
      </c>
      <c r="I75" s="61"/>
    </row>
    <row r="76" spans="1:9" x14ac:dyDescent="0.25">
      <c r="A76" s="70">
        <v>43065</v>
      </c>
      <c r="B76" s="71">
        <f t="shared" si="10"/>
        <v>74</v>
      </c>
      <c r="C76" s="72">
        <f t="shared" si="11"/>
        <v>182.61697652457556</v>
      </c>
      <c r="D76" s="72">
        <v>160</v>
      </c>
      <c r="E76" s="72">
        <f t="shared" si="6"/>
        <v>22.616976524575563</v>
      </c>
      <c r="F76" s="72">
        <f t="shared" si="7"/>
        <v>2374.0206948194823</v>
      </c>
      <c r="G76" s="72">
        <f t="shared" si="8"/>
        <v>701.12627226184247</v>
      </c>
      <c r="H76" s="73">
        <f t="shared" si="9"/>
        <v>0.20032179207481213</v>
      </c>
      <c r="I76" s="61"/>
    </row>
    <row r="77" spans="1:9" x14ac:dyDescent="0.25">
      <c r="A77" s="70">
        <v>43066</v>
      </c>
      <c r="B77" s="71">
        <f t="shared" si="10"/>
        <v>75</v>
      </c>
      <c r="C77" s="72">
        <f t="shared" si="11"/>
        <v>182.41665473250075</v>
      </c>
      <c r="D77" s="72">
        <v>160</v>
      </c>
      <c r="E77" s="72">
        <f t="shared" si="6"/>
        <v>22.416654732500746</v>
      </c>
      <c r="F77" s="72">
        <f t="shared" si="7"/>
        <v>2371.4165115225096</v>
      </c>
      <c r="G77" s="72">
        <f t="shared" si="8"/>
        <v>694.91629670752309</v>
      </c>
      <c r="H77" s="73">
        <f t="shared" si="9"/>
        <v>0.19854751334500659</v>
      </c>
      <c r="I77" s="61"/>
    </row>
    <row r="78" spans="1:9" x14ac:dyDescent="0.25">
      <c r="A78" s="70">
        <v>43067</v>
      </c>
      <c r="B78" s="71">
        <f t="shared" si="10"/>
        <v>76</v>
      </c>
      <c r="C78" s="72">
        <f t="shared" si="11"/>
        <v>182.21810721915574</v>
      </c>
      <c r="D78" s="72">
        <v>160</v>
      </c>
      <c r="E78" s="72">
        <f t="shared" si="6"/>
        <v>22.21810721915574</v>
      </c>
      <c r="F78" s="72">
        <f t="shared" si="7"/>
        <v>2368.8353938490245</v>
      </c>
      <c r="G78" s="72">
        <f t="shared" si="8"/>
        <v>688.76132379382796</v>
      </c>
      <c r="H78" s="73">
        <f t="shared" si="9"/>
        <v>0.19678894965537941</v>
      </c>
      <c r="I78" s="61"/>
    </row>
    <row r="79" spans="1:9" x14ac:dyDescent="0.25">
      <c r="A79" s="70">
        <v>43068</v>
      </c>
      <c r="B79" s="71">
        <f t="shared" si="10"/>
        <v>77</v>
      </c>
      <c r="C79" s="72">
        <f t="shared" si="11"/>
        <v>182.02131826950037</v>
      </c>
      <c r="D79" s="72">
        <v>160</v>
      </c>
      <c r="E79" s="72">
        <f t="shared" si="6"/>
        <v>22.02131826950037</v>
      </c>
      <c r="F79" s="72">
        <f t="shared" si="7"/>
        <v>2366.2771375035049</v>
      </c>
      <c r="G79" s="72">
        <f t="shared" si="8"/>
        <v>682.66086635451143</v>
      </c>
      <c r="H79" s="73">
        <f t="shared" si="9"/>
        <v>0.19504596181557468</v>
      </c>
      <c r="I79" s="61"/>
    </row>
    <row r="80" spans="1:9" x14ac:dyDescent="0.25">
      <c r="A80" s="70">
        <v>43069</v>
      </c>
      <c r="B80" s="71">
        <f t="shared" si="10"/>
        <v>78</v>
      </c>
      <c r="C80" s="72">
        <f t="shared" si="11"/>
        <v>181.8262723076848</v>
      </c>
      <c r="D80" s="72">
        <v>160</v>
      </c>
      <c r="E80" s="72">
        <f t="shared" si="6"/>
        <v>21.826272307684803</v>
      </c>
      <c r="F80" s="72">
        <f t="shared" si="7"/>
        <v>2363.7415399999027</v>
      </c>
      <c r="G80" s="72">
        <f t="shared" si="8"/>
        <v>676.6144415382289</v>
      </c>
      <c r="H80" s="73">
        <f t="shared" si="9"/>
        <v>0.19331841186806539</v>
      </c>
      <c r="I80" s="61"/>
    </row>
    <row r="81" spans="1:9" x14ac:dyDescent="0.25">
      <c r="A81" s="70">
        <v>43070</v>
      </c>
      <c r="B81" s="71">
        <f t="shared" si="10"/>
        <v>79</v>
      </c>
      <c r="C81" s="72">
        <f t="shared" si="11"/>
        <v>181.63295389581674</v>
      </c>
      <c r="D81" s="72">
        <v>160</v>
      </c>
      <c r="E81" s="72">
        <f t="shared" si="6"/>
        <v>21.63295389581674</v>
      </c>
      <c r="F81" s="72">
        <f t="shared" si="7"/>
        <v>2361.2284006456175</v>
      </c>
      <c r="G81" s="72">
        <f t="shared" si="8"/>
        <v>670.62157077031895</v>
      </c>
      <c r="H81" s="73">
        <f t="shared" si="9"/>
        <v>0.19160616307723399</v>
      </c>
      <c r="I81" s="61"/>
    </row>
    <row r="82" spans="1:9" x14ac:dyDescent="0.25">
      <c r="A82" s="70">
        <v>43071</v>
      </c>
      <c r="B82" s="71">
        <f t="shared" si="10"/>
        <v>80</v>
      </c>
      <c r="C82" s="72">
        <f t="shared" si="11"/>
        <v>181.4413477327395</v>
      </c>
      <c r="D82" s="72">
        <v>160</v>
      </c>
      <c r="E82" s="72">
        <f t="shared" si="6"/>
        <v>21.441347732739501</v>
      </c>
      <c r="F82" s="72">
        <f t="shared" si="7"/>
        <v>2358.7375205256135</v>
      </c>
      <c r="G82" s="72">
        <f t="shared" si="8"/>
        <v>664.68177971492457</v>
      </c>
      <c r="H82" s="73">
        <f t="shared" si="9"/>
        <v>0.18990907991854988</v>
      </c>
      <c r="I82" s="61"/>
    </row>
    <row r="83" spans="1:9" x14ac:dyDescent="0.25">
      <c r="A83" s="70">
        <v>43072</v>
      </c>
      <c r="B83" s="71">
        <f t="shared" si="10"/>
        <v>81</v>
      </c>
      <c r="C83" s="72">
        <f t="shared" si="11"/>
        <v>181.25143865282095</v>
      </c>
      <c r="D83" s="72">
        <v>160</v>
      </c>
      <c r="E83" s="72">
        <f t="shared" si="6"/>
        <v>21.251438652820951</v>
      </c>
      <c r="F83" s="72">
        <f t="shared" si="7"/>
        <v>2356.2687024866723</v>
      </c>
      <c r="G83" s="72">
        <f t="shared" si="8"/>
        <v>658.79459823744946</v>
      </c>
      <c r="H83" s="73">
        <f t="shared" si="9"/>
        <v>0.18822702806784269</v>
      </c>
      <c r="I83" s="61"/>
    </row>
    <row r="84" spans="1:9" x14ac:dyDescent="0.25">
      <c r="A84" s="70">
        <v>43073</v>
      </c>
      <c r="B84" s="71">
        <f t="shared" si="10"/>
        <v>82</v>
      </c>
      <c r="C84" s="72">
        <f t="shared" si="11"/>
        <v>181.06321162475311</v>
      </c>
      <c r="D84" s="72">
        <v>160</v>
      </c>
      <c r="E84" s="72">
        <f t="shared" si="6"/>
        <v>21.063211624753109</v>
      </c>
      <c r="F84" s="72">
        <f t="shared" si="7"/>
        <v>2353.8217511217904</v>
      </c>
      <c r="G84" s="72">
        <f t="shared" si="8"/>
        <v>652.9595603673464</v>
      </c>
      <c r="H84" s="73">
        <f t="shared" si="9"/>
        <v>0.1865598743906704</v>
      </c>
      <c r="I84" s="61"/>
    </row>
    <row r="85" spans="1:9" x14ac:dyDescent="0.25">
      <c r="A85" s="70">
        <v>43074</v>
      </c>
      <c r="B85" s="71">
        <f t="shared" si="10"/>
        <v>83</v>
      </c>
      <c r="C85" s="72">
        <f t="shared" si="11"/>
        <v>180.87665175036244</v>
      </c>
      <c r="D85" s="72">
        <v>160</v>
      </c>
      <c r="E85" s="72">
        <f t="shared" si="6"/>
        <v>20.876651750362441</v>
      </c>
      <c r="F85" s="72">
        <f t="shared" si="7"/>
        <v>2351.3964727547118</v>
      </c>
      <c r="G85" s="72">
        <f t="shared" si="8"/>
        <v>647.17620426123563</v>
      </c>
      <c r="H85" s="73">
        <f t="shared" si="9"/>
        <v>0.18490748693178161</v>
      </c>
      <c r="I85" s="61"/>
    </row>
    <row r="86" spans="1:9" x14ac:dyDescent="0.25">
      <c r="A86" s="70">
        <v>43075</v>
      </c>
      <c r="B86" s="71">
        <f t="shared" si="10"/>
        <v>84</v>
      </c>
      <c r="C86" s="72">
        <f t="shared" si="11"/>
        <v>180.69174426343065</v>
      </c>
      <c r="D86" s="72">
        <v>160</v>
      </c>
      <c r="E86" s="80">
        <f t="shared" si="6"/>
        <v>20.69174426343065</v>
      </c>
      <c r="F86" s="72">
        <f t="shared" si="7"/>
        <v>2348.9926754245985</v>
      </c>
      <c r="G86" s="80">
        <f t="shared" si="8"/>
        <v>641.44407216635011</v>
      </c>
      <c r="H86" s="73">
        <f t="shared" si="9"/>
        <v>0.18326973490467147</v>
      </c>
      <c r="I86" s="61"/>
    </row>
    <row r="87" spans="1:9" x14ac:dyDescent="0.25">
      <c r="A87" s="70">
        <v>43076</v>
      </c>
      <c r="B87" s="71">
        <f t="shared" si="10"/>
        <v>85</v>
      </c>
      <c r="C87" s="72">
        <f t="shared" si="11"/>
        <v>180.50847452852597</v>
      </c>
      <c r="D87" s="72">
        <v>160</v>
      </c>
      <c r="E87" s="80">
        <f t="shared" si="6"/>
        <v>20.508474528525966</v>
      </c>
      <c r="F87" s="72">
        <f t="shared" si="7"/>
        <v>2346.6101688708377</v>
      </c>
      <c r="G87" s="80">
        <f t="shared" si="8"/>
        <v>635.76271038430491</v>
      </c>
      <c r="H87" s="73">
        <f t="shared" si="9"/>
        <v>0.18164648868122998</v>
      </c>
      <c r="I87" s="61"/>
    </row>
    <row r="88" spans="1:9" ht="13.35" customHeight="1" x14ac:dyDescent="0.25">
      <c r="A88" s="70">
        <v>43077</v>
      </c>
      <c r="B88" s="71">
        <f t="shared" si="10"/>
        <v>86</v>
      </c>
      <c r="C88" s="72">
        <f t="shared" si="11"/>
        <v>180.32682803984474</v>
      </c>
      <c r="D88" s="72">
        <v>160</v>
      </c>
      <c r="E88" s="80">
        <f t="shared" si="6"/>
        <v>20.326828039844742</v>
      </c>
      <c r="F88" s="72">
        <f t="shared" si="7"/>
        <v>2344.2487645179817</v>
      </c>
      <c r="G88" s="80">
        <f t="shared" si="8"/>
        <v>630.13166923518702</v>
      </c>
      <c r="H88" s="73">
        <f t="shared" si="9"/>
        <v>0.180037619781482</v>
      </c>
      <c r="I88" s="61"/>
    </row>
    <row r="89" spans="1:9" x14ac:dyDescent="0.25">
      <c r="A89" s="70">
        <v>43078</v>
      </c>
      <c r="B89" s="71">
        <f t="shared" si="10"/>
        <v>87</v>
      </c>
      <c r="C89" s="72">
        <f t="shared" si="11"/>
        <v>180.14679042006327</v>
      </c>
      <c r="D89" s="72">
        <v>160</v>
      </c>
      <c r="E89" s="80">
        <f t="shared" si="6"/>
        <v>20.146790420063269</v>
      </c>
      <c r="F89" s="72">
        <f t="shared" si="7"/>
        <v>2341.9082754608226</v>
      </c>
      <c r="G89" s="80">
        <f t="shared" si="8"/>
        <v>624.55050302196128</v>
      </c>
      <c r="H89" s="73">
        <f t="shared" si="9"/>
        <v>0.17844300086341749</v>
      </c>
      <c r="I89" s="61"/>
    </row>
    <row r="90" spans="1:9" x14ac:dyDescent="0.25">
      <c r="A90" s="70">
        <v>43079</v>
      </c>
      <c r="B90" s="71">
        <f t="shared" si="10"/>
        <v>88</v>
      </c>
      <c r="C90" s="72">
        <f t="shared" si="11"/>
        <v>179.96834741919986</v>
      </c>
      <c r="D90" s="72">
        <v>160</v>
      </c>
      <c r="E90" s="80">
        <f t="shared" si="6"/>
        <v>19.968347419199858</v>
      </c>
      <c r="F90" s="72">
        <f t="shared" si="7"/>
        <v>2339.588516449598</v>
      </c>
      <c r="G90" s="80">
        <f t="shared" si="8"/>
        <v>619.01876999519561</v>
      </c>
      <c r="H90" s="73">
        <f t="shared" si="9"/>
        <v>0.17686250571291304</v>
      </c>
      <c r="I90" s="61"/>
    </row>
    <row r="91" spans="1:9" x14ac:dyDescent="0.25">
      <c r="A91" s="70">
        <v>43080</v>
      </c>
      <c r="B91" s="71">
        <f t="shared" si="10"/>
        <v>89</v>
      </c>
      <c r="C91" s="72">
        <f t="shared" si="11"/>
        <v>179.79148491348695</v>
      </c>
      <c r="D91" s="72">
        <v>160</v>
      </c>
      <c r="E91" s="80">
        <f t="shared" si="6"/>
        <v>19.791484913486954</v>
      </c>
      <c r="F91" s="72">
        <f t="shared" si="7"/>
        <v>2337.2893038753305</v>
      </c>
      <c r="G91" s="80">
        <f t="shared" si="8"/>
        <v>613.53603231809552</v>
      </c>
      <c r="H91" s="73">
        <f t="shared" si="9"/>
        <v>0.17529600923374158</v>
      </c>
      <c r="I91" s="61"/>
    </row>
    <row r="92" spans="1:9" x14ac:dyDescent="0.25">
      <c r="A92" s="70">
        <v>43081</v>
      </c>
      <c r="B92" s="71">
        <f t="shared" si="10"/>
        <v>90</v>
      </c>
      <c r="C92" s="72">
        <f t="shared" si="11"/>
        <v>179.61618890425322</v>
      </c>
      <c r="D92" s="72">
        <v>160</v>
      </c>
      <c r="E92" s="80">
        <f t="shared" si="6"/>
        <v>19.616188904253221</v>
      </c>
      <c r="F92" s="72">
        <f t="shared" si="7"/>
        <v>2335.0104557552918</v>
      </c>
      <c r="G92" s="80">
        <f t="shared" si="8"/>
        <v>608.10185603184982</v>
      </c>
      <c r="H92" s="73">
        <f t="shared" si="9"/>
        <v>0.17374338743767137</v>
      </c>
      <c r="I92" s="61"/>
    </row>
    <row r="93" spans="1:9" x14ac:dyDescent="0.25">
      <c r="A93" s="70">
        <v>43082</v>
      </c>
      <c r="B93" s="71">
        <f t="shared" si="10"/>
        <v>91</v>
      </c>
      <c r="C93" s="72">
        <f t="shared" si="11"/>
        <v>179.44244551681555</v>
      </c>
      <c r="D93" s="72">
        <v>160</v>
      </c>
      <c r="E93" s="80">
        <f t="shared" si="6"/>
        <v>19.442445516815553</v>
      </c>
      <c r="F93" s="72">
        <f t="shared" si="7"/>
        <v>2332.7517917186024</v>
      </c>
      <c r="G93" s="80">
        <f t="shared" si="8"/>
        <v>602.71581102128221</v>
      </c>
      <c r="H93" s="73">
        <f t="shared" si="9"/>
        <v>0.17220451743465207</v>
      </c>
      <c r="I93" s="61"/>
    </row>
    <row r="94" spans="1:9" x14ac:dyDescent="0.25">
      <c r="A94" s="70">
        <v>43083</v>
      </c>
      <c r="B94" s="71">
        <f t="shared" si="10"/>
        <v>92</v>
      </c>
      <c r="C94" s="72">
        <f t="shared" si="11"/>
        <v>179.27024099938089</v>
      </c>
      <c r="D94" s="72">
        <v>160</v>
      </c>
      <c r="E94" s="80">
        <f t="shared" si="6"/>
        <v>19.270240999380889</v>
      </c>
      <c r="F94" s="72">
        <f t="shared" si="7"/>
        <v>2330.5131329919514</v>
      </c>
      <c r="G94" s="80">
        <f t="shared" si="8"/>
        <v>597.37747098080752</v>
      </c>
      <c r="H94" s="73">
        <f t="shared" si="9"/>
        <v>0.17067927742308786</v>
      </c>
      <c r="I94" s="61"/>
    </row>
    <row r="95" spans="1:9" x14ac:dyDescent="0.25">
      <c r="A95" s="70">
        <v>43084</v>
      </c>
      <c r="B95" s="71">
        <f t="shared" si="10"/>
        <v>93</v>
      </c>
      <c r="C95" s="72">
        <f t="shared" si="11"/>
        <v>179.0995617219578</v>
      </c>
      <c r="D95" s="72">
        <v>160</v>
      </c>
      <c r="E95" s="80">
        <f t="shared" si="6"/>
        <v>19.099561721957798</v>
      </c>
      <c r="F95" s="72">
        <f t="shared" si="7"/>
        <v>2328.2943023854514</v>
      </c>
      <c r="G95" s="80">
        <f t="shared" si="8"/>
        <v>592.08641338069174</v>
      </c>
      <c r="H95" s="73">
        <f t="shared" si="9"/>
        <v>0.16916754668019765</v>
      </c>
      <c r="I95" s="61"/>
    </row>
    <row r="96" spans="1:9" x14ac:dyDescent="0.25">
      <c r="A96" s="70">
        <v>43084</v>
      </c>
      <c r="B96" s="71">
        <f t="shared" si="10"/>
        <v>94</v>
      </c>
      <c r="C96" s="72">
        <f t="shared" si="11"/>
        <v>178.9303941752776</v>
      </c>
      <c r="D96" s="72">
        <v>160</v>
      </c>
      <c r="E96" s="80">
        <f t="shared" si="6"/>
        <v>18.930394175277598</v>
      </c>
      <c r="F96" s="72">
        <f t="shared" si="7"/>
        <v>2326.0951242786086</v>
      </c>
      <c r="G96" s="80">
        <f t="shared" si="8"/>
        <v>586.84221943360558</v>
      </c>
      <c r="H96" s="73">
        <f t="shared" si="9"/>
        <v>0.16766920555245873</v>
      </c>
      <c r="I96" s="61"/>
    </row>
    <row r="97" spans="1:9" x14ac:dyDescent="0.25">
      <c r="A97" s="70">
        <v>43084</v>
      </c>
      <c r="B97" s="71">
        <f t="shared" si="10"/>
        <v>95</v>
      </c>
      <c r="C97" s="72">
        <f t="shared" si="11"/>
        <v>178.76272496972513</v>
      </c>
      <c r="D97" s="72">
        <v>160</v>
      </c>
      <c r="E97" s="80">
        <f t="shared" si="6"/>
        <v>18.762724969725127</v>
      </c>
      <c r="F97" s="72">
        <f t="shared" si="7"/>
        <v>2323.9154246064268</v>
      </c>
      <c r="G97" s="80">
        <f t="shared" si="8"/>
        <v>581.64447406147895</v>
      </c>
      <c r="H97" s="73">
        <f t="shared" si="9"/>
        <v>0.16618413544613683</v>
      </c>
      <c r="I97" s="61"/>
    </row>
    <row r="98" spans="1:9" x14ac:dyDescent="0.25">
      <c r="A98" s="70">
        <v>43084</v>
      </c>
      <c r="B98" s="71">
        <f t="shared" si="10"/>
        <v>96</v>
      </c>
      <c r="C98" s="72">
        <f t="shared" si="11"/>
        <v>178.59654083427898</v>
      </c>
      <c r="D98" s="72">
        <v>160</v>
      </c>
      <c r="E98" s="80">
        <f t="shared" si="6"/>
        <v>18.596540834278983</v>
      </c>
      <c r="F98" s="72">
        <f t="shared" si="7"/>
        <v>2321.7550308456266</v>
      </c>
      <c r="G98" s="80">
        <f t="shared" si="8"/>
        <v>576.49276586264841</v>
      </c>
      <c r="H98" s="73">
        <f t="shared" si="9"/>
        <v>0.16471221881789955</v>
      </c>
      <c r="I98" s="61"/>
    </row>
    <row r="99" spans="1:9" x14ac:dyDescent="0.25">
      <c r="A99" s="70">
        <v>43084</v>
      </c>
      <c r="B99" s="71">
        <f t="shared" si="10"/>
        <v>97</v>
      </c>
      <c r="C99" s="72">
        <f t="shared" si="11"/>
        <v>178.43182861546109</v>
      </c>
      <c r="D99" s="72">
        <v>160</v>
      </c>
      <c r="E99" s="80">
        <f t="shared" si="6"/>
        <v>18.431828615461086</v>
      </c>
      <c r="F99" s="72">
        <f t="shared" si="7"/>
        <v>2319.6137720009942</v>
      </c>
      <c r="G99" s="80">
        <f t="shared" si="8"/>
        <v>571.38668707929367</v>
      </c>
      <c r="H99" s="73">
        <f t="shared" si="9"/>
        <v>0.16325333916551246</v>
      </c>
      <c r="I99" s="61"/>
    </row>
    <row r="100" spans="1:9" x14ac:dyDescent="0.25">
      <c r="A100" s="70">
        <v>43084</v>
      </c>
      <c r="B100" s="71">
        <f t="shared" si="10"/>
        <v>98</v>
      </c>
      <c r="C100" s="72">
        <f t="shared" si="11"/>
        <v>178.26857527629556</v>
      </c>
      <c r="D100" s="72">
        <v>160</v>
      </c>
      <c r="E100" s="80">
        <f t="shared" si="6"/>
        <v>18.268575276295564</v>
      </c>
      <c r="F100" s="72">
        <f t="shared" si="7"/>
        <v>2317.4914785918422</v>
      </c>
      <c r="G100" s="80">
        <f t="shared" si="8"/>
        <v>566.3258335651625</v>
      </c>
      <c r="H100" s="73">
        <f t="shared" si="9"/>
        <v>0.16180738101861786</v>
      </c>
      <c r="I100" s="61"/>
    </row>
    <row r="101" spans="1:9" x14ac:dyDescent="0.25">
      <c r="A101" s="70">
        <v>43084</v>
      </c>
      <c r="B101" s="71">
        <f t="shared" si="10"/>
        <v>99</v>
      </c>
      <c r="C101" s="72">
        <f t="shared" si="11"/>
        <v>178.10676789527696</v>
      </c>
      <c r="D101" s="72">
        <v>160</v>
      </c>
      <c r="E101" s="80">
        <f t="shared" si="6"/>
        <v>18.10676789527696</v>
      </c>
      <c r="F101" s="72">
        <f t="shared" si="7"/>
        <v>2315.3879826386005</v>
      </c>
      <c r="G101" s="80">
        <f t="shared" si="8"/>
        <v>561.30980475358569</v>
      </c>
      <c r="H101" s="73">
        <f t="shared" si="9"/>
        <v>0.16037422992959591</v>
      </c>
      <c r="I101" s="61"/>
    </row>
    <row r="102" spans="1:9" x14ac:dyDescent="0.25">
      <c r="A102" s="70">
        <v>43084</v>
      </c>
      <c r="B102" s="71">
        <f t="shared" si="10"/>
        <v>100</v>
      </c>
      <c r="C102" s="72">
        <f t="shared" si="11"/>
        <v>177.94639366534736</v>
      </c>
      <c r="D102" s="72">
        <v>160</v>
      </c>
      <c r="E102" s="80">
        <f t="shared" si="6"/>
        <v>17.946393665347358</v>
      </c>
      <c r="F102" s="72">
        <f t="shared" si="7"/>
        <v>2313.3031176495156</v>
      </c>
      <c r="G102" s="80">
        <f t="shared" si="8"/>
        <v>556.33820362576807</v>
      </c>
      <c r="H102" s="73">
        <f t="shared" si="9"/>
        <v>0.15895377246450518</v>
      </c>
      <c r="I102" s="61"/>
    </row>
    <row r="103" spans="1:9" x14ac:dyDescent="0.25">
      <c r="A103" s="70">
        <v>43084</v>
      </c>
      <c r="B103" s="71">
        <f t="shared" si="10"/>
        <v>101</v>
      </c>
      <c r="C103" s="72">
        <f t="shared" si="11"/>
        <v>177.78743989288284</v>
      </c>
      <c r="D103" s="72">
        <v>160</v>
      </c>
      <c r="E103" s="80">
        <f t="shared" si="6"/>
        <v>17.787439892882844</v>
      </c>
      <c r="F103" s="72">
        <f t="shared" si="7"/>
        <v>2311.2367186074771</v>
      </c>
      <c r="G103" s="80">
        <f t="shared" si="8"/>
        <v>551.41063667936817</v>
      </c>
      <c r="H103" s="73">
        <f t="shared" si="9"/>
        <v>0.15754589619410519</v>
      </c>
      <c r="I103" s="61"/>
    </row>
    <row r="104" spans="1:9" x14ac:dyDescent="0.25">
      <c r="A104" s="70">
        <v>43084</v>
      </c>
      <c r="B104" s="71">
        <f t="shared" si="10"/>
        <v>102</v>
      </c>
      <c r="C104" s="72">
        <f t="shared" si="11"/>
        <v>177.62989399668874</v>
      </c>
      <c r="D104" s="72">
        <v>160</v>
      </c>
      <c r="E104" s="80">
        <f t="shared" si="6"/>
        <v>17.629893996688736</v>
      </c>
      <c r="F104" s="72">
        <f t="shared" si="7"/>
        <v>2309.1886219569537</v>
      </c>
      <c r="G104" s="80">
        <f t="shared" si="8"/>
        <v>546.52671389735087</v>
      </c>
      <c r="H104" s="73">
        <f t="shared" si="9"/>
        <v>0.1561504896849574</v>
      </c>
      <c r="I104" s="61"/>
    </row>
    <row r="105" spans="1:9" x14ac:dyDescent="0.25">
      <c r="A105" s="70">
        <v>43084</v>
      </c>
      <c r="B105" s="71">
        <f t="shared" si="10"/>
        <v>103</v>
      </c>
      <c r="C105" s="72">
        <f t="shared" si="11"/>
        <v>177.47374350700377</v>
      </c>
      <c r="D105" s="72">
        <v>160</v>
      </c>
      <c r="E105" s="80">
        <f t="shared" si="6"/>
        <v>17.473743507003775</v>
      </c>
      <c r="F105" s="72">
        <f t="shared" si="7"/>
        <v>2307.1586655910492</v>
      </c>
      <c r="G105" s="80">
        <f t="shared" si="8"/>
        <v>541.68604871711705</v>
      </c>
      <c r="H105" s="73">
        <f t="shared" si="9"/>
        <v>0.15476744249060487</v>
      </c>
      <c r="I105" s="61"/>
    </row>
    <row r="106" spans="1:9" x14ac:dyDescent="0.25">
      <c r="A106" s="70">
        <v>43084</v>
      </c>
      <c r="B106" s="71">
        <f t="shared" si="10"/>
        <v>104</v>
      </c>
      <c r="C106" s="72">
        <f t="shared" si="11"/>
        <v>177.31897606451318</v>
      </c>
      <c r="D106" s="72">
        <v>160</v>
      </c>
      <c r="E106" s="80">
        <f t="shared" si="6"/>
        <v>17.31897606451318</v>
      </c>
      <c r="F106" s="72">
        <f t="shared" si="7"/>
        <v>2305.1466888386713</v>
      </c>
      <c r="G106" s="80">
        <f t="shared" si="8"/>
        <v>536.88825799990855</v>
      </c>
      <c r="H106" s="73">
        <f t="shared" si="9"/>
        <v>0.15339664514283102</v>
      </c>
      <c r="I106" s="61"/>
    </row>
    <row r="107" spans="1:9" x14ac:dyDescent="0.25">
      <c r="A107" s="70">
        <v>43084</v>
      </c>
      <c r="B107" s="71">
        <f t="shared" si="10"/>
        <v>105</v>
      </c>
      <c r="C107" s="72">
        <f t="shared" si="11"/>
        <v>177.16557941937035</v>
      </c>
      <c r="D107" s="72">
        <v>160</v>
      </c>
      <c r="E107" s="80">
        <f t="shared" si="6"/>
        <v>17.165579419370346</v>
      </c>
      <c r="F107" s="72">
        <f t="shared" si="7"/>
        <v>2303.1525324518143</v>
      </c>
      <c r="G107" s="80">
        <f t="shared" si="8"/>
        <v>532.13296200048069</v>
      </c>
      <c r="H107" s="73">
        <f t="shared" si="9"/>
        <v>0.15203798914299449</v>
      </c>
      <c r="I107" s="61"/>
    </row>
    <row r="108" spans="1:9" x14ac:dyDescent="0.25">
      <c r="A108" s="70">
        <v>43084</v>
      </c>
      <c r="B108" s="71">
        <f t="shared" si="10"/>
        <v>106</v>
      </c>
      <c r="C108" s="72">
        <f t="shared" si="11"/>
        <v>177.01354143022735</v>
      </c>
      <c r="D108" s="72">
        <v>160</v>
      </c>
      <c r="E108" s="80">
        <f t="shared" si="6"/>
        <v>17.013541430227349</v>
      </c>
      <c r="F108" s="72">
        <f t="shared" si="7"/>
        <v>2301.1760385929556</v>
      </c>
      <c r="G108" s="80">
        <f t="shared" si="8"/>
        <v>527.41978433704776</v>
      </c>
      <c r="H108" s="73">
        <f t="shared" si="9"/>
        <v>0.15069136695344221</v>
      </c>
      <c r="I108" s="61"/>
    </row>
    <row r="109" spans="1:9" x14ac:dyDescent="0.25">
      <c r="A109" s="70">
        <v>43084</v>
      </c>
      <c r="B109" s="71">
        <f t="shared" si="10"/>
        <v>107</v>
      </c>
      <c r="C109" s="72">
        <f t="shared" si="11"/>
        <v>176.8628500632739</v>
      </c>
      <c r="D109" s="72">
        <v>160</v>
      </c>
      <c r="E109" s="80">
        <f t="shared" si="6"/>
        <v>16.862850063273896</v>
      </c>
      <c r="F109" s="72">
        <f t="shared" si="7"/>
        <v>2299.2170508225609</v>
      </c>
      <c r="G109" s="80">
        <f t="shared" si="8"/>
        <v>522.74835196149081</v>
      </c>
      <c r="H109" s="73">
        <f t="shared" si="9"/>
        <v>0.14935667198899738</v>
      </c>
      <c r="I109" s="61"/>
    </row>
    <row r="110" spans="1:9" x14ac:dyDescent="0.25">
      <c r="A110" s="70">
        <v>43084</v>
      </c>
      <c r="B110" s="71">
        <f t="shared" si="10"/>
        <v>108</v>
      </c>
      <c r="C110" s="72">
        <f t="shared" si="11"/>
        <v>176.71349339128489</v>
      </c>
      <c r="D110" s="72">
        <v>160</v>
      </c>
      <c r="E110" s="80">
        <f t="shared" si="6"/>
        <v>16.713493391284885</v>
      </c>
      <c r="F110" s="72">
        <f t="shared" si="7"/>
        <v>2297.2754140867037</v>
      </c>
      <c r="G110" s="80">
        <f t="shared" si="8"/>
        <v>518.11829512983149</v>
      </c>
      <c r="H110" s="73">
        <f t="shared" si="9"/>
        <v>0.14803379860852328</v>
      </c>
      <c r="I110" s="61"/>
    </row>
    <row r="111" spans="1:9" x14ac:dyDescent="0.25">
      <c r="A111" s="70">
        <v>43084</v>
      </c>
      <c r="B111" s="71">
        <f t="shared" si="10"/>
        <v>109</v>
      </c>
      <c r="C111" s="72">
        <f t="shared" si="11"/>
        <v>176.56545959267635</v>
      </c>
      <c r="D111" s="72">
        <v>160</v>
      </c>
      <c r="E111" s="80">
        <f t="shared" si="6"/>
        <v>16.565459592676348</v>
      </c>
      <c r="F111" s="72">
        <f t="shared" si="7"/>
        <v>2295.3509747047924</v>
      </c>
      <c r="G111" s="80">
        <f t="shared" si="8"/>
        <v>513.52924737296678</v>
      </c>
      <c r="H111" s="73">
        <f t="shared" si="9"/>
        <v>0.14672264210656194</v>
      </c>
      <c r="I111" s="61"/>
    </row>
    <row r="112" spans="1:9" x14ac:dyDescent="0.25">
      <c r="A112" s="70">
        <v>43084</v>
      </c>
      <c r="B112" s="71">
        <f t="shared" si="10"/>
        <v>110</v>
      </c>
      <c r="C112" s="72">
        <f t="shared" si="11"/>
        <v>176.41873695056978</v>
      </c>
      <c r="D112" s="72">
        <v>160</v>
      </c>
      <c r="E112" s="80">
        <f t="shared" si="6"/>
        <v>16.41873695056978</v>
      </c>
      <c r="F112" s="72">
        <f t="shared" si="7"/>
        <v>2293.443580357407</v>
      </c>
      <c r="G112" s="80">
        <f t="shared" si="8"/>
        <v>508.98084546766319</v>
      </c>
      <c r="H112" s="73">
        <f t="shared" si="9"/>
        <v>0.14542309870504663</v>
      </c>
      <c r="I112" s="61"/>
    </row>
    <row r="113" spans="1:9" x14ac:dyDescent="0.25">
      <c r="A113" s="70">
        <v>43084</v>
      </c>
      <c r="B113" s="71">
        <f t="shared" si="10"/>
        <v>111</v>
      </c>
      <c r="C113" s="72">
        <f t="shared" si="11"/>
        <v>176.27331385186474</v>
      </c>
      <c r="D113" s="72">
        <v>160</v>
      </c>
      <c r="E113" s="80">
        <f t="shared" si="6"/>
        <v>16.273313851864742</v>
      </c>
      <c r="F113" s="72">
        <f t="shared" si="7"/>
        <v>2291.5530800742417</v>
      </c>
      <c r="G113" s="80">
        <f t="shared" si="8"/>
        <v>504.47272940780704</v>
      </c>
      <c r="H113" s="73">
        <f t="shared" si="9"/>
        <v>0.14413506554508773</v>
      </c>
      <c r="I113" s="61"/>
    </row>
    <row r="114" spans="1:9" x14ac:dyDescent="0.25">
      <c r="A114" s="70">
        <v>43084</v>
      </c>
      <c r="B114" s="71">
        <f t="shared" si="10"/>
        <v>112</v>
      </c>
      <c r="C114" s="72">
        <f t="shared" si="11"/>
        <v>176.12917878631964</v>
      </c>
      <c r="D114" s="72">
        <v>160</v>
      </c>
      <c r="E114" s="80">
        <f t="shared" si="6"/>
        <v>16.129178786319642</v>
      </c>
      <c r="F114" s="72">
        <f t="shared" si="7"/>
        <v>2289.6793242221552</v>
      </c>
      <c r="G114" s="80">
        <f t="shared" si="8"/>
        <v>500.0045423759089</v>
      </c>
      <c r="H114" s="73">
        <f t="shared" si="9"/>
        <v>0.14285844067883111</v>
      </c>
      <c r="I114" s="61"/>
    </row>
    <row r="115" spans="1:9" x14ac:dyDescent="0.25">
      <c r="A115" s="70">
        <v>43084</v>
      </c>
      <c r="B115" s="71">
        <f t="shared" si="10"/>
        <v>113</v>
      </c>
      <c r="C115" s="72">
        <f t="shared" si="11"/>
        <v>175.98632034564082</v>
      </c>
      <c r="D115" s="72">
        <v>160</v>
      </c>
      <c r="E115" s="80">
        <f t="shared" si="6"/>
        <v>15.98632034564082</v>
      </c>
      <c r="F115" s="72">
        <f t="shared" si="7"/>
        <v>2287.8221644933305</v>
      </c>
      <c r="G115" s="80">
        <f t="shared" si="8"/>
        <v>495.57593071486542</v>
      </c>
      <c r="H115" s="73">
        <f t="shared" si="9"/>
        <v>0.14159312306139013</v>
      </c>
      <c r="I115" s="61"/>
    </row>
    <row r="116" spans="1:9" x14ac:dyDescent="0.25">
      <c r="A116" s="70">
        <v>43084</v>
      </c>
      <c r="B116" s="71">
        <f t="shared" si="10"/>
        <v>114</v>
      </c>
      <c r="C116" s="72">
        <f t="shared" si="11"/>
        <v>175.84472722257942</v>
      </c>
      <c r="D116" s="72">
        <v>160</v>
      </c>
      <c r="E116" s="80">
        <f t="shared" si="6"/>
        <v>15.844727222579422</v>
      </c>
      <c r="F116" s="72">
        <f t="shared" si="7"/>
        <v>2285.9814538935325</v>
      </c>
      <c r="G116" s="80">
        <f t="shared" si="8"/>
        <v>491.18654389996209</v>
      </c>
      <c r="H116" s="73">
        <f t="shared" si="9"/>
        <v>0.14033901254284631</v>
      </c>
      <c r="I116" s="61"/>
    </row>
    <row r="117" spans="1:9" x14ac:dyDescent="0.25">
      <c r="A117" s="70">
        <v>43084</v>
      </c>
      <c r="B117" s="71">
        <f t="shared" si="10"/>
        <v>115</v>
      </c>
      <c r="C117" s="72">
        <f t="shared" si="11"/>
        <v>175.70438821003657</v>
      </c>
      <c r="D117" s="72">
        <v>160</v>
      </c>
      <c r="E117" s="80">
        <f t="shared" si="6"/>
        <v>15.704388210036569</v>
      </c>
      <c r="F117" s="72">
        <f t="shared" si="7"/>
        <v>2284.1570467304755</v>
      </c>
      <c r="G117" s="80">
        <f t="shared" si="8"/>
        <v>486.83603451113368</v>
      </c>
      <c r="H117" s="73">
        <f t="shared" si="9"/>
        <v>0.13909600986032392</v>
      </c>
      <c r="I117" s="61"/>
    </row>
    <row r="118" spans="1:9" x14ac:dyDescent="0.25">
      <c r="A118" s="70">
        <v>43084</v>
      </c>
      <c r="B118" s="71">
        <f t="shared" si="10"/>
        <v>116</v>
      </c>
      <c r="C118" s="72">
        <f t="shared" si="11"/>
        <v>175.56529220017626</v>
      </c>
      <c r="D118" s="72">
        <v>160</v>
      </c>
      <c r="E118" s="80">
        <f t="shared" si="6"/>
        <v>15.565292200176259</v>
      </c>
      <c r="F118" s="72">
        <f t="shared" si="7"/>
        <v>2282.3487986022915</v>
      </c>
      <c r="G118" s="80">
        <f t="shared" si="8"/>
        <v>482.52405820546403</v>
      </c>
      <c r="H118" s="73">
        <f t="shared" si="9"/>
        <v>0.13786401663013259</v>
      </c>
      <c r="I118" s="61"/>
    </row>
    <row r="119" spans="1:9" x14ac:dyDescent="0.25">
      <c r="A119" s="70">
        <v>43084</v>
      </c>
      <c r="B119" s="71">
        <f t="shared" si="10"/>
        <v>117</v>
      </c>
      <c r="C119" s="72">
        <f t="shared" si="11"/>
        <v>175.42742818354611</v>
      </c>
      <c r="D119" s="72">
        <v>160</v>
      </c>
      <c r="E119" s="80">
        <f t="shared" si="6"/>
        <v>15.427428183546112</v>
      </c>
      <c r="F119" s="72">
        <f t="shared" si="7"/>
        <v>2280.5565663860993</v>
      </c>
      <c r="G119" s="80">
        <f t="shared" si="8"/>
        <v>478.25027368992949</v>
      </c>
      <c r="H119" s="73">
        <f t="shared" si="9"/>
        <v>0.13664293533997984</v>
      </c>
      <c r="I119" s="61"/>
    </row>
    <row r="120" spans="1:9" x14ac:dyDescent="0.25">
      <c r="A120" s="70">
        <v>43084</v>
      </c>
      <c r="B120" s="71">
        <f t="shared" si="10"/>
        <v>118</v>
      </c>
      <c r="C120" s="72">
        <f t="shared" si="11"/>
        <v>175.29078524820613</v>
      </c>
      <c r="D120" s="72">
        <v>160</v>
      </c>
      <c r="E120" s="80">
        <f t="shared" si="6"/>
        <v>15.290785248206134</v>
      </c>
      <c r="F120" s="72">
        <f t="shared" si="7"/>
        <v>2278.7802082266799</v>
      </c>
      <c r="G120" s="80">
        <f t="shared" si="8"/>
        <v>474.01434269439017</v>
      </c>
      <c r="H120" s="73">
        <f t="shared" si="9"/>
        <v>0.13543266934125434</v>
      </c>
      <c r="I120" s="61"/>
    </row>
    <row r="121" spans="1:9" x14ac:dyDescent="0.25">
      <c r="A121" s="70">
        <v>43084</v>
      </c>
      <c r="B121" s="71">
        <f t="shared" si="10"/>
        <v>119</v>
      </c>
      <c r="C121" s="72">
        <f t="shared" si="11"/>
        <v>175.15535257886489</v>
      </c>
      <c r="D121" s="72">
        <v>160</v>
      </c>
      <c r="E121" s="80">
        <f t="shared" si="6"/>
        <v>15.155352578864893</v>
      </c>
      <c r="F121" s="72">
        <f t="shared" si="7"/>
        <v>2277.0195835252434</v>
      </c>
      <c r="G121" s="80">
        <f t="shared" si="8"/>
        <v>469.81592994481167</v>
      </c>
      <c r="H121" s="73">
        <f t="shared" si="9"/>
        <v>0.13423312284137476</v>
      </c>
      <c r="I121" s="61"/>
    </row>
    <row r="122" spans="1:9" x14ac:dyDescent="0.25">
      <c r="A122" s="70">
        <v>43084</v>
      </c>
      <c r="B122" s="71">
        <f t="shared" si="10"/>
        <v>120</v>
      </c>
      <c r="C122" s="72">
        <f t="shared" si="11"/>
        <v>175.02111945602351</v>
      </c>
      <c r="D122" s="72">
        <v>160</v>
      </c>
      <c r="E122" s="80">
        <f t="shared" si="6"/>
        <v>15.021119456023513</v>
      </c>
      <c r="F122" s="72">
        <f t="shared" si="7"/>
        <v>2275.2745529283056</v>
      </c>
      <c r="G122" s="80">
        <f t="shared" si="8"/>
        <v>465.65470313672893</v>
      </c>
      <c r="H122" s="73">
        <f t="shared" si="9"/>
        <v>0.13304420089620828</v>
      </c>
      <c r="I122" s="61"/>
    </row>
    <row r="123" spans="1:9" x14ac:dyDescent="0.25">
      <c r="A123" s="70">
        <v>43084</v>
      </c>
      <c r="B123" s="71">
        <f t="shared" si="10"/>
        <v>121</v>
      </c>
      <c r="C123" s="72">
        <f t="shared" si="11"/>
        <v>174.88807525512729</v>
      </c>
      <c r="D123" s="72">
        <v>160</v>
      </c>
      <c r="E123" s="80">
        <f t="shared" si="6"/>
        <v>14.888075255127291</v>
      </c>
      <c r="F123" s="72">
        <f t="shared" si="7"/>
        <v>2273.5449783166546</v>
      </c>
      <c r="G123" s="80">
        <f t="shared" si="8"/>
        <v>461.53033290894598</v>
      </c>
      <c r="H123" s="73">
        <f t="shared" si="9"/>
        <v>0.13186580940255599</v>
      </c>
      <c r="I123" s="61"/>
    </row>
    <row r="124" spans="1:9" x14ac:dyDescent="0.25">
      <c r="A124" s="70">
        <v>43084</v>
      </c>
      <c r="B124" s="71">
        <f t="shared" si="10"/>
        <v>122</v>
      </c>
      <c r="C124" s="72">
        <f t="shared" si="11"/>
        <v>174.75620944572472</v>
      </c>
      <c r="D124" s="72">
        <v>160</v>
      </c>
      <c r="E124" s="80">
        <f t="shared" si="6"/>
        <v>14.756209445724721</v>
      </c>
      <c r="F124" s="72">
        <f t="shared" si="7"/>
        <v>2271.8307227944215</v>
      </c>
      <c r="G124" s="80">
        <f t="shared" si="8"/>
        <v>457.44249281746636</v>
      </c>
      <c r="H124" s="73">
        <f t="shared" si="9"/>
        <v>0.13069785509070467</v>
      </c>
      <c r="I124" s="61"/>
    </row>
    <row r="125" spans="1:9" x14ac:dyDescent="0.25">
      <c r="A125" s="70">
        <v>43084</v>
      </c>
      <c r="B125" s="71">
        <f t="shared" si="10"/>
        <v>123</v>
      </c>
      <c r="C125" s="72">
        <f t="shared" si="11"/>
        <v>174.62551159063401</v>
      </c>
      <c r="D125" s="72">
        <v>160</v>
      </c>
      <c r="E125" s="80">
        <f t="shared" si="6"/>
        <v>14.625511590634005</v>
      </c>
      <c r="F125" s="72">
        <f t="shared" si="7"/>
        <v>2270.1316506782423</v>
      </c>
      <c r="G125" s="80">
        <f t="shared" si="8"/>
        <v>453.39085930965416</v>
      </c>
      <c r="H125" s="73">
        <f t="shared" si="9"/>
        <v>0.12954024551704404</v>
      </c>
      <c r="I125" s="61"/>
    </row>
    <row r="126" spans="1:9" x14ac:dyDescent="0.25">
      <c r="A126" s="70">
        <v>43084</v>
      </c>
      <c r="B126" s="71">
        <f t="shared" si="10"/>
        <v>124</v>
      </c>
      <c r="C126" s="72">
        <f t="shared" si="11"/>
        <v>174.49597134511697</v>
      </c>
      <c r="D126" s="72">
        <v>160</v>
      </c>
      <c r="E126" s="80">
        <f t="shared" si="6"/>
        <v>14.49597134511697</v>
      </c>
      <c r="F126" s="72">
        <f t="shared" si="7"/>
        <v>2268.4476274865206</v>
      </c>
      <c r="G126" s="80">
        <f t="shared" si="8"/>
        <v>449.37511169862609</v>
      </c>
      <c r="H126" s="73">
        <f t="shared" si="9"/>
        <v>0.12839288905675031</v>
      </c>
      <c r="I126" s="61"/>
    </row>
    <row r="127" spans="1:9" x14ac:dyDescent="0.25">
      <c r="A127" s="70">
        <v>43084</v>
      </c>
      <c r="B127" s="71">
        <f t="shared" si="10"/>
        <v>125</v>
      </c>
      <c r="C127" s="72">
        <f t="shared" si="11"/>
        <v>174.36757845606022</v>
      </c>
      <c r="D127" s="72">
        <v>160</v>
      </c>
      <c r="E127" s="80">
        <f t="shared" si="6"/>
        <v>14.367578456060215</v>
      </c>
      <c r="F127" s="72">
        <f t="shared" si="7"/>
        <v>2266.7785199287828</v>
      </c>
      <c r="G127" s="80">
        <f t="shared" si="8"/>
        <v>445.3949321378667</v>
      </c>
      <c r="H127" s="73">
        <f t="shared" si="9"/>
        <v>0.12725569489653335</v>
      </c>
      <c r="I127" s="61"/>
    </row>
    <row r="128" spans="1:9" x14ac:dyDescent="0.25">
      <c r="A128" s="70">
        <v>43084</v>
      </c>
      <c r="B128" s="71">
        <f t="shared" si="10"/>
        <v>126</v>
      </c>
      <c r="C128" s="72">
        <f t="shared" si="11"/>
        <v>174.24032276116367</v>
      </c>
      <c r="D128" s="72">
        <v>160</v>
      </c>
      <c r="E128" s="80">
        <f t="shared" si="6"/>
        <v>14.240322761163668</v>
      </c>
      <c r="F128" s="72">
        <f t="shared" si="7"/>
        <v>2265.1241958951277</v>
      </c>
      <c r="G128" s="80">
        <f t="shared" si="8"/>
        <v>441.45000559607371</v>
      </c>
      <c r="H128" s="73">
        <f t="shared" si="9"/>
        <v>0.12612857302744962</v>
      </c>
      <c r="I128" s="61"/>
    </row>
    <row r="129" spans="1:9" x14ac:dyDescent="0.25">
      <c r="A129" s="70">
        <v>43084</v>
      </c>
      <c r="B129" s="71">
        <f t="shared" si="10"/>
        <v>127</v>
      </c>
      <c r="C129" s="72">
        <f t="shared" si="11"/>
        <v>174.11419418813622</v>
      </c>
      <c r="D129" s="72">
        <v>160</v>
      </c>
      <c r="E129" s="80">
        <f t="shared" si="6"/>
        <v>14.114194188136224</v>
      </c>
      <c r="F129" s="72">
        <f t="shared" si="7"/>
        <v>2263.4845244457711</v>
      </c>
      <c r="G129" s="80">
        <f t="shared" si="8"/>
        <v>437.54001983222292</v>
      </c>
      <c r="H129" s="73">
        <f t="shared" si="9"/>
        <v>0.12501143423777797</v>
      </c>
      <c r="I129" s="61"/>
    </row>
    <row r="130" spans="1:9" x14ac:dyDescent="0.25">
      <c r="A130" s="70">
        <v>43084</v>
      </c>
      <c r="B130" s="71">
        <f t="shared" si="10"/>
        <v>128</v>
      </c>
      <c r="C130" s="72">
        <f t="shared" si="11"/>
        <v>173.98918275389843</v>
      </c>
      <c r="D130" s="72">
        <v>160</v>
      </c>
      <c r="E130" s="80">
        <f t="shared" si="6"/>
        <v>13.989182753898433</v>
      </c>
      <c r="F130" s="72">
        <f t="shared" si="7"/>
        <v>2261.8593758006796</v>
      </c>
      <c r="G130" s="80">
        <f t="shared" si="8"/>
        <v>433.66466537085142</v>
      </c>
      <c r="H130" s="73">
        <f t="shared" si="9"/>
        <v>0.12390419010595755</v>
      </c>
      <c r="I130" s="61"/>
    </row>
    <row r="131" spans="1:9" x14ac:dyDescent="0.25">
      <c r="A131" s="70">
        <v>43084</v>
      </c>
      <c r="B131" s="71">
        <f t="shared" si="10"/>
        <v>129</v>
      </c>
      <c r="C131" s="72">
        <f t="shared" si="11"/>
        <v>173.86527856379249</v>
      </c>
      <c r="D131" s="72">
        <v>160</v>
      </c>
      <c r="E131" s="80">
        <f t="shared" ref="E131:E194" si="12">C131-D131</f>
        <v>13.865278563792486</v>
      </c>
      <c r="F131" s="72">
        <f t="shared" ref="F131:F194" si="13">13*C131</f>
        <v>2260.2486213293023</v>
      </c>
      <c r="G131" s="80">
        <f t="shared" ref="G131:G194" si="14">E131*31</f>
        <v>429.82363547756711</v>
      </c>
      <c r="H131" s="73">
        <f t="shared" ref="H131:H194" si="15">MIN($G131/3500,$F131/3500)</f>
        <v>0.1228067529935906</v>
      </c>
      <c r="I131" s="61"/>
    </row>
    <row r="132" spans="1:9" x14ac:dyDescent="0.25">
      <c r="A132" s="70">
        <v>43084</v>
      </c>
      <c r="B132" s="71">
        <f t="shared" ref="B132:B195" si="16">B131+1</f>
        <v>130</v>
      </c>
      <c r="C132" s="72">
        <f t="shared" ref="C132:C195" si="17">C131-H131</f>
        <v>173.74247181079889</v>
      </c>
      <c r="D132" s="72">
        <v>160</v>
      </c>
      <c r="E132" s="80">
        <f t="shared" si="12"/>
        <v>13.742471810798889</v>
      </c>
      <c r="F132" s="72">
        <f t="shared" si="13"/>
        <v>2258.6521335403854</v>
      </c>
      <c r="G132" s="80">
        <f t="shared" si="14"/>
        <v>426.0166261347656</v>
      </c>
      <c r="H132" s="73">
        <f t="shared" si="15"/>
        <v>0.12171903603850445</v>
      </c>
      <c r="I132" s="61"/>
    </row>
    <row r="133" spans="1:9" x14ac:dyDescent="0.25">
      <c r="A133" s="70">
        <v>43084</v>
      </c>
      <c r="B133" s="71">
        <f t="shared" si="16"/>
        <v>131</v>
      </c>
      <c r="C133" s="72">
        <f t="shared" si="17"/>
        <v>173.62075277476038</v>
      </c>
      <c r="D133" s="72">
        <v>160</v>
      </c>
      <c r="E133" s="80">
        <f t="shared" si="12"/>
        <v>13.620752774760376</v>
      </c>
      <c r="F133" s="72">
        <f t="shared" si="13"/>
        <v>2257.0697860718847</v>
      </c>
      <c r="G133" s="80">
        <f t="shared" si="14"/>
        <v>422.24333601757166</v>
      </c>
      <c r="H133" s="73">
        <f t="shared" si="15"/>
        <v>0.12064095314787762</v>
      </c>
      <c r="I133" s="61"/>
    </row>
    <row r="134" spans="1:9" x14ac:dyDescent="0.25">
      <c r="A134" s="70">
        <v>43084</v>
      </c>
      <c r="B134" s="71">
        <f t="shared" si="16"/>
        <v>132</v>
      </c>
      <c r="C134" s="72">
        <f t="shared" si="17"/>
        <v>173.50011182161251</v>
      </c>
      <c r="D134" s="72">
        <v>160</v>
      </c>
      <c r="E134" s="80">
        <f t="shared" si="12"/>
        <v>13.500111821612506</v>
      </c>
      <c r="F134" s="72">
        <f t="shared" si="13"/>
        <v>2255.5014536809626</v>
      </c>
      <c r="G134" s="80">
        <f t="shared" si="14"/>
        <v>418.5034664699877</v>
      </c>
      <c r="H134" s="73">
        <f t="shared" si="15"/>
        <v>0.11957241899142505</v>
      </c>
      <c r="I134" s="61"/>
    </row>
    <row r="135" spans="1:9" x14ac:dyDescent="0.25">
      <c r="A135" s="70">
        <v>43084</v>
      </c>
      <c r="B135" s="71">
        <f t="shared" si="16"/>
        <v>133</v>
      </c>
      <c r="C135" s="72">
        <f t="shared" si="17"/>
        <v>173.38053940262108</v>
      </c>
      <c r="D135" s="72">
        <v>160</v>
      </c>
      <c r="E135" s="80">
        <f t="shared" si="12"/>
        <v>13.380539402621082</v>
      </c>
      <c r="F135" s="72">
        <f t="shared" si="13"/>
        <v>2253.947012234074</v>
      </c>
      <c r="G135" s="80">
        <f t="shared" si="14"/>
        <v>414.79672148125354</v>
      </c>
      <c r="H135" s="73">
        <f t="shared" si="15"/>
        <v>0.11851334899464387</v>
      </c>
      <c r="I135" s="61"/>
    </row>
    <row r="136" spans="1:9" x14ac:dyDescent="0.25">
      <c r="A136" s="70">
        <v>43084</v>
      </c>
      <c r="B136" s="71">
        <f t="shared" si="16"/>
        <v>134</v>
      </c>
      <c r="C136" s="72">
        <f t="shared" si="17"/>
        <v>173.26202605362644</v>
      </c>
      <c r="D136" s="72">
        <v>160</v>
      </c>
      <c r="E136" s="80">
        <f t="shared" si="12"/>
        <v>13.262026053626442</v>
      </c>
      <c r="F136" s="72">
        <f t="shared" si="13"/>
        <v>2252.4063386971438</v>
      </c>
      <c r="G136" s="80">
        <f t="shared" si="14"/>
        <v>411.12280766241975</v>
      </c>
      <c r="H136" s="73">
        <f t="shared" si="15"/>
        <v>0.11746365933211993</v>
      </c>
      <c r="I136" s="61"/>
    </row>
    <row r="137" spans="1:9" x14ac:dyDescent="0.25">
      <c r="A137" s="70">
        <v>43084</v>
      </c>
      <c r="B137" s="71">
        <f t="shared" si="16"/>
        <v>135</v>
      </c>
      <c r="C137" s="72">
        <f t="shared" si="17"/>
        <v>173.14456239429433</v>
      </c>
      <c r="D137" s="72">
        <v>160</v>
      </c>
      <c r="E137" s="80">
        <f t="shared" si="12"/>
        <v>13.144562394294326</v>
      </c>
      <c r="F137" s="72">
        <f t="shared" si="13"/>
        <v>2250.8793111258265</v>
      </c>
      <c r="G137" s="80">
        <f t="shared" si="14"/>
        <v>407.4814342231241</v>
      </c>
      <c r="H137" s="73">
        <f t="shared" si="15"/>
        <v>0.1164232669208926</v>
      </c>
      <c r="I137" s="61"/>
    </row>
    <row r="138" spans="1:9" x14ac:dyDescent="0.25">
      <c r="A138" s="70">
        <v>43084</v>
      </c>
      <c r="B138" s="71">
        <f t="shared" si="16"/>
        <v>136</v>
      </c>
      <c r="C138" s="72">
        <f t="shared" si="17"/>
        <v>173.02813912737344</v>
      </c>
      <c r="D138" s="72">
        <v>160</v>
      </c>
      <c r="E138" s="80">
        <f t="shared" si="12"/>
        <v>13.028139127373436</v>
      </c>
      <c r="F138" s="72">
        <f t="shared" si="13"/>
        <v>2249.3658086558548</v>
      </c>
      <c r="G138" s="80">
        <f t="shared" si="14"/>
        <v>403.87231294857651</v>
      </c>
      <c r="H138" s="73">
        <f t="shared" si="15"/>
        <v>0.115392089413879</v>
      </c>
      <c r="I138" s="61"/>
    </row>
    <row r="139" spans="1:9" x14ac:dyDescent="0.25">
      <c r="A139" s="70">
        <v>43084</v>
      </c>
      <c r="B139" s="71">
        <f t="shared" si="16"/>
        <v>137</v>
      </c>
      <c r="C139" s="72">
        <f t="shared" si="17"/>
        <v>172.91274703795955</v>
      </c>
      <c r="D139" s="72">
        <v>160</v>
      </c>
      <c r="E139" s="80">
        <f t="shared" si="12"/>
        <v>12.912747037959548</v>
      </c>
      <c r="F139" s="72">
        <f t="shared" si="13"/>
        <v>2247.865711493474</v>
      </c>
      <c r="G139" s="80">
        <f t="shared" si="14"/>
        <v>400.29515817674599</v>
      </c>
      <c r="H139" s="73">
        <f t="shared" si="15"/>
        <v>0.114370045193356</v>
      </c>
      <c r="I139" s="61"/>
    </row>
    <row r="140" spans="1:9" x14ac:dyDescent="0.25">
      <c r="A140" s="70">
        <v>43084</v>
      </c>
      <c r="B140" s="71">
        <f t="shared" si="16"/>
        <v>138</v>
      </c>
      <c r="C140" s="72">
        <f t="shared" si="17"/>
        <v>172.79837699276618</v>
      </c>
      <c r="D140" s="72">
        <v>160</v>
      </c>
      <c r="E140" s="80">
        <f t="shared" si="12"/>
        <v>12.79837699276618</v>
      </c>
      <c r="F140" s="72">
        <f t="shared" si="13"/>
        <v>2246.3789009059601</v>
      </c>
      <c r="G140" s="80">
        <f t="shared" si="14"/>
        <v>396.74968677575157</v>
      </c>
      <c r="H140" s="73">
        <f t="shared" si="15"/>
        <v>0.11335705336450044</v>
      </c>
      <c r="I140" s="61"/>
    </row>
    <row r="141" spans="1:9" x14ac:dyDescent="0.25">
      <c r="A141" s="70">
        <v>43084</v>
      </c>
      <c r="B141" s="71">
        <f t="shared" si="16"/>
        <v>139</v>
      </c>
      <c r="C141" s="72">
        <f t="shared" si="17"/>
        <v>172.68501993940168</v>
      </c>
      <c r="D141" s="72">
        <v>160</v>
      </c>
      <c r="E141" s="80">
        <f t="shared" si="12"/>
        <v>12.685019939401684</v>
      </c>
      <c r="F141" s="72">
        <f t="shared" si="13"/>
        <v>2244.9052592122221</v>
      </c>
      <c r="G141" s="80">
        <f t="shared" si="14"/>
        <v>393.23561812145221</v>
      </c>
      <c r="H141" s="73">
        <f t="shared" si="15"/>
        <v>0.11235303374898635</v>
      </c>
      <c r="I141" s="61"/>
    </row>
    <row r="142" spans="1:9" x14ac:dyDescent="0.25">
      <c r="A142" s="70">
        <v>43084</v>
      </c>
      <c r="B142" s="71">
        <f t="shared" si="16"/>
        <v>140</v>
      </c>
      <c r="C142" s="72">
        <f t="shared" si="17"/>
        <v>172.57266690565271</v>
      </c>
      <c r="D142" s="72">
        <v>160</v>
      </c>
      <c r="E142" s="80">
        <f t="shared" si="12"/>
        <v>12.57266690565271</v>
      </c>
      <c r="F142" s="72">
        <f t="shared" si="13"/>
        <v>2243.4446697734852</v>
      </c>
      <c r="G142" s="80">
        <f t="shared" si="14"/>
        <v>389.75267407523404</v>
      </c>
      <c r="H142" s="73">
        <f t="shared" si="15"/>
        <v>0.11135790687863829</v>
      </c>
      <c r="I142" s="61"/>
    </row>
    <row r="143" spans="1:9" x14ac:dyDescent="0.25">
      <c r="A143" s="70">
        <v>43084</v>
      </c>
      <c r="B143" s="71">
        <f t="shared" si="16"/>
        <v>141</v>
      </c>
      <c r="C143" s="72">
        <f t="shared" si="17"/>
        <v>172.46130899877406</v>
      </c>
      <c r="D143" s="72">
        <v>160</v>
      </c>
      <c r="E143" s="80">
        <f t="shared" si="12"/>
        <v>12.461308998774058</v>
      </c>
      <c r="F143" s="72">
        <f t="shared" si="13"/>
        <v>2241.9970169840626</v>
      </c>
      <c r="G143" s="80">
        <f t="shared" si="14"/>
        <v>386.30057896199583</v>
      </c>
      <c r="H143" s="73">
        <f t="shared" si="15"/>
        <v>0.11037159398914166</v>
      </c>
      <c r="I143" s="61"/>
    </row>
    <row r="144" spans="1:9" x14ac:dyDescent="0.25">
      <c r="A144" s="70">
        <v>43084</v>
      </c>
      <c r="B144" s="71">
        <f t="shared" si="16"/>
        <v>142</v>
      </c>
      <c r="C144" s="72">
        <f t="shared" si="17"/>
        <v>172.35093740478493</v>
      </c>
      <c r="D144" s="72">
        <v>160</v>
      </c>
      <c r="E144" s="80">
        <f t="shared" si="12"/>
        <v>12.350937404784929</v>
      </c>
      <c r="F144" s="72">
        <f t="shared" si="13"/>
        <v>2240.5621862622042</v>
      </c>
      <c r="G144" s="80">
        <f t="shared" si="14"/>
        <v>382.8790595483328</v>
      </c>
      <c r="H144" s="73">
        <f t="shared" si="15"/>
        <v>0.10939401701380937</v>
      </c>
      <c r="I144" s="61"/>
    </row>
    <row r="145" spans="1:9" x14ac:dyDescent="0.25">
      <c r="A145" s="70">
        <v>43084</v>
      </c>
      <c r="B145" s="71">
        <f t="shared" si="16"/>
        <v>143</v>
      </c>
      <c r="C145" s="72">
        <f t="shared" si="17"/>
        <v>172.24154338777112</v>
      </c>
      <c r="D145" s="72">
        <v>160</v>
      </c>
      <c r="E145" s="80">
        <f t="shared" si="12"/>
        <v>12.241543387771117</v>
      </c>
      <c r="F145" s="72">
        <f t="shared" si="13"/>
        <v>2239.1400640410247</v>
      </c>
      <c r="G145" s="80">
        <f t="shared" si="14"/>
        <v>379.48784502090462</v>
      </c>
      <c r="H145" s="73">
        <f t="shared" si="15"/>
        <v>0.10842509857740132</v>
      </c>
      <c r="I145" s="61"/>
    </row>
    <row r="146" spans="1:9" x14ac:dyDescent="0.25">
      <c r="A146" s="70">
        <v>43084</v>
      </c>
      <c r="B146" s="71">
        <f t="shared" si="16"/>
        <v>144</v>
      </c>
      <c r="C146" s="72">
        <f t="shared" si="17"/>
        <v>172.1331182891937</v>
      </c>
      <c r="D146" s="72">
        <v>160</v>
      </c>
      <c r="E146" s="80">
        <f t="shared" si="12"/>
        <v>12.133118289193703</v>
      </c>
      <c r="F146" s="72">
        <f t="shared" si="13"/>
        <v>2237.730537759518</v>
      </c>
      <c r="G146" s="80">
        <f t="shared" si="14"/>
        <v>376.1266669650048</v>
      </c>
      <c r="H146" s="73">
        <f t="shared" si="15"/>
        <v>0.10746476199000138</v>
      </c>
      <c r="I146" s="61"/>
    </row>
    <row r="147" spans="1:9" x14ac:dyDescent="0.25">
      <c r="A147" s="70">
        <v>43084</v>
      </c>
      <c r="B147" s="71">
        <f t="shared" si="16"/>
        <v>145</v>
      </c>
      <c r="C147" s="72">
        <f t="shared" si="17"/>
        <v>172.0256535272037</v>
      </c>
      <c r="D147" s="72">
        <v>160</v>
      </c>
      <c r="E147" s="80">
        <f t="shared" si="12"/>
        <v>12.025653527203701</v>
      </c>
      <c r="F147" s="72">
        <f t="shared" si="13"/>
        <v>2236.3334958536479</v>
      </c>
      <c r="G147" s="80">
        <f t="shared" si="14"/>
        <v>372.79525934331474</v>
      </c>
      <c r="H147" s="73">
        <f t="shared" si="15"/>
        <v>0.10651293124094707</v>
      </c>
      <c r="I147" s="61"/>
    </row>
    <row r="148" spans="1:9" x14ac:dyDescent="0.25">
      <c r="A148" s="70">
        <v>43084</v>
      </c>
      <c r="B148" s="71">
        <f t="shared" si="16"/>
        <v>146</v>
      </c>
      <c r="C148" s="72">
        <f t="shared" si="17"/>
        <v>171.91914059596274</v>
      </c>
      <c r="D148" s="72">
        <v>160</v>
      </c>
      <c r="E148" s="80">
        <f t="shared" si="12"/>
        <v>11.919140595962745</v>
      </c>
      <c r="F148" s="72">
        <f t="shared" si="13"/>
        <v>2234.9488277475157</v>
      </c>
      <c r="G148" s="80">
        <f t="shared" si="14"/>
        <v>369.49335847484508</v>
      </c>
      <c r="H148" s="73">
        <f t="shared" si="15"/>
        <v>0.10556953099281288</v>
      </c>
      <c r="I148" s="61"/>
    </row>
    <row r="149" spans="1:9" x14ac:dyDescent="0.25">
      <c r="A149" s="70">
        <v>43084</v>
      </c>
      <c r="B149" s="71">
        <f t="shared" si="16"/>
        <v>147</v>
      </c>
      <c r="C149" s="72">
        <f t="shared" si="17"/>
        <v>171.81357106496992</v>
      </c>
      <c r="D149" s="72">
        <v>160</v>
      </c>
      <c r="E149" s="80">
        <f t="shared" si="12"/>
        <v>11.813571064969921</v>
      </c>
      <c r="F149" s="72">
        <f t="shared" si="13"/>
        <v>2233.5764238446091</v>
      </c>
      <c r="G149" s="80">
        <f t="shared" si="14"/>
        <v>366.22070301406757</v>
      </c>
      <c r="H149" s="73">
        <f t="shared" si="15"/>
        <v>0.10463448657544788</v>
      </c>
      <c r="I149" s="61"/>
    </row>
    <row r="150" spans="1:9" x14ac:dyDescent="0.25">
      <c r="A150" s="70">
        <v>43084</v>
      </c>
      <c r="B150" s="71">
        <f t="shared" si="16"/>
        <v>148</v>
      </c>
      <c r="C150" s="72">
        <f t="shared" si="17"/>
        <v>171.70893657839449</v>
      </c>
      <c r="D150" s="72">
        <v>160</v>
      </c>
      <c r="E150" s="80">
        <f t="shared" si="12"/>
        <v>11.708936578394486</v>
      </c>
      <c r="F150" s="72">
        <f t="shared" si="13"/>
        <v>2232.2161755191282</v>
      </c>
      <c r="G150" s="80">
        <f t="shared" si="14"/>
        <v>362.97703393022903</v>
      </c>
      <c r="H150" s="73">
        <f t="shared" si="15"/>
        <v>0.10370772398006543</v>
      </c>
      <c r="I150" s="61"/>
    </row>
    <row r="151" spans="1:9" x14ac:dyDescent="0.25">
      <c r="A151" s="70">
        <v>43084</v>
      </c>
      <c r="B151" s="71">
        <f t="shared" si="16"/>
        <v>149</v>
      </c>
      <c r="C151" s="72">
        <f t="shared" si="17"/>
        <v>171.60522885441441</v>
      </c>
      <c r="D151" s="72">
        <v>160</v>
      </c>
      <c r="E151" s="80">
        <f t="shared" si="12"/>
        <v>11.605228854414406</v>
      </c>
      <c r="F151" s="72">
        <f t="shared" si="13"/>
        <v>2230.8679751073873</v>
      </c>
      <c r="G151" s="80">
        <f t="shared" si="14"/>
        <v>359.76209448684659</v>
      </c>
      <c r="H151" s="73">
        <f t="shared" si="15"/>
        <v>0.10278916985338474</v>
      </c>
      <c r="I151" s="61"/>
    </row>
    <row r="152" spans="1:9" x14ac:dyDescent="0.25">
      <c r="A152" s="70">
        <v>43084</v>
      </c>
      <c r="B152" s="71">
        <f t="shared" si="16"/>
        <v>150</v>
      </c>
      <c r="C152" s="72">
        <f t="shared" si="17"/>
        <v>171.50243968456101</v>
      </c>
      <c r="D152" s="72">
        <v>160</v>
      </c>
      <c r="E152" s="80">
        <f t="shared" si="12"/>
        <v>11.502439684561011</v>
      </c>
      <c r="F152" s="72">
        <f t="shared" si="13"/>
        <v>2229.531715899293</v>
      </c>
      <c r="G152" s="80">
        <f t="shared" si="14"/>
        <v>356.57563022139135</v>
      </c>
      <c r="H152" s="73">
        <f t="shared" si="15"/>
        <v>0.1018787514918261</v>
      </c>
      <c r="I152" s="61"/>
    </row>
    <row r="153" spans="1:9" x14ac:dyDescent="0.25">
      <c r="A153" s="70">
        <v>43084</v>
      </c>
      <c r="B153" s="71">
        <f t="shared" si="16"/>
        <v>151</v>
      </c>
      <c r="C153" s="72">
        <f t="shared" si="17"/>
        <v>171.40056093306919</v>
      </c>
      <c r="D153" s="72">
        <v>160</v>
      </c>
      <c r="E153" s="80">
        <f t="shared" si="12"/>
        <v>11.400560933069187</v>
      </c>
      <c r="F153" s="72">
        <f t="shared" si="13"/>
        <v>2228.2072921298995</v>
      </c>
      <c r="G153" s="80">
        <f t="shared" si="14"/>
        <v>353.41738892514479</v>
      </c>
      <c r="H153" s="73">
        <f t="shared" si="15"/>
        <v>0.10097639683575566</v>
      </c>
      <c r="I153" s="61"/>
    </row>
    <row r="154" spans="1:9" x14ac:dyDescent="0.25">
      <c r="A154" s="70">
        <v>43084</v>
      </c>
      <c r="B154" s="71">
        <f t="shared" si="16"/>
        <v>152</v>
      </c>
      <c r="C154" s="72">
        <f t="shared" si="17"/>
        <v>171.29958453623343</v>
      </c>
      <c r="D154" s="72">
        <v>160</v>
      </c>
      <c r="E154" s="80">
        <f t="shared" si="12"/>
        <v>11.299584536233425</v>
      </c>
      <c r="F154" s="72">
        <f t="shared" si="13"/>
        <v>2226.8945989710346</v>
      </c>
      <c r="G154" s="80">
        <f t="shared" si="14"/>
        <v>350.28712062323621</v>
      </c>
      <c r="H154" s="73">
        <f t="shared" si="15"/>
        <v>0.10008203446378178</v>
      </c>
      <c r="I154" s="61"/>
    </row>
    <row r="155" spans="1:9" x14ac:dyDescent="0.25">
      <c r="A155" s="70">
        <v>43084</v>
      </c>
      <c r="B155" s="71">
        <f t="shared" si="16"/>
        <v>153</v>
      </c>
      <c r="C155" s="72">
        <f t="shared" si="17"/>
        <v>171.19950250176964</v>
      </c>
      <c r="D155" s="72">
        <v>160</v>
      </c>
      <c r="E155" s="80">
        <f t="shared" si="12"/>
        <v>11.199502501769643</v>
      </c>
      <c r="F155" s="72">
        <f t="shared" si="13"/>
        <v>2225.5935325230053</v>
      </c>
      <c r="G155" s="80">
        <f t="shared" si="14"/>
        <v>347.18457755485895</v>
      </c>
      <c r="H155" s="73">
        <f t="shared" si="15"/>
        <v>9.919559358710256E-2</v>
      </c>
      <c r="I155" s="61"/>
    </row>
    <row r="156" spans="1:9" x14ac:dyDescent="0.25">
      <c r="A156" s="70">
        <v>43084</v>
      </c>
      <c r="B156" s="71">
        <f t="shared" si="16"/>
        <v>154</v>
      </c>
      <c r="C156" s="72">
        <f t="shared" si="17"/>
        <v>171.10030690818255</v>
      </c>
      <c r="D156" s="72">
        <v>160</v>
      </c>
      <c r="E156" s="80">
        <f t="shared" si="12"/>
        <v>11.100306908182546</v>
      </c>
      <c r="F156" s="72">
        <f t="shared" si="13"/>
        <v>2224.303989806373</v>
      </c>
      <c r="G156" s="80">
        <f t="shared" si="14"/>
        <v>344.10951415365889</v>
      </c>
      <c r="H156" s="73">
        <f t="shared" si="15"/>
        <v>9.8317004043902534E-2</v>
      </c>
      <c r="I156" s="61"/>
    </row>
    <row r="157" spans="1:9" x14ac:dyDescent="0.25">
      <c r="A157" s="70">
        <v>43084</v>
      </c>
      <c r="B157" s="71">
        <f t="shared" si="16"/>
        <v>155</v>
      </c>
      <c r="C157" s="72">
        <f t="shared" si="17"/>
        <v>171.00198990413864</v>
      </c>
      <c r="D157" s="72">
        <v>160</v>
      </c>
      <c r="E157" s="80">
        <f t="shared" si="12"/>
        <v>11.00198990413864</v>
      </c>
      <c r="F157" s="72">
        <f t="shared" si="13"/>
        <v>2223.0258687538021</v>
      </c>
      <c r="G157" s="80">
        <f t="shared" si="14"/>
        <v>341.0616870282978</v>
      </c>
      <c r="H157" s="73">
        <f t="shared" si="15"/>
        <v>9.7446196293799373E-2</v>
      </c>
      <c r="I157" s="61"/>
    </row>
    <row r="158" spans="1:9" x14ac:dyDescent="0.25">
      <c r="A158" s="70">
        <v>43084</v>
      </c>
      <c r="B158" s="71">
        <f t="shared" si="16"/>
        <v>156</v>
      </c>
      <c r="C158" s="72">
        <f t="shared" si="17"/>
        <v>170.90454370784485</v>
      </c>
      <c r="D158" s="72">
        <v>160</v>
      </c>
      <c r="E158" s="80">
        <f t="shared" si="12"/>
        <v>10.904543707844851</v>
      </c>
      <c r="F158" s="72">
        <f t="shared" si="13"/>
        <v>2221.7590682019832</v>
      </c>
      <c r="G158" s="80">
        <f t="shared" si="14"/>
        <v>338.04085494319042</v>
      </c>
      <c r="H158" s="73">
        <f t="shared" si="15"/>
        <v>9.6583101412340125E-2</v>
      </c>
      <c r="I158" s="61"/>
    </row>
    <row r="159" spans="1:9" x14ac:dyDescent="0.25">
      <c r="A159" s="70">
        <v>43084</v>
      </c>
      <c r="B159" s="71">
        <f t="shared" si="16"/>
        <v>157</v>
      </c>
      <c r="C159" s="72">
        <f t="shared" si="17"/>
        <v>170.80796060643252</v>
      </c>
      <c r="D159" s="72">
        <v>160</v>
      </c>
      <c r="E159" s="80">
        <f t="shared" si="12"/>
        <v>10.807960606432516</v>
      </c>
      <c r="F159" s="72">
        <f t="shared" si="13"/>
        <v>2220.5034878836227</v>
      </c>
      <c r="G159" s="80">
        <f t="shared" si="14"/>
        <v>335.046778799408</v>
      </c>
      <c r="H159" s="73">
        <f t="shared" si="15"/>
        <v>9.5727651085545137E-2</v>
      </c>
      <c r="I159" s="61"/>
    </row>
    <row r="160" spans="1:9" x14ac:dyDescent="0.25">
      <c r="A160" s="70">
        <v>43084</v>
      </c>
      <c r="B160" s="71">
        <f t="shared" si="16"/>
        <v>158</v>
      </c>
      <c r="C160" s="72">
        <f t="shared" si="17"/>
        <v>170.71223295534696</v>
      </c>
      <c r="D160" s="72">
        <v>160</v>
      </c>
      <c r="E160" s="80">
        <f t="shared" si="12"/>
        <v>10.712232955346963</v>
      </c>
      <c r="F160" s="72">
        <f t="shared" si="13"/>
        <v>2219.2590284195103</v>
      </c>
      <c r="G160" s="80">
        <f t="shared" si="14"/>
        <v>332.07922161575584</v>
      </c>
      <c r="H160" s="73">
        <f t="shared" si="15"/>
        <v>9.4879777604501669E-2</v>
      </c>
      <c r="I160" s="61"/>
    </row>
    <row r="161" spans="1:9" x14ac:dyDescent="0.25">
      <c r="A161" s="70">
        <v>43084</v>
      </c>
      <c r="B161" s="71">
        <f t="shared" si="16"/>
        <v>159</v>
      </c>
      <c r="C161" s="72">
        <f t="shared" si="17"/>
        <v>170.61735317774247</v>
      </c>
      <c r="D161" s="72">
        <v>160</v>
      </c>
      <c r="E161" s="80">
        <f t="shared" si="12"/>
        <v>10.617353177742473</v>
      </c>
      <c r="F161" s="72">
        <f t="shared" si="13"/>
        <v>2218.0255913106521</v>
      </c>
      <c r="G161" s="80">
        <f t="shared" si="14"/>
        <v>329.13794851001666</v>
      </c>
      <c r="H161" s="73">
        <f t="shared" si="15"/>
        <v>9.4039413860004764E-2</v>
      </c>
      <c r="I161" s="61"/>
    </row>
    <row r="162" spans="1:9" x14ac:dyDescent="0.25">
      <c r="A162" s="70">
        <v>43084</v>
      </c>
      <c r="B162" s="71">
        <f t="shared" si="16"/>
        <v>160</v>
      </c>
      <c r="C162" s="72">
        <f t="shared" si="17"/>
        <v>170.52331376388247</v>
      </c>
      <c r="D162" s="72">
        <v>160</v>
      </c>
      <c r="E162" s="80">
        <f t="shared" si="12"/>
        <v>10.52331376388247</v>
      </c>
      <c r="F162" s="72">
        <f t="shared" si="13"/>
        <v>2216.8030789304721</v>
      </c>
      <c r="G162" s="80">
        <f t="shared" si="14"/>
        <v>326.22272668035657</v>
      </c>
      <c r="H162" s="73">
        <f t="shared" si="15"/>
        <v>9.3206493337244734E-2</v>
      </c>
      <c r="I162" s="61"/>
    </row>
    <row r="163" spans="1:9" x14ac:dyDescent="0.25">
      <c r="A163" s="70">
        <v>43084</v>
      </c>
      <c r="B163" s="71">
        <f t="shared" si="16"/>
        <v>161</v>
      </c>
      <c r="C163" s="72">
        <f t="shared" si="17"/>
        <v>170.43010727054522</v>
      </c>
      <c r="D163" s="72">
        <v>160</v>
      </c>
      <c r="E163" s="80">
        <f t="shared" si="12"/>
        <v>10.430107270545221</v>
      </c>
      <c r="F163" s="72">
        <f t="shared" si="13"/>
        <v>2215.5913945170878</v>
      </c>
      <c r="G163" s="80">
        <f t="shared" si="14"/>
        <v>323.33332538690183</v>
      </c>
      <c r="H163" s="73">
        <f t="shared" si="15"/>
        <v>9.2380950110543383E-2</v>
      </c>
      <c r="I163" s="61"/>
    </row>
    <row r="164" spans="1:9" x14ac:dyDescent="0.25">
      <c r="A164" s="70">
        <v>43084</v>
      </c>
      <c r="B164" s="71">
        <f t="shared" si="16"/>
        <v>162</v>
      </c>
      <c r="C164" s="72">
        <f t="shared" si="17"/>
        <v>170.33772632043468</v>
      </c>
      <c r="D164" s="72">
        <v>160</v>
      </c>
      <c r="E164" s="80">
        <f t="shared" si="12"/>
        <v>10.337726320434683</v>
      </c>
      <c r="F164" s="72">
        <f t="shared" si="13"/>
        <v>2214.3904421656507</v>
      </c>
      <c r="G164" s="80">
        <f t="shared" si="14"/>
        <v>320.46951593347518</v>
      </c>
      <c r="H164" s="73">
        <f t="shared" si="15"/>
        <v>9.156271883813577E-2</v>
      </c>
      <c r="I164" s="61"/>
    </row>
    <row r="165" spans="1:9" x14ac:dyDescent="0.25">
      <c r="A165" s="70">
        <v>43084</v>
      </c>
      <c r="B165" s="71">
        <f t="shared" si="16"/>
        <v>163</v>
      </c>
      <c r="C165" s="72">
        <f t="shared" si="17"/>
        <v>170.24616360159655</v>
      </c>
      <c r="D165" s="72">
        <v>160</v>
      </c>
      <c r="E165" s="80">
        <f t="shared" si="12"/>
        <v>10.24616360159655</v>
      </c>
      <c r="F165" s="72">
        <f t="shared" si="13"/>
        <v>2213.200126820755</v>
      </c>
      <c r="G165" s="80">
        <f t="shared" si="14"/>
        <v>317.63107164949304</v>
      </c>
      <c r="H165" s="73">
        <f t="shared" si="15"/>
        <v>9.0751734756998007E-2</v>
      </c>
      <c r="I165" s="61"/>
    </row>
    <row r="166" spans="1:9" x14ac:dyDescent="0.25">
      <c r="A166" s="70">
        <v>43084</v>
      </c>
      <c r="B166" s="71">
        <f t="shared" si="16"/>
        <v>164</v>
      </c>
      <c r="C166" s="72">
        <f t="shared" si="17"/>
        <v>170.15541186683956</v>
      </c>
      <c r="D166" s="72">
        <v>160</v>
      </c>
      <c r="E166" s="80">
        <f t="shared" si="12"/>
        <v>10.155411866839557</v>
      </c>
      <c r="F166" s="72">
        <f t="shared" si="13"/>
        <v>2212.0203542689142</v>
      </c>
      <c r="G166" s="80">
        <f t="shared" si="14"/>
        <v>314.81776787202625</v>
      </c>
      <c r="H166" s="73">
        <f t="shared" si="15"/>
        <v>8.9947933677721789E-2</v>
      </c>
      <c r="I166" s="61"/>
    </row>
    <row r="167" spans="1:9" x14ac:dyDescent="0.25">
      <c r="A167" s="70">
        <v>43084</v>
      </c>
      <c r="B167" s="71">
        <f t="shared" si="16"/>
        <v>165</v>
      </c>
      <c r="C167" s="72">
        <f t="shared" si="17"/>
        <v>170.06546393316182</v>
      </c>
      <c r="D167" s="72">
        <v>160</v>
      </c>
      <c r="E167" s="80">
        <f t="shared" si="12"/>
        <v>10.065463933161823</v>
      </c>
      <c r="F167" s="72">
        <f t="shared" si="13"/>
        <v>2210.8510311311038</v>
      </c>
      <c r="G167" s="80">
        <f t="shared" si="14"/>
        <v>312.02938192801651</v>
      </c>
      <c r="H167" s="73">
        <f t="shared" si="15"/>
        <v>8.9151251979433285E-2</v>
      </c>
      <c r="I167" s="61"/>
    </row>
    <row r="168" spans="1:9" x14ac:dyDescent="0.25">
      <c r="A168" s="70">
        <v>43084</v>
      </c>
      <c r="B168" s="71">
        <f t="shared" si="16"/>
        <v>166</v>
      </c>
      <c r="C168" s="72">
        <f t="shared" si="17"/>
        <v>169.97631268118238</v>
      </c>
      <c r="D168" s="72">
        <v>160</v>
      </c>
      <c r="E168" s="80">
        <f t="shared" si="12"/>
        <v>9.9763126811823781</v>
      </c>
      <c r="F168" s="72">
        <f t="shared" si="13"/>
        <v>2209.692064855371</v>
      </c>
      <c r="G168" s="80">
        <f t="shared" si="14"/>
        <v>309.26569311665372</v>
      </c>
      <c r="H168" s="73">
        <f t="shared" si="15"/>
        <v>8.8361626604758201E-2</v>
      </c>
      <c r="I168" s="61"/>
    </row>
    <row r="169" spans="1:9" x14ac:dyDescent="0.25">
      <c r="A169" s="70">
        <v>43084</v>
      </c>
      <c r="B169" s="71">
        <f t="shared" si="16"/>
        <v>167</v>
      </c>
      <c r="C169" s="72">
        <f t="shared" si="17"/>
        <v>169.88795105457763</v>
      </c>
      <c r="D169" s="72">
        <v>160</v>
      </c>
      <c r="E169" s="80">
        <f t="shared" si="12"/>
        <v>9.887951054577627</v>
      </c>
      <c r="F169" s="72">
        <f t="shared" si="13"/>
        <v>2208.5433637095093</v>
      </c>
      <c r="G169" s="80">
        <f t="shared" si="14"/>
        <v>306.52648269190644</v>
      </c>
      <c r="H169" s="73">
        <f t="shared" si="15"/>
        <v>8.7578995054830411E-2</v>
      </c>
      <c r="I169" s="61"/>
    </row>
    <row r="170" spans="1:9" x14ac:dyDescent="0.25">
      <c r="A170" s="70">
        <v>43084</v>
      </c>
      <c r="B170" s="71">
        <f t="shared" si="16"/>
        <v>168</v>
      </c>
      <c r="C170" s="72">
        <f t="shared" si="17"/>
        <v>169.8003720595228</v>
      </c>
      <c r="D170" s="72">
        <v>160</v>
      </c>
      <c r="E170" s="80">
        <f t="shared" si="12"/>
        <v>9.8003720595228003</v>
      </c>
      <c r="F170" s="72">
        <f t="shared" si="13"/>
        <v>2207.4048367737964</v>
      </c>
      <c r="G170" s="80">
        <f t="shared" si="14"/>
        <v>303.81153384520678</v>
      </c>
      <c r="H170" s="73">
        <f t="shared" si="15"/>
        <v>8.6803295384344795E-2</v>
      </c>
      <c r="I170" s="61"/>
    </row>
    <row r="171" spans="1:9" x14ac:dyDescent="0.25">
      <c r="A171" s="70">
        <v>43084</v>
      </c>
      <c r="B171" s="71">
        <f t="shared" si="16"/>
        <v>169</v>
      </c>
      <c r="C171" s="72">
        <f t="shared" si="17"/>
        <v>169.71356876413844</v>
      </c>
      <c r="D171" s="72">
        <v>160</v>
      </c>
      <c r="E171" s="80">
        <f t="shared" si="12"/>
        <v>9.7135687641384436</v>
      </c>
      <c r="F171" s="72">
        <f t="shared" si="13"/>
        <v>2206.2763939337997</v>
      </c>
      <c r="G171" s="80">
        <f t="shared" si="14"/>
        <v>301.12063168829172</v>
      </c>
      <c r="H171" s="73">
        <f t="shared" si="15"/>
        <v>8.603446619665478E-2</v>
      </c>
      <c r="I171" s="61"/>
    </row>
    <row r="172" spans="1:9" x14ac:dyDescent="0.25">
      <c r="A172" s="70">
        <v>43084</v>
      </c>
      <c r="B172" s="71">
        <f t="shared" si="16"/>
        <v>170</v>
      </c>
      <c r="C172" s="72">
        <f t="shared" si="17"/>
        <v>169.62753429794179</v>
      </c>
      <c r="D172" s="72">
        <v>160</v>
      </c>
      <c r="E172" s="80">
        <f t="shared" si="12"/>
        <v>9.6275342979417928</v>
      </c>
      <c r="F172" s="72">
        <f t="shared" si="13"/>
        <v>2205.1579458732431</v>
      </c>
      <c r="G172" s="80">
        <f t="shared" si="14"/>
        <v>298.45356323619558</v>
      </c>
      <c r="H172" s="73">
        <f t="shared" si="15"/>
        <v>8.5272446638913021E-2</v>
      </c>
      <c r="I172" s="61"/>
    </row>
    <row r="173" spans="1:9" x14ac:dyDescent="0.25">
      <c r="A173" s="70">
        <v>43084</v>
      </c>
      <c r="B173" s="71">
        <f t="shared" si="16"/>
        <v>171</v>
      </c>
      <c r="C173" s="72">
        <f t="shared" si="17"/>
        <v>169.54226185130287</v>
      </c>
      <c r="D173" s="72">
        <v>160</v>
      </c>
      <c r="E173" s="80">
        <f t="shared" si="12"/>
        <v>9.5422618513028681</v>
      </c>
      <c r="F173" s="72">
        <f t="shared" si="13"/>
        <v>2204.0494040669373</v>
      </c>
      <c r="G173" s="80">
        <f t="shared" si="14"/>
        <v>295.81011739038888</v>
      </c>
      <c r="H173" s="73">
        <f t="shared" si="15"/>
        <v>8.4517176397253965E-2</v>
      </c>
      <c r="I173" s="61"/>
    </row>
    <row r="174" spans="1:9" x14ac:dyDescent="0.25">
      <c r="A174" s="70">
        <v>43084</v>
      </c>
      <c r="B174" s="71">
        <f t="shared" si="16"/>
        <v>172</v>
      </c>
      <c r="C174" s="72">
        <f t="shared" si="17"/>
        <v>169.45774467490563</v>
      </c>
      <c r="D174" s="72">
        <v>160</v>
      </c>
      <c r="E174" s="80">
        <f t="shared" si="12"/>
        <v>9.4577446749056264</v>
      </c>
      <c r="F174" s="72">
        <f t="shared" si="13"/>
        <v>2202.950680773773</v>
      </c>
      <c r="G174" s="80">
        <f t="shared" si="14"/>
        <v>293.19008492207445</v>
      </c>
      <c r="H174" s="73">
        <f t="shared" si="15"/>
        <v>8.3768595692021275E-2</v>
      </c>
      <c r="I174" s="61"/>
    </row>
    <row r="175" spans="1:9" x14ac:dyDescent="0.25">
      <c r="A175" s="70">
        <v>43084</v>
      </c>
      <c r="B175" s="71">
        <f t="shared" si="16"/>
        <v>173</v>
      </c>
      <c r="C175" s="72">
        <f t="shared" si="17"/>
        <v>169.37397607921361</v>
      </c>
      <c r="D175" s="72">
        <v>160</v>
      </c>
      <c r="E175" s="80">
        <f t="shared" si="12"/>
        <v>9.3739760792136053</v>
      </c>
      <c r="F175" s="72">
        <f t="shared" si="13"/>
        <v>2201.8616890297767</v>
      </c>
      <c r="G175" s="80">
        <f t="shared" si="14"/>
        <v>290.59325845562176</v>
      </c>
      <c r="H175" s="73">
        <f t="shared" si="15"/>
        <v>8.3026645273034785E-2</v>
      </c>
      <c r="I175" s="61"/>
    </row>
    <row r="176" spans="1:9" x14ac:dyDescent="0.25">
      <c r="A176" s="70">
        <v>43084</v>
      </c>
      <c r="B176" s="71">
        <f t="shared" si="16"/>
        <v>174</v>
      </c>
      <c r="C176" s="72">
        <f t="shared" si="17"/>
        <v>169.29094943394057</v>
      </c>
      <c r="D176" s="72">
        <v>160</v>
      </c>
      <c r="E176" s="80">
        <f t="shared" si="12"/>
        <v>9.2909494339405683</v>
      </c>
      <c r="F176" s="72">
        <f t="shared" si="13"/>
        <v>2200.7823426412274</v>
      </c>
      <c r="G176" s="80">
        <f t="shared" si="14"/>
        <v>288.01943245215762</v>
      </c>
      <c r="H176" s="73">
        <f t="shared" si="15"/>
        <v>8.229126641490217E-2</v>
      </c>
      <c r="I176" s="61"/>
    </row>
    <row r="177" spans="1:9" x14ac:dyDescent="0.25">
      <c r="A177" s="70">
        <v>43084</v>
      </c>
      <c r="B177" s="71">
        <f t="shared" si="16"/>
        <v>175</v>
      </c>
      <c r="C177" s="72">
        <f t="shared" si="17"/>
        <v>169.20865816752567</v>
      </c>
      <c r="D177" s="72">
        <v>160</v>
      </c>
      <c r="E177" s="80">
        <f t="shared" si="12"/>
        <v>9.2086581675256696</v>
      </c>
      <c r="F177" s="72">
        <f t="shared" si="13"/>
        <v>2199.7125561778339</v>
      </c>
      <c r="G177" s="80">
        <f t="shared" si="14"/>
        <v>285.46840319329579</v>
      </c>
      <c r="H177" s="73">
        <f t="shared" si="15"/>
        <v>8.1562400912370228E-2</v>
      </c>
      <c r="I177" s="61"/>
    </row>
    <row r="178" spans="1:9" x14ac:dyDescent="0.25">
      <c r="A178" s="70">
        <v>43084</v>
      </c>
      <c r="B178" s="71">
        <f t="shared" si="16"/>
        <v>176</v>
      </c>
      <c r="C178" s="72">
        <f t="shared" si="17"/>
        <v>169.12709576661331</v>
      </c>
      <c r="D178" s="72">
        <v>160</v>
      </c>
      <c r="E178" s="80">
        <f t="shared" si="12"/>
        <v>9.1270957666133086</v>
      </c>
      <c r="F178" s="72">
        <f t="shared" si="13"/>
        <v>2198.6522449659728</v>
      </c>
      <c r="G178" s="80">
        <f t="shared" si="14"/>
        <v>282.93996876501257</v>
      </c>
      <c r="H178" s="73">
        <f t="shared" si="15"/>
        <v>8.0839991075717876E-2</v>
      </c>
      <c r="I178" s="61"/>
    </row>
    <row r="179" spans="1:9" x14ac:dyDescent="0.25">
      <c r="A179" s="70">
        <v>43084</v>
      </c>
      <c r="B179" s="71">
        <f t="shared" si="16"/>
        <v>177</v>
      </c>
      <c r="C179" s="72">
        <f t="shared" si="17"/>
        <v>169.04625577553759</v>
      </c>
      <c r="D179" s="72">
        <v>160</v>
      </c>
      <c r="E179" s="80">
        <f t="shared" si="12"/>
        <v>9.0462557755375883</v>
      </c>
      <c r="F179" s="72">
        <f t="shared" si="13"/>
        <v>2197.6013250819888</v>
      </c>
      <c r="G179" s="80">
        <f t="shared" si="14"/>
        <v>280.43392904166524</v>
      </c>
      <c r="H179" s="73">
        <f t="shared" si="15"/>
        <v>8.0123979726190064E-2</v>
      </c>
      <c r="I179" s="61"/>
    </row>
    <row r="180" spans="1:9" x14ac:dyDescent="0.25">
      <c r="A180" s="70">
        <v>43084</v>
      </c>
      <c r="B180" s="71">
        <f t="shared" si="16"/>
        <v>178</v>
      </c>
      <c r="C180" s="72">
        <f t="shared" si="17"/>
        <v>168.96613179581141</v>
      </c>
      <c r="D180" s="72">
        <v>160</v>
      </c>
      <c r="E180" s="80">
        <f t="shared" si="12"/>
        <v>8.9661317958114068</v>
      </c>
      <c r="F180" s="72">
        <f t="shared" si="13"/>
        <v>2196.5597133455485</v>
      </c>
      <c r="G180" s="80">
        <f t="shared" si="14"/>
        <v>277.95008567015361</v>
      </c>
      <c r="H180" s="73">
        <f t="shared" si="15"/>
        <v>7.9414310191472465E-2</v>
      </c>
      <c r="I180" s="61"/>
    </row>
    <row r="181" spans="1:9" x14ac:dyDescent="0.25">
      <c r="A181" s="70">
        <v>43084</v>
      </c>
      <c r="B181" s="71">
        <f t="shared" si="16"/>
        <v>179</v>
      </c>
      <c r="C181" s="72">
        <f t="shared" si="17"/>
        <v>168.88671748561993</v>
      </c>
      <c r="D181" s="72">
        <v>160</v>
      </c>
      <c r="E181" s="80">
        <f t="shared" si="12"/>
        <v>8.8867174856199256</v>
      </c>
      <c r="F181" s="72">
        <f t="shared" si="13"/>
        <v>2195.5273273130592</v>
      </c>
      <c r="G181" s="80">
        <f t="shared" si="14"/>
        <v>275.48824205421772</v>
      </c>
      <c r="H181" s="73">
        <f t="shared" si="15"/>
        <v>7.8710926301205061E-2</v>
      </c>
      <c r="I181" s="61"/>
    </row>
    <row r="182" spans="1:9" x14ac:dyDescent="0.25">
      <c r="A182" s="70">
        <v>43084</v>
      </c>
      <c r="B182" s="71">
        <f t="shared" si="16"/>
        <v>180</v>
      </c>
      <c r="C182" s="72">
        <f t="shared" si="17"/>
        <v>168.80800655931873</v>
      </c>
      <c r="D182" s="72">
        <v>160</v>
      </c>
      <c r="E182" s="80">
        <f t="shared" si="12"/>
        <v>8.8080065593187271</v>
      </c>
      <c r="F182" s="72">
        <f t="shared" si="13"/>
        <v>2194.5040852711436</v>
      </c>
      <c r="G182" s="80">
        <f t="shared" si="14"/>
        <v>273.04820333888051</v>
      </c>
      <c r="H182" s="73">
        <f t="shared" si="15"/>
        <v>7.8013772382537289E-2</v>
      </c>
      <c r="I182" s="61"/>
    </row>
    <row r="183" spans="1:9" x14ac:dyDescent="0.25">
      <c r="A183" s="70">
        <v>43084</v>
      </c>
      <c r="B183" s="71">
        <f t="shared" si="16"/>
        <v>181</v>
      </c>
      <c r="C183" s="72">
        <f t="shared" si="17"/>
        <v>168.72999278693618</v>
      </c>
      <c r="D183" s="72">
        <v>160</v>
      </c>
      <c r="E183" s="80">
        <f t="shared" si="12"/>
        <v>8.7299927869361795</v>
      </c>
      <c r="F183" s="72">
        <f t="shared" si="13"/>
        <v>2193.4899062301702</v>
      </c>
      <c r="G183" s="80">
        <f t="shared" si="14"/>
        <v>270.62977639502157</v>
      </c>
      <c r="H183" s="73">
        <f t="shared" si="15"/>
        <v>7.7322793255720446E-2</v>
      </c>
      <c r="I183" s="61"/>
    </row>
    <row r="184" spans="1:9" x14ac:dyDescent="0.25">
      <c r="A184" s="70">
        <v>43084</v>
      </c>
      <c r="B184" s="71">
        <f t="shared" si="16"/>
        <v>182</v>
      </c>
      <c r="C184" s="72">
        <f t="shared" si="17"/>
        <v>168.65266999368046</v>
      </c>
      <c r="D184" s="72">
        <v>160</v>
      </c>
      <c r="E184" s="80">
        <f t="shared" si="12"/>
        <v>8.6526699936804619</v>
      </c>
      <c r="F184" s="72">
        <f t="shared" si="13"/>
        <v>2192.484709917846</v>
      </c>
      <c r="G184" s="80">
        <f t="shared" si="14"/>
        <v>268.23276980409435</v>
      </c>
      <c r="H184" s="73">
        <f t="shared" si="15"/>
        <v>7.6637934229741245E-2</v>
      </c>
      <c r="I184" s="61"/>
    </row>
    <row r="185" spans="1:9" x14ac:dyDescent="0.25">
      <c r="A185" s="70">
        <v>43084</v>
      </c>
      <c r="B185" s="71">
        <f t="shared" si="16"/>
        <v>183</v>
      </c>
      <c r="C185" s="72">
        <f t="shared" si="17"/>
        <v>168.57603205945071</v>
      </c>
      <c r="D185" s="72">
        <v>160</v>
      </c>
      <c r="E185" s="80">
        <f t="shared" si="12"/>
        <v>8.5760320594507107</v>
      </c>
      <c r="F185" s="72">
        <f t="shared" si="13"/>
        <v>2191.4884167728592</v>
      </c>
      <c r="G185" s="80">
        <f t="shared" si="14"/>
        <v>265.85699384297203</v>
      </c>
      <c r="H185" s="73">
        <f t="shared" si="15"/>
        <v>7.5959141097992011E-2</v>
      </c>
      <c r="I185" s="61"/>
    </row>
    <row r="186" spans="1:9" x14ac:dyDescent="0.25">
      <c r="A186" s="70">
        <v>43084</v>
      </c>
      <c r="B186" s="71">
        <f t="shared" si="16"/>
        <v>184</v>
      </c>
      <c r="C186" s="72">
        <f t="shared" si="17"/>
        <v>168.50007291835271</v>
      </c>
      <c r="D186" s="72">
        <v>160</v>
      </c>
      <c r="E186" s="80">
        <f t="shared" si="12"/>
        <v>8.5000729183527142</v>
      </c>
      <c r="F186" s="72">
        <f t="shared" si="13"/>
        <v>2190.5009479385853</v>
      </c>
      <c r="G186" s="80">
        <f t="shared" si="14"/>
        <v>263.50226046893414</v>
      </c>
      <c r="H186" s="73">
        <f t="shared" si="15"/>
        <v>7.5286360133981184E-2</v>
      </c>
      <c r="I186" s="61"/>
    </row>
    <row r="187" spans="1:9" x14ac:dyDescent="0.25">
      <c r="A187" s="70">
        <v>43084</v>
      </c>
      <c r="B187" s="71">
        <f t="shared" si="16"/>
        <v>185</v>
      </c>
      <c r="C187" s="72">
        <f t="shared" si="17"/>
        <v>168.42478655821873</v>
      </c>
      <c r="D187" s="72">
        <v>160</v>
      </c>
      <c r="E187" s="80">
        <f t="shared" si="12"/>
        <v>8.4247865582187274</v>
      </c>
      <c r="F187" s="72">
        <f t="shared" si="13"/>
        <v>2189.5222252568433</v>
      </c>
      <c r="G187" s="80">
        <f t="shared" si="14"/>
        <v>261.16838330478055</v>
      </c>
      <c r="H187" s="73">
        <f t="shared" si="15"/>
        <v>7.4619538087080162E-2</v>
      </c>
      <c r="I187" s="61"/>
    </row>
    <row r="188" spans="1:9" x14ac:dyDescent="0.25">
      <c r="A188" s="70">
        <v>43084</v>
      </c>
      <c r="B188" s="71">
        <f t="shared" si="16"/>
        <v>186</v>
      </c>
      <c r="C188" s="72">
        <f t="shared" si="17"/>
        <v>168.35016702013164</v>
      </c>
      <c r="D188" s="72">
        <v>160</v>
      </c>
      <c r="E188" s="80">
        <f t="shared" si="12"/>
        <v>8.3501670201316358</v>
      </c>
      <c r="F188" s="72">
        <f t="shared" si="13"/>
        <v>2188.5521712617115</v>
      </c>
      <c r="G188" s="80">
        <f t="shared" si="14"/>
        <v>258.85517762408074</v>
      </c>
      <c r="H188" s="73">
        <f t="shared" si="15"/>
        <v>7.3958622178308786E-2</v>
      </c>
      <c r="I188" s="61"/>
    </row>
    <row r="189" spans="1:9" x14ac:dyDescent="0.25">
      <c r="A189" s="70">
        <v>43084</v>
      </c>
      <c r="B189" s="71">
        <f t="shared" si="16"/>
        <v>187</v>
      </c>
      <c r="C189" s="72">
        <f t="shared" si="17"/>
        <v>168.27620839795333</v>
      </c>
      <c r="D189" s="72">
        <v>160</v>
      </c>
      <c r="E189" s="80">
        <f t="shared" si="12"/>
        <v>8.2762083979533259</v>
      </c>
      <c r="F189" s="72">
        <f t="shared" si="13"/>
        <v>2187.5907091733934</v>
      </c>
      <c r="G189" s="80">
        <f t="shared" si="14"/>
        <v>256.5624603365531</v>
      </c>
      <c r="H189" s="73">
        <f t="shared" si="15"/>
        <v>7.330356009615803E-2</v>
      </c>
      <c r="I189" s="61"/>
    </row>
    <row r="190" spans="1:9" x14ac:dyDescent="0.25">
      <c r="A190" s="70">
        <v>43084</v>
      </c>
      <c r="B190" s="71">
        <f t="shared" si="16"/>
        <v>188</v>
      </c>
      <c r="C190" s="72">
        <f t="shared" si="17"/>
        <v>168.20290483785718</v>
      </c>
      <c r="D190" s="72">
        <v>160</v>
      </c>
      <c r="E190" s="80">
        <f t="shared" si="12"/>
        <v>8.2029048378571758</v>
      </c>
      <c r="F190" s="72">
        <f t="shared" si="13"/>
        <v>2186.6377628921432</v>
      </c>
      <c r="G190" s="80">
        <f t="shared" si="14"/>
        <v>254.29004997357245</v>
      </c>
      <c r="H190" s="73">
        <f t="shared" si="15"/>
        <v>7.2654299992449267E-2</v>
      </c>
      <c r="I190" s="61"/>
    </row>
    <row r="191" spans="1:9" x14ac:dyDescent="0.25">
      <c r="A191" s="70">
        <v>43084</v>
      </c>
      <c r="B191" s="71">
        <f t="shared" si="16"/>
        <v>189</v>
      </c>
      <c r="C191" s="72">
        <f t="shared" si="17"/>
        <v>168.13025053786473</v>
      </c>
      <c r="D191" s="72">
        <v>160</v>
      </c>
      <c r="E191" s="80">
        <f t="shared" si="12"/>
        <v>8.1302505378647254</v>
      </c>
      <c r="F191" s="72">
        <f t="shared" si="13"/>
        <v>2185.6932569922415</v>
      </c>
      <c r="G191" s="80">
        <f t="shared" si="14"/>
        <v>252.03776667380649</v>
      </c>
      <c r="H191" s="73">
        <f t="shared" si="15"/>
        <v>7.2010790478230419E-2</v>
      </c>
      <c r="I191" s="61"/>
    </row>
    <row r="192" spans="1:9" x14ac:dyDescent="0.25">
      <c r="A192" s="70">
        <v>43084</v>
      </c>
      <c r="B192" s="71">
        <f t="shared" si="16"/>
        <v>190</v>
      </c>
      <c r="C192" s="72">
        <f t="shared" si="17"/>
        <v>168.05823974738649</v>
      </c>
      <c r="D192" s="72">
        <v>160</v>
      </c>
      <c r="E192" s="80">
        <f t="shared" si="12"/>
        <v>8.0582397473864944</v>
      </c>
      <c r="F192" s="72">
        <f t="shared" si="13"/>
        <v>2184.7571167160245</v>
      </c>
      <c r="G192" s="80">
        <f t="shared" si="14"/>
        <v>249.80543216898133</v>
      </c>
      <c r="H192" s="73">
        <f t="shared" si="15"/>
        <v>7.1372980619708953E-2</v>
      </c>
      <c r="I192" s="61"/>
    </row>
    <row r="193" spans="1:9" x14ac:dyDescent="0.25">
      <c r="A193" s="70">
        <v>43084</v>
      </c>
      <c r="B193" s="71">
        <f t="shared" si="16"/>
        <v>191</v>
      </c>
      <c r="C193" s="72">
        <f t="shared" si="17"/>
        <v>167.98686676676678</v>
      </c>
      <c r="D193" s="72">
        <v>160</v>
      </c>
      <c r="E193" s="80">
        <f t="shared" si="12"/>
        <v>7.9868667667667808</v>
      </c>
      <c r="F193" s="72">
        <f t="shared" si="13"/>
        <v>2183.829267967968</v>
      </c>
      <c r="G193" s="80">
        <f t="shared" si="14"/>
        <v>247.5928697697702</v>
      </c>
      <c r="H193" s="73">
        <f t="shared" si="15"/>
        <v>7.0740819934220059E-2</v>
      </c>
      <c r="I193" s="61"/>
    </row>
    <row r="194" spans="1:9" x14ac:dyDescent="0.25">
      <c r="A194" s="70">
        <v>43084</v>
      </c>
      <c r="B194" s="71">
        <f t="shared" si="16"/>
        <v>192</v>
      </c>
      <c r="C194" s="72">
        <f t="shared" si="17"/>
        <v>167.91612594683255</v>
      </c>
      <c r="D194" s="72">
        <v>160</v>
      </c>
      <c r="E194" s="80">
        <f t="shared" si="12"/>
        <v>7.9161259468325511</v>
      </c>
      <c r="F194" s="72">
        <f t="shared" si="13"/>
        <v>2182.9096373088232</v>
      </c>
      <c r="G194" s="80">
        <f t="shared" si="14"/>
        <v>245.39990435180908</v>
      </c>
      <c r="H194" s="73">
        <f t="shared" si="15"/>
        <v>7.0114258386231171E-2</v>
      </c>
      <c r="I194" s="61"/>
    </row>
    <row r="195" spans="1:9" x14ac:dyDescent="0.25">
      <c r="A195" s="70">
        <v>43084</v>
      </c>
      <c r="B195" s="71">
        <f t="shared" si="16"/>
        <v>193</v>
      </c>
      <c r="C195" s="72">
        <f t="shared" si="17"/>
        <v>167.84601168844631</v>
      </c>
      <c r="D195" s="72">
        <v>160</v>
      </c>
      <c r="E195" s="80">
        <f t="shared" ref="E195:E258" si="18">C195-D195</f>
        <v>7.8460116884463105</v>
      </c>
      <c r="F195" s="72">
        <f t="shared" ref="F195:F258" si="19">13*C195</f>
        <v>2181.9981519498019</v>
      </c>
      <c r="G195" s="80">
        <f t="shared" ref="G195:G258" si="20">E195*31</f>
        <v>243.22636234183562</v>
      </c>
      <c r="H195" s="73">
        <f t="shared" ref="H195:H258" si="21">MIN($G195/3500,$F195/3500)</f>
        <v>6.9493246383381613E-2</v>
      </c>
      <c r="I195" s="61"/>
    </row>
    <row r="196" spans="1:9" x14ac:dyDescent="0.25">
      <c r="A196" s="70">
        <v>43084</v>
      </c>
      <c r="B196" s="71">
        <f t="shared" ref="B196:B259" si="22">B195+1</f>
        <v>194</v>
      </c>
      <c r="C196" s="72">
        <f t="shared" ref="C196:C259" si="23">C195-H195</f>
        <v>167.77651844206292</v>
      </c>
      <c r="D196" s="72">
        <v>160</v>
      </c>
      <c r="E196" s="80">
        <f t="shared" si="18"/>
        <v>7.7765184420629225</v>
      </c>
      <c r="F196" s="72">
        <f t="shared" si="19"/>
        <v>2181.094739746818</v>
      </c>
      <c r="G196" s="80">
        <f t="shared" si="20"/>
        <v>241.0720717039506</v>
      </c>
      <c r="H196" s="73">
        <f t="shared" si="21"/>
        <v>6.887773477255732E-2</v>
      </c>
      <c r="I196" s="61"/>
    </row>
    <row r="197" spans="1:9" x14ac:dyDescent="0.25">
      <c r="A197" s="70">
        <v>43084</v>
      </c>
      <c r="B197" s="71">
        <f t="shared" si="22"/>
        <v>195</v>
      </c>
      <c r="C197" s="72">
        <f t="shared" si="23"/>
        <v>167.70764070729035</v>
      </c>
      <c r="D197" s="72">
        <v>160</v>
      </c>
      <c r="E197" s="80">
        <f t="shared" si="18"/>
        <v>7.7076407072903521</v>
      </c>
      <c r="F197" s="72">
        <f t="shared" si="19"/>
        <v>2180.1993291947747</v>
      </c>
      <c r="G197" s="80">
        <f t="shared" si="20"/>
        <v>238.93686192600092</v>
      </c>
      <c r="H197" s="73">
        <f t="shared" si="21"/>
        <v>6.8267674836000256E-2</v>
      </c>
      <c r="I197" s="61"/>
    </row>
    <row r="198" spans="1:9" x14ac:dyDescent="0.25">
      <c r="A198" s="70">
        <v>43084</v>
      </c>
      <c r="B198" s="71">
        <f t="shared" si="22"/>
        <v>196</v>
      </c>
      <c r="C198" s="72">
        <f t="shared" si="23"/>
        <v>167.63937303245436</v>
      </c>
      <c r="D198" s="72">
        <v>160</v>
      </c>
      <c r="E198" s="80">
        <f t="shared" si="18"/>
        <v>7.6393730324543583</v>
      </c>
      <c r="F198" s="72">
        <f t="shared" si="19"/>
        <v>2179.3118494219066</v>
      </c>
      <c r="G198" s="80">
        <f t="shared" si="20"/>
        <v>236.82056400608511</v>
      </c>
      <c r="H198" s="73">
        <f t="shared" si="21"/>
        <v>6.7663018287452886E-2</v>
      </c>
      <c r="I198" s="61"/>
    </row>
    <row r="199" spans="1:9" x14ac:dyDescent="0.25">
      <c r="A199" s="70">
        <v>43084</v>
      </c>
      <c r="B199" s="71">
        <f t="shared" si="22"/>
        <v>197</v>
      </c>
      <c r="C199" s="72">
        <f t="shared" si="23"/>
        <v>167.57171001416691</v>
      </c>
      <c r="D199" s="72">
        <v>160</v>
      </c>
      <c r="E199" s="80">
        <f t="shared" si="18"/>
        <v>7.5717100141669107</v>
      </c>
      <c r="F199" s="72">
        <f t="shared" si="19"/>
        <v>2178.4322301841698</v>
      </c>
      <c r="G199" s="80">
        <f t="shared" si="20"/>
        <v>234.72301043917423</v>
      </c>
      <c r="H199" s="73">
        <f t="shared" si="21"/>
        <v>6.7063717268335502E-2</v>
      </c>
      <c r="I199" s="61"/>
    </row>
    <row r="200" spans="1:9" x14ac:dyDescent="0.25">
      <c r="A200" s="70">
        <v>43084</v>
      </c>
      <c r="B200" s="71">
        <f t="shared" si="22"/>
        <v>198</v>
      </c>
      <c r="C200" s="72">
        <f t="shared" si="23"/>
        <v>167.50464629689858</v>
      </c>
      <c r="D200" s="72">
        <v>160</v>
      </c>
      <c r="E200" s="80">
        <f t="shared" si="18"/>
        <v>7.504646296898585</v>
      </c>
      <c r="F200" s="72">
        <f t="shared" si="19"/>
        <v>2177.5604018596814</v>
      </c>
      <c r="G200" s="80">
        <f t="shared" si="20"/>
        <v>232.64403520385613</v>
      </c>
      <c r="H200" s="73">
        <f t="shared" si="21"/>
        <v>6.6469724343958897E-2</v>
      </c>
      <c r="I200" s="61"/>
    </row>
    <row r="201" spans="1:9" x14ac:dyDescent="0.25">
      <c r="A201" s="70">
        <v>43084</v>
      </c>
      <c r="B201" s="71">
        <f t="shared" si="22"/>
        <v>199</v>
      </c>
      <c r="C201" s="72">
        <f t="shared" si="23"/>
        <v>167.43817657255462</v>
      </c>
      <c r="D201" s="72">
        <v>160</v>
      </c>
      <c r="E201" s="80">
        <f t="shared" si="18"/>
        <v>7.4381765725546245</v>
      </c>
      <c r="F201" s="72">
        <f t="shared" si="19"/>
        <v>2176.6962954432101</v>
      </c>
      <c r="G201" s="80">
        <f t="shared" si="20"/>
        <v>230.58347374919336</v>
      </c>
      <c r="H201" s="73">
        <f t="shared" si="21"/>
        <v>6.5880992499769531E-2</v>
      </c>
      <c r="I201" s="61"/>
    </row>
    <row r="202" spans="1:9" x14ac:dyDescent="0.25">
      <c r="A202" s="70">
        <v>43084</v>
      </c>
      <c r="B202" s="71">
        <f t="shared" si="22"/>
        <v>200</v>
      </c>
      <c r="C202" s="72">
        <f t="shared" si="23"/>
        <v>167.37229558005487</v>
      </c>
      <c r="D202" s="72">
        <v>160</v>
      </c>
      <c r="E202" s="80">
        <f t="shared" si="18"/>
        <v>7.3722955800548675</v>
      </c>
      <c r="F202" s="72">
        <f t="shared" si="19"/>
        <v>2175.8398425407131</v>
      </c>
      <c r="G202" s="80">
        <f t="shared" si="20"/>
        <v>228.54116298170089</v>
      </c>
      <c r="H202" s="73">
        <f t="shared" si="21"/>
        <v>6.5297475137628833E-2</v>
      </c>
      <c r="I202" s="61"/>
    </row>
    <row r="203" spans="1:9" x14ac:dyDescent="0.25">
      <c r="A203" s="70">
        <v>43084</v>
      </c>
      <c r="B203" s="71">
        <f t="shared" si="22"/>
        <v>201</v>
      </c>
      <c r="C203" s="72">
        <f t="shared" si="23"/>
        <v>167.30699810491723</v>
      </c>
      <c r="D203" s="72">
        <v>160</v>
      </c>
      <c r="E203" s="80">
        <f t="shared" si="18"/>
        <v>7.306998104917227</v>
      </c>
      <c r="F203" s="72">
        <f t="shared" si="19"/>
        <v>2174.990975363924</v>
      </c>
      <c r="G203" s="80">
        <f t="shared" si="20"/>
        <v>226.51694125243404</v>
      </c>
      <c r="H203" s="73">
        <f t="shared" si="21"/>
        <v>6.4719126072124017E-2</v>
      </c>
      <c r="I203" s="61"/>
    </row>
    <row r="204" spans="1:9" x14ac:dyDescent="0.25">
      <c r="A204" s="70">
        <v>43084</v>
      </c>
      <c r="B204" s="71">
        <f t="shared" si="22"/>
        <v>202</v>
      </c>
      <c r="C204" s="72">
        <f t="shared" si="23"/>
        <v>167.24227897884509</v>
      </c>
      <c r="D204" s="72">
        <v>160</v>
      </c>
      <c r="E204" s="80">
        <f t="shared" si="18"/>
        <v>7.2422789788450928</v>
      </c>
      <c r="F204" s="72">
        <f t="shared" si="19"/>
        <v>2174.1496267249863</v>
      </c>
      <c r="G204" s="80">
        <f t="shared" si="20"/>
        <v>224.51064834419788</v>
      </c>
      <c r="H204" s="73">
        <f t="shared" si="21"/>
        <v>6.4145899526913686E-2</v>
      </c>
      <c r="I204" s="61"/>
    </row>
    <row r="205" spans="1:9" x14ac:dyDescent="0.25">
      <c r="A205" s="70">
        <v>43084</v>
      </c>
      <c r="B205" s="71">
        <f t="shared" si="22"/>
        <v>203</v>
      </c>
      <c r="C205" s="72">
        <f t="shared" si="23"/>
        <v>167.17813307931817</v>
      </c>
      <c r="D205" s="72">
        <v>160</v>
      </c>
      <c r="E205" s="80">
        <f t="shared" si="18"/>
        <v>7.1781330793181723</v>
      </c>
      <c r="F205" s="72">
        <f t="shared" si="19"/>
        <v>2173.3157300311364</v>
      </c>
      <c r="G205" s="80">
        <f t="shared" si="20"/>
        <v>222.52212545886334</v>
      </c>
      <c r="H205" s="73">
        <f t="shared" si="21"/>
        <v>6.3577750131103811E-2</v>
      </c>
      <c r="I205" s="61"/>
    </row>
    <row r="206" spans="1:9" x14ac:dyDescent="0.25">
      <c r="A206" s="70">
        <v>43084</v>
      </c>
      <c r="B206" s="71">
        <f t="shared" si="22"/>
        <v>204</v>
      </c>
      <c r="C206" s="72">
        <f t="shared" si="23"/>
        <v>167.11455532918706</v>
      </c>
      <c r="D206" s="72">
        <v>160</v>
      </c>
      <c r="E206" s="80">
        <f t="shared" si="18"/>
        <v>7.1145553291870556</v>
      </c>
      <c r="F206" s="72">
        <f t="shared" si="19"/>
        <v>2172.4892192794318</v>
      </c>
      <c r="G206" s="80">
        <f t="shared" si="20"/>
        <v>220.55121520479872</v>
      </c>
      <c r="H206" s="73">
        <f t="shared" si="21"/>
        <v>6.3014632915656774E-2</v>
      </c>
      <c r="I206" s="61"/>
    </row>
    <row r="207" spans="1:9" x14ac:dyDescent="0.25">
      <c r="A207" s="70">
        <v>43084</v>
      </c>
      <c r="B207" s="71">
        <f t="shared" si="22"/>
        <v>205</v>
      </c>
      <c r="C207" s="72">
        <f t="shared" si="23"/>
        <v>167.05154069627139</v>
      </c>
      <c r="D207" s="72">
        <v>160</v>
      </c>
      <c r="E207" s="80">
        <f t="shared" si="18"/>
        <v>7.0515406962713882</v>
      </c>
      <c r="F207" s="72">
        <f t="shared" si="19"/>
        <v>2171.6700290515282</v>
      </c>
      <c r="G207" s="80">
        <f t="shared" si="20"/>
        <v>218.59776158441304</v>
      </c>
      <c r="H207" s="73">
        <f t="shared" si="21"/>
        <v>6.2456503309832295E-2</v>
      </c>
      <c r="I207" s="61"/>
    </row>
    <row r="208" spans="1:9" x14ac:dyDescent="0.25">
      <c r="A208" s="70">
        <v>43084</v>
      </c>
      <c r="B208" s="71">
        <f t="shared" si="22"/>
        <v>206</v>
      </c>
      <c r="C208" s="72">
        <f t="shared" si="23"/>
        <v>166.98908419296154</v>
      </c>
      <c r="D208" s="72">
        <v>160</v>
      </c>
      <c r="E208" s="80">
        <f t="shared" si="18"/>
        <v>6.9890841929615419</v>
      </c>
      <c r="F208" s="72">
        <f t="shared" si="19"/>
        <v>2170.8580945085</v>
      </c>
      <c r="G208" s="80">
        <f t="shared" si="20"/>
        <v>216.6616099818078</v>
      </c>
      <c r="H208" s="73">
        <f t="shared" si="21"/>
        <v>6.1903317137659369E-2</v>
      </c>
      <c r="I208" s="61"/>
    </row>
    <row r="209" spans="1:9" x14ac:dyDescent="0.25">
      <c r="A209" s="70">
        <v>43084</v>
      </c>
      <c r="B209" s="71">
        <f t="shared" si="22"/>
        <v>207</v>
      </c>
      <c r="C209" s="72">
        <f t="shared" si="23"/>
        <v>166.92718087582389</v>
      </c>
      <c r="D209" s="72">
        <v>160</v>
      </c>
      <c r="E209" s="80">
        <f t="shared" si="18"/>
        <v>6.9271808758238933</v>
      </c>
      <c r="F209" s="72">
        <f t="shared" si="19"/>
        <v>2170.0533513857108</v>
      </c>
      <c r="G209" s="80">
        <f t="shared" si="20"/>
        <v>214.74260715054069</v>
      </c>
      <c r="H209" s="73">
        <f t="shared" si="21"/>
        <v>6.1355030614440198E-2</v>
      </c>
      <c r="I209" s="61"/>
    </row>
    <row r="210" spans="1:9" x14ac:dyDescent="0.25">
      <c r="A210" s="70">
        <v>43084</v>
      </c>
      <c r="B210" s="71">
        <f t="shared" si="22"/>
        <v>208</v>
      </c>
      <c r="C210" s="72">
        <f t="shared" si="23"/>
        <v>166.86582584520946</v>
      </c>
      <c r="D210" s="72">
        <v>160</v>
      </c>
      <c r="E210" s="80">
        <f t="shared" si="18"/>
        <v>6.8658258452094572</v>
      </c>
      <c r="F210" s="72">
        <f t="shared" si="19"/>
        <v>2169.2557359877228</v>
      </c>
      <c r="G210" s="80">
        <f t="shared" si="20"/>
        <v>212.84060120149317</v>
      </c>
      <c r="H210" s="73">
        <f t="shared" si="21"/>
        <v>6.0811600343283763E-2</v>
      </c>
      <c r="I210" s="61"/>
    </row>
    <row r="211" spans="1:9" x14ac:dyDescent="0.25">
      <c r="A211" s="70">
        <v>43084</v>
      </c>
      <c r="B211" s="71">
        <f t="shared" si="22"/>
        <v>209</v>
      </c>
      <c r="C211" s="72">
        <f t="shared" si="23"/>
        <v>166.80501424486619</v>
      </c>
      <c r="D211" s="72">
        <v>160</v>
      </c>
      <c r="E211" s="80">
        <f t="shared" si="18"/>
        <v>6.8050142448661859</v>
      </c>
      <c r="F211" s="72">
        <f t="shared" si="19"/>
        <v>2168.4651851832605</v>
      </c>
      <c r="G211" s="80">
        <f t="shared" si="20"/>
        <v>210.95544159085176</v>
      </c>
      <c r="H211" s="73">
        <f t="shared" si="21"/>
        <v>6.0272983311671934E-2</v>
      </c>
      <c r="I211" s="61"/>
    </row>
    <row r="212" spans="1:9" x14ac:dyDescent="0.25">
      <c r="A212" s="70">
        <v>43084</v>
      </c>
      <c r="B212" s="71">
        <f t="shared" si="22"/>
        <v>210</v>
      </c>
      <c r="C212" s="72">
        <f t="shared" si="23"/>
        <v>166.74474126155451</v>
      </c>
      <c r="D212" s="72">
        <v>160</v>
      </c>
      <c r="E212" s="80">
        <f t="shared" si="18"/>
        <v>6.744741261554509</v>
      </c>
      <c r="F212" s="72">
        <f t="shared" si="19"/>
        <v>2167.6816364002088</v>
      </c>
      <c r="G212" s="80">
        <f t="shared" si="20"/>
        <v>209.08697910818978</v>
      </c>
      <c r="H212" s="73">
        <f t="shared" si="21"/>
        <v>5.9739136888054226E-2</v>
      </c>
      <c r="I212" s="61"/>
    </row>
    <row r="213" spans="1:9" x14ac:dyDescent="0.25">
      <c r="A213" s="70">
        <v>43084</v>
      </c>
      <c r="B213" s="71">
        <f t="shared" si="22"/>
        <v>211</v>
      </c>
      <c r="C213" s="72">
        <f t="shared" si="23"/>
        <v>166.68500212466645</v>
      </c>
      <c r="D213" s="72">
        <v>160</v>
      </c>
      <c r="E213" s="80">
        <f t="shared" si="18"/>
        <v>6.6850021246664539</v>
      </c>
      <c r="F213" s="72">
        <f t="shared" si="19"/>
        <v>2166.905027620664</v>
      </c>
      <c r="G213" s="80">
        <f t="shared" si="20"/>
        <v>207.23506586466007</v>
      </c>
      <c r="H213" s="73">
        <f t="shared" si="21"/>
        <v>5.9210018818474305E-2</v>
      </c>
      <c r="I213" s="61"/>
    </row>
    <row r="214" spans="1:9" x14ac:dyDescent="0.25">
      <c r="A214" s="70">
        <v>43084</v>
      </c>
      <c r="B214" s="71">
        <f t="shared" si="22"/>
        <v>212</v>
      </c>
      <c r="C214" s="72">
        <f t="shared" si="23"/>
        <v>166.62579210584798</v>
      </c>
      <c r="D214" s="72">
        <v>160</v>
      </c>
      <c r="E214" s="80">
        <f t="shared" si="18"/>
        <v>6.6257921058479781</v>
      </c>
      <c r="F214" s="72">
        <f t="shared" si="19"/>
        <v>2166.1352973760236</v>
      </c>
      <c r="G214" s="80">
        <f t="shared" si="20"/>
        <v>205.39955528128732</v>
      </c>
      <c r="H214" s="73">
        <f t="shared" si="21"/>
        <v>5.868558722322495E-2</v>
      </c>
      <c r="I214" s="61"/>
    </row>
    <row r="215" spans="1:9" x14ac:dyDescent="0.25">
      <c r="A215" s="70">
        <v>43084</v>
      </c>
      <c r="B215" s="71">
        <f t="shared" si="22"/>
        <v>213</v>
      </c>
      <c r="C215" s="72">
        <f t="shared" si="23"/>
        <v>166.56710651862474</v>
      </c>
      <c r="D215" s="72">
        <v>160</v>
      </c>
      <c r="E215" s="80">
        <f t="shared" si="18"/>
        <v>6.5671065186247404</v>
      </c>
      <c r="F215" s="72">
        <f t="shared" si="19"/>
        <v>2165.3723847421215</v>
      </c>
      <c r="G215" s="80">
        <f t="shared" si="20"/>
        <v>203.58030207736695</v>
      </c>
      <c r="H215" s="73">
        <f t="shared" si="21"/>
        <v>5.8165800593533414E-2</v>
      </c>
      <c r="I215" s="61"/>
    </row>
    <row r="216" spans="1:9" x14ac:dyDescent="0.25">
      <c r="A216" s="70">
        <v>43084</v>
      </c>
      <c r="B216" s="71">
        <f t="shared" si="22"/>
        <v>214</v>
      </c>
      <c r="C216" s="72">
        <f t="shared" si="23"/>
        <v>166.5089407180312</v>
      </c>
      <c r="D216" s="72">
        <v>160</v>
      </c>
      <c r="E216" s="80">
        <f t="shared" si="18"/>
        <v>6.508940718031198</v>
      </c>
      <c r="F216" s="72">
        <f t="shared" si="19"/>
        <v>2164.6162293344055</v>
      </c>
      <c r="G216" s="80">
        <f t="shared" si="20"/>
        <v>201.77716225896714</v>
      </c>
      <c r="H216" s="73">
        <f t="shared" si="21"/>
        <v>5.7650617788276327E-2</v>
      </c>
      <c r="I216" s="61"/>
    </row>
    <row r="217" spans="1:9" x14ac:dyDescent="0.25">
      <c r="A217" s="70">
        <v>43084</v>
      </c>
      <c r="B217" s="71">
        <f t="shared" si="22"/>
        <v>215</v>
      </c>
      <c r="C217" s="72">
        <f t="shared" si="23"/>
        <v>166.45129010024291</v>
      </c>
      <c r="D217" s="72">
        <v>160</v>
      </c>
      <c r="E217" s="80">
        <f t="shared" si="18"/>
        <v>6.4512901002429146</v>
      </c>
      <c r="F217" s="72">
        <f t="shared" si="19"/>
        <v>2163.8667713031577</v>
      </c>
      <c r="G217" s="80">
        <f t="shared" si="20"/>
        <v>199.98999310753035</v>
      </c>
      <c r="H217" s="73">
        <f t="shared" si="21"/>
        <v>5.7139998030722956E-2</v>
      </c>
      <c r="I217" s="61"/>
    </row>
    <row r="218" spans="1:9" x14ac:dyDescent="0.25">
      <c r="A218" s="70">
        <v>43084</v>
      </c>
      <c r="B218" s="71">
        <f t="shared" si="22"/>
        <v>216</v>
      </c>
      <c r="C218" s="72">
        <f t="shared" si="23"/>
        <v>166.39415010221219</v>
      </c>
      <c r="D218" s="72">
        <v>160</v>
      </c>
      <c r="E218" s="80">
        <f t="shared" si="18"/>
        <v>6.394150102212194</v>
      </c>
      <c r="F218" s="72">
        <f t="shared" si="19"/>
        <v>2163.1239513287587</v>
      </c>
      <c r="G218" s="80">
        <f t="shared" si="20"/>
        <v>198.21865316857802</v>
      </c>
      <c r="H218" s="73">
        <f t="shared" si="21"/>
        <v>5.6633900905308003E-2</v>
      </c>
      <c r="I218" s="61"/>
    </row>
    <row r="219" spans="1:9" x14ac:dyDescent="0.25">
      <c r="A219" s="70">
        <v>43084</v>
      </c>
      <c r="B219" s="71">
        <f t="shared" si="22"/>
        <v>217</v>
      </c>
      <c r="C219" s="72">
        <f t="shared" si="23"/>
        <v>166.3375162013069</v>
      </c>
      <c r="D219" s="72">
        <v>160</v>
      </c>
      <c r="E219" s="80">
        <f t="shared" si="18"/>
        <v>6.3375162013068973</v>
      </c>
      <c r="F219" s="72">
        <f t="shared" si="19"/>
        <v>2162.3877106169898</v>
      </c>
      <c r="G219" s="80">
        <f t="shared" si="20"/>
        <v>196.46300224051382</v>
      </c>
      <c r="H219" s="73">
        <f t="shared" si="21"/>
        <v>5.6132286354432522E-2</v>
      </c>
      <c r="I219" s="61"/>
    </row>
    <row r="220" spans="1:9" x14ac:dyDescent="0.25">
      <c r="A220" s="70">
        <v>43084</v>
      </c>
      <c r="B220" s="71">
        <f t="shared" si="22"/>
        <v>218</v>
      </c>
      <c r="C220" s="72">
        <f t="shared" si="23"/>
        <v>166.28138391495247</v>
      </c>
      <c r="D220" s="72">
        <v>160</v>
      </c>
      <c r="E220" s="80">
        <f t="shared" si="18"/>
        <v>6.2813839149524711</v>
      </c>
      <c r="F220" s="72">
        <f t="shared" si="19"/>
        <v>2161.6579908943822</v>
      </c>
      <c r="G220" s="80">
        <f t="shared" si="20"/>
        <v>194.7229013635266</v>
      </c>
      <c r="H220" s="73">
        <f t="shared" si="21"/>
        <v>5.5635114675293314E-2</v>
      </c>
      <c r="I220" s="61"/>
    </row>
    <row r="221" spans="1:9" x14ac:dyDescent="0.25">
      <c r="A221" s="70">
        <v>43084</v>
      </c>
      <c r="B221" s="71">
        <f t="shared" si="22"/>
        <v>219</v>
      </c>
      <c r="C221" s="72">
        <f t="shared" si="23"/>
        <v>166.22574880027719</v>
      </c>
      <c r="D221" s="72">
        <v>160</v>
      </c>
      <c r="E221" s="80">
        <f t="shared" si="18"/>
        <v>6.2257488002771879</v>
      </c>
      <c r="F221" s="72">
        <f t="shared" si="19"/>
        <v>2160.9347344036032</v>
      </c>
      <c r="G221" s="80">
        <f t="shared" si="20"/>
        <v>192.99821280859283</v>
      </c>
      <c r="H221" s="73">
        <f t="shared" si="21"/>
        <v>5.5142346516740805E-2</v>
      </c>
      <c r="I221" s="61"/>
    </row>
    <row r="222" spans="1:9" x14ac:dyDescent="0.25">
      <c r="A222" s="70">
        <v>43084</v>
      </c>
      <c r="B222" s="71">
        <f t="shared" si="22"/>
        <v>220</v>
      </c>
      <c r="C222" s="72">
        <f t="shared" si="23"/>
        <v>166.17060645376046</v>
      </c>
      <c r="D222" s="72">
        <v>160</v>
      </c>
      <c r="E222" s="80">
        <f t="shared" si="18"/>
        <v>6.1706064537604561</v>
      </c>
      <c r="F222" s="72">
        <f t="shared" si="19"/>
        <v>2160.2178838988857</v>
      </c>
      <c r="G222" s="80">
        <f t="shared" si="20"/>
        <v>191.28880006657414</v>
      </c>
      <c r="H222" s="73">
        <f t="shared" si="21"/>
        <v>5.4653942876164041E-2</v>
      </c>
      <c r="I222" s="61"/>
    </row>
    <row r="223" spans="1:9" x14ac:dyDescent="0.25">
      <c r="A223" s="70">
        <v>43084</v>
      </c>
      <c r="B223" s="71">
        <f t="shared" si="22"/>
        <v>221</v>
      </c>
      <c r="C223" s="72">
        <f t="shared" si="23"/>
        <v>166.11595251088428</v>
      </c>
      <c r="D223" s="72">
        <v>160</v>
      </c>
      <c r="E223" s="80">
        <f t="shared" si="18"/>
        <v>6.1159525108842843</v>
      </c>
      <c r="F223" s="72">
        <f t="shared" si="19"/>
        <v>2159.5073826414955</v>
      </c>
      <c r="G223" s="80">
        <f t="shared" si="20"/>
        <v>189.59452783741281</v>
      </c>
      <c r="H223" s="73">
        <f t="shared" si="21"/>
        <v>5.416986509640366E-2</v>
      </c>
      <c r="I223" s="61"/>
    </row>
    <row r="224" spans="1:9" x14ac:dyDescent="0.25">
      <c r="A224" s="70">
        <v>43084</v>
      </c>
      <c r="B224" s="71">
        <f t="shared" si="22"/>
        <v>222</v>
      </c>
      <c r="C224" s="72">
        <f t="shared" si="23"/>
        <v>166.06178264578787</v>
      </c>
      <c r="D224" s="72">
        <v>160</v>
      </c>
      <c r="E224" s="80">
        <f t="shared" si="18"/>
        <v>6.0617826457878721</v>
      </c>
      <c r="F224" s="72">
        <f t="shared" si="19"/>
        <v>2158.8031743952424</v>
      </c>
      <c r="G224" s="80">
        <f t="shared" si="20"/>
        <v>187.91526201942403</v>
      </c>
      <c r="H224" s="73">
        <f t="shared" si="21"/>
        <v>5.3690074862692581E-2</v>
      </c>
      <c r="I224" s="61"/>
    </row>
    <row r="225" spans="1:9" x14ac:dyDescent="0.25">
      <c r="A225" s="70">
        <v>43084</v>
      </c>
      <c r="B225" s="71">
        <f t="shared" si="22"/>
        <v>223</v>
      </c>
      <c r="C225" s="72">
        <f t="shared" si="23"/>
        <v>166.00809257092519</v>
      </c>
      <c r="D225" s="72">
        <v>160</v>
      </c>
      <c r="E225" s="80">
        <f t="shared" si="18"/>
        <v>6.0080925709251858</v>
      </c>
      <c r="F225" s="72">
        <f t="shared" si="19"/>
        <v>2158.1052034220274</v>
      </c>
      <c r="G225" s="80">
        <f t="shared" si="20"/>
        <v>186.25086969868076</v>
      </c>
      <c r="H225" s="73">
        <f t="shared" si="21"/>
        <v>5.3214534199623076E-2</v>
      </c>
      <c r="I225" s="61"/>
    </row>
    <row r="226" spans="1:9" x14ac:dyDescent="0.25">
      <c r="A226" s="70">
        <v>43084</v>
      </c>
      <c r="B226" s="71">
        <f t="shared" si="22"/>
        <v>224</v>
      </c>
      <c r="C226" s="72">
        <f t="shared" si="23"/>
        <v>165.95487803672557</v>
      </c>
      <c r="D226" s="72">
        <v>160</v>
      </c>
      <c r="E226" s="80">
        <f t="shared" si="18"/>
        <v>5.9548780367255745</v>
      </c>
      <c r="F226" s="72">
        <f t="shared" si="19"/>
        <v>2157.4134144774325</v>
      </c>
      <c r="G226" s="80">
        <f t="shared" si="20"/>
        <v>184.60121913849281</v>
      </c>
      <c r="H226" s="73">
        <f t="shared" si="21"/>
        <v>5.2743205468140805E-2</v>
      </c>
      <c r="I226" s="61"/>
    </row>
    <row r="227" spans="1:9" x14ac:dyDescent="0.25">
      <c r="A227" s="70">
        <v>43084</v>
      </c>
      <c r="B227" s="71">
        <f t="shared" si="22"/>
        <v>225</v>
      </c>
      <c r="C227" s="72">
        <f t="shared" si="23"/>
        <v>165.90213483125743</v>
      </c>
      <c r="D227" s="72">
        <v>160</v>
      </c>
      <c r="E227" s="80">
        <f t="shared" si="18"/>
        <v>5.9021348312574275</v>
      </c>
      <c r="F227" s="72">
        <f t="shared" si="19"/>
        <v>2156.7277528063464</v>
      </c>
      <c r="G227" s="80">
        <f t="shared" si="20"/>
        <v>182.96617976898025</v>
      </c>
      <c r="H227" s="73">
        <f t="shared" si="21"/>
        <v>5.2276051362565787E-2</v>
      </c>
      <c r="I227" s="61"/>
    </row>
    <row r="228" spans="1:9" x14ac:dyDescent="0.25">
      <c r="A228" s="70">
        <v>43084</v>
      </c>
      <c r="B228" s="71">
        <f t="shared" si="22"/>
        <v>226</v>
      </c>
      <c r="C228" s="72">
        <f t="shared" si="23"/>
        <v>165.84985877989487</v>
      </c>
      <c r="D228" s="72">
        <v>160</v>
      </c>
      <c r="E228" s="80">
        <f t="shared" si="18"/>
        <v>5.8498587798948734</v>
      </c>
      <c r="F228" s="72">
        <f t="shared" si="19"/>
        <v>2156.0481641386332</v>
      </c>
      <c r="G228" s="80">
        <f t="shared" si="20"/>
        <v>181.34562217674107</v>
      </c>
      <c r="H228" s="73">
        <f t="shared" si="21"/>
        <v>5.1813034907640304E-2</v>
      </c>
      <c r="I228" s="61"/>
    </row>
    <row r="229" spans="1:9" x14ac:dyDescent="0.25">
      <c r="A229" s="70">
        <v>43084</v>
      </c>
      <c r="B229" s="71">
        <f t="shared" si="22"/>
        <v>227</v>
      </c>
      <c r="C229" s="72">
        <f t="shared" si="23"/>
        <v>165.79804574498723</v>
      </c>
      <c r="D229" s="72">
        <v>160</v>
      </c>
      <c r="E229" s="80">
        <f t="shared" si="18"/>
        <v>5.7980457449872347</v>
      </c>
      <c r="F229" s="72">
        <f t="shared" si="19"/>
        <v>2155.3745946848339</v>
      </c>
      <c r="G229" s="80">
        <f t="shared" si="20"/>
        <v>179.73941809460428</v>
      </c>
      <c r="H229" s="73">
        <f t="shared" si="21"/>
        <v>5.135411945560122E-2</v>
      </c>
      <c r="I229" s="61"/>
    </row>
    <row r="230" spans="1:9" x14ac:dyDescent="0.25">
      <c r="A230" s="70">
        <v>43084</v>
      </c>
      <c r="B230" s="71">
        <f t="shared" si="22"/>
        <v>228</v>
      </c>
      <c r="C230" s="72">
        <f t="shared" si="23"/>
        <v>165.74669162553164</v>
      </c>
      <c r="D230" s="72">
        <v>160</v>
      </c>
      <c r="E230" s="80">
        <f t="shared" si="18"/>
        <v>5.7466916255316391</v>
      </c>
      <c r="F230" s="72">
        <f t="shared" si="19"/>
        <v>2154.7069911319113</v>
      </c>
      <c r="G230" s="80">
        <f t="shared" si="20"/>
        <v>178.14744039148081</v>
      </c>
      <c r="H230" s="73">
        <f t="shared" si="21"/>
        <v>5.0899268683280235E-2</v>
      </c>
      <c r="I230" s="61"/>
    </row>
    <row r="231" spans="1:9" x14ac:dyDescent="0.25">
      <c r="A231" s="70">
        <v>43084</v>
      </c>
      <c r="B231" s="71">
        <f t="shared" si="22"/>
        <v>229</v>
      </c>
      <c r="C231" s="72">
        <f t="shared" si="23"/>
        <v>165.69579235684836</v>
      </c>
      <c r="D231" s="72">
        <v>160</v>
      </c>
      <c r="E231" s="80">
        <f t="shared" si="18"/>
        <v>5.6957923568483579</v>
      </c>
      <c r="F231" s="72">
        <f t="shared" si="19"/>
        <v>2154.0453006390285</v>
      </c>
      <c r="G231" s="80">
        <f t="shared" si="20"/>
        <v>176.5695630622991</v>
      </c>
      <c r="H231" s="73">
        <f t="shared" si="21"/>
        <v>5.0448446589228313E-2</v>
      </c>
      <c r="I231" s="61"/>
    </row>
    <row r="232" spans="1:9" x14ac:dyDescent="0.25">
      <c r="A232" s="70">
        <v>43084</v>
      </c>
      <c r="B232" s="71">
        <f t="shared" si="22"/>
        <v>230</v>
      </c>
      <c r="C232" s="72">
        <f t="shared" si="23"/>
        <v>165.64534391025913</v>
      </c>
      <c r="D232" s="72">
        <v>160</v>
      </c>
      <c r="E232" s="80">
        <f t="shared" si="18"/>
        <v>5.645343910259129</v>
      </c>
      <c r="F232" s="72">
        <f t="shared" si="19"/>
        <v>2153.3894708333687</v>
      </c>
      <c r="G232" s="80">
        <f t="shared" si="20"/>
        <v>175.005661218033</v>
      </c>
      <c r="H232" s="73">
        <f t="shared" si="21"/>
        <v>5.0001617490866568E-2</v>
      </c>
      <c r="I232" s="61"/>
    </row>
    <row r="233" spans="1:9" x14ac:dyDescent="0.25">
      <c r="A233" s="70">
        <v>43084</v>
      </c>
      <c r="B233" s="71">
        <f t="shared" si="22"/>
        <v>231</v>
      </c>
      <c r="C233" s="72">
        <f t="shared" si="23"/>
        <v>165.59534229276827</v>
      </c>
      <c r="D233" s="72">
        <v>160</v>
      </c>
      <c r="E233" s="80">
        <f t="shared" si="18"/>
        <v>5.5953422927682652</v>
      </c>
      <c r="F233" s="72">
        <f t="shared" si="19"/>
        <v>2152.7394498059875</v>
      </c>
      <c r="G233" s="80">
        <f t="shared" si="20"/>
        <v>173.45561107581622</v>
      </c>
      <c r="H233" s="73">
        <f t="shared" si="21"/>
        <v>4.9558746021661777E-2</v>
      </c>
      <c r="I233" s="61"/>
    </row>
    <row r="234" spans="1:9" x14ac:dyDescent="0.25">
      <c r="A234" s="70">
        <v>43084</v>
      </c>
      <c r="B234" s="71">
        <f t="shared" si="22"/>
        <v>232</v>
      </c>
      <c r="C234" s="72">
        <f t="shared" si="23"/>
        <v>165.54578354674661</v>
      </c>
      <c r="D234" s="72">
        <v>160</v>
      </c>
      <c r="E234" s="80">
        <f t="shared" si="18"/>
        <v>5.5457835467466055</v>
      </c>
      <c r="F234" s="72">
        <f t="shared" si="19"/>
        <v>2152.095186107706</v>
      </c>
      <c r="G234" s="80">
        <f t="shared" si="20"/>
        <v>171.91928994914477</v>
      </c>
      <c r="H234" s="73">
        <f t="shared" si="21"/>
        <v>4.9119797128327078E-2</v>
      </c>
      <c r="I234" s="61"/>
    </row>
    <row r="235" spans="1:9" x14ac:dyDescent="0.25">
      <c r="A235" s="70">
        <v>43084</v>
      </c>
      <c r="B235" s="71">
        <f t="shared" si="22"/>
        <v>233</v>
      </c>
      <c r="C235" s="72">
        <f t="shared" si="23"/>
        <v>165.49666374961828</v>
      </c>
      <c r="D235" s="72">
        <v>160</v>
      </c>
      <c r="E235" s="80">
        <f t="shared" si="18"/>
        <v>5.4966637496182784</v>
      </c>
      <c r="F235" s="72">
        <f t="shared" si="19"/>
        <v>2151.4566287450375</v>
      </c>
      <c r="G235" s="80">
        <f t="shared" si="20"/>
        <v>170.39657623816663</v>
      </c>
      <c r="H235" s="73">
        <f t="shared" si="21"/>
        <v>4.8684736068047609E-2</v>
      </c>
      <c r="I235" s="61"/>
    </row>
    <row r="236" spans="1:9" x14ac:dyDescent="0.25">
      <c r="A236" s="70">
        <v>43084</v>
      </c>
      <c r="B236" s="71">
        <f t="shared" si="22"/>
        <v>234</v>
      </c>
      <c r="C236" s="72">
        <f t="shared" si="23"/>
        <v>165.44797901355022</v>
      </c>
      <c r="D236" s="72">
        <v>160</v>
      </c>
      <c r="E236" s="80">
        <f t="shared" si="18"/>
        <v>5.4479790135502242</v>
      </c>
      <c r="F236" s="72">
        <f t="shared" si="19"/>
        <v>2150.8237271761527</v>
      </c>
      <c r="G236" s="80">
        <f t="shared" si="20"/>
        <v>168.88734942005695</v>
      </c>
      <c r="H236" s="73">
        <f t="shared" si="21"/>
        <v>4.8253528405730557E-2</v>
      </c>
      <c r="I236" s="61"/>
    </row>
    <row r="237" spans="1:9" x14ac:dyDescent="0.25">
      <c r="A237" s="70">
        <v>43084</v>
      </c>
      <c r="B237" s="71">
        <f t="shared" si="22"/>
        <v>235</v>
      </c>
      <c r="C237" s="72">
        <f t="shared" si="23"/>
        <v>165.3997254851445</v>
      </c>
      <c r="D237" s="72">
        <v>160</v>
      </c>
      <c r="E237" s="80">
        <f t="shared" si="18"/>
        <v>5.3997254851445007</v>
      </c>
      <c r="F237" s="72">
        <f t="shared" si="19"/>
        <v>2150.1964313068784</v>
      </c>
      <c r="G237" s="80">
        <f t="shared" si="20"/>
        <v>167.39149003947952</v>
      </c>
      <c r="H237" s="73">
        <f t="shared" si="21"/>
        <v>4.7826140011279862E-2</v>
      </c>
      <c r="I237" s="61"/>
    </row>
    <row r="238" spans="1:9" x14ac:dyDescent="0.25">
      <c r="A238" s="70">
        <v>43084</v>
      </c>
      <c r="B238" s="71">
        <f t="shared" si="22"/>
        <v>236</v>
      </c>
      <c r="C238" s="72">
        <f t="shared" si="23"/>
        <v>165.35189934513323</v>
      </c>
      <c r="D238" s="72">
        <v>160</v>
      </c>
      <c r="E238" s="80">
        <f t="shared" si="18"/>
        <v>5.3518993451332335</v>
      </c>
      <c r="F238" s="72">
        <f t="shared" si="19"/>
        <v>2149.5746914867323</v>
      </c>
      <c r="G238" s="80">
        <f t="shared" si="20"/>
        <v>165.90887969913024</v>
      </c>
      <c r="H238" s="73">
        <f t="shared" si="21"/>
        <v>4.7402537056894352E-2</v>
      </c>
      <c r="I238" s="61"/>
    </row>
    <row r="239" spans="1:9" x14ac:dyDescent="0.25">
      <c r="A239" s="70">
        <v>43084</v>
      </c>
      <c r="B239" s="71">
        <f t="shared" si="22"/>
        <v>237</v>
      </c>
      <c r="C239" s="72">
        <f t="shared" si="23"/>
        <v>165.30449680807635</v>
      </c>
      <c r="D239" s="72">
        <v>160</v>
      </c>
      <c r="E239" s="80">
        <f t="shared" si="18"/>
        <v>5.304496808076351</v>
      </c>
      <c r="F239" s="72">
        <f t="shared" si="19"/>
        <v>2148.9584585049924</v>
      </c>
      <c r="G239" s="80">
        <f t="shared" si="20"/>
        <v>164.43940105036688</v>
      </c>
      <c r="H239" s="73">
        <f t="shared" si="21"/>
        <v>4.698268601439054E-2</v>
      </c>
      <c r="I239" s="61"/>
    </row>
    <row r="240" spans="1:9" x14ac:dyDescent="0.25">
      <c r="A240" s="70">
        <v>43084</v>
      </c>
      <c r="B240" s="71">
        <f t="shared" si="22"/>
        <v>238</v>
      </c>
      <c r="C240" s="72">
        <f t="shared" si="23"/>
        <v>165.25751412206196</v>
      </c>
      <c r="D240" s="72">
        <v>160</v>
      </c>
      <c r="E240" s="80">
        <f t="shared" si="18"/>
        <v>5.2575141220619628</v>
      </c>
      <c r="F240" s="72">
        <f t="shared" si="19"/>
        <v>2148.3476835868055</v>
      </c>
      <c r="G240" s="80">
        <f t="shared" si="20"/>
        <v>162.98293778392085</v>
      </c>
      <c r="H240" s="73">
        <f t="shared" si="21"/>
        <v>4.656655365254881E-2</v>
      </c>
      <c r="I240" s="61"/>
    </row>
    <row r="241" spans="1:9" x14ac:dyDescent="0.25">
      <c r="A241" s="70">
        <v>43084</v>
      </c>
      <c r="B241" s="71">
        <f t="shared" si="22"/>
        <v>239</v>
      </c>
      <c r="C241" s="72">
        <f t="shared" si="23"/>
        <v>165.21094756840941</v>
      </c>
      <c r="D241" s="72">
        <v>160</v>
      </c>
      <c r="E241" s="80">
        <f t="shared" si="18"/>
        <v>5.2109475684094093</v>
      </c>
      <c r="F241" s="72">
        <f t="shared" si="19"/>
        <v>2147.7423183893225</v>
      </c>
      <c r="G241" s="80">
        <f t="shared" si="20"/>
        <v>161.53937462069169</v>
      </c>
      <c r="H241" s="73">
        <f t="shared" si="21"/>
        <v>4.615410703448334E-2</v>
      </c>
      <c r="I241" s="61"/>
    </row>
    <row r="242" spans="1:9" x14ac:dyDescent="0.25">
      <c r="A242" s="70">
        <v>43084</v>
      </c>
      <c r="B242" s="71">
        <f t="shared" si="22"/>
        <v>240</v>
      </c>
      <c r="C242" s="72">
        <f t="shared" si="23"/>
        <v>165.16479346137493</v>
      </c>
      <c r="D242" s="72">
        <v>160</v>
      </c>
      <c r="E242" s="80">
        <f t="shared" si="18"/>
        <v>5.1647934613749271</v>
      </c>
      <c r="F242" s="72">
        <f t="shared" si="19"/>
        <v>2147.1423149978741</v>
      </c>
      <c r="G242" s="80">
        <f t="shared" si="20"/>
        <v>160.10859730262274</v>
      </c>
      <c r="H242" s="73">
        <f t="shared" si="21"/>
        <v>4.5745313515035066E-2</v>
      </c>
      <c r="I242" s="61"/>
    </row>
    <row r="243" spans="1:9" x14ac:dyDescent="0.25">
      <c r="A243" s="70">
        <v>43084</v>
      </c>
      <c r="B243" s="71">
        <f t="shared" si="22"/>
        <v>241</v>
      </c>
      <c r="C243" s="72">
        <f t="shared" si="23"/>
        <v>165.1190481478599</v>
      </c>
      <c r="D243" s="72">
        <v>160</v>
      </c>
      <c r="E243" s="80">
        <f t="shared" si="18"/>
        <v>5.1190481478598997</v>
      </c>
      <c r="F243" s="72">
        <f t="shared" si="19"/>
        <v>2146.5476259221787</v>
      </c>
      <c r="G243" s="80">
        <f t="shared" si="20"/>
        <v>158.69049258365689</v>
      </c>
      <c r="H243" s="73">
        <f t="shared" si="21"/>
        <v>4.5340140738187686E-2</v>
      </c>
      <c r="I243" s="61"/>
    </row>
    <row r="244" spans="1:9" x14ac:dyDescent="0.25">
      <c r="A244" s="70">
        <v>43084</v>
      </c>
      <c r="B244" s="71">
        <f t="shared" si="22"/>
        <v>242</v>
      </c>
      <c r="C244" s="72">
        <f t="shared" si="23"/>
        <v>165.07370800712172</v>
      </c>
      <c r="D244" s="72">
        <v>160</v>
      </c>
      <c r="E244" s="80">
        <f t="shared" si="18"/>
        <v>5.0737080071217235</v>
      </c>
      <c r="F244" s="72">
        <f t="shared" si="19"/>
        <v>2145.9582040925825</v>
      </c>
      <c r="G244" s="80">
        <f t="shared" si="20"/>
        <v>157.28494822077343</v>
      </c>
      <c r="H244" s="73">
        <f t="shared" si="21"/>
        <v>4.4938556634506695E-2</v>
      </c>
      <c r="I244" s="61"/>
    </row>
    <row r="245" spans="1:9" x14ac:dyDescent="0.25">
      <c r="A245" s="70">
        <v>43084</v>
      </c>
      <c r="B245" s="71">
        <f t="shared" si="22"/>
        <v>243</v>
      </c>
      <c r="C245" s="72">
        <f t="shared" si="23"/>
        <v>165.0287694504872</v>
      </c>
      <c r="D245" s="72">
        <v>160</v>
      </c>
      <c r="E245" s="80">
        <f t="shared" si="18"/>
        <v>5.0287694504872036</v>
      </c>
      <c r="F245" s="72">
        <f t="shared" si="19"/>
        <v>2145.3740028563338</v>
      </c>
      <c r="G245" s="80">
        <f t="shared" si="20"/>
        <v>155.89185296510331</v>
      </c>
      <c r="H245" s="73">
        <f t="shared" si="21"/>
        <v>4.4540529418600948E-2</v>
      </c>
      <c r="I245" s="61"/>
    </row>
    <row r="246" spans="1:9" x14ac:dyDescent="0.25">
      <c r="A246" s="70">
        <v>43084</v>
      </c>
      <c r="B246" s="71">
        <f t="shared" si="22"/>
        <v>244</v>
      </c>
      <c r="C246" s="72">
        <f t="shared" si="23"/>
        <v>164.98422892106859</v>
      </c>
      <c r="D246" s="72">
        <v>160</v>
      </c>
      <c r="E246" s="80">
        <f t="shared" si="18"/>
        <v>4.9842289210685919</v>
      </c>
      <c r="F246" s="72">
        <f t="shared" si="19"/>
        <v>2144.7949759738917</v>
      </c>
      <c r="G246" s="80">
        <f t="shared" si="20"/>
        <v>154.51109655312635</v>
      </c>
      <c r="H246" s="73">
        <f t="shared" si="21"/>
        <v>4.4146027586607531E-2</v>
      </c>
      <c r="I246" s="61"/>
    </row>
    <row r="247" spans="1:9" x14ac:dyDescent="0.25">
      <c r="A247" s="70">
        <v>43084</v>
      </c>
      <c r="B247" s="71">
        <f t="shared" si="22"/>
        <v>245</v>
      </c>
      <c r="C247" s="72">
        <f t="shared" si="23"/>
        <v>164.94008289348199</v>
      </c>
      <c r="D247" s="72">
        <v>160</v>
      </c>
      <c r="E247" s="80">
        <f t="shared" si="18"/>
        <v>4.9400828934819856</v>
      </c>
      <c r="F247" s="72">
        <f t="shared" si="19"/>
        <v>2144.221077615266</v>
      </c>
      <c r="G247" s="80">
        <f t="shared" si="20"/>
        <v>153.14256969794155</v>
      </c>
      <c r="H247" s="73">
        <f t="shared" si="21"/>
        <v>4.3755019913697589E-2</v>
      </c>
      <c r="I247" s="61"/>
    </row>
    <row r="248" spans="1:9" x14ac:dyDescent="0.25">
      <c r="A248" s="70">
        <v>43084</v>
      </c>
      <c r="B248" s="71">
        <f t="shared" si="22"/>
        <v>246</v>
      </c>
      <c r="C248" s="72">
        <f t="shared" si="23"/>
        <v>164.89632787356828</v>
      </c>
      <c r="D248" s="72">
        <v>160</v>
      </c>
      <c r="E248" s="80">
        <f t="shared" si="18"/>
        <v>4.896327873568282</v>
      </c>
      <c r="F248" s="72">
        <f t="shared" si="19"/>
        <v>2143.6522623563878</v>
      </c>
      <c r="G248" s="80">
        <f t="shared" si="20"/>
        <v>151.78616408061674</v>
      </c>
      <c r="H248" s="73">
        <f t="shared" si="21"/>
        <v>4.3367475451604784E-2</v>
      </c>
      <c r="I248" s="61"/>
    </row>
    <row r="249" spans="1:9" x14ac:dyDescent="0.25">
      <c r="A249" s="70">
        <v>43084</v>
      </c>
      <c r="B249" s="71">
        <f t="shared" si="22"/>
        <v>247</v>
      </c>
      <c r="C249" s="72">
        <f t="shared" si="23"/>
        <v>164.85296039811666</v>
      </c>
      <c r="D249" s="72">
        <v>160</v>
      </c>
      <c r="E249" s="80">
        <f t="shared" si="18"/>
        <v>4.8529603981166645</v>
      </c>
      <c r="F249" s="72">
        <f t="shared" si="19"/>
        <v>2143.0884851755168</v>
      </c>
      <c r="G249" s="80">
        <f t="shared" si="20"/>
        <v>150.4417723416166</v>
      </c>
      <c r="H249" s="73">
        <f t="shared" si="21"/>
        <v>4.2983363526176169E-2</v>
      </c>
      <c r="I249" s="61"/>
    </row>
    <row r="250" spans="1:9" x14ac:dyDescent="0.25">
      <c r="A250" s="70">
        <v>43084</v>
      </c>
      <c r="B250" s="71">
        <f t="shared" si="22"/>
        <v>248</v>
      </c>
      <c r="C250" s="72">
        <f t="shared" si="23"/>
        <v>164.80997703459047</v>
      </c>
      <c r="D250" s="72">
        <v>160</v>
      </c>
      <c r="E250" s="80">
        <f t="shared" si="18"/>
        <v>4.8099770345904744</v>
      </c>
      <c r="F250" s="72">
        <f t="shared" si="19"/>
        <v>2142.5297014496764</v>
      </c>
      <c r="G250" s="80">
        <f t="shared" si="20"/>
        <v>149.10928807230471</v>
      </c>
      <c r="H250" s="73">
        <f t="shared" si="21"/>
        <v>4.26026537349442E-2</v>
      </c>
      <c r="I250" s="61"/>
    </row>
    <row r="251" spans="1:9" x14ac:dyDescent="0.25">
      <c r="A251" s="70">
        <v>43084</v>
      </c>
      <c r="B251" s="71">
        <f t="shared" si="22"/>
        <v>249</v>
      </c>
      <c r="C251" s="72">
        <f t="shared" si="23"/>
        <v>164.76737438085553</v>
      </c>
      <c r="D251" s="72">
        <v>160</v>
      </c>
      <c r="E251" s="80">
        <f t="shared" si="18"/>
        <v>4.7673743808555287</v>
      </c>
      <c r="F251" s="72">
        <f t="shared" si="19"/>
        <v>2141.975866951122</v>
      </c>
      <c r="G251" s="80">
        <f t="shared" si="20"/>
        <v>147.78860580652139</v>
      </c>
      <c r="H251" s="73">
        <f t="shared" si="21"/>
        <v>4.2225315944720399E-2</v>
      </c>
      <c r="I251" s="61"/>
    </row>
    <row r="252" spans="1:9" x14ac:dyDescent="0.25">
      <c r="A252" s="70">
        <v>43084</v>
      </c>
      <c r="B252" s="71">
        <f t="shared" si="22"/>
        <v>250</v>
      </c>
      <c r="C252" s="72">
        <f t="shared" si="23"/>
        <v>164.7251490649108</v>
      </c>
      <c r="D252" s="72">
        <v>160</v>
      </c>
      <c r="E252" s="80">
        <f t="shared" si="18"/>
        <v>4.725149064910795</v>
      </c>
      <c r="F252" s="72">
        <f t="shared" si="19"/>
        <v>2141.4269378438403</v>
      </c>
      <c r="G252" s="80">
        <f t="shared" si="20"/>
        <v>146.47962101223465</v>
      </c>
      <c r="H252" s="73">
        <f t="shared" si="21"/>
        <v>4.1851320289209896E-2</v>
      </c>
      <c r="I252" s="61"/>
    </row>
    <row r="253" spans="1:9" x14ac:dyDescent="0.25">
      <c r="A253" s="70">
        <v>43084</v>
      </c>
      <c r="B253" s="71">
        <f t="shared" si="22"/>
        <v>251</v>
      </c>
      <c r="C253" s="72">
        <f t="shared" si="23"/>
        <v>164.6832977446216</v>
      </c>
      <c r="D253" s="72">
        <v>160</v>
      </c>
      <c r="E253" s="80">
        <f t="shared" si="18"/>
        <v>4.6832977446215978</v>
      </c>
      <c r="F253" s="72">
        <f t="shared" si="19"/>
        <v>2140.8828706800809</v>
      </c>
      <c r="G253" s="80">
        <f t="shared" si="20"/>
        <v>145.18223008326953</v>
      </c>
      <c r="H253" s="73">
        <f t="shared" si="21"/>
        <v>4.1480637166648439E-2</v>
      </c>
      <c r="I253" s="61"/>
    </row>
    <row r="254" spans="1:9" x14ac:dyDescent="0.25">
      <c r="A254" s="70">
        <v>43084</v>
      </c>
      <c r="B254" s="71">
        <f t="shared" si="22"/>
        <v>252</v>
      </c>
      <c r="C254" s="72">
        <f t="shared" si="23"/>
        <v>164.64181710745495</v>
      </c>
      <c r="D254" s="72">
        <v>160</v>
      </c>
      <c r="E254" s="80">
        <f t="shared" si="18"/>
        <v>4.6418171074549548</v>
      </c>
      <c r="F254" s="72">
        <f t="shared" si="19"/>
        <v>2140.3436223969143</v>
      </c>
      <c r="G254" s="80">
        <f t="shared" si="20"/>
        <v>143.8963303311036</v>
      </c>
      <c r="H254" s="73">
        <f t="shared" si="21"/>
        <v>4.1113237237458168E-2</v>
      </c>
      <c r="I254" s="61"/>
    </row>
    <row r="255" spans="1:9" x14ac:dyDescent="0.25">
      <c r="A255" s="70">
        <v>43084</v>
      </c>
      <c r="B255" s="71">
        <f t="shared" si="22"/>
        <v>253</v>
      </c>
      <c r="C255" s="72">
        <f t="shared" si="23"/>
        <v>164.6007038702175</v>
      </c>
      <c r="D255" s="72">
        <v>160</v>
      </c>
      <c r="E255" s="80">
        <f t="shared" si="18"/>
        <v>4.6007038702175009</v>
      </c>
      <c r="F255" s="72">
        <f t="shared" si="19"/>
        <v>2139.8091503128276</v>
      </c>
      <c r="G255" s="80">
        <f t="shared" si="20"/>
        <v>142.62181997674253</v>
      </c>
      <c r="H255" s="73">
        <f t="shared" si="21"/>
        <v>4.0749091421926439E-2</v>
      </c>
      <c r="I255" s="61"/>
    </row>
    <row r="256" spans="1:9" x14ac:dyDescent="0.25">
      <c r="A256" s="70">
        <v>43084</v>
      </c>
      <c r="B256" s="71">
        <f t="shared" si="22"/>
        <v>254</v>
      </c>
      <c r="C256" s="72">
        <f t="shared" si="23"/>
        <v>164.55995477879557</v>
      </c>
      <c r="D256" s="72">
        <v>160</v>
      </c>
      <c r="E256" s="80">
        <f t="shared" si="18"/>
        <v>4.5599547787955714</v>
      </c>
      <c r="F256" s="72">
        <f t="shared" si="19"/>
        <v>2139.2794121243423</v>
      </c>
      <c r="G256" s="80">
        <f t="shared" si="20"/>
        <v>141.35859814266271</v>
      </c>
      <c r="H256" s="73">
        <f t="shared" si="21"/>
        <v>4.0388170897903634E-2</v>
      </c>
      <c r="I256" s="61"/>
    </row>
    <row r="257" spans="1:9" x14ac:dyDescent="0.25">
      <c r="A257" s="70">
        <v>43084</v>
      </c>
      <c r="B257" s="71">
        <f t="shared" si="22"/>
        <v>255</v>
      </c>
      <c r="C257" s="72">
        <f t="shared" si="23"/>
        <v>164.51956660789767</v>
      </c>
      <c r="D257" s="72">
        <v>160</v>
      </c>
      <c r="E257" s="80">
        <f t="shared" si="18"/>
        <v>4.5195666078976728</v>
      </c>
      <c r="F257" s="72">
        <f t="shared" si="19"/>
        <v>2138.7543659026696</v>
      </c>
      <c r="G257" s="80">
        <f t="shared" si="20"/>
        <v>140.10656484482786</v>
      </c>
      <c r="H257" s="73">
        <f t="shared" si="21"/>
        <v>4.0030447098522243E-2</v>
      </c>
      <c r="I257" s="61"/>
    </row>
    <row r="258" spans="1:9" x14ac:dyDescent="0.25">
      <c r="A258" s="70">
        <v>43084</v>
      </c>
      <c r="B258" s="71">
        <f t="shared" si="22"/>
        <v>256</v>
      </c>
      <c r="C258" s="72">
        <f t="shared" si="23"/>
        <v>164.47953616079914</v>
      </c>
      <c r="D258" s="72">
        <v>160</v>
      </c>
      <c r="E258" s="80">
        <f t="shared" si="18"/>
        <v>4.4795361607991424</v>
      </c>
      <c r="F258" s="72">
        <f t="shared" si="19"/>
        <v>2138.233970090389</v>
      </c>
      <c r="G258" s="80">
        <f t="shared" si="20"/>
        <v>138.86562098477341</v>
      </c>
      <c r="H258" s="73">
        <f t="shared" si="21"/>
        <v>3.9675891709935261E-2</v>
      </c>
      <c r="I258" s="61"/>
    </row>
    <row r="259" spans="1:9" x14ac:dyDescent="0.25">
      <c r="A259" s="70">
        <v>43084</v>
      </c>
      <c r="B259" s="71">
        <f t="shared" si="22"/>
        <v>257</v>
      </c>
      <c r="C259" s="72">
        <f t="shared" si="23"/>
        <v>164.43986026908919</v>
      </c>
      <c r="D259" s="72">
        <v>160</v>
      </c>
      <c r="E259" s="80">
        <f t="shared" ref="E259:E322" si="24">C259-D259</f>
        <v>4.4398602690891948</v>
      </c>
      <c r="F259" s="72">
        <f t="shared" ref="F259:F322" si="25">13*C259</f>
        <v>2137.7181834981593</v>
      </c>
      <c r="G259" s="80">
        <f t="shared" ref="G259:G322" si="26">E259*31</f>
        <v>137.63566834176504</v>
      </c>
      <c r="H259" s="73">
        <f t="shared" ref="H259:H322" si="27">MIN($G259/3500,$F259/3500)</f>
        <v>3.9324476669075722E-2</v>
      </c>
      <c r="I259" s="61"/>
    </row>
    <row r="260" spans="1:9" x14ac:dyDescent="0.25">
      <c r="A260" s="70">
        <v>43084</v>
      </c>
      <c r="B260" s="71">
        <f t="shared" ref="B260:B323" si="28">B259+1</f>
        <v>258</v>
      </c>
      <c r="C260" s="72">
        <f t="shared" ref="C260:C323" si="29">C259-H259</f>
        <v>164.40053579242013</v>
      </c>
      <c r="D260" s="72">
        <v>160</v>
      </c>
      <c r="E260" s="80">
        <f t="shared" si="24"/>
        <v>4.4005357924201292</v>
      </c>
      <c r="F260" s="72">
        <f t="shared" si="25"/>
        <v>2137.2069653014619</v>
      </c>
      <c r="G260" s="80">
        <f t="shared" si="26"/>
        <v>136.416609565024</v>
      </c>
      <c r="H260" s="73">
        <f t="shared" si="27"/>
        <v>3.897617416143543E-2</v>
      </c>
      <c r="I260" s="61"/>
    </row>
    <row r="261" spans="1:9" x14ac:dyDescent="0.25">
      <c r="A261" s="70">
        <v>43084</v>
      </c>
      <c r="B261" s="71">
        <f t="shared" si="28"/>
        <v>259</v>
      </c>
      <c r="C261" s="72">
        <f t="shared" si="29"/>
        <v>164.3615596182587</v>
      </c>
      <c r="D261" s="72">
        <v>160</v>
      </c>
      <c r="E261" s="80">
        <f t="shared" si="24"/>
        <v>4.3615596182586955</v>
      </c>
      <c r="F261" s="72">
        <f t="shared" si="25"/>
        <v>2136.7002750373631</v>
      </c>
      <c r="G261" s="80">
        <f t="shared" si="26"/>
        <v>135.20834816601956</v>
      </c>
      <c r="H261" s="73">
        <f t="shared" si="27"/>
        <v>3.8630956618862733E-2</v>
      </c>
      <c r="I261" s="61"/>
    </row>
    <row r="262" spans="1:9" x14ac:dyDescent="0.25">
      <c r="A262" s="70">
        <v>43084</v>
      </c>
      <c r="B262" s="71">
        <f t="shared" si="28"/>
        <v>260</v>
      </c>
      <c r="C262" s="72">
        <f t="shared" si="29"/>
        <v>164.32292866163982</v>
      </c>
      <c r="D262" s="72">
        <v>160</v>
      </c>
      <c r="E262" s="80">
        <f t="shared" si="24"/>
        <v>4.3229286616398213</v>
      </c>
      <c r="F262" s="72">
        <f t="shared" si="25"/>
        <v>2136.1980726013176</v>
      </c>
      <c r="G262" s="80">
        <f t="shared" si="26"/>
        <v>134.01078851083446</v>
      </c>
      <c r="H262" s="73">
        <f t="shared" si="27"/>
        <v>3.8288796717381272E-2</v>
      </c>
      <c r="I262" s="61"/>
    </row>
    <row r="263" spans="1:9" x14ac:dyDescent="0.25">
      <c r="A263" s="70">
        <v>43084</v>
      </c>
      <c r="B263" s="71">
        <f t="shared" si="28"/>
        <v>261</v>
      </c>
      <c r="C263" s="72">
        <f t="shared" si="29"/>
        <v>164.28463986492244</v>
      </c>
      <c r="D263" s="72">
        <v>160</v>
      </c>
      <c r="E263" s="80">
        <f t="shared" si="24"/>
        <v>4.2846398649224398</v>
      </c>
      <c r="F263" s="72">
        <f t="shared" si="25"/>
        <v>2135.7003182439917</v>
      </c>
      <c r="G263" s="80">
        <f t="shared" si="26"/>
        <v>132.82383581259563</v>
      </c>
      <c r="H263" s="73">
        <f t="shared" si="27"/>
        <v>3.7949667375027321E-2</v>
      </c>
      <c r="I263" s="61"/>
    </row>
    <row r="264" spans="1:9" x14ac:dyDescent="0.25">
      <c r="A264" s="70">
        <v>43084</v>
      </c>
      <c r="B264" s="71">
        <f t="shared" si="28"/>
        <v>262</v>
      </c>
      <c r="C264" s="72">
        <f t="shared" si="29"/>
        <v>164.24669019754742</v>
      </c>
      <c r="D264" s="72">
        <v>160</v>
      </c>
      <c r="E264" s="80">
        <f t="shared" si="24"/>
        <v>4.2466901975474229</v>
      </c>
      <c r="F264" s="72">
        <f t="shared" si="25"/>
        <v>2135.2069725681167</v>
      </c>
      <c r="G264" s="80">
        <f t="shared" si="26"/>
        <v>131.64739612397011</v>
      </c>
      <c r="H264" s="73">
        <f t="shared" si="27"/>
        <v>3.7613541749705749E-2</v>
      </c>
      <c r="I264" s="61"/>
    </row>
    <row r="265" spans="1:9" x14ac:dyDescent="0.25">
      <c r="A265" s="70">
        <v>43084</v>
      </c>
      <c r="B265" s="71">
        <f t="shared" si="28"/>
        <v>263</v>
      </c>
      <c r="C265" s="72">
        <f t="shared" si="29"/>
        <v>164.20907665579773</v>
      </c>
      <c r="D265" s="72">
        <v>160</v>
      </c>
      <c r="E265" s="80">
        <f t="shared" si="24"/>
        <v>4.2090766557977304</v>
      </c>
      <c r="F265" s="72">
        <f t="shared" si="25"/>
        <v>2134.7179965253704</v>
      </c>
      <c r="G265" s="80">
        <f t="shared" si="26"/>
        <v>130.48137632972964</v>
      </c>
      <c r="H265" s="73">
        <f t="shared" si="27"/>
        <v>3.7280393237065612E-2</v>
      </c>
      <c r="I265" s="61"/>
    </row>
    <row r="266" spans="1:9" x14ac:dyDescent="0.25">
      <c r="A266" s="70">
        <v>43084</v>
      </c>
      <c r="B266" s="71">
        <f t="shared" si="28"/>
        <v>264</v>
      </c>
      <c r="C266" s="72">
        <f t="shared" si="29"/>
        <v>164.17179626256066</v>
      </c>
      <c r="D266" s="72">
        <v>160</v>
      </c>
      <c r="E266" s="80">
        <f t="shared" si="24"/>
        <v>4.1717962625606617</v>
      </c>
      <c r="F266" s="72">
        <f t="shared" si="25"/>
        <v>2134.2333514132888</v>
      </c>
      <c r="G266" s="80">
        <f t="shared" si="26"/>
        <v>129.32568413938051</v>
      </c>
      <c r="H266" s="73">
        <f t="shared" si="27"/>
        <v>3.6950195468394433E-2</v>
      </c>
      <c r="I266" s="61"/>
    </row>
    <row r="267" spans="1:9" x14ac:dyDescent="0.25">
      <c r="A267" s="70">
        <v>43084</v>
      </c>
      <c r="B267" s="71">
        <f t="shared" si="28"/>
        <v>265</v>
      </c>
      <c r="C267" s="72">
        <f t="shared" si="29"/>
        <v>164.13484606709227</v>
      </c>
      <c r="D267" s="72">
        <v>160</v>
      </c>
      <c r="E267" s="80">
        <f t="shared" si="24"/>
        <v>4.1348460670922691</v>
      </c>
      <c r="F267" s="72">
        <f t="shared" si="25"/>
        <v>2133.7529988721994</v>
      </c>
      <c r="G267" s="80">
        <f t="shared" si="26"/>
        <v>128.18022807986034</v>
      </c>
      <c r="H267" s="73">
        <f t="shared" si="27"/>
        <v>3.6622922308531529E-2</v>
      </c>
      <c r="I267" s="61"/>
    </row>
    <row r="268" spans="1:9" x14ac:dyDescent="0.25">
      <c r="A268" s="70">
        <v>43084</v>
      </c>
      <c r="B268" s="71">
        <f t="shared" si="28"/>
        <v>266</v>
      </c>
      <c r="C268" s="72">
        <f t="shared" si="29"/>
        <v>164.09822314478373</v>
      </c>
      <c r="D268" s="72">
        <v>160</v>
      </c>
      <c r="E268" s="80">
        <f t="shared" si="24"/>
        <v>4.0982231447837307</v>
      </c>
      <c r="F268" s="72">
        <f t="shared" si="25"/>
        <v>2133.2769008821883</v>
      </c>
      <c r="G268" s="80">
        <f t="shared" si="26"/>
        <v>127.04491748829565</v>
      </c>
      <c r="H268" s="73">
        <f t="shared" si="27"/>
        <v>3.6298547853798761E-2</v>
      </c>
      <c r="I268" s="61"/>
    </row>
    <row r="269" spans="1:9" x14ac:dyDescent="0.25">
      <c r="A269" s="70">
        <v>43084</v>
      </c>
      <c r="B269" s="71">
        <f t="shared" si="28"/>
        <v>267</v>
      </c>
      <c r="C269" s="72">
        <f t="shared" si="29"/>
        <v>164.06192459692994</v>
      </c>
      <c r="D269" s="72">
        <v>160</v>
      </c>
      <c r="E269" s="80">
        <f t="shared" si="24"/>
        <v>4.0619245969299413</v>
      </c>
      <c r="F269" s="72">
        <f t="shared" si="25"/>
        <v>2132.8050197600892</v>
      </c>
      <c r="G269" s="80">
        <f t="shared" si="26"/>
        <v>125.91966250482818</v>
      </c>
      <c r="H269" s="73">
        <f t="shared" si="27"/>
        <v>3.5977046429950907E-2</v>
      </c>
      <c r="I269" s="61"/>
    </row>
    <row r="270" spans="1:9" x14ac:dyDescent="0.25">
      <c r="A270" s="70">
        <v>43084</v>
      </c>
      <c r="B270" s="71">
        <f t="shared" si="28"/>
        <v>268</v>
      </c>
      <c r="C270" s="72">
        <f t="shared" si="29"/>
        <v>164.02594755049998</v>
      </c>
      <c r="D270" s="72">
        <v>160</v>
      </c>
      <c r="E270" s="80">
        <f t="shared" si="24"/>
        <v>4.0259475504999784</v>
      </c>
      <c r="F270" s="72">
        <f t="shared" si="25"/>
        <v>2132.3373181564998</v>
      </c>
      <c r="G270" s="80">
        <f t="shared" si="26"/>
        <v>124.80437406549933</v>
      </c>
      <c r="H270" s="73">
        <f t="shared" si="27"/>
        <v>3.5658392590142668E-2</v>
      </c>
      <c r="I270" s="61"/>
    </row>
    <row r="271" spans="1:9" x14ac:dyDescent="0.25">
      <c r="A271" s="70">
        <v>43084</v>
      </c>
      <c r="B271" s="71">
        <f t="shared" si="28"/>
        <v>269</v>
      </c>
      <c r="C271" s="72">
        <f t="shared" si="29"/>
        <v>163.99028915790984</v>
      </c>
      <c r="D271" s="72">
        <v>160</v>
      </c>
      <c r="E271" s="80">
        <f t="shared" si="24"/>
        <v>3.9902891579098423</v>
      </c>
      <c r="F271" s="72">
        <f t="shared" si="25"/>
        <v>2131.8737590528281</v>
      </c>
      <c r="G271" s="80">
        <f t="shared" si="26"/>
        <v>123.69896389520511</v>
      </c>
      <c r="H271" s="73">
        <f t="shared" si="27"/>
        <v>3.5342561112915748E-2</v>
      </c>
      <c r="I271" s="61"/>
    </row>
    <row r="272" spans="1:9" x14ac:dyDescent="0.25">
      <c r="A272" s="70">
        <v>43084</v>
      </c>
      <c r="B272" s="71">
        <f t="shared" si="28"/>
        <v>270</v>
      </c>
      <c r="C272" s="72">
        <f t="shared" si="29"/>
        <v>163.95494659679693</v>
      </c>
      <c r="D272" s="72">
        <v>160</v>
      </c>
      <c r="E272" s="80">
        <f t="shared" si="24"/>
        <v>3.9549465967969297</v>
      </c>
      <c r="F272" s="72">
        <f t="shared" si="25"/>
        <v>2131.4143057583601</v>
      </c>
      <c r="G272" s="80">
        <f t="shared" si="26"/>
        <v>122.60334450070482</v>
      </c>
      <c r="H272" s="73">
        <f t="shared" si="27"/>
        <v>3.5029527000201378E-2</v>
      </c>
      <c r="I272" s="61"/>
    </row>
    <row r="273" spans="1:9" x14ac:dyDescent="0.25">
      <c r="A273" s="70">
        <v>43084</v>
      </c>
      <c r="B273" s="71">
        <f t="shared" si="28"/>
        <v>271</v>
      </c>
      <c r="C273" s="72">
        <f t="shared" si="29"/>
        <v>163.91991706979672</v>
      </c>
      <c r="D273" s="72">
        <v>160</v>
      </c>
      <c r="E273" s="80">
        <f t="shared" si="24"/>
        <v>3.9199170697967247</v>
      </c>
      <c r="F273" s="72">
        <f t="shared" si="25"/>
        <v>2130.9589219073573</v>
      </c>
      <c r="G273" s="80">
        <f t="shared" si="26"/>
        <v>121.51742916369847</v>
      </c>
      <c r="H273" s="73">
        <f t="shared" si="27"/>
        <v>3.4719265475342417E-2</v>
      </c>
      <c r="I273" s="61"/>
    </row>
    <row r="274" spans="1:9" x14ac:dyDescent="0.25">
      <c r="A274" s="70">
        <v>43084</v>
      </c>
      <c r="B274" s="71">
        <f t="shared" si="28"/>
        <v>272</v>
      </c>
      <c r="C274" s="72">
        <f t="shared" si="29"/>
        <v>163.88519780432139</v>
      </c>
      <c r="D274" s="72">
        <v>160</v>
      </c>
      <c r="E274" s="80">
        <f t="shared" si="24"/>
        <v>3.8851978043213933</v>
      </c>
      <c r="F274" s="72">
        <f t="shared" si="25"/>
        <v>2130.5075714561781</v>
      </c>
      <c r="G274" s="80">
        <f t="shared" si="26"/>
        <v>120.44113193396319</v>
      </c>
      <c r="H274" s="73">
        <f t="shared" si="27"/>
        <v>3.4411751981132339E-2</v>
      </c>
      <c r="I274" s="61"/>
    </row>
    <row r="275" spans="1:9" x14ac:dyDescent="0.25">
      <c r="A275" s="70">
        <v>43084</v>
      </c>
      <c r="B275" s="71">
        <f t="shared" si="28"/>
        <v>273</v>
      </c>
      <c r="C275" s="72">
        <f t="shared" si="29"/>
        <v>163.85078605234025</v>
      </c>
      <c r="D275" s="72">
        <v>160</v>
      </c>
      <c r="E275" s="80">
        <f t="shared" si="24"/>
        <v>3.8507860523402542</v>
      </c>
      <c r="F275" s="72">
        <f t="shared" si="25"/>
        <v>2130.0602186804235</v>
      </c>
      <c r="G275" s="80">
        <f t="shared" si="26"/>
        <v>119.37436762254788</v>
      </c>
      <c r="H275" s="73">
        <f t="shared" si="27"/>
        <v>3.410696217787082E-2</v>
      </c>
      <c r="I275" s="61"/>
    </row>
    <row r="276" spans="1:9" x14ac:dyDescent="0.25">
      <c r="A276" s="70">
        <v>43084</v>
      </c>
      <c r="B276" s="71">
        <f t="shared" si="28"/>
        <v>274</v>
      </c>
      <c r="C276" s="72">
        <f t="shared" si="29"/>
        <v>163.81667909016238</v>
      </c>
      <c r="D276" s="72">
        <v>160</v>
      </c>
      <c r="E276" s="80">
        <f t="shared" si="24"/>
        <v>3.8166790901623813</v>
      </c>
      <c r="F276" s="72">
        <f t="shared" si="25"/>
        <v>2129.6168281721111</v>
      </c>
      <c r="G276" s="80">
        <f t="shared" si="26"/>
        <v>118.31705179503382</v>
      </c>
      <c r="H276" s="73">
        <f t="shared" si="27"/>
        <v>3.3804871941438233E-2</v>
      </c>
      <c r="I276" s="61"/>
    </row>
    <row r="277" spans="1:9" x14ac:dyDescent="0.25">
      <c r="A277" s="70">
        <v>43084</v>
      </c>
      <c r="B277" s="71">
        <f t="shared" si="28"/>
        <v>275</v>
      </c>
      <c r="C277" s="72">
        <f t="shared" si="29"/>
        <v>163.78287421822094</v>
      </c>
      <c r="D277" s="72">
        <v>160</v>
      </c>
      <c r="E277" s="80">
        <f t="shared" si="24"/>
        <v>3.7828742182209396</v>
      </c>
      <c r="F277" s="72">
        <f t="shared" si="25"/>
        <v>2129.1773648368721</v>
      </c>
      <c r="G277" s="80">
        <f t="shared" si="26"/>
        <v>117.26910076484913</v>
      </c>
      <c r="H277" s="73">
        <f t="shared" si="27"/>
        <v>3.3505457361385466E-2</v>
      </c>
      <c r="I277" s="61"/>
    </row>
    <row r="278" spans="1:9" x14ac:dyDescent="0.25">
      <c r="A278" s="70">
        <v>43084</v>
      </c>
      <c r="B278" s="71">
        <f t="shared" si="28"/>
        <v>276</v>
      </c>
      <c r="C278" s="72">
        <f t="shared" si="29"/>
        <v>163.74936876085957</v>
      </c>
      <c r="D278" s="72">
        <v>160</v>
      </c>
      <c r="E278" s="80">
        <f t="shared" si="24"/>
        <v>3.7493687608595678</v>
      </c>
      <c r="F278" s="72">
        <f t="shared" si="25"/>
        <v>2128.7417938911744</v>
      </c>
      <c r="G278" s="80">
        <f t="shared" si="26"/>
        <v>116.2304315866466</v>
      </c>
      <c r="H278" s="73">
        <f t="shared" si="27"/>
        <v>3.3208694739041887E-2</v>
      </c>
      <c r="I278" s="61"/>
    </row>
    <row r="279" spans="1:9" x14ac:dyDescent="0.25">
      <c r="A279" s="70">
        <v>43084</v>
      </c>
      <c r="B279" s="71">
        <f t="shared" si="28"/>
        <v>277</v>
      </c>
      <c r="C279" s="72">
        <f t="shared" si="29"/>
        <v>163.71616006612052</v>
      </c>
      <c r="D279" s="72">
        <v>160</v>
      </c>
      <c r="E279" s="80">
        <f t="shared" si="24"/>
        <v>3.7161600661205227</v>
      </c>
      <c r="F279" s="72">
        <f t="shared" si="25"/>
        <v>2128.3100808595668</v>
      </c>
      <c r="G279" s="80">
        <f t="shared" si="26"/>
        <v>115.20096204973621</v>
      </c>
      <c r="H279" s="73">
        <f t="shared" si="27"/>
        <v>3.2914560585638915E-2</v>
      </c>
      <c r="I279" s="61"/>
    </row>
    <row r="280" spans="1:9" x14ac:dyDescent="0.25">
      <c r="A280" s="70">
        <v>43084</v>
      </c>
      <c r="B280" s="71">
        <f t="shared" si="28"/>
        <v>278</v>
      </c>
      <c r="C280" s="72">
        <f t="shared" si="29"/>
        <v>163.68324550553487</v>
      </c>
      <c r="D280" s="72">
        <v>160</v>
      </c>
      <c r="E280" s="80">
        <f t="shared" si="24"/>
        <v>3.6832455055348703</v>
      </c>
      <c r="F280" s="72">
        <f t="shared" si="25"/>
        <v>2127.8821915719532</v>
      </c>
      <c r="G280" s="80">
        <f t="shared" si="26"/>
        <v>114.18061067158098</v>
      </c>
      <c r="H280" s="73">
        <f t="shared" si="27"/>
        <v>3.2623031620451708E-2</v>
      </c>
      <c r="I280" s="61"/>
    </row>
    <row r="281" spans="1:9" x14ac:dyDescent="0.25">
      <c r="A281" s="70">
        <v>43084</v>
      </c>
      <c r="B281" s="71">
        <f t="shared" si="28"/>
        <v>279</v>
      </c>
      <c r="C281" s="72">
        <f t="shared" si="29"/>
        <v>163.65062247391441</v>
      </c>
      <c r="D281" s="72">
        <v>160</v>
      </c>
      <c r="E281" s="80">
        <f t="shared" si="24"/>
        <v>3.6506224739144102</v>
      </c>
      <c r="F281" s="72">
        <f t="shared" si="25"/>
        <v>2127.4580921608872</v>
      </c>
      <c r="G281" s="80">
        <f t="shared" si="26"/>
        <v>113.16929669134672</v>
      </c>
      <c r="H281" s="73">
        <f t="shared" si="27"/>
        <v>3.2334084768956203E-2</v>
      </c>
      <c r="I281" s="61"/>
    </row>
    <row r="282" spans="1:9" x14ac:dyDescent="0.25">
      <c r="A282" s="70">
        <v>43084</v>
      </c>
      <c r="B282" s="71">
        <f t="shared" si="28"/>
        <v>280</v>
      </c>
      <c r="C282" s="72">
        <f t="shared" si="29"/>
        <v>163.61828838914545</v>
      </c>
      <c r="D282" s="72">
        <v>160</v>
      </c>
      <c r="E282" s="80">
        <f t="shared" si="24"/>
        <v>3.618288389145448</v>
      </c>
      <c r="F282" s="72">
        <f t="shared" si="25"/>
        <v>2127.0377490588908</v>
      </c>
      <c r="G282" s="80">
        <f t="shared" si="26"/>
        <v>112.16694006350889</v>
      </c>
      <c r="H282" s="73">
        <f t="shared" si="27"/>
        <v>3.2047697161002538E-2</v>
      </c>
      <c r="I282" s="61"/>
    </row>
    <row r="283" spans="1:9" x14ac:dyDescent="0.25">
      <c r="A283" s="70">
        <v>43084</v>
      </c>
      <c r="B283" s="71">
        <f t="shared" si="28"/>
        <v>281</v>
      </c>
      <c r="C283" s="72">
        <f t="shared" si="29"/>
        <v>163.58624069198444</v>
      </c>
      <c r="D283" s="72">
        <v>160</v>
      </c>
      <c r="E283" s="80">
        <f t="shared" si="24"/>
        <v>3.5862406919844432</v>
      </c>
      <c r="F283" s="72">
        <f t="shared" si="25"/>
        <v>2126.6211289957978</v>
      </c>
      <c r="G283" s="80">
        <f t="shared" si="26"/>
        <v>111.17346145151774</v>
      </c>
      <c r="H283" s="73">
        <f t="shared" si="27"/>
        <v>3.1763846129005069E-2</v>
      </c>
      <c r="I283" s="61"/>
    </row>
    <row r="284" spans="1:9" x14ac:dyDescent="0.25">
      <c r="A284" s="70">
        <v>43084</v>
      </c>
      <c r="B284" s="71">
        <f t="shared" si="28"/>
        <v>282</v>
      </c>
      <c r="C284" s="72">
        <f t="shared" si="29"/>
        <v>163.55447684585545</v>
      </c>
      <c r="D284" s="72">
        <v>160</v>
      </c>
      <c r="E284" s="80">
        <f t="shared" si="24"/>
        <v>3.5544768458554472</v>
      </c>
      <c r="F284" s="72">
        <f t="shared" si="25"/>
        <v>2126.2081989961207</v>
      </c>
      <c r="G284" s="80">
        <f t="shared" si="26"/>
        <v>110.18878222151886</v>
      </c>
      <c r="H284" s="73">
        <f t="shared" si="27"/>
        <v>3.148250920614825E-2</v>
      </c>
      <c r="I284" s="61"/>
    </row>
    <row r="285" spans="1:9" x14ac:dyDescent="0.25">
      <c r="A285" s="70">
        <v>43084</v>
      </c>
      <c r="B285" s="71">
        <f t="shared" si="28"/>
        <v>283</v>
      </c>
      <c r="C285" s="72">
        <f t="shared" si="29"/>
        <v>163.5229943366493</v>
      </c>
      <c r="D285" s="72">
        <v>160</v>
      </c>
      <c r="E285" s="80">
        <f t="shared" si="24"/>
        <v>3.5229943366493046</v>
      </c>
      <c r="F285" s="72">
        <f t="shared" si="25"/>
        <v>2125.7989263764412</v>
      </c>
      <c r="G285" s="80">
        <f t="shared" si="26"/>
        <v>109.21282443612844</v>
      </c>
      <c r="H285" s="73">
        <f t="shared" si="27"/>
        <v>3.1203664124608125E-2</v>
      </c>
      <c r="I285" s="61"/>
    </row>
    <row r="286" spans="1:9" x14ac:dyDescent="0.25">
      <c r="A286" s="70">
        <v>43084</v>
      </c>
      <c r="B286" s="71">
        <f t="shared" si="28"/>
        <v>284</v>
      </c>
      <c r="C286" s="72">
        <f t="shared" si="29"/>
        <v>163.4917906725247</v>
      </c>
      <c r="D286" s="72">
        <v>160</v>
      </c>
      <c r="E286" s="80">
        <f t="shared" si="24"/>
        <v>3.4917906725247008</v>
      </c>
      <c r="F286" s="72">
        <f t="shared" si="25"/>
        <v>2125.3932787428212</v>
      </c>
      <c r="G286" s="80">
        <f t="shared" si="26"/>
        <v>108.24551084826572</v>
      </c>
      <c r="H286" s="73">
        <f t="shared" si="27"/>
        <v>3.0927288813790206E-2</v>
      </c>
      <c r="I286" s="61"/>
    </row>
    <row r="287" spans="1:9" x14ac:dyDescent="0.25">
      <c r="A287" s="70">
        <v>43084</v>
      </c>
      <c r="B287" s="71">
        <f t="shared" si="28"/>
        <v>285</v>
      </c>
      <c r="C287" s="72">
        <f t="shared" si="29"/>
        <v>163.46086338371092</v>
      </c>
      <c r="D287" s="72">
        <v>160</v>
      </c>
      <c r="E287" s="80">
        <f t="shared" si="24"/>
        <v>3.4608633837109153</v>
      </c>
      <c r="F287" s="72">
        <f t="shared" si="25"/>
        <v>2124.9912239882419</v>
      </c>
      <c r="G287" s="80">
        <f t="shared" si="26"/>
        <v>107.28676489503837</v>
      </c>
      <c r="H287" s="73">
        <f t="shared" si="27"/>
        <v>3.0653361398582393E-2</v>
      </c>
      <c r="I287" s="61"/>
    </row>
    <row r="288" spans="1:9" x14ac:dyDescent="0.25">
      <c r="A288" s="70">
        <v>43084</v>
      </c>
      <c r="B288" s="71">
        <f t="shared" si="28"/>
        <v>286</v>
      </c>
      <c r="C288" s="72">
        <f t="shared" si="29"/>
        <v>163.43021002231234</v>
      </c>
      <c r="D288" s="72">
        <v>160</v>
      </c>
      <c r="E288" s="80">
        <f t="shared" si="24"/>
        <v>3.4302100223123375</v>
      </c>
      <c r="F288" s="72">
        <f t="shared" si="25"/>
        <v>2124.5927302900604</v>
      </c>
      <c r="G288" s="80">
        <f t="shared" si="26"/>
        <v>106.33651069168246</v>
      </c>
      <c r="H288" s="73">
        <f t="shared" si="27"/>
        <v>3.038186019762356E-2</v>
      </c>
      <c r="I288" s="61"/>
    </row>
    <row r="289" spans="1:9" x14ac:dyDescent="0.25">
      <c r="A289" s="70">
        <v>43084</v>
      </c>
      <c r="B289" s="71">
        <f t="shared" si="28"/>
        <v>287</v>
      </c>
      <c r="C289" s="72">
        <f t="shared" si="29"/>
        <v>163.39982816211472</v>
      </c>
      <c r="D289" s="72">
        <v>160</v>
      </c>
      <c r="E289" s="80">
        <f t="shared" si="24"/>
        <v>3.3998281621147157</v>
      </c>
      <c r="F289" s="72">
        <f t="shared" si="25"/>
        <v>2124.1977661074911</v>
      </c>
      <c r="G289" s="80">
        <f t="shared" si="26"/>
        <v>105.39467302555619</v>
      </c>
      <c r="H289" s="73">
        <f t="shared" si="27"/>
        <v>3.0112763721587481E-2</v>
      </c>
      <c r="I289" s="61"/>
    </row>
    <row r="290" spans="1:9" x14ac:dyDescent="0.25">
      <c r="A290" s="70">
        <v>43084</v>
      </c>
      <c r="B290" s="71">
        <f t="shared" si="28"/>
        <v>288</v>
      </c>
      <c r="C290" s="72">
        <f t="shared" si="29"/>
        <v>163.36971539839314</v>
      </c>
      <c r="D290" s="72">
        <v>160</v>
      </c>
      <c r="E290" s="80">
        <f t="shared" si="24"/>
        <v>3.36971539839314</v>
      </c>
      <c r="F290" s="72">
        <f t="shared" si="25"/>
        <v>2123.8063001791106</v>
      </c>
      <c r="G290" s="80">
        <f t="shared" si="26"/>
        <v>104.46117735018734</v>
      </c>
      <c r="H290" s="73">
        <f t="shared" si="27"/>
        <v>2.9846050671482098E-2</v>
      </c>
      <c r="I290" s="61"/>
    </row>
    <row r="291" spans="1:9" x14ac:dyDescent="0.25">
      <c r="A291" s="70">
        <v>43084</v>
      </c>
      <c r="B291" s="71">
        <f t="shared" si="28"/>
        <v>289</v>
      </c>
      <c r="C291" s="72">
        <f t="shared" si="29"/>
        <v>163.33986934772165</v>
      </c>
      <c r="D291" s="72">
        <v>160</v>
      </c>
      <c r="E291" s="80">
        <f t="shared" si="24"/>
        <v>3.3398693477216455</v>
      </c>
      <c r="F291" s="72">
        <f t="shared" si="25"/>
        <v>2123.4183015203812</v>
      </c>
      <c r="G291" s="80">
        <f t="shared" si="26"/>
        <v>103.53594977937101</v>
      </c>
      <c r="H291" s="73">
        <f t="shared" si="27"/>
        <v>2.9581699936963145E-2</v>
      </c>
      <c r="I291" s="61"/>
    </row>
    <row r="292" spans="1:9" x14ac:dyDescent="0.25">
      <c r="A292" s="70">
        <v>43084</v>
      </c>
      <c r="B292" s="71">
        <f t="shared" si="28"/>
        <v>290</v>
      </c>
      <c r="C292" s="72">
        <f t="shared" si="29"/>
        <v>163.31028764778469</v>
      </c>
      <c r="D292" s="72">
        <v>160</v>
      </c>
      <c r="E292" s="80">
        <f t="shared" si="24"/>
        <v>3.3102876477846905</v>
      </c>
      <c r="F292" s="72">
        <f t="shared" si="25"/>
        <v>2123.0337394212011</v>
      </c>
      <c r="G292" s="80">
        <f t="shared" si="26"/>
        <v>102.61891708132541</v>
      </c>
      <c r="H292" s="73">
        <f t="shared" si="27"/>
        <v>2.9319690594664403E-2</v>
      </c>
      <c r="I292" s="61"/>
    </row>
    <row r="293" spans="1:9" x14ac:dyDescent="0.25">
      <c r="A293" s="70">
        <v>43084</v>
      </c>
      <c r="B293" s="71">
        <f t="shared" si="28"/>
        <v>291</v>
      </c>
      <c r="C293" s="72">
        <f t="shared" si="29"/>
        <v>163.28096795719003</v>
      </c>
      <c r="D293" s="72">
        <v>160</v>
      </c>
      <c r="E293" s="80">
        <f t="shared" si="24"/>
        <v>3.280967957190029</v>
      </c>
      <c r="F293" s="72">
        <f t="shared" si="25"/>
        <v>2122.6525834434706</v>
      </c>
      <c r="G293" s="80">
        <f t="shared" si="26"/>
        <v>101.7100066728909</v>
      </c>
      <c r="H293" s="73">
        <f t="shared" si="27"/>
        <v>2.9060001906540258E-2</v>
      </c>
      <c r="I293" s="61"/>
    </row>
    <row r="294" spans="1:9" x14ac:dyDescent="0.25">
      <c r="A294" s="70">
        <v>43084</v>
      </c>
      <c r="B294" s="71">
        <f t="shared" si="28"/>
        <v>292</v>
      </c>
      <c r="C294" s="72">
        <f t="shared" si="29"/>
        <v>163.25190795528349</v>
      </c>
      <c r="D294" s="72">
        <v>160</v>
      </c>
      <c r="E294" s="80">
        <f t="shared" si="24"/>
        <v>3.2519079552834853</v>
      </c>
      <c r="F294" s="72">
        <f t="shared" si="25"/>
        <v>2122.2748034186852</v>
      </c>
      <c r="G294" s="80">
        <f t="shared" si="26"/>
        <v>100.80914661378804</v>
      </c>
      <c r="H294" s="73">
        <f t="shared" si="27"/>
        <v>2.8802613318225156E-2</v>
      </c>
      <c r="I294" s="61"/>
    </row>
    <row r="295" spans="1:9" x14ac:dyDescent="0.25">
      <c r="A295" s="70">
        <v>43084</v>
      </c>
      <c r="B295" s="71">
        <f t="shared" si="28"/>
        <v>293</v>
      </c>
      <c r="C295" s="72">
        <f t="shared" si="29"/>
        <v>163.22310534196527</v>
      </c>
      <c r="D295" s="72">
        <v>160</v>
      </c>
      <c r="E295" s="80">
        <f t="shared" si="24"/>
        <v>3.2231053419652653</v>
      </c>
      <c r="F295" s="72">
        <f t="shared" si="25"/>
        <v>2121.9003694455487</v>
      </c>
      <c r="G295" s="80">
        <f t="shared" si="26"/>
        <v>99.916265600923225</v>
      </c>
      <c r="H295" s="73">
        <f t="shared" si="27"/>
        <v>2.8547504457406635E-2</v>
      </c>
      <c r="I295" s="61"/>
    </row>
    <row r="296" spans="1:9" x14ac:dyDescent="0.25">
      <c r="A296" s="70">
        <v>43084</v>
      </c>
      <c r="B296" s="71">
        <f t="shared" si="28"/>
        <v>294</v>
      </c>
      <c r="C296" s="72">
        <f t="shared" si="29"/>
        <v>163.19455783750786</v>
      </c>
      <c r="D296" s="72">
        <v>160</v>
      </c>
      <c r="E296" s="80">
        <f t="shared" si="24"/>
        <v>3.1945578375078583</v>
      </c>
      <c r="F296" s="72">
        <f t="shared" si="25"/>
        <v>2121.5292518876022</v>
      </c>
      <c r="G296" s="80">
        <f t="shared" si="26"/>
        <v>99.031292962743606</v>
      </c>
      <c r="H296" s="73">
        <f t="shared" si="27"/>
        <v>2.8294655132212458E-2</v>
      </c>
      <c r="I296" s="61"/>
    </row>
    <row r="297" spans="1:9" x14ac:dyDescent="0.25">
      <c r="A297" s="70">
        <v>43084</v>
      </c>
      <c r="B297" s="71">
        <f t="shared" si="28"/>
        <v>295</v>
      </c>
      <c r="C297" s="72">
        <f t="shared" si="29"/>
        <v>163.16626318237564</v>
      </c>
      <c r="D297" s="72">
        <v>160</v>
      </c>
      <c r="E297" s="80">
        <f t="shared" si="24"/>
        <v>3.1662631823756442</v>
      </c>
      <c r="F297" s="72">
        <f t="shared" si="25"/>
        <v>2121.1614213708835</v>
      </c>
      <c r="G297" s="80">
        <f t="shared" si="26"/>
        <v>98.15415865364497</v>
      </c>
      <c r="H297" s="73">
        <f t="shared" si="27"/>
        <v>2.8044045329612848E-2</v>
      </c>
      <c r="I297" s="61"/>
    </row>
    <row r="298" spans="1:9" x14ac:dyDescent="0.25">
      <c r="A298" s="70">
        <v>43084</v>
      </c>
      <c r="B298" s="71">
        <f t="shared" si="28"/>
        <v>296</v>
      </c>
      <c r="C298" s="72">
        <f t="shared" si="29"/>
        <v>163.13821913704604</v>
      </c>
      <c r="D298" s="72">
        <v>160</v>
      </c>
      <c r="E298" s="80">
        <f t="shared" si="24"/>
        <v>3.1382191370460362</v>
      </c>
      <c r="F298" s="72">
        <f t="shared" si="25"/>
        <v>2120.7968487815983</v>
      </c>
      <c r="G298" s="80">
        <f t="shared" si="26"/>
        <v>97.284793248427121</v>
      </c>
      <c r="H298" s="73">
        <f t="shared" si="27"/>
        <v>2.7795655213836319E-2</v>
      </c>
      <c r="I298" s="61"/>
    </row>
    <row r="299" spans="1:9" x14ac:dyDescent="0.25">
      <c r="A299" s="70">
        <v>43084</v>
      </c>
      <c r="B299" s="71">
        <f t="shared" si="28"/>
        <v>297</v>
      </c>
      <c r="C299" s="72">
        <f t="shared" si="29"/>
        <v>163.11042348183219</v>
      </c>
      <c r="D299" s="72">
        <v>160</v>
      </c>
      <c r="E299" s="80">
        <f t="shared" si="24"/>
        <v>3.1104234818321856</v>
      </c>
      <c r="F299" s="72">
        <f t="shared" si="25"/>
        <v>2120.4355052638184</v>
      </c>
      <c r="G299" s="80">
        <f t="shared" si="26"/>
        <v>96.423127936797755</v>
      </c>
      <c r="H299" s="73">
        <f t="shared" si="27"/>
        <v>2.7549465124799357E-2</v>
      </c>
      <c r="I299" s="61"/>
    </row>
    <row r="300" spans="1:9" x14ac:dyDescent="0.25">
      <c r="A300" s="70">
        <v>43084</v>
      </c>
      <c r="B300" s="71">
        <f t="shared" si="28"/>
        <v>298</v>
      </c>
      <c r="C300" s="72">
        <f t="shared" si="29"/>
        <v>163.08287401670739</v>
      </c>
      <c r="D300" s="72">
        <v>160</v>
      </c>
      <c r="E300" s="80">
        <f t="shared" si="24"/>
        <v>3.0828740167073931</v>
      </c>
      <c r="F300" s="72">
        <f t="shared" si="25"/>
        <v>2120.077362217196</v>
      </c>
      <c r="G300" s="80">
        <f t="shared" si="26"/>
        <v>95.569094517929187</v>
      </c>
      <c r="H300" s="73">
        <f t="shared" si="27"/>
        <v>2.7305455576551195E-2</v>
      </c>
      <c r="I300" s="61"/>
    </row>
    <row r="301" spans="1:9" x14ac:dyDescent="0.25">
      <c r="A301" s="70">
        <v>43084</v>
      </c>
      <c r="B301" s="71">
        <f t="shared" si="28"/>
        <v>299</v>
      </c>
      <c r="C301" s="72">
        <f t="shared" si="29"/>
        <v>163.05556856113085</v>
      </c>
      <c r="D301" s="72">
        <v>160</v>
      </c>
      <c r="E301" s="80">
        <f t="shared" si="24"/>
        <v>3.0555685611308547</v>
      </c>
      <c r="F301" s="72">
        <f t="shared" si="25"/>
        <v>2119.7223912947011</v>
      </c>
      <c r="G301" s="80">
        <f t="shared" si="26"/>
        <v>94.722625395056497</v>
      </c>
      <c r="H301" s="73">
        <f t="shared" si="27"/>
        <v>2.7063607255730426E-2</v>
      </c>
      <c r="I301" s="61"/>
    </row>
    <row r="302" spans="1:9" x14ac:dyDescent="0.25">
      <c r="A302" s="70">
        <v>43084</v>
      </c>
      <c r="B302" s="71">
        <f t="shared" si="28"/>
        <v>300</v>
      </c>
      <c r="C302" s="72">
        <f t="shared" si="29"/>
        <v>163.02850495387511</v>
      </c>
      <c r="D302" s="72">
        <v>160</v>
      </c>
      <c r="E302" s="80">
        <f t="shared" si="24"/>
        <v>3.0285049538751139</v>
      </c>
      <c r="F302" s="72">
        <f t="shared" si="25"/>
        <v>2119.3705644003767</v>
      </c>
      <c r="G302" s="80">
        <f t="shared" si="26"/>
        <v>93.88365357012853</v>
      </c>
      <c r="H302" s="73">
        <f t="shared" si="27"/>
        <v>2.6823901020036723E-2</v>
      </c>
      <c r="I302" s="61"/>
    </row>
    <row r="303" spans="1:9" x14ac:dyDescent="0.25">
      <c r="A303" s="70">
        <v>43084</v>
      </c>
      <c r="B303" s="71">
        <f t="shared" si="28"/>
        <v>301</v>
      </c>
      <c r="C303" s="72">
        <f t="shared" si="29"/>
        <v>163.00168105285508</v>
      </c>
      <c r="D303" s="72">
        <v>160</v>
      </c>
      <c r="E303" s="80">
        <f t="shared" si="24"/>
        <v>3.0016810528550764</v>
      </c>
      <c r="F303" s="72">
        <f t="shared" si="25"/>
        <v>2119.0218536871162</v>
      </c>
      <c r="G303" s="80">
        <f t="shared" si="26"/>
        <v>93.052112638507367</v>
      </c>
      <c r="H303" s="73">
        <f t="shared" si="27"/>
        <v>2.658631789671639E-2</v>
      </c>
      <c r="I303" s="61"/>
    </row>
    <row r="304" spans="1:9" x14ac:dyDescent="0.25">
      <c r="A304" s="70">
        <v>43084</v>
      </c>
      <c r="B304" s="71">
        <f t="shared" si="28"/>
        <v>302</v>
      </c>
      <c r="C304" s="72">
        <f t="shared" si="29"/>
        <v>162.97509473495836</v>
      </c>
      <c r="D304" s="72">
        <v>160</v>
      </c>
      <c r="E304" s="80">
        <f t="shared" si="24"/>
        <v>2.9750947349583612</v>
      </c>
      <c r="F304" s="72">
        <f t="shared" si="25"/>
        <v>2118.6762315544588</v>
      </c>
      <c r="G304" s="80">
        <f t="shared" si="26"/>
        <v>92.227936783709197</v>
      </c>
      <c r="H304" s="73">
        <f t="shared" si="27"/>
        <v>2.6350839081059771E-2</v>
      </c>
      <c r="I304" s="61"/>
    </row>
    <row r="305" spans="1:9" x14ac:dyDescent="0.25">
      <c r="A305" s="70">
        <v>43084</v>
      </c>
      <c r="B305" s="71">
        <f t="shared" si="28"/>
        <v>303</v>
      </c>
      <c r="C305" s="72">
        <f t="shared" si="29"/>
        <v>162.9487438958773</v>
      </c>
      <c r="D305" s="72">
        <v>160</v>
      </c>
      <c r="E305" s="80">
        <f t="shared" si="24"/>
        <v>2.9487438958772998</v>
      </c>
      <c r="F305" s="72">
        <f t="shared" si="25"/>
        <v>2118.3336706464047</v>
      </c>
      <c r="G305" s="80">
        <f t="shared" si="26"/>
        <v>91.411060772196294</v>
      </c>
      <c r="H305" s="73">
        <f t="shared" si="27"/>
        <v>2.6117445934913226E-2</v>
      </c>
      <c r="I305" s="61"/>
    </row>
    <row r="306" spans="1:9" x14ac:dyDescent="0.25">
      <c r="A306" s="70">
        <v>43084</v>
      </c>
      <c r="B306" s="71">
        <f t="shared" si="28"/>
        <v>304</v>
      </c>
      <c r="C306" s="72">
        <f t="shared" si="29"/>
        <v>162.92262644994238</v>
      </c>
      <c r="D306" s="72">
        <v>160</v>
      </c>
      <c r="E306" s="80">
        <f t="shared" si="24"/>
        <v>2.9226264499423849</v>
      </c>
      <c r="F306" s="72">
        <f t="shared" si="25"/>
        <v>2117.994143849251</v>
      </c>
      <c r="G306" s="80">
        <f t="shared" si="26"/>
        <v>90.60141994821393</v>
      </c>
      <c r="H306" s="73">
        <f t="shared" si="27"/>
        <v>2.588611998520398E-2</v>
      </c>
      <c r="I306" s="61"/>
    </row>
    <row r="307" spans="1:9" x14ac:dyDescent="0.25">
      <c r="A307" s="70">
        <v>43084</v>
      </c>
      <c r="B307" s="71">
        <f t="shared" si="28"/>
        <v>305</v>
      </c>
      <c r="C307" s="72">
        <f t="shared" si="29"/>
        <v>162.89674032995717</v>
      </c>
      <c r="D307" s="72">
        <v>160</v>
      </c>
      <c r="E307" s="80">
        <f t="shared" si="24"/>
        <v>2.8967403299571686</v>
      </c>
      <c r="F307" s="72">
        <f t="shared" si="25"/>
        <v>2117.657624289443</v>
      </c>
      <c r="G307" s="80">
        <f t="shared" si="26"/>
        <v>89.798950228672226</v>
      </c>
      <c r="H307" s="73">
        <f t="shared" si="27"/>
        <v>2.5656842922477777E-2</v>
      </c>
      <c r="I307" s="61"/>
    </row>
    <row r="308" spans="1:9" x14ac:dyDescent="0.25">
      <c r="A308" s="70">
        <v>43084</v>
      </c>
      <c r="B308" s="71">
        <f t="shared" si="28"/>
        <v>306</v>
      </c>
      <c r="C308" s="72">
        <f t="shared" si="29"/>
        <v>162.8710834870347</v>
      </c>
      <c r="D308" s="72">
        <v>160</v>
      </c>
      <c r="E308" s="80">
        <f t="shared" si="24"/>
        <v>2.8710834870346957</v>
      </c>
      <c r="F308" s="72">
        <f t="shared" si="25"/>
        <v>2117.324085331451</v>
      </c>
      <c r="G308" s="80">
        <f t="shared" si="26"/>
        <v>89.003588098075568</v>
      </c>
      <c r="H308" s="73">
        <f t="shared" si="27"/>
        <v>2.5429596599450162E-2</v>
      </c>
      <c r="I308" s="61"/>
    </row>
    <row r="309" spans="1:9" x14ac:dyDescent="0.25">
      <c r="A309" s="70">
        <v>43084</v>
      </c>
      <c r="B309" s="71">
        <f t="shared" si="28"/>
        <v>307</v>
      </c>
      <c r="C309" s="72">
        <f t="shared" si="29"/>
        <v>162.84565389043524</v>
      </c>
      <c r="D309" s="72">
        <v>160</v>
      </c>
      <c r="E309" s="80">
        <f t="shared" si="24"/>
        <v>2.8456538904352442</v>
      </c>
      <c r="F309" s="72">
        <f t="shared" si="25"/>
        <v>2116.9935005756583</v>
      </c>
      <c r="G309" s="80">
        <f t="shared" si="26"/>
        <v>88.21527060349257</v>
      </c>
      <c r="H309" s="73">
        <f t="shared" si="27"/>
        <v>2.5204363029569306E-2</v>
      </c>
      <c r="I309" s="61"/>
    </row>
    <row r="310" spans="1:9" x14ac:dyDescent="0.25">
      <c r="A310" s="70">
        <v>43084</v>
      </c>
      <c r="B310" s="71">
        <f t="shared" si="28"/>
        <v>308</v>
      </c>
      <c r="C310" s="72">
        <f t="shared" si="29"/>
        <v>162.82044952740569</v>
      </c>
      <c r="D310" s="72">
        <v>160</v>
      </c>
      <c r="E310" s="80">
        <f t="shared" si="24"/>
        <v>2.8204495274056853</v>
      </c>
      <c r="F310" s="72">
        <f t="shared" si="25"/>
        <v>2116.665843856274</v>
      </c>
      <c r="G310" s="80">
        <f t="shared" si="26"/>
        <v>87.433935349576245</v>
      </c>
      <c r="H310" s="73">
        <f t="shared" si="27"/>
        <v>2.4981124385593214E-2</v>
      </c>
      <c r="I310" s="61"/>
    </row>
    <row r="311" spans="1:9" x14ac:dyDescent="0.25">
      <c r="A311" s="70">
        <v>43084</v>
      </c>
      <c r="B311" s="71">
        <f t="shared" si="28"/>
        <v>309</v>
      </c>
      <c r="C311" s="72">
        <f t="shared" si="29"/>
        <v>162.7954684030201</v>
      </c>
      <c r="D311" s="72">
        <v>160</v>
      </c>
      <c r="E311" s="80">
        <f t="shared" si="24"/>
        <v>2.7954684030200951</v>
      </c>
      <c r="F311" s="72">
        <f t="shared" si="25"/>
        <v>2116.3410892392612</v>
      </c>
      <c r="G311" s="80">
        <f t="shared" si="26"/>
        <v>86.659520493622949</v>
      </c>
      <c r="H311" s="73">
        <f t="shared" si="27"/>
        <v>2.4759862998177985E-2</v>
      </c>
      <c r="I311" s="61"/>
    </row>
    <row r="312" spans="1:9" x14ac:dyDescent="0.25">
      <c r="A312" s="70">
        <v>43084</v>
      </c>
      <c r="B312" s="71">
        <f t="shared" si="28"/>
        <v>310</v>
      </c>
      <c r="C312" s="72">
        <f t="shared" si="29"/>
        <v>162.77070854002193</v>
      </c>
      <c r="D312" s="72">
        <v>160</v>
      </c>
      <c r="E312" s="80">
        <f t="shared" si="24"/>
        <v>2.7707085400219285</v>
      </c>
      <c r="F312" s="72">
        <f t="shared" si="25"/>
        <v>2116.0192110202852</v>
      </c>
      <c r="G312" s="80">
        <f t="shared" si="26"/>
        <v>85.891964740679782</v>
      </c>
      <c r="H312" s="73">
        <f t="shared" si="27"/>
        <v>2.4540561354479937E-2</v>
      </c>
      <c r="I312" s="61"/>
    </row>
    <row r="313" spans="1:9" x14ac:dyDescent="0.25">
      <c r="A313" s="70">
        <v>43084</v>
      </c>
      <c r="B313" s="71">
        <f t="shared" si="28"/>
        <v>311</v>
      </c>
      <c r="C313" s="72">
        <f t="shared" si="29"/>
        <v>162.74616797866744</v>
      </c>
      <c r="D313" s="72">
        <v>160</v>
      </c>
      <c r="E313" s="80">
        <f t="shared" si="24"/>
        <v>2.7461679786674438</v>
      </c>
      <c r="F313" s="72">
        <f t="shared" si="25"/>
        <v>2115.7001837226767</v>
      </c>
      <c r="G313" s="80">
        <f t="shared" si="26"/>
        <v>85.131207338690757</v>
      </c>
      <c r="H313" s="73">
        <f t="shared" si="27"/>
        <v>2.4323202096768786E-2</v>
      </c>
      <c r="I313" s="61"/>
    </row>
    <row r="314" spans="1:9" x14ac:dyDescent="0.25">
      <c r="A314" s="70">
        <v>43084</v>
      </c>
      <c r="B314" s="71">
        <f t="shared" si="28"/>
        <v>312</v>
      </c>
      <c r="C314" s="72">
        <f t="shared" si="29"/>
        <v>162.72184477657066</v>
      </c>
      <c r="D314" s="72">
        <v>160</v>
      </c>
      <c r="E314" s="80">
        <f t="shared" si="24"/>
        <v>2.7218447765706628</v>
      </c>
      <c r="F314" s="72">
        <f t="shared" si="25"/>
        <v>2115.3839820954186</v>
      </c>
      <c r="G314" s="80">
        <f t="shared" si="26"/>
        <v>84.377188073690547</v>
      </c>
      <c r="H314" s="73">
        <f t="shared" si="27"/>
        <v>2.4107768021054441E-2</v>
      </c>
      <c r="I314" s="61"/>
    </row>
    <row r="315" spans="1:9" x14ac:dyDescent="0.25">
      <c r="A315" s="70">
        <v>43084</v>
      </c>
      <c r="B315" s="71">
        <f t="shared" si="28"/>
        <v>313</v>
      </c>
      <c r="C315" s="72">
        <f t="shared" si="29"/>
        <v>162.69773700854961</v>
      </c>
      <c r="D315" s="72">
        <v>160</v>
      </c>
      <c r="E315" s="80">
        <f t="shared" si="24"/>
        <v>2.6977370085496091</v>
      </c>
      <c r="F315" s="72">
        <f t="shared" si="25"/>
        <v>2115.0705811111447</v>
      </c>
      <c r="G315" s="80">
        <f t="shared" si="26"/>
        <v>83.629847265037881</v>
      </c>
      <c r="H315" s="73">
        <f t="shared" si="27"/>
        <v>2.389424207572511E-2</v>
      </c>
      <c r="I315" s="61"/>
    </row>
    <row r="316" spans="1:9" x14ac:dyDescent="0.25">
      <c r="A316" s="70">
        <v>43084</v>
      </c>
      <c r="B316" s="71">
        <f t="shared" si="28"/>
        <v>314</v>
      </c>
      <c r="C316" s="72">
        <f t="shared" si="29"/>
        <v>162.67384276647388</v>
      </c>
      <c r="D316" s="72">
        <v>160</v>
      </c>
      <c r="E316" s="80">
        <f t="shared" si="24"/>
        <v>2.6738427664738822</v>
      </c>
      <c r="F316" s="72">
        <f t="shared" si="25"/>
        <v>2114.7599559641603</v>
      </c>
      <c r="G316" s="80">
        <f t="shared" si="26"/>
        <v>82.889125760690348</v>
      </c>
      <c r="H316" s="73">
        <f t="shared" si="27"/>
        <v>2.3682607360197241E-2</v>
      </c>
      <c r="I316" s="61"/>
    </row>
    <row r="317" spans="1:9" x14ac:dyDescent="0.25">
      <c r="A317" s="70">
        <v>43084</v>
      </c>
      <c r="B317" s="71">
        <f t="shared" si="28"/>
        <v>315</v>
      </c>
      <c r="C317" s="72">
        <f t="shared" si="29"/>
        <v>162.65016015911368</v>
      </c>
      <c r="D317" s="72">
        <v>160</v>
      </c>
      <c r="E317" s="80">
        <f t="shared" si="24"/>
        <v>2.6501601591136819</v>
      </c>
      <c r="F317" s="72">
        <f t="shared" si="25"/>
        <v>2114.4520820684779</v>
      </c>
      <c r="G317" s="80">
        <f t="shared" si="26"/>
        <v>82.154964932524138</v>
      </c>
      <c r="H317" s="73">
        <f t="shared" si="27"/>
        <v>2.3472847123578326E-2</v>
      </c>
      <c r="I317" s="61"/>
    </row>
    <row r="318" spans="1:9" x14ac:dyDescent="0.25">
      <c r="A318" s="70">
        <v>43084</v>
      </c>
      <c r="B318" s="71">
        <f t="shared" si="28"/>
        <v>316</v>
      </c>
      <c r="C318" s="72">
        <f t="shared" si="29"/>
        <v>162.62668731199011</v>
      </c>
      <c r="D318" s="72">
        <v>160</v>
      </c>
      <c r="E318" s="80">
        <f t="shared" si="24"/>
        <v>2.6266873119901106</v>
      </c>
      <c r="F318" s="72">
        <f t="shared" si="25"/>
        <v>2114.1469350558714</v>
      </c>
      <c r="G318" s="80">
        <f t="shared" si="26"/>
        <v>81.42730667169343</v>
      </c>
      <c r="H318" s="73">
        <f t="shared" si="27"/>
        <v>2.326494476334098E-2</v>
      </c>
      <c r="I318" s="61"/>
    </row>
    <row r="319" spans="1:9" x14ac:dyDescent="0.25">
      <c r="A319" s="70">
        <v>43084</v>
      </c>
      <c r="B319" s="71">
        <f t="shared" si="28"/>
        <v>317</v>
      </c>
      <c r="C319" s="72">
        <f t="shared" si="29"/>
        <v>162.60342236722676</v>
      </c>
      <c r="D319" s="72">
        <v>160</v>
      </c>
      <c r="E319" s="80">
        <f t="shared" si="24"/>
        <v>2.6034223672267558</v>
      </c>
      <c r="F319" s="72">
        <f t="shared" si="25"/>
        <v>2113.8444907739477</v>
      </c>
      <c r="G319" s="80">
        <f t="shared" si="26"/>
        <v>80.70609338402943</v>
      </c>
      <c r="H319" s="73">
        <f t="shared" si="27"/>
        <v>2.3058883824008409E-2</v>
      </c>
      <c r="I319" s="61"/>
    </row>
    <row r="320" spans="1:9" x14ac:dyDescent="0.25">
      <c r="A320" s="70">
        <v>43084</v>
      </c>
      <c r="B320" s="71">
        <f t="shared" si="28"/>
        <v>318</v>
      </c>
      <c r="C320" s="72">
        <f t="shared" si="29"/>
        <v>162.58036348340275</v>
      </c>
      <c r="D320" s="72">
        <v>160</v>
      </c>
      <c r="E320" s="80">
        <f t="shared" si="24"/>
        <v>2.5803634834027491</v>
      </c>
      <c r="F320" s="72">
        <f t="shared" si="25"/>
        <v>2113.5447252842359</v>
      </c>
      <c r="G320" s="80">
        <f t="shared" si="26"/>
        <v>79.991267985485223</v>
      </c>
      <c r="H320" s="73">
        <f t="shared" si="27"/>
        <v>2.285464799585292E-2</v>
      </c>
      <c r="I320" s="61"/>
    </row>
    <row r="321" spans="1:9" x14ac:dyDescent="0.25">
      <c r="A321" s="70">
        <v>43084</v>
      </c>
      <c r="B321" s="71">
        <f t="shared" si="28"/>
        <v>319</v>
      </c>
      <c r="C321" s="72">
        <f t="shared" si="29"/>
        <v>162.55750883540691</v>
      </c>
      <c r="D321" s="72">
        <v>160</v>
      </c>
      <c r="E321" s="80">
        <f t="shared" si="24"/>
        <v>2.5575088354069067</v>
      </c>
      <c r="F321" s="72">
        <f t="shared" si="25"/>
        <v>2113.24761486029</v>
      </c>
      <c r="G321" s="80">
        <f t="shared" si="26"/>
        <v>79.282773897614106</v>
      </c>
      <c r="H321" s="73">
        <f t="shared" si="27"/>
        <v>2.2652221113604029E-2</v>
      </c>
      <c r="I321" s="61"/>
    </row>
    <row r="322" spans="1:9" x14ac:dyDescent="0.25">
      <c r="A322" s="70">
        <v>43084</v>
      </c>
      <c r="B322" s="71">
        <f t="shared" si="28"/>
        <v>320</v>
      </c>
      <c r="C322" s="72">
        <f t="shared" si="29"/>
        <v>162.53485661429329</v>
      </c>
      <c r="D322" s="72">
        <v>160</v>
      </c>
      <c r="E322" s="80">
        <f t="shared" si="24"/>
        <v>2.5348566142932896</v>
      </c>
      <c r="F322" s="72">
        <f t="shared" si="25"/>
        <v>2112.9531359858129</v>
      </c>
      <c r="G322" s="80">
        <f t="shared" si="26"/>
        <v>78.580555043091977</v>
      </c>
      <c r="H322" s="73">
        <f t="shared" si="27"/>
        <v>2.2451587155169137E-2</v>
      </c>
      <c r="I322" s="61"/>
    </row>
    <row r="323" spans="1:9" x14ac:dyDescent="0.25">
      <c r="A323" s="70">
        <v>43084</v>
      </c>
      <c r="B323" s="71">
        <f t="shared" si="28"/>
        <v>321</v>
      </c>
      <c r="C323" s="72">
        <f t="shared" si="29"/>
        <v>162.51240502713813</v>
      </c>
      <c r="D323" s="72">
        <v>160</v>
      </c>
      <c r="E323" s="80">
        <f t="shared" ref="E323:E386" si="30">C323-D323</f>
        <v>2.5124050271381293</v>
      </c>
      <c r="F323" s="72">
        <f t="shared" ref="F323:F388" si="31">13*C323</f>
        <v>2112.6612653527955</v>
      </c>
      <c r="G323" s="80">
        <f t="shared" ref="G323:G388" si="32">E323*31</f>
        <v>77.884555841282008</v>
      </c>
      <c r="H323" s="73">
        <f t="shared" ref="H323:H388" si="33">MIN($G323/3500,$F323/3500)</f>
        <v>2.2252730240366288E-2</v>
      </c>
      <c r="I323" s="61"/>
    </row>
    <row r="324" spans="1:9" x14ac:dyDescent="0.25">
      <c r="A324" s="70">
        <v>43084</v>
      </c>
      <c r="B324" s="71">
        <f t="shared" ref="B324:B388" si="34">B323+1</f>
        <v>322</v>
      </c>
      <c r="C324" s="72">
        <f t="shared" ref="C324:C388" si="35">C323-H323</f>
        <v>162.49015229689778</v>
      </c>
      <c r="D324" s="72">
        <v>160</v>
      </c>
      <c r="E324" s="80">
        <f t="shared" si="30"/>
        <v>2.4901522968977758</v>
      </c>
      <c r="F324" s="72">
        <f t="shared" si="31"/>
        <v>2112.3719798596712</v>
      </c>
      <c r="G324" s="80">
        <f t="shared" si="32"/>
        <v>77.194721203831051</v>
      </c>
      <c r="H324" s="73">
        <f t="shared" si="33"/>
        <v>2.2055634629666015E-2</v>
      </c>
      <c r="I324" s="61"/>
    </row>
    <row r="325" spans="1:9" x14ac:dyDescent="0.25">
      <c r="A325" s="70">
        <v>43084</v>
      </c>
      <c r="B325" s="71">
        <f t="shared" si="34"/>
        <v>323</v>
      </c>
      <c r="C325" s="72">
        <f t="shared" si="35"/>
        <v>162.46809666226812</v>
      </c>
      <c r="D325" s="72">
        <v>160</v>
      </c>
      <c r="E325" s="80">
        <f t="shared" si="30"/>
        <v>2.468096662268124</v>
      </c>
      <c r="F325" s="72">
        <f t="shared" si="31"/>
        <v>2112.0852566094854</v>
      </c>
      <c r="G325" s="80">
        <f t="shared" si="32"/>
        <v>76.510996530311843</v>
      </c>
      <c r="H325" s="73">
        <f t="shared" si="33"/>
        <v>2.1860284722946242E-2</v>
      </c>
      <c r="I325" s="61"/>
    </row>
    <row r="326" spans="1:9" x14ac:dyDescent="0.25">
      <c r="A326" s="70">
        <v>43084</v>
      </c>
      <c r="B326" s="71">
        <f t="shared" si="34"/>
        <v>324</v>
      </c>
      <c r="C326" s="72">
        <f t="shared" si="35"/>
        <v>162.44623637754518</v>
      </c>
      <c r="D326" s="72">
        <v>160</v>
      </c>
      <c r="E326" s="80">
        <f t="shared" si="30"/>
        <v>2.4462363775451763</v>
      </c>
      <c r="F326" s="72">
        <f t="shared" si="31"/>
        <v>2111.8010729080875</v>
      </c>
      <c r="G326" s="80">
        <f t="shared" si="32"/>
        <v>75.833327703900466</v>
      </c>
      <c r="H326" s="73">
        <f t="shared" si="33"/>
        <v>2.1666665058257276E-2</v>
      </c>
      <c r="I326" s="61"/>
    </row>
    <row r="327" spans="1:9" x14ac:dyDescent="0.25">
      <c r="A327" s="70">
        <v>43084</v>
      </c>
      <c r="B327" s="71">
        <f t="shared" si="34"/>
        <v>325</v>
      </c>
      <c r="C327" s="72">
        <f t="shared" si="35"/>
        <v>162.42456971248691</v>
      </c>
      <c r="D327" s="72">
        <v>160</v>
      </c>
      <c r="E327" s="80">
        <f t="shared" si="30"/>
        <v>2.4245697124869139</v>
      </c>
      <c r="F327" s="72">
        <f t="shared" si="31"/>
        <v>2111.51940626233</v>
      </c>
      <c r="G327" s="80">
        <f t="shared" si="32"/>
        <v>75.16166108709433</v>
      </c>
      <c r="H327" s="73">
        <f t="shared" si="33"/>
        <v>2.1474760310598379E-2</v>
      </c>
      <c r="I327" s="61"/>
    </row>
    <row r="328" spans="1:9" x14ac:dyDescent="0.25">
      <c r="A328" s="70">
        <v>43084</v>
      </c>
      <c r="B328" s="71">
        <f t="shared" si="34"/>
        <v>326</v>
      </c>
      <c r="C328" s="72">
        <f t="shared" si="35"/>
        <v>162.4030949521763</v>
      </c>
      <c r="D328" s="72">
        <v>160</v>
      </c>
      <c r="E328" s="80">
        <f t="shared" si="30"/>
        <v>2.4030949521763034</v>
      </c>
      <c r="F328" s="72">
        <f t="shared" si="31"/>
        <v>2111.2402343782919</v>
      </c>
      <c r="G328" s="80">
        <f t="shared" si="32"/>
        <v>74.495943517465406</v>
      </c>
      <c r="H328" s="73">
        <f t="shared" si="33"/>
        <v>2.1284555290704402E-2</v>
      </c>
      <c r="I328" s="61"/>
    </row>
    <row r="329" spans="1:9" x14ac:dyDescent="0.25">
      <c r="A329" s="70">
        <v>43084</v>
      </c>
      <c r="B329" s="71">
        <f t="shared" si="34"/>
        <v>327</v>
      </c>
      <c r="C329" s="72">
        <f t="shared" si="35"/>
        <v>162.38181039688561</v>
      </c>
      <c r="D329" s="72">
        <v>160</v>
      </c>
      <c r="E329" s="80">
        <f t="shared" si="30"/>
        <v>2.3818103968856121</v>
      </c>
      <c r="F329" s="72">
        <f t="shared" si="31"/>
        <v>2110.963535159513</v>
      </c>
      <c r="G329" s="80">
        <f t="shared" si="32"/>
        <v>73.836122303453976</v>
      </c>
      <c r="H329" s="73">
        <f t="shared" si="33"/>
        <v>2.1096034943843992E-2</v>
      </c>
      <c r="I329" s="61"/>
    </row>
    <row r="330" spans="1:9" x14ac:dyDescent="0.25">
      <c r="A330" s="70">
        <v>43084</v>
      </c>
      <c r="B330" s="71">
        <f t="shared" si="34"/>
        <v>328</v>
      </c>
      <c r="C330" s="72">
        <f t="shared" si="35"/>
        <v>162.36071436194177</v>
      </c>
      <c r="D330" s="72">
        <v>160</v>
      </c>
      <c r="E330" s="80">
        <f t="shared" si="30"/>
        <v>2.3607143619417741</v>
      </c>
      <c r="F330" s="72">
        <f t="shared" si="31"/>
        <v>2110.6892867052429</v>
      </c>
      <c r="G330" s="80">
        <f t="shared" si="32"/>
        <v>73.182145220194997</v>
      </c>
      <c r="H330" s="73">
        <f t="shared" si="33"/>
        <v>2.0909184348627142E-2</v>
      </c>
      <c r="I330" s="61"/>
    </row>
    <row r="331" spans="1:9" x14ac:dyDescent="0.25">
      <c r="A331" s="70">
        <v>43084</v>
      </c>
      <c r="B331" s="71">
        <f t="shared" si="34"/>
        <v>329</v>
      </c>
      <c r="C331" s="72">
        <f t="shared" si="35"/>
        <v>162.33980517759315</v>
      </c>
      <c r="D331" s="72">
        <v>160</v>
      </c>
      <c r="E331" s="80">
        <f t="shared" si="30"/>
        <v>2.3398051775931492</v>
      </c>
      <c r="F331" s="72">
        <f t="shared" si="31"/>
        <v>2110.4174673087109</v>
      </c>
      <c r="G331" s="80">
        <f t="shared" si="32"/>
        <v>72.533960505387626</v>
      </c>
      <c r="H331" s="73">
        <f t="shared" si="33"/>
        <v>2.0723988715825037E-2</v>
      </c>
      <c r="I331" s="61"/>
    </row>
    <row r="332" spans="1:9" x14ac:dyDescent="0.25">
      <c r="A332" s="70">
        <v>43084</v>
      </c>
      <c r="B332" s="71">
        <f t="shared" si="34"/>
        <v>330</v>
      </c>
      <c r="C332" s="72">
        <f t="shared" si="35"/>
        <v>162.31908118887733</v>
      </c>
      <c r="D332" s="72">
        <v>160</v>
      </c>
      <c r="E332" s="80">
        <f t="shared" si="30"/>
        <v>2.3190811888773339</v>
      </c>
      <c r="F332" s="72">
        <f t="shared" si="31"/>
        <v>2110.1480554554055</v>
      </c>
      <c r="G332" s="80">
        <f t="shared" si="32"/>
        <v>71.891516855197352</v>
      </c>
      <c r="H332" s="73">
        <f t="shared" si="33"/>
        <v>2.0540433387199245E-2</v>
      </c>
      <c r="I332" s="61"/>
    </row>
    <row r="333" spans="1:9" x14ac:dyDescent="0.25">
      <c r="A333" s="70">
        <v>43084</v>
      </c>
      <c r="B333" s="71">
        <f t="shared" si="34"/>
        <v>331</v>
      </c>
      <c r="C333" s="72">
        <f t="shared" si="35"/>
        <v>162.29854075549014</v>
      </c>
      <c r="D333" s="72">
        <v>160</v>
      </c>
      <c r="E333" s="80">
        <f t="shared" si="30"/>
        <v>2.2985407554901371</v>
      </c>
      <c r="F333" s="72">
        <f t="shared" si="31"/>
        <v>2109.8810298213716</v>
      </c>
      <c r="G333" s="80">
        <f t="shared" si="32"/>
        <v>71.254763420194251</v>
      </c>
      <c r="H333" s="73">
        <f t="shared" si="33"/>
        <v>2.0358503834341214E-2</v>
      </c>
      <c r="I333" s="61"/>
    </row>
    <row r="334" spans="1:9" x14ac:dyDescent="0.25">
      <c r="A334" s="70">
        <v>43084</v>
      </c>
      <c r="B334" s="71">
        <f t="shared" si="34"/>
        <v>332</v>
      </c>
      <c r="C334" s="72">
        <f t="shared" si="35"/>
        <v>162.27818225165581</v>
      </c>
      <c r="D334" s="72">
        <v>160</v>
      </c>
      <c r="E334" s="80">
        <f t="shared" si="30"/>
        <v>2.2781822516558066</v>
      </c>
      <c r="F334" s="72">
        <f t="shared" si="31"/>
        <v>2109.6163692715254</v>
      </c>
      <c r="G334" s="80">
        <f t="shared" si="32"/>
        <v>70.623649801330004</v>
      </c>
      <c r="H334" s="73">
        <f t="shared" si="33"/>
        <v>2.0178185657522857E-2</v>
      </c>
      <c r="I334" s="61"/>
    </row>
    <row r="335" spans="1:9" x14ac:dyDescent="0.25">
      <c r="A335" s="70">
        <v>43084</v>
      </c>
      <c r="B335" s="71">
        <f t="shared" si="34"/>
        <v>333</v>
      </c>
      <c r="C335" s="72">
        <f t="shared" si="35"/>
        <v>162.25800406599828</v>
      </c>
      <c r="D335" s="72">
        <v>160</v>
      </c>
      <c r="E335" s="80">
        <f t="shared" si="30"/>
        <v>2.2580040659982785</v>
      </c>
      <c r="F335" s="72">
        <f t="shared" si="31"/>
        <v>2109.3540528579774</v>
      </c>
      <c r="G335" s="80">
        <f t="shared" si="32"/>
        <v>69.998126045946634</v>
      </c>
      <c r="H335" s="73">
        <f t="shared" si="33"/>
        <v>1.9999464584556183E-2</v>
      </c>
      <c r="I335" s="61"/>
    </row>
    <row r="336" spans="1:9" x14ac:dyDescent="0.25">
      <c r="A336" s="70">
        <v>43084</v>
      </c>
      <c r="B336" s="71">
        <f t="shared" si="34"/>
        <v>334</v>
      </c>
      <c r="C336" s="72">
        <f t="shared" si="35"/>
        <v>162.23800460141373</v>
      </c>
      <c r="D336" s="72">
        <v>160</v>
      </c>
      <c r="E336" s="80">
        <f t="shared" si="30"/>
        <v>2.2380046014137349</v>
      </c>
      <c r="F336" s="72">
        <f t="shared" si="31"/>
        <v>2109.0940598183784</v>
      </c>
      <c r="G336" s="80">
        <f t="shared" si="32"/>
        <v>69.378142643825782</v>
      </c>
      <c r="H336" s="73">
        <f t="shared" si="33"/>
        <v>1.982232646966451E-2</v>
      </c>
      <c r="I336" s="61"/>
    </row>
    <row r="337" spans="1:9" x14ac:dyDescent="0.25">
      <c r="A337" s="70">
        <v>43084</v>
      </c>
      <c r="B337" s="71">
        <f t="shared" si="34"/>
        <v>335</v>
      </c>
      <c r="C337" s="72">
        <f t="shared" si="35"/>
        <v>162.21818227494407</v>
      </c>
      <c r="D337" s="72">
        <v>160</v>
      </c>
      <c r="E337" s="80">
        <f t="shared" si="30"/>
        <v>2.2181822749440698</v>
      </c>
      <c r="F337" s="72">
        <f t="shared" si="31"/>
        <v>2108.8363695742728</v>
      </c>
      <c r="G337" s="80">
        <f t="shared" si="32"/>
        <v>68.763650523266165</v>
      </c>
      <c r="H337" s="73">
        <f t="shared" si="33"/>
        <v>1.9646757292361761E-2</v>
      </c>
      <c r="I337" s="61"/>
    </row>
    <row r="338" spans="1:9" x14ac:dyDescent="0.25">
      <c r="A338" s="70">
        <v>43084</v>
      </c>
      <c r="B338" s="71">
        <f t="shared" si="34"/>
        <v>336</v>
      </c>
      <c r="C338" s="72">
        <f t="shared" si="35"/>
        <v>162.19853551765172</v>
      </c>
      <c r="D338" s="72">
        <v>160</v>
      </c>
      <c r="E338" s="80">
        <f t="shared" si="30"/>
        <v>2.1985355176517203</v>
      </c>
      <c r="F338" s="72">
        <f t="shared" si="31"/>
        <v>2108.5809617294722</v>
      </c>
      <c r="G338" s="80">
        <f t="shared" si="32"/>
        <v>68.154601047203329</v>
      </c>
      <c r="H338" s="73">
        <f t="shared" si="33"/>
        <v>1.9472743156343807E-2</v>
      </c>
      <c r="I338" s="61"/>
    </row>
    <row r="339" spans="1:9" x14ac:dyDescent="0.25">
      <c r="A339" s="70">
        <v>43084</v>
      </c>
      <c r="B339" s="71">
        <f t="shared" si="34"/>
        <v>337</v>
      </c>
      <c r="C339" s="72">
        <f t="shared" si="35"/>
        <v>162.17906277449538</v>
      </c>
      <c r="D339" s="72">
        <v>160</v>
      </c>
      <c r="E339" s="80">
        <f t="shared" si="30"/>
        <v>2.1790627744953781</v>
      </c>
      <c r="F339" s="72">
        <f t="shared" si="31"/>
        <v>2108.3278160684399</v>
      </c>
      <c r="G339" s="80">
        <f t="shared" si="32"/>
        <v>67.550946009356721</v>
      </c>
      <c r="H339" s="73">
        <f t="shared" si="33"/>
        <v>1.9300270288387635E-2</v>
      </c>
      <c r="I339" s="61"/>
    </row>
    <row r="340" spans="1:9" x14ac:dyDescent="0.25">
      <c r="A340" s="70">
        <v>43084</v>
      </c>
      <c r="B340" s="71">
        <f t="shared" si="34"/>
        <v>338</v>
      </c>
      <c r="C340" s="72">
        <f t="shared" si="35"/>
        <v>162.15976250420698</v>
      </c>
      <c r="D340" s="72">
        <v>160</v>
      </c>
      <c r="E340" s="80">
        <f t="shared" si="30"/>
        <v>2.1597625042069808</v>
      </c>
      <c r="F340" s="72">
        <f t="shared" si="31"/>
        <v>2108.0769125546908</v>
      </c>
      <c r="G340" s="80">
        <f t="shared" si="32"/>
        <v>66.952637630416405</v>
      </c>
      <c r="H340" s="73">
        <f t="shared" si="33"/>
        <v>1.9129325037261832E-2</v>
      </c>
      <c r="I340" s="61"/>
    </row>
    <row r="341" spans="1:9" x14ac:dyDescent="0.25">
      <c r="A341" s="70">
        <v>43084</v>
      </c>
      <c r="B341" s="71">
        <f t="shared" si="34"/>
        <v>339</v>
      </c>
      <c r="C341" s="72">
        <f t="shared" si="35"/>
        <v>162.14063317916973</v>
      </c>
      <c r="D341" s="72">
        <v>160</v>
      </c>
      <c r="E341" s="80">
        <f t="shared" si="30"/>
        <v>2.1406331791697255</v>
      </c>
      <c r="F341" s="72">
        <f t="shared" si="31"/>
        <v>2107.8282313292066</v>
      </c>
      <c r="G341" s="80">
        <f t="shared" si="32"/>
        <v>66.359628554261491</v>
      </c>
      <c r="H341" s="73">
        <f t="shared" si="33"/>
        <v>1.8959893872646141E-2</v>
      </c>
      <c r="I341" s="61"/>
    </row>
    <row r="342" spans="1:9" x14ac:dyDescent="0.25">
      <c r="A342" s="70">
        <v>43084</v>
      </c>
      <c r="B342" s="71">
        <f t="shared" si="34"/>
        <v>340</v>
      </c>
      <c r="C342" s="72">
        <f t="shared" si="35"/>
        <v>162.12167328529708</v>
      </c>
      <c r="D342" s="72">
        <v>160</v>
      </c>
      <c r="E342" s="80">
        <f t="shared" si="30"/>
        <v>2.1216732852970779</v>
      </c>
      <c r="F342" s="72">
        <f t="shared" si="31"/>
        <v>2107.581752708862</v>
      </c>
      <c r="G342" s="80">
        <f t="shared" si="32"/>
        <v>65.771871844209414</v>
      </c>
      <c r="H342" s="73">
        <f t="shared" si="33"/>
        <v>1.8791963384059834E-2</v>
      </c>
      <c r="I342" s="61"/>
    </row>
    <row r="343" spans="1:9" x14ac:dyDescent="0.25">
      <c r="A343" s="70">
        <v>43084</v>
      </c>
      <c r="B343" s="71">
        <f t="shared" si="34"/>
        <v>341</v>
      </c>
      <c r="C343" s="72">
        <f t="shared" si="35"/>
        <v>162.10288132191303</v>
      </c>
      <c r="D343" s="72">
        <v>160</v>
      </c>
      <c r="E343" s="80">
        <f t="shared" si="30"/>
        <v>2.1028813219130313</v>
      </c>
      <c r="F343" s="72">
        <f t="shared" si="31"/>
        <v>2107.3374571848694</v>
      </c>
      <c r="G343" s="80">
        <f t="shared" si="32"/>
        <v>65.189320979303972</v>
      </c>
      <c r="H343" s="73">
        <f t="shared" si="33"/>
        <v>1.8625520279801133E-2</v>
      </c>
      <c r="I343" s="61"/>
    </row>
    <row r="344" spans="1:9" x14ac:dyDescent="0.25">
      <c r="A344" s="70">
        <v>43084</v>
      </c>
      <c r="B344" s="71">
        <f t="shared" si="34"/>
        <v>342</v>
      </c>
      <c r="C344" s="72">
        <f t="shared" si="35"/>
        <v>162.08425580163322</v>
      </c>
      <c r="D344" s="72">
        <v>160</v>
      </c>
      <c r="E344" s="80">
        <f t="shared" si="30"/>
        <v>2.0842558016332191</v>
      </c>
      <c r="F344" s="72">
        <f t="shared" si="31"/>
        <v>2107.0953254212318</v>
      </c>
      <c r="G344" s="80">
        <f t="shared" si="32"/>
        <v>64.611929850629792</v>
      </c>
      <c r="H344" s="73">
        <f t="shared" si="33"/>
        <v>1.8460551385894225E-2</v>
      </c>
      <c r="I344" s="61"/>
    </row>
    <row r="345" spans="1:9" x14ac:dyDescent="0.25">
      <c r="A345" s="70">
        <v>43084</v>
      </c>
      <c r="B345" s="71">
        <f t="shared" si="34"/>
        <v>343</v>
      </c>
      <c r="C345" s="72">
        <f t="shared" si="35"/>
        <v>162.06579525024733</v>
      </c>
      <c r="D345" s="72">
        <v>160</v>
      </c>
      <c r="E345" s="80">
        <f t="shared" si="30"/>
        <v>2.0657952502473336</v>
      </c>
      <c r="F345" s="72">
        <f t="shared" si="31"/>
        <v>2106.8553382532155</v>
      </c>
      <c r="G345" s="80">
        <f t="shared" si="32"/>
        <v>64.039652757667341</v>
      </c>
      <c r="H345" s="73">
        <f t="shared" si="33"/>
        <v>1.8297043645047813E-2</v>
      </c>
      <c r="I345" s="61"/>
    </row>
    <row r="346" spans="1:9" x14ac:dyDescent="0.25">
      <c r="A346" s="70">
        <v>43084</v>
      </c>
      <c r="B346" s="71">
        <f t="shared" si="34"/>
        <v>344</v>
      </c>
      <c r="C346" s="72">
        <f t="shared" si="35"/>
        <v>162.04749820660228</v>
      </c>
      <c r="D346" s="72">
        <v>160</v>
      </c>
      <c r="E346" s="80">
        <f t="shared" si="30"/>
        <v>2.0474982066022847</v>
      </c>
      <c r="F346" s="72">
        <f t="shared" si="31"/>
        <v>2106.6174766858298</v>
      </c>
      <c r="G346" s="80">
        <f t="shared" si="32"/>
        <v>63.472444404670824</v>
      </c>
      <c r="H346" s="73">
        <f t="shared" si="33"/>
        <v>1.8134984115620235E-2</v>
      </c>
      <c r="I346" s="61"/>
    </row>
    <row r="347" spans="1:9" x14ac:dyDescent="0.25">
      <c r="A347" s="70">
        <v>43084</v>
      </c>
      <c r="B347" s="71">
        <f t="shared" si="34"/>
        <v>345</v>
      </c>
      <c r="C347" s="72">
        <f t="shared" si="35"/>
        <v>162.02936322248667</v>
      </c>
      <c r="D347" s="72">
        <v>160</v>
      </c>
      <c r="E347" s="80">
        <f t="shared" si="30"/>
        <v>2.0293632224866656</v>
      </c>
      <c r="F347" s="72">
        <f t="shared" si="31"/>
        <v>2106.3817218923268</v>
      </c>
      <c r="G347" s="80">
        <f t="shared" si="32"/>
        <v>62.910259897086632</v>
      </c>
      <c r="H347" s="73">
        <f t="shared" si="33"/>
        <v>1.7974359970596182E-2</v>
      </c>
      <c r="I347" s="61"/>
    </row>
    <row r="348" spans="1:9" x14ac:dyDescent="0.25">
      <c r="A348" s="70">
        <v>43084</v>
      </c>
      <c r="B348" s="71">
        <f t="shared" si="34"/>
        <v>346</v>
      </c>
      <c r="C348" s="72">
        <f t="shared" si="35"/>
        <v>162.01138886251607</v>
      </c>
      <c r="D348" s="72">
        <v>160</v>
      </c>
      <c r="E348" s="80">
        <f t="shared" si="30"/>
        <v>2.0113888625160712</v>
      </c>
      <c r="F348" s="72">
        <f t="shared" si="31"/>
        <v>2106.1480552127091</v>
      </c>
      <c r="G348" s="80">
        <f t="shared" si="32"/>
        <v>62.353054737998207</v>
      </c>
      <c r="H348" s="73">
        <f t="shared" si="33"/>
        <v>1.7815158496570917E-2</v>
      </c>
      <c r="I348" s="61"/>
    </row>
    <row r="349" spans="1:9" x14ac:dyDescent="0.25">
      <c r="A349" s="70">
        <v>43084</v>
      </c>
      <c r="B349" s="71">
        <f t="shared" si="34"/>
        <v>347</v>
      </c>
      <c r="C349" s="72">
        <f t="shared" si="35"/>
        <v>161.9935737040195</v>
      </c>
      <c r="D349" s="72">
        <v>160</v>
      </c>
      <c r="E349" s="80">
        <f t="shared" si="30"/>
        <v>1.9935737040194965</v>
      </c>
      <c r="F349" s="72">
        <f t="shared" si="31"/>
        <v>2105.9164581522537</v>
      </c>
      <c r="G349" s="80">
        <f t="shared" si="32"/>
        <v>61.800784824604392</v>
      </c>
      <c r="H349" s="73">
        <f t="shared" si="33"/>
        <v>1.7657367092744111E-2</v>
      </c>
      <c r="I349" s="61"/>
    </row>
    <row r="350" spans="1:9" x14ac:dyDescent="0.25">
      <c r="A350" s="70">
        <v>43084</v>
      </c>
      <c r="B350" s="71">
        <f t="shared" si="34"/>
        <v>348</v>
      </c>
      <c r="C350" s="72">
        <f t="shared" si="35"/>
        <v>161.97591633692676</v>
      </c>
      <c r="D350" s="72">
        <v>160</v>
      </c>
      <c r="E350" s="80">
        <f t="shared" si="30"/>
        <v>1.9759163369267583</v>
      </c>
      <c r="F350" s="72">
        <f t="shared" si="31"/>
        <v>2105.6869123800479</v>
      </c>
      <c r="G350" s="80">
        <f t="shared" si="32"/>
        <v>61.253406444729507</v>
      </c>
      <c r="H350" s="73">
        <f t="shared" si="33"/>
        <v>1.7500973269922716E-2</v>
      </c>
      <c r="I350" s="61"/>
    </row>
    <row r="351" spans="1:9" x14ac:dyDescent="0.25">
      <c r="A351" s="70">
        <v>43084</v>
      </c>
      <c r="B351" s="71">
        <f t="shared" si="34"/>
        <v>349</v>
      </c>
      <c r="C351" s="72">
        <f t="shared" si="35"/>
        <v>161.95841536365683</v>
      </c>
      <c r="D351" s="72">
        <v>160</v>
      </c>
      <c r="E351" s="80">
        <f t="shared" si="30"/>
        <v>1.958415363656826</v>
      </c>
      <c r="F351" s="72">
        <f t="shared" si="31"/>
        <v>2105.4593997275388</v>
      </c>
      <c r="G351" s="80">
        <f t="shared" si="32"/>
        <v>60.710876273361606</v>
      </c>
      <c r="H351" s="73">
        <f t="shared" si="33"/>
        <v>1.7345964649531889E-2</v>
      </c>
      <c r="I351" s="61"/>
    </row>
    <row r="352" spans="1:9" x14ac:dyDescent="0.25">
      <c r="A352" s="70">
        <v>43084</v>
      </c>
      <c r="B352" s="71">
        <f t="shared" si="34"/>
        <v>350</v>
      </c>
      <c r="C352" s="72">
        <f t="shared" si="35"/>
        <v>161.94106939900729</v>
      </c>
      <c r="D352" s="72">
        <v>160</v>
      </c>
      <c r="E352" s="80">
        <f t="shared" si="30"/>
        <v>1.94106939900729</v>
      </c>
      <c r="F352" s="72">
        <f t="shared" si="31"/>
        <v>2105.2339021870948</v>
      </c>
      <c r="G352" s="80">
        <f t="shared" si="32"/>
        <v>60.173151369225991</v>
      </c>
      <c r="H352" s="73">
        <f t="shared" si="33"/>
        <v>1.7192328962635998E-2</v>
      </c>
      <c r="I352" s="61"/>
    </row>
    <row r="353" spans="1:9" x14ac:dyDescent="0.25">
      <c r="A353" s="70">
        <v>43084</v>
      </c>
      <c r="B353" s="71">
        <f t="shared" si="34"/>
        <v>351</v>
      </c>
      <c r="C353" s="72">
        <f t="shared" si="35"/>
        <v>161.92387707004465</v>
      </c>
      <c r="D353" s="72">
        <v>160</v>
      </c>
      <c r="E353" s="80">
        <f t="shared" si="30"/>
        <v>1.9238770700446537</v>
      </c>
      <c r="F353" s="72">
        <f t="shared" si="31"/>
        <v>2105.0104019105806</v>
      </c>
      <c r="G353" s="80">
        <f t="shared" si="32"/>
        <v>59.640189171384264</v>
      </c>
      <c r="H353" s="73">
        <f t="shared" si="33"/>
        <v>1.7040054048966934E-2</v>
      </c>
      <c r="I353" s="61"/>
    </row>
    <row r="354" spans="1:9" x14ac:dyDescent="0.25">
      <c r="A354" s="70">
        <v>43084</v>
      </c>
      <c r="B354" s="71">
        <f t="shared" si="34"/>
        <v>352</v>
      </c>
      <c r="C354" s="72">
        <f t="shared" si="35"/>
        <v>161.90683701599568</v>
      </c>
      <c r="D354" s="72">
        <v>160</v>
      </c>
      <c r="E354" s="80">
        <f t="shared" si="30"/>
        <v>1.9068370159956771</v>
      </c>
      <c r="F354" s="72">
        <f t="shared" si="31"/>
        <v>2104.7888812079436</v>
      </c>
      <c r="G354" s="80">
        <f t="shared" si="32"/>
        <v>59.111947495865991</v>
      </c>
      <c r="H354" s="73">
        <f t="shared" si="33"/>
        <v>1.6889127855961712E-2</v>
      </c>
      <c r="I354" s="61"/>
    </row>
    <row r="355" spans="1:9" x14ac:dyDescent="0.25">
      <c r="A355" s="70">
        <v>43084</v>
      </c>
      <c r="B355" s="71">
        <f t="shared" si="34"/>
        <v>353</v>
      </c>
      <c r="C355" s="72">
        <f t="shared" si="35"/>
        <v>161.88994788813972</v>
      </c>
      <c r="D355" s="72">
        <v>160</v>
      </c>
      <c r="E355" s="80">
        <f t="shared" si="30"/>
        <v>1.8899478881397158</v>
      </c>
      <c r="F355" s="72">
        <f t="shared" si="31"/>
        <v>2104.5693225458162</v>
      </c>
      <c r="G355" s="80">
        <f t="shared" si="32"/>
        <v>58.58838453233119</v>
      </c>
      <c r="H355" s="73">
        <f t="shared" si="33"/>
        <v>1.6739538437808912E-2</v>
      </c>
      <c r="I355" s="61"/>
    </row>
    <row r="356" spans="1:9" x14ac:dyDescent="0.25">
      <c r="A356" s="70">
        <v>43084</v>
      </c>
      <c r="B356" s="71">
        <f t="shared" si="34"/>
        <v>354</v>
      </c>
      <c r="C356" s="72">
        <f t="shared" si="35"/>
        <v>161.87320834970191</v>
      </c>
      <c r="D356" s="72">
        <v>160</v>
      </c>
      <c r="E356" s="80">
        <f t="shared" si="30"/>
        <v>1.8732083497019119</v>
      </c>
      <c r="F356" s="72">
        <f t="shared" si="31"/>
        <v>2104.3517085461249</v>
      </c>
      <c r="G356" s="80">
        <f t="shared" si="32"/>
        <v>58.069458840759268</v>
      </c>
      <c r="H356" s="73">
        <f t="shared" si="33"/>
        <v>1.6591273954502647E-2</v>
      </c>
      <c r="I356" s="61"/>
    </row>
    <row r="357" spans="1:9" x14ac:dyDescent="0.25">
      <c r="A357" s="70">
        <v>43084</v>
      </c>
      <c r="B357" s="71">
        <f t="shared" si="34"/>
        <v>355</v>
      </c>
      <c r="C357" s="72">
        <f t="shared" si="35"/>
        <v>161.85661707574741</v>
      </c>
      <c r="D357" s="72">
        <v>160</v>
      </c>
      <c r="E357" s="80">
        <f t="shared" si="30"/>
        <v>1.8566170757474083</v>
      </c>
      <c r="F357" s="72">
        <f t="shared" si="31"/>
        <v>2104.1360219847165</v>
      </c>
      <c r="G357" s="80">
        <f t="shared" si="32"/>
        <v>57.555129348169658</v>
      </c>
      <c r="H357" s="73">
        <f t="shared" si="33"/>
        <v>1.6444322670905617E-2</v>
      </c>
      <c r="I357" s="61"/>
    </row>
    <row r="358" spans="1:9" x14ac:dyDescent="0.25">
      <c r="A358" s="70">
        <v>43084</v>
      </c>
      <c r="B358" s="71">
        <f t="shared" si="34"/>
        <v>356</v>
      </c>
      <c r="C358" s="72">
        <f t="shared" si="35"/>
        <v>161.8401727530765</v>
      </c>
      <c r="D358" s="72">
        <v>160</v>
      </c>
      <c r="E358" s="80">
        <f t="shared" si="30"/>
        <v>1.8401727530765015</v>
      </c>
      <c r="F358" s="72">
        <f t="shared" si="31"/>
        <v>2103.9222457899946</v>
      </c>
      <c r="G358" s="80">
        <f t="shared" si="32"/>
        <v>57.045355345371547</v>
      </c>
      <c r="H358" s="73">
        <f t="shared" si="33"/>
        <v>1.629867295582044E-2</v>
      </c>
      <c r="I358" s="61"/>
    </row>
    <row r="359" spans="1:9" x14ac:dyDescent="0.25">
      <c r="A359" s="70">
        <v>43084</v>
      </c>
      <c r="B359" s="71">
        <f t="shared" si="34"/>
        <v>357</v>
      </c>
      <c r="C359" s="72">
        <f t="shared" si="35"/>
        <v>161.82387408012067</v>
      </c>
      <c r="D359" s="72">
        <v>160</v>
      </c>
      <c r="E359" s="80">
        <f t="shared" si="30"/>
        <v>1.8238740801206745</v>
      </c>
      <c r="F359" s="72">
        <f t="shared" si="31"/>
        <v>2103.7103630415686</v>
      </c>
      <c r="G359" s="80">
        <f t="shared" si="32"/>
        <v>56.540096483740911</v>
      </c>
      <c r="H359" s="73">
        <f t="shared" si="33"/>
        <v>1.6154313281068831E-2</v>
      </c>
      <c r="I359" s="61"/>
    </row>
    <row r="360" spans="1:9" x14ac:dyDescent="0.25">
      <c r="A360" s="70">
        <v>43084</v>
      </c>
      <c r="B360" s="71">
        <f t="shared" si="34"/>
        <v>358</v>
      </c>
      <c r="C360" s="72">
        <f t="shared" si="35"/>
        <v>161.8077197668396</v>
      </c>
      <c r="D360" s="72">
        <v>160</v>
      </c>
      <c r="E360" s="80">
        <f t="shared" si="30"/>
        <v>1.8077197668395968</v>
      </c>
      <c r="F360" s="72">
        <f t="shared" si="31"/>
        <v>2103.5003569689147</v>
      </c>
      <c r="G360" s="80">
        <f t="shared" si="32"/>
        <v>56.0393127720275</v>
      </c>
      <c r="H360" s="73">
        <f t="shared" si="33"/>
        <v>1.6011232220579284E-2</v>
      </c>
      <c r="I360" s="61"/>
    </row>
    <row r="361" spans="1:9" x14ac:dyDescent="0.25">
      <c r="A361" s="70">
        <v>43084</v>
      </c>
      <c r="B361" s="71">
        <f t="shared" si="34"/>
        <v>359</v>
      </c>
      <c r="C361" s="72">
        <f t="shared" si="35"/>
        <v>161.791708534619</v>
      </c>
      <c r="D361" s="72">
        <v>160</v>
      </c>
      <c r="E361" s="80">
        <f t="shared" si="30"/>
        <v>1.7917085346190049</v>
      </c>
      <c r="F361" s="72">
        <f t="shared" si="31"/>
        <v>2103.2922109500469</v>
      </c>
      <c r="G361" s="80">
        <f t="shared" si="32"/>
        <v>55.542964573189153</v>
      </c>
      <c r="H361" s="73">
        <f t="shared" si="33"/>
        <v>1.5869418449482614E-2</v>
      </c>
      <c r="I361" s="61"/>
    </row>
    <row r="362" spans="1:9" x14ac:dyDescent="0.25">
      <c r="A362" s="70">
        <v>43084</v>
      </c>
      <c r="B362" s="71">
        <f t="shared" si="34"/>
        <v>360</v>
      </c>
      <c r="C362" s="72">
        <f t="shared" si="35"/>
        <v>161.77583911616952</v>
      </c>
      <c r="D362" s="72">
        <v>160</v>
      </c>
      <c r="E362" s="80">
        <f t="shared" si="30"/>
        <v>1.7758391161695215</v>
      </c>
      <c r="F362" s="72">
        <f t="shared" si="31"/>
        <v>2103.0859085102038</v>
      </c>
      <c r="G362" s="80">
        <f t="shared" si="32"/>
        <v>55.051012601255167</v>
      </c>
      <c r="H362" s="73">
        <f t="shared" si="33"/>
        <v>1.5728860743215761E-2</v>
      </c>
      <c r="I362" s="61"/>
    </row>
    <row r="363" spans="1:9" x14ac:dyDescent="0.25">
      <c r="A363" s="70">
        <v>43084</v>
      </c>
      <c r="B363" s="71">
        <f t="shared" si="34"/>
        <v>361</v>
      </c>
      <c r="C363" s="72">
        <f t="shared" si="35"/>
        <v>161.7601102554263</v>
      </c>
      <c r="D363" s="72">
        <v>160</v>
      </c>
      <c r="E363" s="80">
        <f t="shared" si="30"/>
        <v>1.760110255426298</v>
      </c>
      <c r="F363" s="72">
        <f t="shared" si="31"/>
        <v>2102.8814333205419</v>
      </c>
      <c r="G363" s="80">
        <f t="shared" si="32"/>
        <v>54.563417918215237</v>
      </c>
      <c r="H363" s="73">
        <f t="shared" si="33"/>
        <v>1.5589547976632924E-2</v>
      </c>
      <c r="I363" s="61"/>
    </row>
    <row r="364" spans="1:9" x14ac:dyDescent="0.25">
      <c r="A364" s="70">
        <v>43084</v>
      </c>
      <c r="B364" s="71">
        <f t="shared" si="34"/>
        <v>362</v>
      </c>
      <c r="C364" s="72">
        <f t="shared" si="35"/>
        <v>161.74452070744965</v>
      </c>
      <c r="D364" s="72">
        <v>160</v>
      </c>
      <c r="E364" s="80">
        <f t="shared" si="30"/>
        <v>1.7445207074496523</v>
      </c>
      <c r="F364" s="72">
        <f t="shared" si="31"/>
        <v>2102.6787691968457</v>
      </c>
      <c r="G364" s="80">
        <f t="shared" si="32"/>
        <v>54.08014193093922</v>
      </c>
      <c r="H364" s="73">
        <f t="shared" si="33"/>
        <v>1.5451469123125491E-2</v>
      </c>
      <c r="I364" s="61"/>
    </row>
    <row r="365" spans="1:9" x14ac:dyDescent="0.25">
      <c r="A365" s="70">
        <v>43084</v>
      </c>
      <c r="B365" s="71">
        <f t="shared" si="34"/>
        <v>363</v>
      </c>
      <c r="C365" s="72">
        <f t="shared" si="35"/>
        <v>161.72906923832653</v>
      </c>
      <c r="D365" s="72">
        <v>160</v>
      </c>
      <c r="E365" s="80">
        <f t="shared" si="30"/>
        <v>1.7290692383265309</v>
      </c>
      <c r="F365" s="72">
        <f t="shared" si="31"/>
        <v>2102.4779000982448</v>
      </c>
      <c r="G365" s="80">
        <f t="shared" si="32"/>
        <v>53.601146388122459</v>
      </c>
      <c r="H365" s="73">
        <f t="shared" si="33"/>
        <v>1.5314613253749275E-2</v>
      </c>
      <c r="I365" s="61"/>
    </row>
    <row r="366" spans="1:9" x14ac:dyDescent="0.25">
      <c r="A366" s="70">
        <v>43084</v>
      </c>
      <c r="B366" s="71">
        <f t="shared" si="34"/>
        <v>364</v>
      </c>
      <c r="C366" s="72">
        <f t="shared" si="35"/>
        <v>161.7137546250728</v>
      </c>
      <c r="D366" s="72">
        <v>160</v>
      </c>
      <c r="E366" s="80">
        <f t="shared" si="30"/>
        <v>1.7137546250727951</v>
      </c>
      <c r="F366" s="72">
        <f t="shared" si="31"/>
        <v>2102.2788101259462</v>
      </c>
      <c r="G366" s="80">
        <f t="shared" si="32"/>
        <v>53.126393377256647</v>
      </c>
      <c r="H366" s="73">
        <f t="shared" si="33"/>
        <v>1.5178969536359043E-2</v>
      </c>
      <c r="I366" s="61"/>
    </row>
    <row r="367" spans="1:9" x14ac:dyDescent="0.25">
      <c r="A367" s="70">
        <v>43084</v>
      </c>
      <c r="B367" s="71">
        <f t="shared" si="34"/>
        <v>365</v>
      </c>
      <c r="C367" s="72">
        <f t="shared" si="35"/>
        <v>161.69857565553644</v>
      </c>
      <c r="D367" s="72">
        <v>160</v>
      </c>
      <c r="E367" s="80">
        <f t="shared" si="30"/>
        <v>1.6985756555364446</v>
      </c>
      <c r="F367" s="72">
        <f t="shared" si="31"/>
        <v>2102.081483521974</v>
      </c>
      <c r="G367" s="80">
        <f t="shared" si="32"/>
        <v>52.655845321629783</v>
      </c>
      <c r="H367" s="73">
        <f t="shared" si="33"/>
        <v>1.5044527234751366E-2</v>
      </c>
      <c r="I367" s="61"/>
    </row>
    <row r="368" spans="1:9" x14ac:dyDescent="0.25">
      <c r="A368" s="70">
        <v>43084</v>
      </c>
      <c r="B368" s="71">
        <f t="shared" si="34"/>
        <v>366</v>
      </c>
      <c r="C368" s="72">
        <f t="shared" si="35"/>
        <v>161.68353112830169</v>
      </c>
      <c r="D368" s="72">
        <v>160</v>
      </c>
      <c r="E368" s="80">
        <f t="shared" si="30"/>
        <v>1.6835311283016949</v>
      </c>
      <c r="F368" s="72">
        <f t="shared" si="31"/>
        <v>2101.8859046679222</v>
      </c>
      <c r="G368" s="80">
        <f t="shared" si="32"/>
        <v>52.189464977352543</v>
      </c>
      <c r="H368" s="73">
        <f t="shared" si="33"/>
        <v>1.4911275707815013E-2</v>
      </c>
      <c r="I368" s="61"/>
    </row>
    <row r="369" spans="1:9" x14ac:dyDescent="0.25">
      <c r="A369" s="70">
        <v>43084</v>
      </c>
      <c r="B369" s="71">
        <f t="shared" si="34"/>
        <v>367</v>
      </c>
      <c r="C369" s="72">
        <f t="shared" si="35"/>
        <v>161.66861985259388</v>
      </c>
      <c r="D369" s="72">
        <v>160</v>
      </c>
      <c r="E369" s="80">
        <f t="shared" si="30"/>
        <v>1.6686198525938778</v>
      </c>
      <c r="F369" s="72">
        <f t="shared" si="31"/>
        <v>2101.6920580837204</v>
      </c>
      <c r="G369" s="80">
        <f t="shared" si="32"/>
        <v>51.727215430410212</v>
      </c>
      <c r="H369" s="73">
        <f t="shared" si="33"/>
        <v>1.4779204408688632E-2</v>
      </c>
      <c r="I369" s="61"/>
    </row>
    <row r="370" spans="1:9" x14ac:dyDescent="0.25">
      <c r="A370" s="70">
        <v>43084</v>
      </c>
      <c r="B370" s="71">
        <f t="shared" si="34"/>
        <v>368</v>
      </c>
      <c r="C370" s="72">
        <f t="shared" si="35"/>
        <v>161.6538406481852</v>
      </c>
      <c r="D370" s="72">
        <v>160</v>
      </c>
      <c r="E370" s="80">
        <f t="shared" si="30"/>
        <v>1.6538406481851951</v>
      </c>
      <c r="F370" s="72">
        <f t="shared" si="31"/>
        <v>2101.4999284264077</v>
      </c>
      <c r="G370" s="80">
        <f t="shared" si="32"/>
        <v>51.269060093741047</v>
      </c>
      <c r="H370" s="73">
        <f t="shared" si="33"/>
        <v>1.4648302883926012E-2</v>
      </c>
      <c r="I370" s="61"/>
    </row>
    <row r="371" spans="1:9" x14ac:dyDescent="0.25">
      <c r="A371" s="70">
        <v>43084</v>
      </c>
      <c r="B371" s="71">
        <f t="shared" si="34"/>
        <v>369</v>
      </c>
      <c r="C371" s="72">
        <f t="shared" si="35"/>
        <v>161.63919234530127</v>
      </c>
      <c r="D371" s="72">
        <v>160</v>
      </c>
      <c r="E371" s="80">
        <f t="shared" si="30"/>
        <v>1.639192345301268</v>
      </c>
      <c r="F371" s="72">
        <f t="shared" si="31"/>
        <v>2101.3095004889165</v>
      </c>
      <c r="G371" s="80">
        <f t="shared" si="32"/>
        <v>50.814962704339308</v>
      </c>
      <c r="H371" s="73">
        <f t="shared" si="33"/>
        <v>1.4518560772668374E-2</v>
      </c>
      <c r="I371" s="61"/>
    </row>
    <row r="372" spans="1:9" x14ac:dyDescent="0.25">
      <c r="A372" s="70">
        <v>43084</v>
      </c>
      <c r="B372" s="71">
        <f t="shared" si="34"/>
        <v>370</v>
      </c>
      <c r="C372" s="72">
        <f t="shared" si="35"/>
        <v>161.6246737845286</v>
      </c>
      <c r="D372" s="72">
        <v>160</v>
      </c>
      <c r="E372" s="80">
        <f t="shared" si="30"/>
        <v>1.6246737845285963</v>
      </c>
      <c r="F372" s="72">
        <f t="shared" si="31"/>
        <v>2101.1207591988718</v>
      </c>
      <c r="G372" s="80">
        <f t="shared" si="32"/>
        <v>50.364887320386487</v>
      </c>
      <c r="H372" s="73">
        <f t="shared" si="33"/>
        <v>1.4389967805824711E-2</v>
      </c>
      <c r="I372" s="61"/>
    </row>
    <row r="373" spans="1:9" x14ac:dyDescent="0.25">
      <c r="A373" s="70">
        <v>43084</v>
      </c>
      <c r="B373" s="71">
        <f t="shared" si="34"/>
        <v>371</v>
      </c>
      <c r="C373" s="72">
        <f t="shared" si="35"/>
        <v>161.61028381672278</v>
      </c>
      <c r="D373" s="72">
        <v>160</v>
      </c>
      <c r="E373" s="80">
        <f t="shared" si="30"/>
        <v>1.6102838167227844</v>
      </c>
      <c r="F373" s="72">
        <f t="shared" si="31"/>
        <v>2100.9336896173963</v>
      </c>
      <c r="G373" s="80">
        <f t="shared" si="32"/>
        <v>49.918798318406317</v>
      </c>
      <c r="H373" s="73">
        <f t="shared" si="33"/>
        <v>1.4262513805258947E-2</v>
      </c>
      <c r="I373" s="61"/>
    </row>
    <row r="374" spans="1:9" x14ac:dyDescent="0.25">
      <c r="A374" s="70">
        <v>43084</v>
      </c>
      <c r="B374" s="71">
        <f t="shared" si="34"/>
        <v>372</v>
      </c>
      <c r="C374" s="72">
        <f t="shared" si="35"/>
        <v>161.59602130291753</v>
      </c>
      <c r="D374" s="72">
        <v>160</v>
      </c>
      <c r="E374" s="80">
        <f t="shared" si="30"/>
        <v>1.596021302917535</v>
      </c>
      <c r="F374" s="72">
        <f t="shared" si="31"/>
        <v>2100.748276937928</v>
      </c>
      <c r="G374" s="80">
        <f t="shared" si="32"/>
        <v>49.476660390443584</v>
      </c>
      <c r="H374" s="73">
        <f t="shared" si="33"/>
        <v>1.413618868298388E-2</v>
      </c>
      <c r="I374" s="61"/>
    </row>
    <row r="375" spans="1:9" x14ac:dyDescent="0.25">
      <c r="A375" s="70">
        <v>43084</v>
      </c>
      <c r="B375" s="71">
        <f t="shared" si="34"/>
        <v>373</v>
      </c>
      <c r="C375" s="72">
        <f t="shared" si="35"/>
        <v>161.58188511423455</v>
      </c>
      <c r="D375" s="72">
        <v>160</v>
      </c>
      <c r="E375" s="80">
        <f t="shared" si="30"/>
        <v>1.5818851142345522</v>
      </c>
      <c r="F375" s="72">
        <f t="shared" si="31"/>
        <v>2100.5645064850492</v>
      </c>
      <c r="G375" s="80">
        <f t="shared" si="32"/>
        <v>49.03843854127112</v>
      </c>
      <c r="H375" s="73">
        <f t="shared" si="33"/>
        <v>1.4010982440363176E-2</v>
      </c>
      <c r="I375" s="61"/>
    </row>
    <row r="376" spans="1:9" x14ac:dyDescent="0.25">
      <c r="A376" s="70">
        <v>43084</v>
      </c>
      <c r="B376" s="71">
        <f t="shared" si="34"/>
        <v>374</v>
      </c>
      <c r="C376" s="72">
        <f t="shared" si="35"/>
        <v>161.56787413179418</v>
      </c>
      <c r="D376" s="72">
        <v>160</v>
      </c>
      <c r="E376" s="80">
        <f t="shared" si="30"/>
        <v>1.5678741317941842</v>
      </c>
      <c r="F376" s="72">
        <f t="shared" si="31"/>
        <v>2100.3823637133246</v>
      </c>
      <c r="G376" s="80">
        <f t="shared" si="32"/>
        <v>48.604098085619711</v>
      </c>
      <c r="H376" s="73">
        <f t="shared" si="33"/>
        <v>1.3886885167319918E-2</v>
      </c>
      <c r="I376" s="61"/>
    </row>
    <row r="377" spans="1:9" x14ac:dyDescent="0.25">
      <c r="A377" s="70">
        <v>43084</v>
      </c>
      <c r="B377" s="71">
        <f t="shared" si="34"/>
        <v>375</v>
      </c>
      <c r="C377" s="72">
        <f t="shared" si="35"/>
        <v>161.55398724662686</v>
      </c>
      <c r="D377" s="72">
        <v>160</v>
      </c>
      <c r="E377" s="80">
        <f t="shared" si="30"/>
        <v>1.5539872466268605</v>
      </c>
      <c r="F377" s="72">
        <f t="shared" si="31"/>
        <v>2100.2018342061492</v>
      </c>
      <c r="G377" s="80">
        <f t="shared" si="32"/>
        <v>48.173604645432675</v>
      </c>
      <c r="H377" s="73">
        <f t="shared" si="33"/>
        <v>1.3763887041552193E-2</v>
      </c>
      <c r="I377" s="61"/>
    </row>
    <row r="378" spans="1:9" x14ac:dyDescent="0.25">
      <c r="A378" s="70">
        <v>43084</v>
      </c>
      <c r="B378" s="71">
        <f t="shared" si="34"/>
        <v>376</v>
      </c>
      <c r="C378" s="72">
        <f t="shared" si="35"/>
        <v>161.5402233595853</v>
      </c>
      <c r="D378" s="72">
        <v>160</v>
      </c>
      <c r="E378" s="80">
        <f t="shared" si="30"/>
        <v>1.5402233595852977</v>
      </c>
      <c r="F378" s="72">
        <f t="shared" si="31"/>
        <v>2100.0229036746086</v>
      </c>
      <c r="G378" s="80">
        <f t="shared" si="32"/>
        <v>47.746924147144227</v>
      </c>
      <c r="H378" s="73">
        <f t="shared" si="33"/>
        <v>1.3641978327755494E-2</v>
      </c>
      <c r="I378" s="61"/>
    </row>
    <row r="379" spans="1:9" x14ac:dyDescent="0.25">
      <c r="A379" s="70">
        <v>43084</v>
      </c>
      <c r="B379" s="71">
        <f t="shared" si="34"/>
        <v>377</v>
      </c>
      <c r="C379" s="72">
        <f t="shared" si="35"/>
        <v>161.52658138125753</v>
      </c>
      <c r="D379" s="72">
        <v>160</v>
      </c>
      <c r="E379" s="80">
        <f t="shared" si="30"/>
        <v>1.5265813812575288</v>
      </c>
      <c r="F379" s="72">
        <f t="shared" si="31"/>
        <v>2099.8455579563479</v>
      </c>
      <c r="G379" s="80">
        <f t="shared" si="32"/>
        <v>47.324022818983394</v>
      </c>
      <c r="H379" s="73">
        <f t="shared" si="33"/>
        <v>1.3521149376852398E-2</v>
      </c>
      <c r="I379" s="61"/>
    </row>
    <row r="380" spans="1:9" x14ac:dyDescent="0.25">
      <c r="A380" s="70">
        <v>43084</v>
      </c>
      <c r="B380" s="71">
        <f t="shared" si="34"/>
        <v>378</v>
      </c>
      <c r="C380" s="72">
        <f t="shared" si="35"/>
        <v>161.51306023188067</v>
      </c>
      <c r="D380" s="72">
        <v>160</v>
      </c>
      <c r="E380" s="80">
        <f t="shared" si="30"/>
        <v>1.5130602318806723</v>
      </c>
      <c r="F380" s="72">
        <f t="shared" si="31"/>
        <v>2099.6697830144485</v>
      </c>
      <c r="G380" s="80">
        <f t="shared" si="32"/>
        <v>46.904867188300841</v>
      </c>
      <c r="H380" s="73">
        <f t="shared" si="33"/>
        <v>1.3401390625228812E-2</v>
      </c>
      <c r="I380" s="61"/>
    </row>
    <row r="381" spans="1:9" x14ac:dyDescent="0.25">
      <c r="A381" s="70">
        <v>43084</v>
      </c>
      <c r="B381" s="71">
        <f t="shared" si="34"/>
        <v>379</v>
      </c>
      <c r="C381" s="72">
        <f t="shared" si="35"/>
        <v>161.49965884125544</v>
      </c>
      <c r="D381" s="72">
        <v>160</v>
      </c>
      <c r="E381" s="80">
        <f t="shared" si="30"/>
        <v>1.4996588412554388</v>
      </c>
      <c r="F381" s="72">
        <f t="shared" si="31"/>
        <v>2099.4955649363205</v>
      </c>
      <c r="G381" s="80">
        <f t="shared" si="32"/>
        <v>46.489424078918603</v>
      </c>
      <c r="H381" s="73">
        <f t="shared" si="33"/>
        <v>1.3282692593976743E-2</v>
      </c>
      <c r="I381" s="61"/>
    </row>
    <row r="382" spans="1:9" x14ac:dyDescent="0.25">
      <c r="A382" s="70">
        <v>43084</v>
      </c>
      <c r="B382" s="71">
        <f t="shared" si="34"/>
        <v>380</v>
      </c>
      <c r="C382" s="72">
        <f t="shared" si="35"/>
        <v>161.48637614866146</v>
      </c>
      <c r="D382" s="72">
        <v>160</v>
      </c>
      <c r="E382" s="80">
        <f t="shared" si="30"/>
        <v>1.4863761486614635</v>
      </c>
      <c r="F382" s="72">
        <f t="shared" si="31"/>
        <v>2099.3228899325991</v>
      </c>
      <c r="G382" s="80">
        <f t="shared" si="32"/>
        <v>46.077660608505369</v>
      </c>
      <c r="H382" s="73">
        <f t="shared" si="33"/>
        <v>1.3165045888144392E-2</v>
      </c>
      <c r="I382" s="61"/>
    </row>
    <row r="383" spans="1:9" x14ac:dyDescent="0.25">
      <c r="A383" s="70">
        <v>43084</v>
      </c>
      <c r="B383" s="71">
        <f t="shared" si="34"/>
        <v>381</v>
      </c>
      <c r="C383" s="72">
        <f t="shared" si="35"/>
        <v>161.47321110277332</v>
      </c>
      <c r="D383" s="72">
        <v>160</v>
      </c>
      <c r="E383" s="80">
        <f t="shared" si="30"/>
        <v>1.4732111027733197</v>
      </c>
      <c r="F383" s="72">
        <f t="shared" si="31"/>
        <v>2099.1517443360531</v>
      </c>
      <c r="G383" s="80">
        <f t="shared" si="32"/>
        <v>45.66954418597291</v>
      </c>
      <c r="H383" s="73">
        <f t="shared" si="33"/>
        <v>1.304844119599226E-2</v>
      </c>
      <c r="I383" s="61"/>
    </row>
    <row r="384" spans="1:9" x14ac:dyDescent="0.25">
      <c r="A384" s="70">
        <v>43084</v>
      </c>
      <c r="B384" s="71">
        <f t="shared" si="34"/>
        <v>382</v>
      </c>
      <c r="C384" s="72">
        <f t="shared" si="35"/>
        <v>161.46016266157733</v>
      </c>
      <c r="D384" s="72">
        <v>160</v>
      </c>
      <c r="E384" s="80">
        <f t="shared" si="30"/>
        <v>1.4601626615773284</v>
      </c>
      <c r="F384" s="72">
        <f t="shared" si="31"/>
        <v>2098.9821146005052</v>
      </c>
      <c r="G384" s="80">
        <f t="shared" si="32"/>
        <v>45.265042508897182</v>
      </c>
      <c r="H384" s="73">
        <f t="shared" si="33"/>
        <v>1.2932869288256337E-2</v>
      </c>
      <c r="I384" s="61"/>
    </row>
    <row r="385" spans="1:9" x14ac:dyDescent="0.25">
      <c r="A385" s="70">
        <v>43084</v>
      </c>
      <c r="B385" s="71">
        <f t="shared" si="34"/>
        <v>383</v>
      </c>
      <c r="C385" s="72">
        <f t="shared" si="35"/>
        <v>161.44722979228908</v>
      </c>
      <c r="D385" s="72">
        <v>160</v>
      </c>
      <c r="E385" s="80">
        <f t="shared" si="30"/>
        <v>1.4472297922890789</v>
      </c>
      <c r="F385" s="72">
        <f t="shared" si="31"/>
        <v>2098.8139872997581</v>
      </c>
      <c r="G385" s="80">
        <f t="shared" si="32"/>
        <v>44.864123560961445</v>
      </c>
      <c r="H385" s="73">
        <f t="shared" si="33"/>
        <v>1.2818321017417556E-2</v>
      </c>
      <c r="I385" s="61"/>
    </row>
    <row r="386" spans="1:9" x14ac:dyDescent="0.25">
      <c r="A386" s="70">
        <v>43084</v>
      </c>
      <c r="B386" s="71">
        <f t="shared" si="34"/>
        <v>384</v>
      </c>
      <c r="C386" s="72">
        <f t="shared" si="35"/>
        <v>161.43441147127166</v>
      </c>
      <c r="D386" s="72">
        <v>160</v>
      </c>
      <c r="E386" s="80">
        <f t="shared" si="30"/>
        <v>1.4344114712716589</v>
      </c>
      <c r="F386" s="72">
        <f t="shared" si="31"/>
        <v>2098.6473491265315</v>
      </c>
      <c r="G386" s="80">
        <f t="shared" si="32"/>
        <v>44.466755609421426</v>
      </c>
      <c r="H386" s="73">
        <f t="shared" si="33"/>
        <v>1.270478731697755E-2</v>
      </c>
      <c r="I386" s="61"/>
    </row>
    <row r="387" spans="1:9" x14ac:dyDescent="0.25">
      <c r="A387" s="70">
        <v>43084</v>
      </c>
      <c r="B387" s="71">
        <f t="shared" si="34"/>
        <v>385</v>
      </c>
      <c r="C387" s="72">
        <f t="shared" si="35"/>
        <v>161.42170668395468</v>
      </c>
      <c r="D387" s="72">
        <v>160</v>
      </c>
      <c r="E387" s="80">
        <f t="shared" ref="E387:E450" si="36">C387-D387</f>
        <v>1.4217066839546817</v>
      </c>
      <c r="F387" s="72">
        <f t="shared" si="31"/>
        <v>2098.4821868914109</v>
      </c>
      <c r="G387" s="80">
        <f t="shared" si="32"/>
        <v>44.072907202595133</v>
      </c>
      <c r="H387" s="73">
        <f t="shared" si="33"/>
        <v>1.2592259200741467E-2</v>
      </c>
      <c r="I387" s="61"/>
    </row>
    <row r="388" spans="1:9" x14ac:dyDescent="0.25">
      <c r="A388" s="119">
        <v>43084</v>
      </c>
      <c r="B388" s="84">
        <f t="shared" si="34"/>
        <v>386</v>
      </c>
      <c r="C388" s="85">
        <f t="shared" si="35"/>
        <v>161.40911442475394</v>
      </c>
      <c r="D388" s="85">
        <v>160</v>
      </c>
      <c r="E388" s="86">
        <f t="shared" si="36"/>
        <v>1.4091144247539376</v>
      </c>
      <c r="F388" s="85">
        <f t="shared" si="31"/>
        <v>2098.3184875218012</v>
      </c>
      <c r="G388" s="86">
        <f t="shared" si="32"/>
        <v>43.682547167372064</v>
      </c>
      <c r="H388" s="89">
        <f t="shared" si="33"/>
        <v>1.2480727762106304E-2</v>
      </c>
      <c r="I388" s="61"/>
    </row>
  </sheetData>
  <sheetProtection sheet="1" objects="1" scenarios="1"/>
  <mergeCells count="3">
    <mergeCell ref="J1:M1"/>
    <mergeCell ref="N1:Q1"/>
    <mergeCell ref="S1:X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6209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11</vt:i4>
      </vt:variant>
    </vt:vector>
  </HeadingPairs>
  <TitlesOfParts>
    <vt:vector size="21" baseType="lpstr">
      <vt:lpstr>Measured</vt:lpstr>
      <vt:lpstr>TDEE</vt:lpstr>
      <vt:lpstr>BF_DoD</vt:lpstr>
      <vt:lpstr>Protein_Amt</vt:lpstr>
      <vt:lpstr>Max_LBM</vt:lpstr>
      <vt:lpstr>LossChart</vt:lpstr>
      <vt:lpstr>Scale</vt:lpstr>
      <vt:lpstr>FoodLog</vt:lpstr>
      <vt:lpstr>FoodDB</vt:lpstr>
      <vt:lpstr>H2O_Fasting</vt:lpstr>
      <vt:lpstr>FoodDB!__xlnm._FilterDatabase</vt:lpstr>
      <vt:lpstr>FoodDB!_FilterDatabase</vt:lpstr>
      <vt:lpstr>FoodDB!_FilterDatabase_0</vt:lpstr>
      <vt:lpstr>FoodDB!_FilterDatabase_0_0</vt:lpstr>
      <vt:lpstr>FoodDB!_FilterDatabase_0_0_0</vt:lpstr>
      <vt:lpstr>FoodDB!_FilterDatabase_0_0_0_0</vt:lpstr>
      <vt:lpstr>FoodDB!_FilterDatabase_0_0_0_0_0</vt:lpstr>
      <vt:lpstr>FoodDB!filter2</vt:lpstr>
      <vt:lpstr>FoodDB!filter5</vt:lpstr>
      <vt:lpstr>FoodDB!that</vt:lpstr>
      <vt:lpstr>FoodDB!this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Gilliland, Doug</dc:creator>
  <dc:description/>
  <cp:lastModifiedBy>Gilliland, Doug</cp:lastModifiedBy>
  <cp:revision>116</cp:revision>
  <cp:lastPrinted>1601-01-01T00:00:00Z</cp:lastPrinted>
  <dcterms:created xsi:type="dcterms:W3CDTF">2017-09-14T17:05:16Z</dcterms:created>
  <dcterms:modified xsi:type="dcterms:W3CDTF">2017-10-04T14:52:53Z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Advanced Acoustic Concepts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