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7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Scale" sheetId="7" r:id="rId7"/>
    <sheet name="FoodLog" sheetId="8" r:id="rId8"/>
    <sheet name="FoodDB" sheetId="9" r:id="rId9"/>
    <sheet name="H2O_Fasting" sheetId="10" r:id="rId10"/>
  </sheets>
  <definedNames>
    <definedName name="__xlnm._FilterDatabase" localSheetId="8">FoodDB!$A$1:$I$20</definedName>
    <definedName name="_xlnm._FilterDatabase" localSheetId="8">FoodDB!$A$1:$I$20</definedName>
    <definedName name="_FilterDatabase_0" localSheetId="8">FoodDB!$A$1:$I$20</definedName>
    <definedName name="_FilterDatabase_0_0" localSheetId="8">FoodDB!$A$1:$I$20</definedName>
    <definedName name="_FilterDatabase_0_0_0" localSheetId="8">FoodDB!$A$1:$I$20</definedName>
    <definedName name="_FilterDatabase_0_0_0_0" localSheetId="8">FoodDB!$A$1:$I$20</definedName>
    <definedName name="_FilterDatabase_0_0_0_0_0" localSheetId="8">FoodDB!$A$1:$I$20</definedName>
    <definedName name="df" localSheetId="8">FoodDB!$A$1:$I$20</definedName>
    <definedName name="filter2" localSheetId="8">FoodDB!$A$1:$I$20</definedName>
    <definedName name="filter5" localSheetId="8">FoodDB!$A$1:$I$20</definedName>
    <definedName name="sad" localSheetId="8">FoodDB!$A$1:$I$20</definedName>
    <definedName name="sdfsdf" localSheetId="8">FoodDB!$A$1:$I$20</definedName>
    <definedName name="that" localSheetId="8">FoodDB!$A$1:$I$20</definedName>
    <definedName name="this" localSheetId="8">FoodDB!$A$1:$I$20</definedName>
    <definedName name="wer" localSheetId="8">FoodDB!$A$1:$I$20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7" i="10" l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25" i="10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9" i="10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5" i="10"/>
  <c r="B6" i="10" s="1"/>
  <c r="B7" i="10" s="1"/>
  <c r="B8" i="10" s="1"/>
  <c r="B4" i="10"/>
  <c r="C3" i="10"/>
  <c r="I37" i="9"/>
  <c r="H37" i="9"/>
  <c r="G37" i="9"/>
  <c r="F37" i="9"/>
  <c r="I36" i="9"/>
  <c r="H36" i="9"/>
  <c r="G36" i="9"/>
  <c r="F36" i="9"/>
  <c r="I35" i="9"/>
  <c r="H35" i="9"/>
  <c r="G35" i="9"/>
  <c r="F35" i="9"/>
  <c r="I34" i="9"/>
  <c r="H34" i="9"/>
  <c r="G34" i="9"/>
  <c r="F34" i="9"/>
  <c r="I33" i="9"/>
  <c r="H33" i="9"/>
  <c r="G33" i="9"/>
  <c r="F33" i="9"/>
  <c r="I32" i="9"/>
  <c r="H32" i="9"/>
  <c r="G32" i="9"/>
  <c r="F32" i="9"/>
  <c r="I31" i="9"/>
  <c r="H31" i="9"/>
  <c r="G31" i="9"/>
  <c r="F31" i="9"/>
  <c r="I30" i="9"/>
  <c r="H30" i="9"/>
  <c r="G30" i="9"/>
  <c r="F30" i="9"/>
  <c r="I29" i="9"/>
  <c r="H29" i="9"/>
  <c r="G29" i="9"/>
  <c r="F29" i="9"/>
  <c r="I28" i="9"/>
  <c r="H28" i="9"/>
  <c r="G28" i="9"/>
  <c r="F28" i="9"/>
  <c r="I27" i="9"/>
  <c r="H27" i="9"/>
  <c r="G27" i="9"/>
  <c r="F27" i="9"/>
  <c r="I26" i="9"/>
  <c r="H26" i="9"/>
  <c r="G26" i="9"/>
  <c r="F26" i="9"/>
  <c r="I25" i="9"/>
  <c r="H25" i="9"/>
  <c r="G25" i="9"/>
  <c r="F25" i="9"/>
  <c r="I24" i="9"/>
  <c r="H24" i="9"/>
  <c r="G24" i="9"/>
  <c r="F24" i="9"/>
  <c r="I23" i="9"/>
  <c r="H23" i="9"/>
  <c r="G23" i="9"/>
  <c r="F23" i="9"/>
  <c r="I22" i="9"/>
  <c r="H22" i="9"/>
  <c r="G22" i="9"/>
  <c r="F22" i="9"/>
  <c r="H21" i="9"/>
  <c r="G21" i="9"/>
  <c r="F21" i="9"/>
  <c r="H20" i="9"/>
  <c r="I20" i="9" s="1"/>
  <c r="G20" i="9"/>
  <c r="F20" i="9"/>
  <c r="H19" i="9"/>
  <c r="I19" i="9" s="1"/>
  <c r="G19" i="9"/>
  <c r="F19" i="9"/>
  <c r="H18" i="9"/>
  <c r="I18" i="9" s="1"/>
  <c r="G18" i="9"/>
  <c r="F18" i="9"/>
  <c r="H17" i="9"/>
  <c r="I17" i="9" s="1"/>
  <c r="G17" i="9"/>
  <c r="F17" i="9"/>
  <c r="H16" i="9"/>
  <c r="I16" i="9" s="1"/>
  <c r="G16" i="9"/>
  <c r="F16" i="9"/>
  <c r="H15" i="9"/>
  <c r="I15" i="9" s="1"/>
  <c r="G15" i="9"/>
  <c r="F15" i="9"/>
  <c r="H14" i="9"/>
  <c r="I14" i="9" s="1"/>
  <c r="G14" i="9"/>
  <c r="F14" i="9"/>
  <c r="H13" i="9"/>
  <c r="I13" i="9" s="1"/>
  <c r="G13" i="9"/>
  <c r="F13" i="9"/>
  <c r="H12" i="9"/>
  <c r="I12" i="9" s="1"/>
  <c r="G12" i="9"/>
  <c r="F12" i="9"/>
  <c r="H11" i="9"/>
  <c r="I11" i="9" s="1"/>
  <c r="G11" i="9"/>
  <c r="F11" i="9"/>
  <c r="H10" i="9"/>
  <c r="I10" i="9" s="1"/>
  <c r="G10" i="9"/>
  <c r="F10" i="9"/>
  <c r="H9" i="9"/>
  <c r="I9" i="9" s="1"/>
  <c r="G9" i="9"/>
  <c r="F9" i="9"/>
  <c r="H8" i="9"/>
  <c r="F8" i="9"/>
  <c r="D8" i="9"/>
  <c r="G8" i="9" s="1"/>
  <c r="I8" i="9" s="1"/>
  <c r="H7" i="9"/>
  <c r="G7" i="9"/>
  <c r="F7" i="9"/>
  <c r="I7" i="9" s="1"/>
  <c r="F6" i="9"/>
  <c r="E6" i="9"/>
  <c r="H6" i="9" s="1"/>
  <c r="D6" i="9"/>
  <c r="G6" i="9" s="1"/>
  <c r="C6" i="9"/>
  <c r="H5" i="9"/>
  <c r="I5" i="9" s="1"/>
  <c r="J208" i="8" s="1"/>
  <c r="G5" i="9"/>
  <c r="F5" i="9"/>
  <c r="H4" i="9"/>
  <c r="I4" i="9" s="1"/>
  <c r="G4" i="9"/>
  <c r="F4" i="9"/>
  <c r="H3" i="9"/>
  <c r="I3" i="9" s="1"/>
  <c r="G3" i="9"/>
  <c r="F3" i="9"/>
  <c r="H2" i="9"/>
  <c r="I2" i="9" s="1"/>
  <c r="G2" i="9"/>
  <c r="F2" i="9"/>
  <c r="H1300" i="8"/>
  <c r="G1300" i="8"/>
  <c r="F1300" i="8"/>
  <c r="E1300" i="8"/>
  <c r="D1300" i="8"/>
  <c r="H1299" i="8"/>
  <c r="G1299" i="8"/>
  <c r="F1299" i="8"/>
  <c r="E1299" i="8"/>
  <c r="D1299" i="8"/>
  <c r="H1298" i="8"/>
  <c r="G1298" i="8"/>
  <c r="F1298" i="8"/>
  <c r="E1298" i="8"/>
  <c r="D1298" i="8"/>
  <c r="H1297" i="8"/>
  <c r="G1297" i="8"/>
  <c r="F1297" i="8"/>
  <c r="E1297" i="8"/>
  <c r="D1297" i="8"/>
  <c r="H1296" i="8"/>
  <c r="G1296" i="8"/>
  <c r="F1296" i="8"/>
  <c r="E1296" i="8"/>
  <c r="D1296" i="8"/>
  <c r="H1295" i="8"/>
  <c r="G1295" i="8"/>
  <c r="F1295" i="8"/>
  <c r="E1295" i="8"/>
  <c r="D1295" i="8"/>
  <c r="I1294" i="8"/>
  <c r="H1294" i="8"/>
  <c r="G1294" i="8"/>
  <c r="F1294" i="8"/>
  <c r="E1294" i="8"/>
  <c r="D1294" i="8"/>
  <c r="J1293" i="8"/>
  <c r="I1293" i="8"/>
  <c r="H1293" i="8"/>
  <c r="G1293" i="8"/>
  <c r="F1293" i="8"/>
  <c r="E1293" i="8"/>
  <c r="D1293" i="8"/>
  <c r="H1288" i="8"/>
  <c r="G1288" i="8"/>
  <c r="F1288" i="8"/>
  <c r="E1288" i="8"/>
  <c r="D1288" i="8"/>
  <c r="H1287" i="8"/>
  <c r="G1287" i="8"/>
  <c r="F1287" i="8"/>
  <c r="E1287" i="8"/>
  <c r="D1287" i="8"/>
  <c r="H1286" i="8"/>
  <c r="G1286" i="8"/>
  <c r="F1286" i="8"/>
  <c r="E1286" i="8"/>
  <c r="D1286" i="8"/>
  <c r="I1285" i="8"/>
  <c r="H1285" i="8"/>
  <c r="G1285" i="8"/>
  <c r="F1285" i="8"/>
  <c r="E1285" i="8"/>
  <c r="D1285" i="8"/>
  <c r="H1284" i="8"/>
  <c r="G1284" i="8"/>
  <c r="F1284" i="8"/>
  <c r="E1284" i="8"/>
  <c r="D1284" i="8"/>
  <c r="H1283" i="8"/>
  <c r="G1283" i="8"/>
  <c r="F1283" i="8"/>
  <c r="E1283" i="8"/>
  <c r="D1283" i="8"/>
  <c r="H1282" i="8"/>
  <c r="G1282" i="8"/>
  <c r="F1282" i="8"/>
  <c r="E1282" i="8"/>
  <c r="D1282" i="8"/>
  <c r="J1281" i="8"/>
  <c r="I1281" i="8"/>
  <c r="H1281" i="8"/>
  <c r="G1281" i="8"/>
  <c r="F1281" i="8"/>
  <c r="E1281" i="8"/>
  <c r="D1281" i="8"/>
  <c r="H1276" i="8"/>
  <c r="G1276" i="8"/>
  <c r="F1276" i="8"/>
  <c r="E1276" i="8"/>
  <c r="D1276" i="8"/>
  <c r="I1275" i="8"/>
  <c r="H1275" i="8"/>
  <c r="G1275" i="8"/>
  <c r="F1275" i="8"/>
  <c r="E1275" i="8"/>
  <c r="D1275" i="8"/>
  <c r="H1274" i="8"/>
  <c r="G1274" i="8"/>
  <c r="F1274" i="8"/>
  <c r="E1274" i="8"/>
  <c r="D1274" i="8"/>
  <c r="H1273" i="8"/>
  <c r="G1273" i="8"/>
  <c r="F1273" i="8"/>
  <c r="E1273" i="8"/>
  <c r="D1273" i="8"/>
  <c r="H1272" i="8"/>
  <c r="G1272" i="8"/>
  <c r="F1272" i="8"/>
  <c r="E1272" i="8"/>
  <c r="D1272" i="8"/>
  <c r="H1271" i="8"/>
  <c r="G1271" i="8"/>
  <c r="F1271" i="8"/>
  <c r="E1271" i="8"/>
  <c r="D1271" i="8"/>
  <c r="M1270" i="8"/>
  <c r="H1270" i="8"/>
  <c r="G1270" i="8"/>
  <c r="F1270" i="8"/>
  <c r="E1270" i="8"/>
  <c r="D1270" i="8"/>
  <c r="J1269" i="8"/>
  <c r="I1269" i="8"/>
  <c r="H1269" i="8"/>
  <c r="G1269" i="8"/>
  <c r="F1269" i="8"/>
  <c r="E1269" i="8"/>
  <c r="D1269" i="8"/>
  <c r="H1264" i="8"/>
  <c r="G1264" i="8"/>
  <c r="F1264" i="8"/>
  <c r="E1264" i="8"/>
  <c r="D1264" i="8"/>
  <c r="H1263" i="8"/>
  <c r="G1263" i="8"/>
  <c r="F1263" i="8"/>
  <c r="E1263" i="8"/>
  <c r="D1263" i="8"/>
  <c r="H1262" i="8"/>
  <c r="G1262" i="8"/>
  <c r="F1262" i="8"/>
  <c r="E1262" i="8"/>
  <c r="D1262" i="8"/>
  <c r="H1261" i="8"/>
  <c r="G1261" i="8"/>
  <c r="F1261" i="8"/>
  <c r="E1261" i="8"/>
  <c r="D1261" i="8"/>
  <c r="H1260" i="8"/>
  <c r="G1260" i="8"/>
  <c r="F1260" i="8"/>
  <c r="E1260" i="8"/>
  <c r="D1260" i="8"/>
  <c r="I1259" i="8"/>
  <c r="H1259" i="8"/>
  <c r="G1259" i="8"/>
  <c r="F1259" i="8"/>
  <c r="E1259" i="8"/>
  <c r="D1259" i="8"/>
  <c r="H1258" i="8"/>
  <c r="G1258" i="8"/>
  <c r="L1258" i="8" s="1"/>
  <c r="F1258" i="8"/>
  <c r="E1258" i="8"/>
  <c r="D1258" i="8"/>
  <c r="J1257" i="8"/>
  <c r="I1257" i="8"/>
  <c r="H1257" i="8"/>
  <c r="G1257" i="8"/>
  <c r="F1257" i="8"/>
  <c r="E1257" i="8"/>
  <c r="D1257" i="8"/>
  <c r="H1252" i="8"/>
  <c r="G1252" i="8"/>
  <c r="F1252" i="8"/>
  <c r="E1252" i="8"/>
  <c r="D1252" i="8"/>
  <c r="H1251" i="8"/>
  <c r="G1251" i="8"/>
  <c r="F1251" i="8"/>
  <c r="E1251" i="8"/>
  <c r="D1251" i="8"/>
  <c r="H1250" i="8"/>
  <c r="G1250" i="8"/>
  <c r="F1250" i="8"/>
  <c r="E1250" i="8"/>
  <c r="D1250" i="8"/>
  <c r="I1249" i="8"/>
  <c r="H1249" i="8"/>
  <c r="H1253" i="8" s="1"/>
  <c r="G1249" i="8"/>
  <c r="F1249" i="8"/>
  <c r="E1249" i="8"/>
  <c r="D1249" i="8"/>
  <c r="H1248" i="8"/>
  <c r="G1248" i="8"/>
  <c r="F1248" i="8"/>
  <c r="E1248" i="8"/>
  <c r="D1248" i="8"/>
  <c r="H1247" i="8"/>
  <c r="G1247" i="8"/>
  <c r="G1253" i="8" s="1"/>
  <c r="F1247" i="8"/>
  <c r="E1247" i="8"/>
  <c r="D1247" i="8"/>
  <c r="H1246" i="8"/>
  <c r="G1246" i="8"/>
  <c r="L1246" i="8" s="1"/>
  <c r="F1246" i="8"/>
  <c r="E1246" i="8"/>
  <c r="D1246" i="8"/>
  <c r="J1245" i="8"/>
  <c r="I1245" i="8"/>
  <c r="H1245" i="8"/>
  <c r="G1245" i="8"/>
  <c r="F1245" i="8"/>
  <c r="E1245" i="8"/>
  <c r="D1245" i="8"/>
  <c r="H1241" i="8"/>
  <c r="H1240" i="8"/>
  <c r="G1240" i="8"/>
  <c r="F1240" i="8"/>
  <c r="E1240" i="8"/>
  <c r="D1240" i="8"/>
  <c r="H1239" i="8"/>
  <c r="G1239" i="8"/>
  <c r="F1239" i="8"/>
  <c r="E1239" i="8"/>
  <c r="D1239" i="8"/>
  <c r="H1238" i="8"/>
  <c r="G1238" i="8"/>
  <c r="F1238" i="8"/>
  <c r="E1238" i="8"/>
  <c r="D1238" i="8"/>
  <c r="H1237" i="8"/>
  <c r="G1237" i="8"/>
  <c r="F1237" i="8"/>
  <c r="E1237" i="8"/>
  <c r="D1237" i="8"/>
  <c r="I1236" i="8"/>
  <c r="H1236" i="8"/>
  <c r="G1236" i="8"/>
  <c r="F1236" i="8"/>
  <c r="E1236" i="8"/>
  <c r="D1236" i="8"/>
  <c r="H1235" i="8"/>
  <c r="G1235" i="8"/>
  <c r="F1235" i="8"/>
  <c r="E1235" i="8"/>
  <c r="D1235" i="8"/>
  <c r="H1234" i="8"/>
  <c r="M1234" i="8" s="1"/>
  <c r="G1234" i="8"/>
  <c r="F1234" i="8"/>
  <c r="E1234" i="8"/>
  <c r="D1234" i="8"/>
  <c r="J1233" i="8"/>
  <c r="I1233" i="8"/>
  <c r="H1233" i="8"/>
  <c r="G1233" i="8"/>
  <c r="F1233" i="8"/>
  <c r="E1233" i="8"/>
  <c r="D1233" i="8"/>
  <c r="I1228" i="8"/>
  <c r="H1228" i="8"/>
  <c r="G1228" i="8"/>
  <c r="F1228" i="8"/>
  <c r="E1228" i="8"/>
  <c r="D1228" i="8"/>
  <c r="H1227" i="8"/>
  <c r="G1227" i="8"/>
  <c r="F1227" i="8"/>
  <c r="E1227" i="8"/>
  <c r="D1227" i="8"/>
  <c r="H1226" i="8"/>
  <c r="G1226" i="8"/>
  <c r="F1226" i="8"/>
  <c r="E1226" i="8"/>
  <c r="D1226" i="8"/>
  <c r="H1225" i="8"/>
  <c r="G1225" i="8"/>
  <c r="F1225" i="8"/>
  <c r="E1225" i="8"/>
  <c r="D1225" i="8"/>
  <c r="H1224" i="8"/>
  <c r="G1224" i="8"/>
  <c r="F1224" i="8"/>
  <c r="E1224" i="8"/>
  <c r="D1224" i="8"/>
  <c r="H1223" i="8"/>
  <c r="G1223" i="8"/>
  <c r="F1223" i="8"/>
  <c r="E1223" i="8"/>
  <c r="D1223" i="8"/>
  <c r="L1222" i="8"/>
  <c r="H1222" i="8"/>
  <c r="G1222" i="8"/>
  <c r="F1222" i="8"/>
  <c r="E1222" i="8"/>
  <c r="D1222" i="8"/>
  <c r="J1221" i="8"/>
  <c r="I1221" i="8"/>
  <c r="H1221" i="8"/>
  <c r="G1221" i="8"/>
  <c r="F1221" i="8"/>
  <c r="E1221" i="8"/>
  <c r="D1221" i="8"/>
  <c r="H1216" i="8"/>
  <c r="G1216" i="8"/>
  <c r="F1216" i="8"/>
  <c r="E1216" i="8"/>
  <c r="D1216" i="8"/>
  <c r="H1215" i="8"/>
  <c r="G1215" i="8"/>
  <c r="F1215" i="8"/>
  <c r="E1215" i="8"/>
  <c r="D1215" i="8"/>
  <c r="I1214" i="8"/>
  <c r="H1214" i="8"/>
  <c r="G1214" i="8"/>
  <c r="F1214" i="8"/>
  <c r="E1214" i="8"/>
  <c r="D1214" i="8"/>
  <c r="H1213" i="8"/>
  <c r="G1213" i="8"/>
  <c r="F1213" i="8"/>
  <c r="E1213" i="8"/>
  <c r="D1213" i="8"/>
  <c r="H1212" i="8"/>
  <c r="G1212" i="8"/>
  <c r="F1212" i="8"/>
  <c r="E1212" i="8"/>
  <c r="D1212" i="8"/>
  <c r="H1211" i="8"/>
  <c r="G1211" i="8"/>
  <c r="F1211" i="8"/>
  <c r="E1211" i="8"/>
  <c r="D1211" i="8"/>
  <c r="M1210" i="8"/>
  <c r="I1210" i="8"/>
  <c r="H1210" i="8"/>
  <c r="H1217" i="8" s="1"/>
  <c r="G1210" i="8"/>
  <c r="F1210" i="8"/>
  <c r="E1210" i="8"/>
  <c r="D1210" i="8"/>
  <c r="J1209" i="8"/>
  <c r="I1209" i="8"/>
  <c r="H1209" i="8"/>
  <c r="G1209" i="8"/>
  <c r="F1209" i="8"/>
  <c r="E1209" i="8"/>
  <c r="D1209" i="8"/>
  <c r="H1204" i="8"/>
  <c r="G1204" i="8"/>
  <c r="F1204" i="8"/>
  <c r="E1204" i="8"/>
  <c r="D1204" i="8"/>
  <c r="H1203" i="8"/>
  <c r="G1203" i="8"/>
  <c r="F1203" i="8"/>
  <c r="E1203" i="8"/>
  <c r="D1203" i="8"/>
  <c r="H1202" i="8"/>
  <c r="G1202" i="8"/>
  <c r="F1202" i="8"/>
  <c r="E1202" i="8"/>
  <c r="D1202" i="8"/>
  <c r="H1201" i="8"/>
  <c r="G1201" i="8"/>
  <c r="F1201" i="8"/>
  <c r="E1201" i="8"/>
  <c r="D1201" i="8"/>
  <c r="H1200" i="8"/>
  <c r="G1200" i="8"/>
  <c r="F1200" i="8"/>
  <c r="E1200" i="8"/>
  <c r="D1200" i="8"/>
  <c r="H1199" i="8"/>
  <c r="G1199" i="8"/>
  <c r="F1199" i="8"/>
  <c r="E1199" i="8"/>
  <c r="D1199" i="8"/>
  <c r="H1198" i="8"/>
  <c r="M1198" i="8" s="1"/>
  <c r="G1198" i="8"/>
  <c r="F1198" i="8"/>
  <c r="E1198" i="8"/>
  <c r="D1198" i="8"/>
  <c r="J1197" i="8"/>
  <c r="I1197" i="8"/>
  <c r="H1197" i="8"/>
  <c r="G1197" i="8"/>
  <c r="F1197" i="8"/>
  <c r="E1197" i="8"/>
  <c r="D1197" i="8"/>
  <c r="H1192" i="8"/>
  <c r="G1192" i="8"/>
  <c r="F1192" i="8"/>
  <c r="E1192" i="8"/>
  <c r="D1192" i="8"/>
  <c r="H1191" i="8"/>
  <c r="G1191" i="8"/>
  <c r="F1191" i="8"/>
  <c r="E1191" i="8"/>
  <c r="D1191" i="8"/>
  <c r="H1190" i="8"/>
  <c r="G1190" i="8"/>
  <c r="F1190" i="8"/>
  <c r="E1190" i="8"/>
  <c r="D1190" i="8"/>
  <c r="H1189" i="8"/>
  <c r="G1189" i="8"/>
  <c r="F1189" i="8"/>
  <c r="E1189" i="8"/>
  <c r="D1189" i="8"/>
  <c r="H1188" i="8"/>
  <c r="G1188" i="8"/>
  <c r="F1188" i="8"/>
  <c r="E1188" i="8"/>
  <c r="D1188" i="8"/>
  <c r="H1187" i="8"/>
  <c r="G1187" i="8"/>
  <c r="F1187" i="8"/>
  <c r="E1187" i="8"/>
  <c r="D1187" i="8"/>
  <c r="L1186" i="8"/>
  <c r="H1186" i="8"/>
  <c r="G1186" i="8"/>
  <c r="G1193" i="8" s="1"/>
  <c r="F1186" i="8"/>
  <c r="E1186" i="8"/>
  <c r="D1186" i="8"/>
  <c r="J1185" i="8"/>
  <c r="I1185" i="8"/>
  <c r="H1185" i="8"/>
  <c r="G1185" i="8"/>
  <c r="F1185" i="8"/>
  <c r="E1185" i="8"/>
  <c r="D1185" i="8"/>
  <c r="H1180" i="8"/>
  <c r="G1180" i="8"/>
  <c r="F1180" i="8"/>
  <c r="E1180" i="8"/>
  <c r="D1180" i="8"/>
  <c r="H1179" i="8"/>
  <c r="G1179" i="8"/>
  <c r="F1179" i="8"/>
  <c r="E1179" i="8"/>
  <c r="D1179" i="8"/>
  <c r="H1178" i="8"/>
  <c r="G1178" i="8"/>
  <c r="F1178" i="8"/>
  <c r="E1178" i="8"/>
  <c r="D1178" i="8"/>
  <c r="H1177" i="8"/>
  <c r="G1177" i="8"/>
  <c r="F1177" i="8"/>
  <c r="E1177" i="8"/>
  <c r="D1177" i="8"/>
  <c r="H1176" i="8"/>
  <c r="G1176" i="8"/>
  <c r="F1176" i="8"/>
  <c r="E1176" i="8"/>
  <c r="D1176" i="8"/>
  <c r="I1175" i="8"/>
  <c r="H1175" i="8"/>
  <c r="G1175" i="8"/>
  <c r="F1175" i="8"/>
  <c r="E1175" i="8"/>
  <c r="D1175" i="8"/>
  <c r="M1174" i="8"/>
  <c r="H1174" i="8"/>
  <c r="G1174" i="8"/>
  <c r="F1174" i="8"/>
  <c r="E1174" i="8"/>
  <c r="D1174" i="8"/>
  <c r="J1173" i="8"/>
  <c r="I1173" i="8"/>
  <c r="H1173" i="8"/>
  <c r="G1173" i="8"/>
  <c r="F1173" i="8"/>
  <c r="E1173" i="8"/>
  <c r="D1173" i="8"/>
  <c r="G1169" i="8"/>
  <c r="H1168" i="8"/>
  <c r="G1168" i="8"/>
  <c r="F1168" i="8"/>
  <c r="E1168" i="8"/>
  <c r="D1168" i="8"/>
  <c r="I1167" i="8"/>
  <c r="H1167" i="8"/>
  <c r="G1167" i="8"/>
  <c r="F1167" i="8"/>
  <c r="E1167" i="8"/>
  <c r="D1167" i="8"/>
  <c r="H1166" i="8"/>
  <c r="G1166" i="8"/>
  <c r="F1166" i="8"/>
  <c r="E1166" i="8"/>
  <c r="D1166" i="8"/>
  <c r="H1165" i="8"/>
  <c r="G1165" i="8"/>
  <c r="F1165" i="8"/>
  <c r="E1165" i="8"/>
  <c r="D1165" i="8"/>
  <c r="H1164" i="8"/>
  <c r="G1164" i="8"/>
  <c r="F1164" i="8"/>
  <c r="E1164" i="8"/>
  <c r="D1164" i="8"/>
  <c r="H1163" i="8"/>
  <c r="G1163" i="8"/>
  <c r="F1163" i="8"/>
  <c r="E1163" i="8"/>
  <c r="D1163" i="8"/>
  <c r="H1162" i="8"/>
  <c r="G1162" i="8"/>
  <c r="F1162" i="8"/>
  <c r="E1162" i="8"/>
  <c r="D1162" i="8"/>
  <c r="J1161" i="8"/>
  <c r="I1161" i="8"/>
  <c r="H1161" i="8"/>
  <c r="G1161" i="8"/>
  <c r="F1161" i="8"/>
  <c r="E1161" i="8"/>
  <c r="D1161" i="8"/>
  <c r="H1157" i="8"/>
  <c r="G1157" i="8"/>
  <c r="H1156" i="8"/>
  <c r="G1156" i="8"/>
  <c r="F1156" i="8"/>
  <c r="E1156" i="8"/>
  <c r="D1156" i="8"/>
  <c r="H1155" i="8"/>
  <c r="G1155" i="8"/>
  <c r="F1155" i="8"/>
  <c r="E1155" i="8"/>
  <c r="D1155" i="8"/>
  <c r="H1154" i="8"/>
  <c r="G1154" i="8"/>
  <c r="F1154" i="8"/>
  <c r="E1154" i="8"/>
  <c r="D1154" i="8"/>
  <c r="H1153" i="8"/>
  <c r="G1153" i="8"/>
  <c r="F1153" i="8"/>
  <c r="E1153" i="8"/>
  <c r="D1153" i="8"/>
  <c r="H1152" i="8"/>
  <c r="G1152" i="8"/>
  <c r="F1152" i="8"/>
  <c r="E1152" i="8"/>
  <c r="D1152" i="8"/>
  <c r="H1151" i="8"/>
  <c r="G1151" i="8"/>
  <c r="F1151" i="8"/>
  <c r="E1151" i="8"/>
  <c r="D1151" i="8"/>
  <c r="J1150" i="8"/>
  <c r="H1150" i="8"/>
  <c r="G1150" i="8"/>
  <c r="F1150" i="8"/>
  <c r="E1150" i="8"/>
  <c r="D1150" i="8"/>
  <c r="J1149" i="8"/>
  <c r="I1149" i="8"/>
  <c r="H1149" i="8"/>
  <c r="G1149" i="8"/>
  <c r="F1149" i="8"/>
  <c r="E1149" i="8"/>
  <c r="D1149" i="8"/>
  <c r="H1145" i="8"/>
  <c r="I1144" i="8"/>
  <c r="H1144" i="8"/>
  <c r="G1144" i="8"/>
  <c r="F1144" i="8"/>
  <c r="E1144" i="8"/>
  <c r="D1144" i="8"/>
  <c r="H1143" i="8"/>
  <c r="G1143" i="8"/>
  <c r="F1143" i="8"/>
  <c r="E1143" i="8"/>
  <c r="D1143" i="8"/>
  <c r="H1142" i="8"/>
  <c r="G1142" i="8"/>
  <c r="F1142" i="8"/>
  <c r="E1142" i="8"/>
  <c r="D1142" i="8"/>
  <c r="H1141" i="8"/>
  <c r="G1141" i="8"/>
  <c r="F1141" i="8"/>
  <c r="E1141" i="8"/>
  <c r="D1141" i="8"/>
  <c r="H1140" i="8"/>
  <c r="G1140" i="8"/>
  <c r="F1140" i="8"/>
  <c r="E1140" i="8"/>
  <c r="D1140" i="8"/>
  <c r="H1139" i="8"/>
  <c r="G1139" i="8"/>
  <c r="F1139" i="8"/>
  <c r="E1139" i="8"/>
  <c r="D1139" i="8"/>
  <c r="H1138" i="8"/>
  <c r="M1138" i="8" s="1"/>
  <c r="G1138" i="8"/>
  <c r="L1138" i="8" s="1"/>
  <c r="F1138" i="8"/>
  <c r="E1138" i="8"/>
  <c r="D1138" i="8"/>
  <c r="J1137" i="8"/>
  <c r="I1137" i="8"/>
  <c r="H1137" i="8"/>
  <c r="G1137" i="8"/>
  <c r="F1137" i="8"/>
  <c r="E1137" i="8"/>
  <c r="D1137" i="8"/>
  <c r="H1132" i="8"/>
  <c r="G1132" i="8"/>
  <c r="F1132" i="8"/>
  <c r="E1132" i="8"/>
  <c r="D1132" i="8"/>
  <c r="H1131" i="8"/>
  <c r="G1131" i="8"/>
  <c r="F1131" i="8"/>
  <c r="E1131" i="8"/>
  <c r="D1131" i="8"/>
  <c r="H1130" i="8"/>
  <c r="G1130" i="8"/>
  <c r="F1130" i="8"/>
  <c r="E1130" i="8"/>
  <c r="D1130" i="8"/>
  <c r="H1129" i="8"/>
  <c r="G1129" i="8"/>
  <c r="L1126" i="8" s="1"/>
  <c r="F1129" i="8"/>
  <c r="E1129" i="8"/>
  <c r="D1129" i="8"/>
  <c r="I1128" i="8"/>
  <c r="H1128" i="8"/>
  <c r="G1128" i="8"/>
  <c r="F1128" i="8"/>
  <c r="E1128" i="8"/>
  <c r="D1128" i="8"/>
  <c r="H1127" i="8"/>
  <c r="G1127" i="8"/>
  <c r="F1127" i="8"/>
  <c r="E1127" i="8"/>
  <c r="D1127" i="8"/>
  <c r="H1126" i="8"/>
  <c r="G1126" i="8"/>
  <c r="F1126" i="8"/>
  <c r="E1126" i="8"/>
  <c r="D1126" i="8"/>
  <c r="J1125" i="8"/>
  <c r="I1125" i="8"/>
  <c r="H1125" i="8"/>
  <c r="G1125" i="8"/>
  <c r="F1125" i="8"/>
  <c r="E1125" i="8"/>
  <c r="D1125" i="8"/>
  <c r="H1120" i="8"/>
  <c r="G1120" i="8"/>
  <c r="F1120" i="8"/>
  <c r="E1120" i="8"/>
  <c r="D1120" i="8"/>
  <c r="H1119" i="8"/>
  <c r="G1119" i="8"/>
  <c r="F1119" i="8"/>
  <c r="E1119" i="8"/>
  <c r="D1119" i="8"/>
  <c r="H1118" i="8"/>
  <c r="G1118" i="8"/>
  <c r="F1118" i="8"/>
  <c r="E1118" i="8"/>
  <c r="D1118" i="8"/>
  <c r="H1117" i="8"/>
  <c r="G1117" i="8"/>
  <c r="F1117" i="8"/>
  <c r="E1117" i="8"/>
  <c r="D1117" i="8"/>
  <c r="H1116" i="8"/>
  <c r="G1116" i="8"/>
  <c r="G1121" i="8" s="1"/>
  <c r="F1116" i="8"/>
  <c r="E1116" i="8"/>
  <c r="D1116" i="8"/>
  <c r="H1115" i="8"/>
  <c r="G1115" i="8"/>
  <c r="F1115" i="8"/>
  <c r="E1115" i="8"/>
  <c r="D1115" i="8"/>
  <c r="M1114" i="8"/>
  <c r="H1114" i="8"/>
  <c r="H1121" i="8" s="1"/>
  <c r="G1114" i="8"/>
  <c r="F1114" i="8"/>
  <c r="E1114" i="8"/>
  <c r="D1114" i="8"/>
  <c r="J1113" i="8"/>
  <c r="I1113" i="8"/>
  <c r="H1113" i="8"/>
  <c r="G1113" i="8"/>
  <c r="F1113" i="8"/>
  <c r="E1113" i="8"/>
  <c r="D1113" i="8"/>
  <c r="H1108" i="8"/>
  <c r="G1108" i="8"/>
  <c r="F1108" i="8"/>
  <c r="E1108" i="8"/>
  <c r="D1108" i="8"/>
  <c r="H1107" i="8"/>
  <c r="G1107" i="8"/>
  <c r="F1107" i="8"/>
  <c r="E1107" i="8"/>
  <c r="D1107" i="8"/>
  <c r="I1106" i="8"/>
  <c r="H1106" i="8"/>
  <c r="G1106" i="8"/>
  <c r="F1106" i="8"/>
  <c r="E1106" i="8"/>
  <c r="D1106" i="8"/>
  <c r="H1105" i="8"/>
  <c r="G1105" i="8"/>
  <c r="F1105" i="8"/>
  <c r="E1105" i="8"/>
  <c r="D1105" i="8"/>
  <c r="H1104" i="8"/>
  <c r="H1109" i="8" s="1"/>
  <c r="G1104" i="8"/>
  <c r="F1104" i="8"/>
  <c r="E1104" i="8"/>
  <c r="D1104" i="8"/>
  <c r="H1103" i="8"/>
  <c r="G1103" i="8"/>
  <c r="F1103" i="8"/>
  <c r="E1103" i="8"/>
  <c r="D1103" i="8"/>
  <c r="I1102" i="8"/>
  <c r="H1102" i="8"/>
  <c r="G1102" i="8"/>
  <c r="F1102" i="8"/>
  <c r="E1102" i="8"/>
  <c r="D1102" i="8"/>
  <c r="J1101" i="8"/>
  <c r="I1101" i="8"/>
  <c r="H1101" i="8"/>
  <c r="G1101" i="8"/>
  <c r="F1101" i="8"/>
  <c r="E1101" i="8"/>
  <c r="D1101" i="8"/>
  <c r="H1096" i="8"/>
  <c r="G1096" i="8"/>
  <c r="F1096" i="8"/>
  <c r="E1096" i="8"/>
  <c r="D1096" i="8"/>
  <c r="H1095" i="8"/>
  <c r="G1095" i="8"/>
  <c r="F1095" i="8"/>
  <c r="E1095" i="8"/>
  <c r="D1095" i="8"/>
  <c r="H1094" i="8"/>
  <c r="G1094" i="8"/>
  <c r="F1094" i="8"/>
  <c r="E1094" i="8"/>
  <c r="D1094" i="8"/>
  <c r="I1093" i="8"/>
  <c r="H1093" i="8"/>
  <c r="G1093" i="8"/>
  <c r="F1093" i="8"/>
  <c r="E1093" i="8"/>
  <c r="D1093" i="8"/>
  <c r="H1092" i="8"/>
  <c r="G1092" i="8"/>
  <c r="F1092" i="8"/>
  <c r="E1092" i="8"/>
  <c r="D1092" i="8"/>
  <c r="H1091" i="8"/>
  <c r="G1091" i="8"/>
  <c r="F1091" i="8"/>
  <c r="E1091" i="8"/>
  <c r="D1091" i="8"/>
  <c r="H1090" i="8"/>
  <c r="G1090" i="8"/>
  <c r="F1090" i="8"/>
  <c r="E1090" i="8"/>
  <c r="D1090" i="8"/>
  <c r="J1089" i="8"/>
  <c r="I1089" i="8"/>
  <c r="H1089" i="8"/>
  <c r="G1089" i="8"/>
  <c r="F1089" i="8"/>
  <c r="E1089" i="8"/>
  <c r="D1089" i="8"/>
  <c r="H1084" i="8"/>
  <c r="G1084" i="8"/>
  <c r="F1084" i="8"/>
  <c r="E1084" i="8"/>
  <c r="D1084" i="8"/>
  <c r="I1083" i="8"/>
  <c r="H1083" i="8"/>
  <c r="G1083" i="8"/>
  <c r="F1083" i="8"/>
  <c r="E1083" i="8"/>
  <c r="D1083" i="8"/>
  <c r="H1082" i="8"/>
  <c r="G1082" i="8"/>
  <c r="F1082" i="8"/>
  <c r="E1082" i="8"/>
  <c r="D1082" i="8"/>
  <c r="H1081" i="8"/>
  <c r="G1081" i="8"/>
  <c r="F1081" i="8"/>
  <c r="E1081" i="8"/>
  <c r="D1081" i="8"/>
  <c r="H1080" i="8"/>
  <c r="G1080" i="8"/>
  <c r="F1080" i="8"/>
  <c r="E1080" i="8"/>
  <c r="D1080" i="8"/>
  <c r="H1079" i="8"/>
  <c r="G1079" i="8"/>
  <c r="F1079" i="8"/>
  <c r="E1079" i="8"/>
  <c r="D1079" i="8"/>
  <c r="M1078" i="8"/>
  <c r="H1078" i="8"/>
  <c r="G1078" i="8"/>
  <c r="F1078" i="8"/>
  <c r="E1078" i="8"/>
  <c r="D1078" i="8"/>
  <c r="J1077" i="8"/>
  <c r="I1077" i="8"/>
  <c r="H1077" i="8"/>
  <c r="G1077" i="8"/>
  <c r="F1077" i="8"/>
  <c r="E1077" i="8"/>
  <c r="D1077" i="8"/>
  <c r="H1072" i="8"/>
  <c r="G1072" i="8"/>
  <c r="F1072" i="8"/>
  <c r="E1072" i="8"/>
  <c r="D1072" i="8"/>
  <c r="H1071" i="8"/>
  <c r="G1071" i="8"/>
  <c r="F1071" i="8"/>
  <c r="E1071" i="8"/>
  <c r="D1071" i="8"/>
  <c r="H1070" i="8"/>
  <c r="G1070" i="8"/>
  <c r="F1070" i="8"/>
  <c r="E1070" i="8"/>
  <c r="D1070" i="8"/>
  <c r="H1069" i="8"/>
  <c r="G1069" i="8"/>
  <c r="F1069" i="8"/>
  <c r="E1069" i="8"/>
  <c r="D1069" i="8"/>
  <c r="H1068" i="8"/>
  <c r="G1068" i="8"/>
  <c r="G1073" i="8" s="1"/>
  <c r="F1068" i="8"/>
  <c r="E1068" i="8"/>
  <c r="D1068" i="8"/>
  <c r="I1067" i="8"/>
  <c r="H1067" i="8"/>
  <c r="G1067" i="8"/>
  <c r="F1067" i="8"/>
  <c r="E1067" i="8"/>
  <c r="D1067" i="8"/>
  <c r="H1066" i="8"/>
  <c r="G1066" i="8"/>
  <c r="L1066" i="8" s="1"/>
  <c r="F1066" i="8"/>
  <c r="E1066" i="8"/>
  <c r="D1066" i="8"/>
  <c r="J1065" i="8"/>
  <c r="I1065" i="8"/>
  <c r="H1065" i="8"/>
  <c r="G1065" i="8"/>
  <c r="F1065" i="8"/>
  <c r="E1065" i="8"/>
  <c r="D1065" i="8"/>
  <c r="H1060" i="8"/>
  <c r="G1060" i="8"/>
  <c r="F1060" i="8"/>
  <c r="E1060" i="8"/>
  <c r="D1060" i="8"/>
  <c r="H1059" i="8"/>
  <c r="G1059" i="8"/>
  <c r="F1059" i="8"/>
  <c r="E1059" i="8"/>
  <c r="D1059" i="8"/>
  <c r="H1058" i="8"/>
  <c r="G1058" i="8"/>
  <c r="F1058" i="8"/>
  <c r="E1058" i="8"/>
  <c r="D1058" i="8"/>
  <c r="I1057" i="8"/>
  <c r="H1057" i="8"/>
  <c r="H1061" i="8" s="1"/>
  <c r="G1057" i="8"/>
  <c r="F1057" i="8"/>
  <c r="E1057" i="8"/>
  <c r="D1057" i="8"/>
  <c r="H1056" i="8"/>
  <c r="G1056" i="8"/>
  <c r="F1056" i="8"/>
  <c r="E1056" i="8"/>
  <c r="D1056" i="8"/>
  <c r="H1055" i="8"/>
  <c r="G1055" i="8"/>
  <c r="G1061" i="8" s="1"/>
  <c r="F1055" i="8"/>
  <c r="E1055" i="8"/>
  <c r="D1055" i="8"/>
  <c r="H1054" i="8"/>
  <c r="G1054" i="8"/>
  <c r="F1054" i="8"/>
  <c r="E1054" i="8"/>
  <c r="D1054" i="8"/>
  <c r="J1053" i="8"/>
  <c r="I1053" i="8"/>
  <c r="H1053" i="8"/>
  <c r="G1053" i="8"/>
  <c r="F1053" i="8"/>
  <c r="E1053" i="8"/>
  <c r="D1053" i="8"/>
  <c r="H1049" i="8"/>
  <c r="H1048" i="8"/>
  <c r="G1048" i="8"/>
  <c r="F1048" i="8"/>
  <c r="E1048" i="8"/>
  <c r="D1048" i="8"/>
  <c r="H1047" i="8"/>
  <c r="G1047" i="8"/>
  <c r="F1047" i="8"/>
  <c r="E1047" i="8"/>
  <c r="D1047" i="8"/>
  <c r="H1046" i="8"/>
  <c r="G1046" i="8"/>
  <c r="F1046" i="8"/>
  <c r="E1046" i="8"/>
  <c r="D1046" i="8"/>
  <c r="H1045" i="8"/>
  <c r="G1045" i="8"/>
  <c r="F1045" i="8"/>
  <c r="E1045" i="8"/>
  <c r="D1045" i="8"/>
  <c r="I1044" i="8"/>
  <c r="H1044" i="8"/>
  <c r="G1044" i="8"/>
  <c r="F1044" i="8"/>
  <c r="E1044" i="8"/>
  <c r="D1044" i="8"/>
  <c r="H1043" i="8"/>
  <c r="G1043" i="8"/>
  <c r="F1043" i="8"/>
  <c r="E1043" i="8"/>
  <c r="D1043" i="8"/>
  <c r="H1042" i="8"/>
  <c r="M1042" i="8" s="1"/>
  <c r="G1042" i="8"/>
  <c r="F1042" i="8"/>
  <c r="E1042" i="8"/>
  <c r="D1042" i="8"/>
  <c r="J1041" i="8"/>
  <c r="I1041" i="8"/>
  <c r="H1041" i="8"/>
  <c r="G1041" i="8"/>
  <c r="F1041" i="8"/>
  <c r="E1041" i="8"/>
  <c r="D1041" i="8"/>
  <c r="I1036" i="8"/>
  <c r="H1036" i="8"/>
  <c r="G1036" i="8"/>
  <c r="F1036" i="8"/>
  <c r="E1036" i="8"/>
  <c r="D1036" i="8"/>
  <c r="H1035" i="8"/>
  <c r="G1035" i="8"/>
  <c r="F1035" i="8"/>
  <c r="E1035" i="8"/>
  <c r="D1035" i="8"/>
  <c r="H1034" i="8"/>
  <c r="G1034" i="8"/>
  <c r="F1034" i="8"/>
  <c r="E1034" i="8"/>
  <c r="D1034" i="8"/>
  <c r="H1033" i="8"/>
  <c r="G1033" i="8"/>
  <c r="F1033" i="8"/>
  <c r="E1033" i="8"/>
  <c r="D1033" i="8"/>
  <c r="H1032" i="8"/>
  <c r="G1032" i="8"/>
  <c r="F1032" i="8"/>
  <c r="E1032" i="8"/>
  <c r="D1032" i="8"/>
  <c r="H1031" i="8"/>
  <c r="G1031" i="8"/>
  <c r="F1031" i="8"/>
  <c r="E1031" i="8"/>
  <c r="D1031" i="8"/>
  <c r="L1030" i="8"/>
  <c r="H1030" i="8"/>
  <c r="G1030" i="8"/>
  <c r="F1030" i="8"/>
  <c r="E1030" i="8"/>
  <c r="D1030" i="8"/>
  <c r="J1029" i="8"/>
  <c r="I1029" i="8"/>
  <c r="H1029" i="8"/>
  <c r="G1029" i="8"/>
  <c r="F1029" i="8"/>
  <c r="E1029" i="8"/>
  <c r="D1029" i="8"/>
  <c r="H1024" i="8"/>
  <c r="G1024" i="8"/>
  <c r="F1024" i="8"/>
  <c r="E1024" i="8"/>
  <c r="D1024" i="8"/>
  <c r="H1023" i="8"/>
  <c r="G1023" i="8"/>
  <c r="F1023" i="8"/>
  <c r="E1023" i="8"/>
  <c r="D1023" i="8"/>
  <c r="I1022" i="8"/>
  <c r="H1022" i="8"/>
  <c r="G1022" i="8"/>
  <c r="F1022" i="8"/>
  <c r="E1022" i="8"/>
  <c r="D1022" i="8"/>
  <c r="H1021" i="8"/>
  <c r="G1021" i="8"/>
  <c r="F1021" i="8"/>
  <c r="E1021" i="8"/>
  <c r="D1021" i="8"/>
  <c r="H1020" i="8"/>
  <c r="G1020" i="8"/>
  <c r="F1020" i="8"/>
  <c r="E1020" i="8"/>
  <c r="D1020" i="8"/>
  <c r="H1019" i="8"/>
  <c r="G1019" i="8"/>
  <c r="F1019" i="8"/>
  <c r="E1019" i="8"/>
  <c r="D1019" i="8"/>
  <c r="M1018" i="8"/>
  <c r="I1018" i="8"/>
  <c r="H1018" i="8"/>
  <c r="H1025" i="8" s="1"/>
  <c r="G1018" i="8"/>
  <c r="F1018" i="8"/>
  <c r="E1018" i="8"/>
  <c r="D1018" i="8"/>
  <c r="J1017" i="8"/>
  <c r="I1017" i="8"/>
  <c r="H1017" i="8"/>
  <c r="G1017" i="8"/>
  <c r="F1017" i="8"/>
  <c r="E1017" i="8"/>
  <c r="D1017" i="8"/>
  <c r="H1012" i="8"/>
  <c r="G1012" i="8"/>
  <c r="F1012" i="8"/>
  <c r="E1012" i="8"/>
  <c r="D1012" i="8"/>
  <c r="H1011" i="8"/>
  <c r="G1011" i="8"/>
  <c r="F1011" i="8"/>
  <c r="E1011" i="8"/>
  <c r="D1011" i="8"/>
  <c r="H1010" i="8"/>
  <c r="G1010" i="8"/>
  <c r="F1010" i="8"/>
  <c r="E1010" i="8"/>
  <c r="D1010" i="8"/>
  <c r="H1009" i="8"/>
  <c r="G1009" i="8"/>
  <c r="F1009" i="8"/>
  <c r="E1009" i="8"/>
  <c r="D1009" i="8"/>
  <c r="H1008" i="8"/>
  <c r="G1008" i="8"/>
  <c r="F1008" i="8"/>
  <c r="E1008" i="8"/>
  <c r="D1008" i="8"/>
  <c r="H1007" i="8"/>
  <c r="G1007" i="8"/>
  <c r="G1013" i="8" s="1"/>
  <c r="F1007" i="8"/>
  <c r="E1007" i="8"/>
  <c r="D1007" i="8"/>
  <c r="H1006" i="8"/>
  <c r="M1006" i="8" s="1"/>
  <c r="G1006" i="8"/>
  <c r="F1006" i="8"/>
  <c r="E1006" i="8"/>
  <c r="D1006" i="8"/>
  <c r="J1005" i="8"/>
  <c r="I1005" i="8"/>
  <c r="H1005" i="8"/>
  <c r="G1005" i="8"/>
  <c r="F1005" i="8"/>
  <c r="E1005" i="8"/>
  <c r="D1005" i="8"/>
  <c r="H1000" i="8"/>
  <c r="G1000" i="8"/>
  <c r="F1000" i="8"/>
  <c r="E1000" i="8"/>
  <c r="D1000" i="8"/>
  <c r="H999" i="8"/>
  <c r="G999" i="8"/>
  <c r="F999" i="8"/>
  <c r="E999" i="8"/>
  <c r="D999" i="8"/>
  <c r="H998" i="8"/>
  <c r="G998" i="8"/>
  <c r="F998" i="8"/>
  <c r="E998" i="8"/>
  <c r="D998" i="8"/>
  <c r="H997" i="8"/>
  <c r="G997" i="8"/>
  <c r="F997" i="8"/>
  <c r="E997" i="8"/>
  <c r="D997" i="8"/>
  <c r="H996" i="8"/>
  <c r="G996" i="8"/>
  <c r="F996" i="8"/>
  <c r="E996" i="8"/>
  <c r="D996" i="8"/>
  <c r="H995" i="8"/>
  <c r="G995" i="8"/>
  <c r="F995" i="8"/>
  <c r="E995" i="8"/>
  <c r="D995" i="8"/>
  <c r="L994" i="8"/>
  <c r="H994" i="8"/>
  <c r="G994" i="8"/>
  <c r="F994" i="8"/>
  <c r="E994" i="8"/>
  <c r="D994" i="8"/>
  <c r="J993" i="8"/>
  <c r="I993" i="8"/>
  <c r="H993" i="8"/>
  <c r="G993" i="8"/>
  <c r="F993" i="8"/>
  <c r="E993" i="8"/>
  <c r="D993" i="8"/>
  <c r="H988" i="8"/>
  <c r="G988" i="8"/>
  <c r="F988" i="8"/>
  <c r="E988" i="8"/>
  <c r="D988" i="8"/>
  <c r="H987" i="8"/>
  <c r="G987" i="8"/>
  <c r="F987" i="8"/>
  <c r="E987" i="8"/>
  <c r="D987" i="8"/>
  <c r="H986" i="8"/>
  <c r="G986" i="8"/>
  <c r="F986" i="8"/>
  <c r="E986" i="8"/>
  <c r="D986" i="8"/>
  <c r="I985" i="8"/>
  <c r="H985" i="8"/>
  <c r="G985" i="8"/>
  <c r="F985" i="8"/>
  <c r="E985" i="8"/>
  <c r="D985" i="8"/>
  <c r="H984" i="8"/>
  <c r="G984" i="8"/>
  <c r="F984" i="8"/>
  <c r="E984" i="8"/>
  <c r="D984" i="8"/>
  <c r="H983" i="8"/>
  <c r="H989" i="8" s="1"/>
  <c r="G983" i="8"/>
  <c r="L982" i="8" s="1"/>
  <c r="F983" i="8"/>
  <c r="E983" i="8"/>
  <c r="D983" i="8"/>
  <c r="H982" i="8"/>
  <c r="G982" i="8"/>
  <c r="F982" i="8"/>
  <c r="E982" i="8"/>
  <c r="D982" i="8"/>
  <c r="J981" i="8"/>
  <c r="I981" i="8"/>
  <c r="H981" i="8"/>
  <c r="G981" i="8"/>
  <c r="F981" i="8"/>
  <c r="E981" i="8"/>
  <c r="D981" i="8"/>
  <c r="H976" i="8"/>
  <c r="G976" i="8"/>
  <c r="F976" i="8"/>
  <c r="E976" i="8"/>
  <c r="D976" i="8"/>
  <c r="I975" i="8"/>
  <c r="H975" i="8"/>
  <c r="G975" i="8"/>
  <c r="F975" i="8"/>
  <c r="E975" i="8"/>
  <c r="D975" i="8"/>
  <c r="H974" i="8"/>
  <c r="G974" i="8"/>
  <c r="F974" i="8"/>
  <c r="E974" i="8"/>
  <c r="D974" i="8"/>
  <c r="H973" i="8"/>
  <c r="G973" i="8"/>
  <c r="L970" i="8" s="1"/>
  <c r="F973" i="8"/>
  <c r="E973" i="8"/>
  <c r="D973" i="8"/>
  <c r="H972" i="8"/>
  <c r="G972" i="8"/>
  <c r="F972" i="8"/>
  <c r="E972" i="8"/>
  <c r="D972" i="8"/>
  <c r="I971" i="8"/>
  <c r="H971" i="8"/>
  <c r="M970" i="8" s="1"/>
  <c r="G971" i="8"/>
  <c r="F971" i="8"/>
  <c r="E971" i="8"/>
  <c r="D971" i="8"/>
  <c r="H970" i="8"/>
  <c r="G970" i="8"/>
  <c r="F970" i="8"/>
  <c r="E970" i="8"/>
  <c r="D970" i="8"/>
  <c r="J969" i="8"/>
  <c r="I969" i="8"/>
  <c r="H969" i="8"/>
  <c r="G969" i="8"/>
  <c r="F969" i="8"/>
  <c r="E969" i="8"/>
  <c r="D969" i="8"/>
  <c r="G965" i="8"/>
  <c r="H964" i="8"/>
  <c r="G964" i="8"/>
  <c r="F964" i="8"/>
  <c r="E964" i="8"/>
  <c r="D964" i="8"/>
  <c r="I963" i="8"/>
  <c r="H963" i="8"/>
  <c r="G963" i="8"/>
  <c r="F963" i="8"/>
  <c r="E963" i="8"/>
  <c r="D963" i="8"/>
  <c r="H962" i="8"/>
  <c r="G962" i="8"/>
  <c r="F962" i="8"/>
  <c r="E962" i="8"/>
  <c r="D962" i="8"/>
  <c r="H961" i="8"/>
  <c r="G961" i="8"/>
  <c r="F961" i="8"/>
  <c r="E961" i="8"/>
  <c r="D961" i="8"/>
  <c r="H960" i="8"/>
  <c r="G960" i="8"/>
  <c r="F960" i="8"/>
  <c r="E960" i="8"/>
  <c r="D960" i="8"/>
  <c r="I959" i="8"/>
  <c r="H959" i="8"/>
  <c r="G959" i="8"/>
  <c r="F959" i="8"/>
  <c r="E959" i="8"/>
  <c r="D959" i="8"/>
  <c r="M958" i="8"/>
  <c r="H958" i="8"/>
  <c r="G958" i="8"/>
  <c r="F958" i="8"/>
  <c r="E958" i="8"/>
  <c r="D958" i="8"/>
  <c r="J957" i="8"/>
  <c r="I957" i="8"/>
  <c r="H957" i="8"/>
  <c r="G957" i="8"/>
  <c r="F957" i="8"/>
  <c r="E957" i="8"/>
  <c r="D957" i="8"/>
  <c r="H952" i="8"/>
  <c r="G952" i="8"/>
  <c r="F952" i="8"/>
  <c r="E952" i="8"/>
  <c r="D952" i="8"/>
  <c r="H951" i="8"/>
  <c r="G951" i="8"/>
  <c r="F951" i="8"/>
  <c r="E951" i="8"/>
  <c r="D951" i="8"/>
  <c r="I950" i="8"/>
  <c r="H950" i="8"/>
  <c r="G950" i="8"/>
  <c r="F950" i="8"/>
  <c r="E950" i="8"/>
  <c r="D950" i="8"/>
  <c r="H949" i="8"/>
  <c r="G949" i="8"/>
  <c r="F949" i="8"/>
  <c r="E949" i="8"/>
  <c r="D949" i="8"/>
  <c r="H948" i="8"/>
  <c r="G948" i="8"/>
  <c r="F948" i="8"/>
  <c r="E948" i="8"/>
  <c r="D948" i="8"/>
  <c r="H947" i="8"/>
  <c r="G947" i="8"/>
  <c r="G953" i="8" s="1"/>
  <c r="F947" i="8"/>
  <c r="E947" i="8"/>
  <c r="D947" i="8"/>
  <c r="I946" i="8"/>
  <c r="H946" i="8"/>
  <c r="G946" i="8"/>
  <c r="F946" i="8"/>
  <c r="E946" i="8"/>
  <c r="D946" i="8"/>
  <c r="J945" i="8"/>
  <c r="I945" i="8"/>
  <c r="H945" i="8"/>
  <c r="G945" i="8"/>
  <c r="F945" i="8"/>
  <c r="E945" i="8"/>
  <c r="D945" i="8"/>
  <c r="I940" i="8"/>
  <c r="H940" i="8"/>
  <c r="G940" i="8"/>
  <c r="F940" i="8"/>
  <c r="E940" i="8"/>
  <c r="D940" i="8"/>
  <c r="H939" i="8"/>
  <c r="G939" i="8"/>
  <c r="F939" i="8"/>
  <c r="E939" i="8"/>
  <c r="D939" i="8"/>
  <c r="H938" i="8"/>
  <c r="G938" i="8"/>
  <c r="F938" i="8"/>
  <c r="E938" i="8"/>
  <c r="D938" i="8"/>
  <c r="H937" i="8"/>
  <c r="G937" i="8"/>
  <c r="F937" i="8"/>
  <c r="E937" i="8"/>
  <c r="D937" i="8"/>
  <c r="I936" i="8"/>
  <c r="H936" i="8"/>
  <c r="G936" i="8"/>
  <c r="F936" i="8"/>
  <c r="E936" i="8"/>
  <c r="D936" i="8"/>
  <c r="H935" i="8"/>
  <c r="G935" i="8"/>
  <c r="F935" i="8"/>
  <c r="E935" i="8"/>
  <c r="D935" i="8"/>
  <c r="H934" i="8"/>
  <c r="G934" i="8"/>
  <c r="F934" i="8"/>
  <c r="E934" i="8"/>
  <c r="D934" i="8"/>
  <c r="J933" i="8"/>
  <c r="I933" i="8"/>
  <c r="H933" i="8"/>
  <c r="G933" i="8"/>
  <c r="F933" i="8"/>
  <c r="E933" i="8"/>
  <c r="D933" i="8"/>
  <c r="I928" i="8"/>
  <c r="H928" i="8"/>
  <c r="G928" i="8"/>
  <c r="F928" i="8"/>
  <c r="E928" i="8"/>
  <c r="D928" i="8"/>
  <c r="H927" i="8"/>
  <c r="G927" i="8"/>
  <c r="F927" i="8"/>
  <c r="E927" i="8"/>
  <c r="D927" i="8"/>
  <c r="H926" i="8"/>
  <c r="G926" i="8"/>
  <c r="F926" i="8"/>
  <c r="E926" i="8"/>
  <c r="D926" i="8"/>
  <c r="H925" i="8"/>
  <c r="G925" i="8"/>
  <c r="F925" i="8"/>
  <c r="E925" i="8"/>
  <c r="D925" i="8"/>
  <c r="I924" i="8"/>
  <c r="H924" i="8"/>
  <c r="G924" i="8"/>
  <c r="F924" i="8"/>
  <c r="E924" i="8"/>
  <c r="D924" i="8"/>
  <c r="H923" i="8"/>
  <c r="G923" i="8"/>
  <c r="F923" i="8"/>
  <c r="E923" i="8"/>
  <c r="D923" i="8"/>
  <c r="H922" i="8"/>
  <c r="G922" i="8"/>
  <c r="F922" i="8"/>
  <c r="E922" i="8"/>
  <c r="D922" i="8"/>
  <c r="J921" i="8"/>
  <c r="I921" i="8"/>
  <c r="H921" i="8"/>
  <c r="G921" i="8"/>
  <c r="F921" i="8"/>
  <c r="E921" i="8"/>
  <c r="D921" i="8"/>
  <c r="H916" i="8"/>
  <c r="G916" i="8"/>
  <c r="F916" i="8"/>
  <c r="E916" i="8"/>
  <c r="D916" i="8"/>
  <c r="H915" i="8"/>
  <c r="G915" i="8"/>
  <c r="F915" i="8"/>
  <c r="E915" i="8"/>
  <c r="D915" i="8"/>
  <c r="I914" i="8"/>
  <c r="H914" i="8"/>
  <c r="G914" i="8"/>
  <c r="F914" i="8"/>
  <c r="E914" i="8"/>
  <c r="D914" i="8"/>
  <c r="H913" i="8"/>
  <c r="G913" i="8"/>
  <c r="F913" i="8"/>
  <c r="E913" i="8"/>
  <c r="D913" i="8"/>
  <c r="H912" i="8"/>
  <c r="G912" i="8"/>
  <c r="G917" i="8" s="1"/>
  <c r="F912" i="8"/>
  <c r="E912" i="8"/>
  <c r="D912" i="8"/>
  <c r="H911" i="8"/>
  <c r="G911" i="8"/>
  <c r="F911" i="8"/>
  <c r="E911" i="8"/>
  <c r="D911" i="8"/>
  <c r="I910" i="8"/>
  <c r="H910" i="8"/>
  <c r="G910" i="8"/>
  <c r="F910" i="8"/>
  <c r="E910" i="8"/>
  <c r="D910" i="8"/>
  <c r="J909" i="8"/>
  <c r="I909" i="8"/>
  <c r="H909" i="8"/>
  <c r="G909" i="8"/>
  <c r="F909" i="8"/>
  <c r="E909" i="8"/>
  <c r="D909" i="8"/>
  <c r="H905" i="8"/>
  <c r="H904" i="8"/>
  <c r="G904" i="8"/>
  <c r="F904" i="8"/>
  <c r="E904" i="8"/>
  <c r="D904" i="8"/>
  <c r="H903" i="8"/>
  <c r="G903" i="8"/>
  <c r="F903" i="8"/>
  <c r="E903" i="8"/>
  <c r="D903" i="8"/>
  <c r="H902" i="8"/>
  <c r="G902" i="8"/>
  <c r="F902" i="8"/>
  <c r="E902" i="8"/>
  <c r="D902" i="8"/>
  <c r="I901" i="8"/>
  <c r="H901" i="8"/>
  <c r="G901" i="8"/>
  <c r="F901" i="8"/>
  <c r="E901" i="8"/>
  <c r="D901" i="8"/>
  <c r="H900" i="8"/>
  <c r="G900" i="8"/>
  <c r="F900" i="8"/>
  <c r="E900" i="8"/>
  <c r="D900" i="8"/>
  <c r="H899" i="8"/>
  <c r="G899" i="8"/>
  <c r="G905" i="8" s="1"/>
  <c r="F899" i="8"/>
  <c r="E899" i="8"/>
  <c r="D899" i="8"/>
  <c r="H898" i="8"/>
  <c r="M898" i="8" s="1"/>
  <c r="G898" i="8"/>
  <c r="F898" i="8"/>
  <c r="E898" i="8"/>
  <c r="D898" i="8"/>
  <c r="J897" i="8"/>
  <c r="I897" i="8"/>
  <c r="H897" i="8"/>
  <c r="G897" i="8"/>
  <c r="F897" i="8"/>
  <c r="E897" i="8"/>
  <c r="D897" i="8"/>
  <c r="H892" i="8"/>
  <c r="G892" i="8"/>
  <c r="F892" i="8"/>
  <c r="E892" i="8"/>
  <c r="D892" i="8"/>
  <c r="H891" i="8"/>
  <c r="G891" i="8"/>
  <c r="F891" i="8"/>
  <c r="E891" i="8"/>
  <c r="D891" i="8"/>
  <c r="H890" i="8"/>
  <c r="G890" i="8"/>
  <c r="F890" i="8"/>
  <c r="E890" i="8"/>
  <c r="D890" i="8"/>
  <c r="I889" i="8"/>
  <c r="H889" i="8"/>
  <c r="G889" i="8"/>
  <c r="F889" i="8"/>
  <c r="E889" i="8"/>
  <c r="D889" i="8"/>
  <c r="H888" i="8"/>
  <c r="G888" i="8"/>
  <c r="F888" i="8"/>
  <c r="E888" i="8"/>
  <c r="D888" i="8"/>
  <c r="H887" i="8"/>
  <c r="G887" i="8"/>
  <c r="F887" i="8"/>
  <c r="E887" i="8"/>
  <c r="D887" i="8"/>
  <c r="L886" i="8"/>
  <c r="H886" i="8"/>
  <c r="G886" i="8"/>
  <c r="F886" i="8"/>
  <c r="E886" i="8"/>
  <c r="D886" i="8"/>
  <c r="J885" i="8"/>
  <c r="I885" i="8"/>
  <c r="H885" i="8"/>
  <c r="G885" i="8"/>
  <c r="F885" i="8"/>
  <c r="E885" i="8"/>
  <c r="D885" i="8"/>
  <c r="H880" i="8"/>
  <c r="G880" i="8"/>
  <c r="F880" i="8"/>
  <c r="E880" i="8"/>
  <c r="D880" i="8"/>
  <c r="I879" i="8"/>
  <c r="H879" i="8"/>
  <c r="M874" i="8" s="1"/>
  <c r="G879" i="8"/>
  <c r="F879" i="8"/>
  <c r="E879" i="8"/>
  <c r="D879" i="8"/>
  <c r="H878" i="8"/>
  <c r="G878" i="8"/>
  <c r="F878" i="8"/>
  <c r="E878" i="8"/>
  <c r="D878" i="8"/>
  <c r="H877" i="8"/>
  <c r="G877" i="8"/>
  <c r="F877" i="8"/>
  <c r="E877" i="8"/>
  <c r="D877" i="8"/>
  <c r="H876" i="8"/>
  <c r="G876" i="8"/>
  <c r="F876" i="8"/>
  <c r="E876" i="8"/>
  <c r="D876" i="8"/>
  <c r="I875" i="8"/>
  <c r="H875" i="8"/>
  <c r="G875" i="8"/>
  <c r="F875" i="8"/>
  <c r="E875" i="8"/>
  <c r="D875" i="8"/>
  <c r="L874" i="8"/>
  <c r="H874" i="8"/>
  <c r="G874" i="8"/>
  <c r="F874" i="8"/>
  <c r="E874" i="8"/>
  <c r="D874" i="8"/>
  <c r="J873" i="8"/>
  <c r="I873" i="8"/>
  <c r="H873" i="8"/>
  <c r="G873" i="8"/>
  <c r="F873" i="8"/>
  <c r="E873" i="8"/>
  <c r="D873" i="8"/>
  <c r="G869" i="8"/>
  <c r="H868" i="8"/>
  <c r="G868" i="8"/>
  <c r="F868" i="8"/>
  <c r="E868" i="8"/>
  <c r="D868" i="8"/>
  <c r="I867" i="8"/>
  <c r="H867" i="8"/>
  <c r="G867" i="8"/>
  <c r="F867" i="8"/>
  <c r="E867" i="8"/>
  <c r="D867" i="8"/>
  <c r="H866" i="8"/>
  <c r="G866" i="8"/>
  <c r="F866" i="8"/>
  <c r="E866" i="8"/>
  <c r="D866" i="8"/>
  <c r="H865" i="8"/>
  <c r="M862" i="8" s="1"/>
  <c r="G865" i="8"/>
  <c r="F865" i="8"/>
  <c r="E865" i="8"/>
  <c r="D865" i="8"/>
  <c r="H864" i="8"/>
  <c r="G864" i="8"/>
  <c r="F864" i="8"/>
  <c r="E864" i="8"/>
  <c r="D864" i="8"/>
  <c r="I863" i="8"/>
  <c r="H863" i="8"/>
  <c r="G863" i="8"/>
  <c r="F863" i="8"/>
  <c r="E863" i="8"/>
  <c r="D863" i="8"/>
  <c r="H862" i="8"/>
  <c r="G862" i="8"/>
  <c r="L862" i="8" s="1"/>
  <c r="F862" i="8"/>
  <c r="E862" i="8"/>
  <c r="D862" i="8"/>
  <c r="J861" i="8"/>
  <c r="I861" i="8"/>
  <c r="H861" i="8"/>
  <c r="G861" i="8"/>
  <c r="F861" i="8"/>
  <c r="E861" i="8"/>
  <c r="D861" i="8"/>
  <c r="H856" i="8"/>
  <c r="G856" i="8"/>
  <c r="F856" i="8"/>
  <c r="E856" i="8"/>
  <c r="D856" i="8"/>
  <c r="H855" i="8"/>
  <c r="G855" i="8"/>
  <c r="F855" i="8"/>
  <c r="E855" i="8"/>
  <c r="D855" i="8"/>
  <c r="I854" i="8"/>
  <c r="H854" i="8"/>
  <c r="G854" i="8"/>
  <c r="F854" i="8"/>
  <c r="E854" i="8"/>
  <c r="D854" i="8"/>
  <c r="H853" i="8"/>
  <c r="G853" i="8"/>
  <c r="F853" i="8"/>
  <c r="E853" i="8"/>
  <c r="D853" i="8"/>
  <c r="H852" i="8"/>
  <c r="H857" i="8" s="1"/>
  <c r="G852" i="8"/>
  <c r="F852" i="8"/>
  <c r="E852" i="8"/>
  <c r="D852" i="8"/>
  <c r="H851" i="8"/>
  <c r="G851" i="8"/>
  <c r="F851" i="8"/>
  <c r="E851" i="8"/>
  <c r="D851" i="8"/>
  <c r="I850" i="8"/>
  <c r="H850" i="8"/>
  <c r="G850" i="8"/>
  <c r="F850" i="8"/>
  <c r="E850" i="8"/>
  <c r="D850" i="8"/>
  <c r="J849" i="8"/>
  <c r="I849" i="8"/>
  <c r="H849" i="8"/>
  <c r="G849" i="8"/>
  <c r="F849" i="8"/>
  <c r="E849" i="8"/>
  <c r="D849" i="8"/>
  <c r="I844" i="8"/>
  <c r="H844" i="8"/>
  <c r="G844" i="8"/>
  <c r="F844" i="8"/>
  <c r="E844" i="8"/>
  <c r="D844" i="8"/>
  <c r="H843" i="8"/>
  <c r="G843" i="8"/>
  <c r="F843" i="8"/>
  <c r="E843" i="8"/>
  <c r="D843" i="8"/>
  <c r="H842" i="8"/>
  <c r="G842" i="8"/>
  <c r="F842" i="8"/>
  <c r="E842" i="8"/>
  <c r="D842" i="8"/>
  <c r="H841" i="8"/>
  <c r="G841" i="8"/>
  <c r="F841" i="8"/>
  <c r="E841" i="8"/>
  <c r="D841" i="8"/>
  <c r="I840" i="8"/>
  <c r="H840" i="8"/>
  <c r="H845" i="8" s="1"/>
  <c r="G840" i="8"/>
  <c r="F840" i="8"/>
  <c r="E840" i="8"/>
  <c r="D840" i="8"/>
  <c r="H839" i="8"/>
  <c r="G839" i="8"/>
  <c r="F839" i="8"/>
  <c r="E839" i="8"/>
  <c r="D839" i="8"/>
  <c r="H838" i="8"/>
  <c r="G838" i="8"/>
  <c r="F838" i="8"/>
  <c r="E838" i="8"/>
  <c r="D838" i="8"/>
  <c r="J837" i="8"/>
  <c r="I837" i="8"/>
  <c r="H837" i="8"/>
  <c r="G837" i="8"/>
  <c r="F837" i="8"/>
  <c r="E837" i="8"/>
  <c r="D837" i="8"/>
  <c r="I832" i="8"/>
  <c r="H832" i="8"/>
  <c r="G832" i="8"/>
  <c r="F832" i="8"/>
  <c r="E832" i="8"/>
  <c r="D832" i="8"/>
  <c r="H831" i="8"/>
  <c r="G831" i="8"/>
  <c r="F831" i="8"/>
  <c r="E831" i="8"/>
  <c r="D831" i="8"/>
  <c r="H830" i="8"/>
  <c r="G830" i="8"/>
  <c r="F830" i="8"/>
  <c r="E830" i="8"/>
  <c r="D830" i="8"/>
  <c r="J829" i="8"/>
  <c r="H829" i="8"/>
  <c r="G829" i="8"/>
  <c r="F829" i="8"/>
  <c r="E829" i="8"/>
  <c r="D829" i="8"/>
  <c r="I828" i="8"/>
  <c r="H828" i="8"/>
  <c r="G828" i="8"/>
  <c r="F828" i="8"/>
  <c r="E828" i="8"/>
  <c r="D828" i="8"/>
  <c r="H827" i="8"/>
  <c r="G827" i="8"/>
  <c r="F827" i="8"/>
  <c r="E827" i="8"/>
  <c r="D827" i="8"/>
  <c r="H826" i="8"/>
  <c r="G826" i="8"/>
  <c r="F826" i="8"/>
  <c r="E826" i="8"/>
  <c r="D826" i="8"/>
  <c r="J825" i="8"/>
  <c r="I825" i="8"/>
  <c r="H825" i="8"/>
  <c r="G825" i="8"/>
  <c r="F825" i="8"/>
  <c r="E825" i="8"/>
  <c r="D825" i="8"/>
  <c r="H820" i="8"/>
  <c r="G820" i="8"/>
  <c r="F820" i="8"/>
  <c r="E820" i="8"/>
  <c r="D820" i="8"/>
  <c r="H819" i="8"/>
  <c r="G819" i="8"/>
  <c r="F819" i="8"/>
  <c r="E819" i="8"/>
  <c r="D819" i="8"/>
  <c r="I818" i="8"/>
  <c r="H818" i="8"/>
  <c r="G818" i="8"/>
  <c r="F818" i="8"/>
  <c r="E818" i="8"/>
  <c r="D818" i="8"/>
  <c r="H817" i="8"/>
  <c r="G817" i="8"/>
  <c r="F817" i="8"/>
  <c r="E817" i="8"/>
  <c r="D817" i="8"/>
  <c r="H816" i="8"/>
  <c r="G816" i="8"/>
  <c r="F816" i="8"/>
  <c r="E816" i="8"/>
  <c r="D816" i="8"/>
  <c r="H815" i="8"/>
  <c r="G815" i="8"/>
  <c r="F815" i="8"/>
  <c r="E815" i="8"/>
  <c r="D815" i="8"/>
  <c r="I814" i="8"/>
  <c r="H814" i="8"/>
  <c r="G814" i="8"/>
  <c r="F814" i="8"/>
  <c r="E814" i="8"/>
  <c r="D814" i="8"/>
  <c r="J813" i="8"/>
  <c r="I813" i="8"/>
  <c r="H813" i="8"/>
  <c r="G813" i="8"/>
  <c r="F813" i="8"/>
  <c r="E813" i="8"/>
  <c r="D813" i="8"/>
  <c r="H809" i="8"/>
  <c r="H808" i="8"/>
  <c r="G808" i="8"/>
  <c r="F808" i="8"/>
  <c r="E808" i="8"/>
  <c r="D808" i="8"/>
  <c r="H807" i="8"/>
  <c r="G807" i="8"/>
  <c r="F807" i="8"/>
  <c r="E807" i="8"/>
  <c r="D807" i="8"/>
  <c r="H806" i="8"/>
  <c r="G806" i="8"/>
  <c r="F806" i="8"/>
  <c r="E806" i="8"/>
  <c r="D806" i="8"/>
  <c r="I805" i="8"/>
  <c r="H805" i="8"/>
  <c r="G805" i="8"/>
  <c r="F805" i="8"/>
  <c r="E805" i="8"/>
  <c r="D805" i="8"/>
  <c r="H804" i="8"/>
  <c r="G804" i="8"/>
  <c r="F804" i="8"/>
  <c r="E804" i="8"/>
  <c r="D804" i="8"/>
  <c r="J803" i="8"/>
  <c r="H803" i="8"/>
  <c r="G803" i="8"/>
  <c r="F803" i="8"/>
  <c r="E803" i="8"/>
  <c r="D803" i="8"/>
  <c r="H802" i="8"/>
  <c r="M802" i="8" s="1"/>
  <c r="G802" i="8"/>
  <c r="F802" i="8"/>
  <c r="E802" i="8"/>
  <c r="D802" i="8"/>
  <c r="J801" i="8"/>
  <c r="I801" i="8"/>
  <c r="H801" i="8"/>
  <c r="G801" i="8"/>
  <c r="F801" i="8"/>
  <c r="E801" i="8"/>
  <c r="D801" i="8"/>
  <c r="H797" i="8"/>
  <c r="H796" i="8"/>
  <c r="G796" i="8"/>
  <c r="F796" i="8"/>
  <c r="E796" i="8"/>
  <c r="D796" i="8"/>
  <c r="H795" i="8"/>
  <c r="G795" i="8"/>
  <c r="F795" i="8"/>
  <c r="E795" i="8"/>
  <c r="D795" i="8"/>
  <c r="H794" i="8"/>
  <c r="G794" i="8"/>
  <c r="F794" i="8"/>
  <c r="E794" i="8"/>
  <c r="D794" i="8"/>
  <c r="I793" i="8"/>
  <c r="H793" i="8"/>
  <c r="G793" i="8"/>
  <c r="F793" i="8"/>
  <c r="E793" i="8"/>
  <c r="D793" i="8"/>
  <c r="H792" i="8"/>
  <c r="G792" i="8"/>
  <c r="F792" i="8"/>
  <c r="E792" i="8"/>
  <c r="D792" i="8"/>
  <c r="H791" i="8"/>
  <c r="G791" i="8"/>
  <c r="L790" i="8" s="1"/>
  <c r="F791" i="8"/>
  <c r="E791" i="8"/>
  <c r="D791" i="8"/>
  <c r="H790" i="8"/>
  <c r="G790" i="8"/>
  <c r="F790" i="8"/>
  <c r="E790" i="8"/>
  <c r="D790" i="8"/>
  <c r="J789" i="8"/>
  <c r="I789" i="8"/>
  <c r="H789" i="8"/>
  <c r="G789" i="8"/>
  <c r="F789" i="8"/>
  <c r="E789" i="8"/>
  <c r="D789" i="8"/>
  <c r="H784" i="8"/>
  <c r="G784" i="8"/>
  <c r="F784" i="8"/>
  <c r="E784" i="8"/>
  <c r="D784" i="8"/>
  <c r="I783" i="8"/>
  <c r="H783" i="8"/>
  <c r="G783" i="8"/>
  <c r="F783" i="8"/>
  <c r="E783" i="8"/>
  <c r="D783" i="8"/>
  <c r="H782" i="8"/>
  <c r="G782" i="8"/>
  <c r="F782" i="8"/>
  <c r="E782" i="8"/>
  <c r="D782" i="8"/>
  <c r="H781" i="8"/>
  <c r="G781" i="8"/>
  <c r="L778" i="8" s="1"/>
  <c r="F781" i="8"/>
  <c r="E781" i="8"/>
  <c r="D781" i="8"/>
  <c r="H780" i="8"/>
  <c r="G780" i="8"/>
  <c r="F780" i="8"/>
  <c r="E780" i="8"/>
  <c r="D780" i="8"/>
  <c r="I779" i="8"/>
  <c r="H779" i="8"/>
  <c r="G779" i="8"/>
  <c r="F779" i="8"/>
  <c r="E779" i="8"/>
  <c r="D779" i="8"/>
  <c r="I778" i="8"/>
  <c r="H778" i="8"/>
  <c r="G778" i="8"/>
  <c r="F778" i="8"/>
  <c r="E778" i="8"/>
  <c r="D778" i="8"/>
  <c r="J777" i="8"/>
  <c r="I777" i="8"/>
  <c r="H777" i="8"/>
  <c r="G777" i="8"/>
  <c r="F777" i="8"/>
  <c r="E777" i="8"/>
  <c r="D777" i="8"/>
  <c r="H772" i="8"/>
  <c r="H773" i="8" s="1"/>
  <c r="G772" i="8"/>
  <c r="F772" i="8"/>
  <c r="E772" i="8"/>
  <c r="D772" i="8"/>
  <c r="H771" i="8"/>
  <c r="G771" i="8"/>
  <c r="F771" i="8"/>
  <c r="E771" i="8"/>
  <c r="D771" i="8"/>
  <c r="I770" i="8"/>
  <c r="H770" i="8"/>
  <c r="G770" i="8"/>
  <c r="F770" i="8"/>
  <c r="E770" i="8"/>
  <c r="D770" i="8"/>
  <c r="H769" i="8"/>
  <c r="G769" i="8"/>
  <c r="F769" i="8"/>
  <c r="E769" i="8"/>
  <c r="D769" i="8"/>
  <c r="H768" i="8"/>
  <c r="G768" i="8"/>
  <c r="F768" i="8"/>
  <c r="E768" i="8"/>
  <c r="D768" i="8"/>
  <c r="I767" i="8"/>
  <c r="H767" i="8"/>
  <c r="G767" i="8"/>
  <c r="F767" i="8"/>
  <c r="E767" i="8"/>
  <c r="D767" i="8"/>
  <c r="I766" i="8"/>
  <c r="H766" i="8"/>
  <c r="G766" i="8"/>
  <c r="F766" i="8"/>
  <c r="E766" i="8"/>
  <c r="D766" i="8"/>
  <c r="J765" i="8"/>
  <c r="I765" i="8"/>
  <c r="H765" i="8"/>
  <c r="G765" i="8"/>
  <c r="F765" i="8"/>
  <c r="E765" i="8"/>
  <c r="D765" i="8"/>
  <c r="I760" i="8"/>
  <c r="H760" i="8"/>
  <c r="G760" i="8"/>
  <c r="F760" i="8"/>
  <c r="E760" i="8"/>
  <c r="D760" i="8"/>
  <c r="H759" i="8"/>
  <c r="G759" i="8"/>
  <c r="F759" i="8"/>
  <c r="E759" i="8"/>
  <c r="D759" i="8"/>
  <c r="H758" i="8"/>
  <c r="G758" i="8"/>
  <c r="F758" i="8"/>
  <c r="E758" i="8"/>
  <c r="D758" i="8"/>
  <c r="I757" i="8"/>
  <c r="H757" i="8"/>
  <c r="G757" i="8"/>
  <c r="F757" i="8"/>
  <c r="E757" i="8"/>
  <c r="D757" i="8"/>
  <c r="I756" i="8"/>
  <c r="H756" i="8"/>
  <c r="G756" i="8"/>
  <c r="F756" i="8"/>
  <c r="E756" i="8"/>
  <c r="D756" i="8"/>
  <c r="H755" i="8"/>
  <c r="G755" i="8"/>
  <c r="F755" i="8"/>
  <c r="E755" i="8"/>
  <c r="D755" i="8"/>
  <c r="H754" i="8"/>
  <c r="G754" i="8"/>
  <c r="F754" i="8"/>
  <c r="E754" i="8"/>
  <c r="D754" i="8"/>
  <c r="J753" i="8"/>
  <c r="I753" i="8"/>
  <c r="H753" i="8"/>
  <c r="G753" i="8"/>
  <c r="F753" i="8"/>
  <c r="E753" i="8"/>
  <c r="D753" i="8"/>
  <c r="I748" i="8"/>
  <c r="H748" i="8"/>
  <c r="G748" i="8"/>
  <c r="F748" i="8"/>
  <c r="E748" i="8"/>
  <c r="D748" i="8"/>
  <c r="I747" i="8"/>
  <c r="H747" i="8"/>
  <c r="G747" i="8"/>
  <c r="F747" i="8"/>
  <c r="E747" i="8"/>
  <c r="D747" i="8"/>
  <c r="H746" i="8"/>
  <c r="G746" i="8"/>
  <c r="F746" i="8"/>
  <c r="E746" i="8"/>
  <c r="D746" i="8"/>
  <c r="J745" i="8"/>
  <c r="H745" i="8"/>
  <c r="G745" i="8"/>
  <c r="F745" i="8"/>
  <c r="E745" i="8"/>
  <c r="D745" i="8"/>
  <c r="I744" i="8"/>
  <c r="H744" i="8"/>
  <c r="G744" i="8"/>
  <c r="F744" i="8"/>
  <c r="E744" i="8"/>
  <c r="D744" i="8"/>
  <c r="I743" i="8"/>
  <c r="H743" i="8"/>
  <c r="G743" i="8"/>
  <c r="F743" i="8"/>
  <c r="E743" i="8"/>
  <c r="D743" i="8"/>
  <c r="M742" i="8"/>
  <c r="H742" i="8"/>
  <c r="H749" i="8" s="1"/>
  <c r="G742" i="8"/>
  <c r="F742" i="8"/>
  <c r="E742" i="8"/>
  <c r="D742" i="8"/>
  <c r="J741" i="8"/>
  <c r="I741" i="8"/>
  <c r="H741" i="8"/>
  <c r="G741" i="8"/>
  <c r="F741" i="8"/>
  <c r="E741" i="8"/>
  <c r="D741" i="8"/>
  <c r="G737" i="8"/>
  <c r="H736" i="8"/>
  <c r="G736" i="8"/>
  <c r="F736" i="8"/>
  <c r="E736" i="8"/>
  <c r="D736" i="8"/>
  <c r="I735" i="8"/>
  <c r="H735" i="8"/>
  <c r="G735" i="8"/>
  <c r="F735" i="8"/>
  <c r="E735" i="8"/>
  <c r="D735" i="8"/>
  <c r="I734" i="8"/>
  <c r="H734" i="8"/>
  <c r="G734" i="8"/>
  <c r="F734" i="8"/>
  <c r="E734" i="8"/>
  <c r="D734" i="8"/>
  <c r="H733" i="8"/>
  <c r="G733" i="8"/>
  <c r="F733" i="8"/>
  <c r="E733" i="8"/>
  <c r="D733" i="8"/>
  <c r="H732" i="8"/>
  <c r="G732" i="8"/>
  <c r="F732" i="8"/>
  <c r="E732" i="8"/>
  <c r="D732" i="8"/>
  <c r="I731" i="8"/>
  <c r="H731" i="8"/>
  <c r="G731" i="8"/>
  <c r="F731" i="8"/>
  <c r="E731" i="8"/>
  <c r="D731" i="8"/>
  <c r="I730" i="8"/>
  <c r="H730" i="8"/>
  <c r="G730" i="8"/>
  <c r="L730" i="8" s="1"/>
  <c r="F730" i="8"/>
  <c r="E730" i="8"/>
  <c r="D730" i="8"/>
  <c r="J729" i="8"/>
  <c r="I729" i="8"/>
  <c r="H729" i="8"/>
  <c r="G729" i="8"/>
  <c r="F729" i="8"/>
  <c r="E729" i="8"/>
  <c r="D729" i="8"/>
  <c r="H724" i="8"/>
  <c r="G724" i="8"/>
  <c r="F724" i="8"/>
  <c r="E724" i="8"/>
  <c r="D724" i="8"/>
  <c r="H723" i="8"/>
  <c r="G723" i="8"/>
  <c r="F723" i="8"/>
  <c r="E723" i="8"/>
  <c r="D723" i="8"/>
  <c r="I722" i="8"/>
  <c r="H722" i="8"/>
  <c r="G722" i="8"/>
  <c r="F722" i="8"/>
  <c r="E722" i="8"/>
  <c r="D722" i="8"/>
  <c r="I721" i="8"/>
  <c r="H721" i="8"/>
  <c r="H725" i="8" s="1"/>
  <c r="G721" i="8"/>
  <c r="F721" i="8"/>
  <c r="E721" i="8"/>
  <c r="D721" i="8"/>
  <c r="H720" i="8"/>
  <c r="G720" i="8"/>
  <c r="F720" i="8"/>
  <c r="E720" i="8"/>
  <c r="D720" i="8"/>
  <c r="H719" i="8"/>
  <c r="G719" i="8"/>
  <c r="G725" i="8" s="1"/>
  <c r="F719" i="8"/>
  <c r="E719" i="8"/>
  <c r="D719" i="8"/>
  <c r="I718" i="8"/>
  <c r="H718" i="8"/>
  <c r="G718" i="8"/>
  <c r="F718" i="8"/>
  <c r="E718" i="8"/>
  <c r="D718" i="8"/>
  <c r="J717" i="8"/>
  <c r="I717" i="8"/>
  <c r="H717" i="8"/>
  <c r="G717" i="8"/>
  <c r="F717" i="8"/>
  <c r="E717" i="8"/>
  <c r="D717" i="8"/>
  <c r="H713" i="8"/>
  <c r="I712" i="8"/>
  <c r="H712" i="8"/>
  <c r="G712" i="8"/>
  <c r="F712" i="8"/>
  <c r="E712" i="8"/>
  <c r="D712" i="8"/>
  <c r="H711" i="8"/>
  <c r="G711" i="8"/>
  <c r="F711" i="8"/>
  <c r="E711" i="8"/>
  <c r="D711" i="8"/>
  <c r="H710" i="8"/>
  <c r="G710" i="8"/>
  <c r="F710" i="8"/>
  <c r="E710" i="8"/>
  <c r="D710" i="8"/>
  <c r="I709" i="8"/>
  <c r="H709" i="8"/>
  <c r="G709" i="8"/>
  <c r="F709" i="8"/>
  <c r="E709" i="8"/>
  <c r="D709" i="8"/>
  <c r="I708" i="8"/>
  <c r="H708" i="8"/>
  <c r="G708" i="8"/>
  <c r="F708" i="8"/>
  <c r="E708" i="8"/>
  <c r="D708" i="8"/>
  <c r="H707" i="8"/>
  <c r="G707" i="8"/>
  <c r="F707" i="8"/>
  <c r="E707" i="8"/>
  <c r="D707" i="8"/>
  <c r="H706" i="8"/>
  <c r="M706" i="8" s="1"/>
  <c r="G706" i="8"/>
  <c r="F706" i="8"/>
  <c r="E706" i="8"/>
  <c r="D706" i="8"/>
  <c r="J705" i="8"/>
  <c r="I705" i="8"/>
  <c r="H705" i="8"/>
  <c r="G705" i="8"/>
  <c r="F705" i="8"/>
  <c r="E705" i="8"/>
  <c r="D705" i="8"/>
  <c r="I700" i="8"/>
  <c r="H700" i="8"/>
  <c r="G700" i="8"/>
  <c r="F700" i="8"/>
  <c r="E700" i="8"/>
  <c r="D700" i="8"/>
  <c r="I699" i="8"/>
  <c r="H699" i="8"/>
  <c r="G699" i="8"/>
  <c r="F699" i="8"/>
  <c r="E699" i="8"/>
  <c r="D699" i="8"/>
  <c r="H698" i="8"/>
  <c r="G698" i="8"/>
  <c r="F698" i="8"/>
  <c r="E698" i="8"/>
  <c r="D698" i="8"/>
  <c r="H697" i="8"/>
  <c r="G697" i="8"/>
  <c r="F697" i="8"/>
  <c r="E697" i="8"/>
  <c r="D697" i="8"/>
  <c r="I696" i="8"/>
  <c r="H696" i="8"/>
  <c r="G696" i="8"/>
  <c r="F696" i="8"/>
  <c r="E696" i="8"/>
  <c r="D696" i="8"/>
  <c r="I695" i="8"/>
  <c r="H695" i="8"/>
  <c r="G695" i="8"/>
  <c r="F695" i="8"/>
  <c r="E695" i="8"/>
  <c r="D695" i="8"/>
  <c r="L694" i="8"/>
  <c r="H694" i="8"/>
  <c r="G694" i="8"/>
  <c r="F694" i="8"/>
  <c r="E694" i="8"/>
  <c r="D694" i="8"/>
  <c r="J693" i="8"/>
  <c r="I693" i="8"/>
  <c r="H693" i="8"/>
  <c r="G693" i="8"/>
  <c r="F693" i="8"/>
  <c r="E693" i="8"/>
  <c r="D693" i="8"/>
  <c r="H688" i="8"/>
  <c r="G688" i="8"/>
  <c r="F688" i="8"/>
  <c r="E688" i="8"/>
  <c r="D688" i="8"/>
  <c r="I687" i="8"/>
  <c r="H687" i="8"/>
  <c r="G687" i="8"/>
  <c r="F687" i="8"/>
  <c r="E687" i="8"/>
  <c r="D687" i="8"/>
  <c r="I686" i="8"/>
  <c r="H686" i="8"/>
  <c r="G686" i="8"/>
  <c r="F686" i="8"/>
  <c r="E686" i="8"/>
  <c r="D686" i="8"/>
  <c r="H685" i="8"/>
  <c r="G685" i="8"/>
  <c r="G689" i="8" s="1"/>
  <c r="F685" i="8"/>
  <c r="E685" i="8"/>
  <c r="D685" i="8"/>
  <c r="H684" i="8"/>
  <c r="G684" i="8"/>
  <c r="F684" i="8"/>
  <c r="E684" i="8"/>
  <c r="D684" i="8"/>
  <c r="I683" i="8"/>
  <c r="H683" i="8"/>
  <c r="G683" i="8"/>
  <c r="F683" i="8"/>
  <c r="E683" i="8"/>
  <c r="D683" i="8"/>
  <c r="M682" i="8"/>
  <c r="I682" i="8"/>
  <c r="H682" i="8"/>
  <c r="G682" i="8"/>
  <c r="F682" i="8"/>
  <c r="E682" i="8"/>
  <c r="D682" i="8"/>
  <c r="J681" i="8"/>
  <c r="I681" i="8"/>
  <c r="H681" i="8"/>
  <c r="G681" i="8"/>
  <c r="F681" i="8"/>
  <c r="E681" i="8"/>
  <c r="D681" i="8"/>
  <c r="H676" i="8"/>
  <c r="G676" i="8"/>
  <c r="F676" i="8"/>
  <c r="E676" i="8"/>
  <c r="D676" i="8"/>
  <c r="H675" i="8"/>
  <c r="G675" i="8"/>
  <c r="F675" i="8"/>
  <c r="E675" i="8"/>
  <c r="D675" i="8"/>
  <c r="I674" i="8"/>
  <c r="H674" i="8"/>
  <c r="G674" i="8"/>
  <c r="F674" i="8"/>
  <c r="E674" i="8"/>
  <c r="D674" i="8"/>
  <c r="I673" i="8"/>
  <c r="H673" i="8"/>
  <c r="G673" i="8"/>
  <c r="F673" i="8"/>
  <c r="E673" i="8"/>
  <c r="D673" i="8"/>
  <c r="H672" i="8"/>
  <c r="G672" i="8"/>
  <c r="F672" i="8"/>
  <c r="E672" i="8"/>
  <c r="D672" i="8"/>
  <c r="H671" i="8"/>
  <c r="G671" i="8"/>
  <c r="G677" i="8" s="1"/>
  <c r="F671" i="8"/>
  <c r="E671" i="8"/>
  <c r="D671" i="8"/>
  <c r="I670" i="8"/>
  <c r="H670" i="8"/>
  <c r="M670" i="8" s="1"/>
  <c r="G670" i="8"/>
  <c r="F670" i="8"/>
  <c r="E670" i="8"/>
  <c r="D670" i="8"/>
  <c r="J669" i="8"/>
  <c r="I669" i="8"/>
  <c r="H669" i="8"/>
  <c r="G669" i="8"/>
  <c r="F669" i="8"/>
  <c r="E669" i="8"/>
  <c r="D669" i="8"/>
  <c r="I664" i="8"/>
  <c r="H664" i="8"/>
  <c r="G664" i="8"/>
  <c r="F664" i="8"/>
  <c r="E664" i="8"/>
  <c r="D664" i="8"/>
  <c r="H663" i="8"/>
  <c r="G663" i="8"/>
  <c r="F663" i="8"/>
  <c r="E663" i="8"/>
  <c r="D663" i="8"/>
  <c r="H662" i="8"/>
  <c r="G662" i="8"/>
  <c r="F662" i="8"/>
  <c r="E662" i="8"/>
  <c r="D662" i="8"/>
  <c r="I661" i="8"/>
  <c r="H661" i="8"/>
  <c r="G661" i="8"/>
  <c r="F661" i="8"/>
  <c r="E661" i="8"/>
  <c r="D661" i="8"/>
  <c r="I660" i="8"/>
  <c r="H660" i="8"/>
  <c r="G660" i="8"/>
  <c r="F660" i="8"/>
  <c r="E660" i="8"/>
  <c r="D660" i="8"/>
  <c r="H659" i="8"/>
  <c r="G659" i="8"/>
  <c r="F659" i="8"/>
  <c r="E659" i="8"/>
  <c r="D659" i="8"/>
  <c r="H658" i="8"/>
  <c r="G658" i="8"/>
  <c r="F658" i="8"/>
  <c r="E658" i="8"/>
  <c r="D658" i="8"/>
  <c r="J657" i="8"/>
  <c r="I657" i="8"/>
  <c r="H657" i="8"/>
  <c r="G657" i="8"/>
  <c r="F657" i="8"/>
  <c r="E657" i="8"/>
  <c r="D657" i="8"/>
  <c r="I652" i="8"/>
  <c r="H652" i="8"/>
  <c r="G652" i="8"/>
  <c r="F652" i="8"/>
  <c r="E652" i="8"/>
  <c r="D652" i="8"/>
  <c r="I651" i="8"/>
  <c r="H651" i="8"/>
  <c r="G651" i="8"/>
  <c r="F651" i="8"/>
  <c r="E651" i="8"/>
  <c r="D651" i="8"/>
  <c r="H650" i="8"/>
  <c r="G650" i="8"/>
  <c r="F650" i="8"/>
  <c r="E650" i="8"/>
  <c r="D650" i="8"/>
  <c r="J649" i="8"/>
  <c r="H649" i="8"/>
  <c r="G649" i="8"/>
  <c r="F649" i="8"/>
  <c r="E649" i="8"/>
  <c r="D649" i="8"/>
  <c r="I648" i="8"/>
  <c r="H648" i="8"/>
  <c r="G648" i="8"/>
  <c r="F648" i="8"/>
  <c r="E648" i="8"/>
  <c r="D648" i="8"/>
  <c r="I647" i="8"/>
  <c r="H647" i="8"/>
  <c r="G647" i="8"/>
  <c r="F647" i="8"/>
  <c r="E647" i="8"/>
  <c r="D647" i="8"/>
  <c r="M646" i="8"/>
  <c r="H646" i="8"/>
  <c r="H653" i="8" s="1"/>
  <c r="G646" i="8"/>
  <c r="F646" i="8"/>
  <c r="E646" i="8"/>
  <c r="D646" i="8"/>
  <c r="J645" i="8"/>
  <c r="I645" i="8"/>
  <c r="H645" i="8"/>
  <c r="G645" i="8"/>
  <c r="F645" i="8"/>
  <c r="E645" i="8"/>
  <c r="D645" i="8"/>
  <c r="G641" i="8"/>
  <c r="H640" i="8"/>
  <c r="G640" i="8"/>
  <c r="F640" i="8"/>
  <c r="E640" i="8"/>
  <c r="D640" i="8"/>
  <c r="I639" i="8"/>
  <c r="H639" i="8"/>
  <c r="G639" i="8"/>
  <c r="F639" i="8"/>
  <c r="E639" i="8"/>
  <c r="D639" i="8"/>
  <c r="I638" i="8"/>
  <c r="H638" i="8"/>
  <c r="G638" i="8"/>
  <c r="F638" i="8"/>
  <c r="E638" i="8"/>
  <c r="D638" i="8"/>
  <c r="H637" i="8"/>
  <c r="G637" i="8"/>
  <c r="F637" i="8"/>
  <c r="E637" i="8"/>
  <c r="D637" i="8"/>
  <c r="H636" i="8"/>
  <c r="G636" i="8"/>
  <c r="F636" i="8"/>
  <c r="E636" i="8"/>
  <c r="D636" i="8"/>
  <c r="I635" i="8"/>
  <c r="H635" i="8"/>
  <c r="G635" i="8"/>
  <c r="F635" i="8"/>
  <c r="E635" i="8"/>
  <c r="D635" i="8"/>
  <c r="I634" i="8"/>
  <c r="H634" i="8"/>
  <c r="G634" i="8"/>
  <c r="L634" i="8" s="1"/>
  <c r="F634" i="8"/>
  <c r="E634" i="8"/>
  <c r="D634" i="8"/>
  <c r="J633" i="8"/>
  <c r="I633" i="8"/>
  <c r="H633" i="8"/>
  <c r="G633" i="8"/>
  <c r="F633" i="8"/>
  <c r="E633" i="8"/>
  <c r="D633" i="8"/>
  <c r="H628" i="8"/>
  <c r="G628" i="8"/>
  <c r="F628" i="8"/>
  <c r="E628" i="8"/>
  <c r="D628" i="8"/>
  <c r="H627" i="8"/>
  <c r="G627" i="8"/>
  <c r="F627" i="8"/>
  <c r="E627" i="8"/>
  <c r="D627" i="8"/>
  <c r="I626" i="8"/>
  <c r="H626" i="8"/>
  <c r="G626" i="8"/>
  <c r="F626" i="8"/>
  <c r="E626" i="8"/>
  <c r="D626" i="8"/>
  <c r="I625" i="8"/>
  <c r="H625" i="8"/>
  <c r="H629" i="8" s="1"/>
  <c r="G625" i="8"/>
  <c r="F625" i="8"/>
  <c r="E625" i="8"/>
  <c r="D625" i="8"/>
  <c r="H624" i="8"/>
  <c r="G624" i="8"/>
  <c r="F624" i="8"/>
  <c r="E624" i="8"/>
  <c r="D624" i="8"/>
  <c r="H623" i="8"/>
  <c r="G623" i="8"/>
  <c r="G629" i="8" s="1"/>
  <c r="F623" i="8"/>
  <c r="E623" i="8"/>
  <c r="D623" i="8"/>
  <c r="I622" i="8"/>
  <c r="H622" i="8"/>
  <c r="G622" i="8"/>
  <c r="F622" i="8"/>
  <c r="E622" i="8"/>
  <c r="D622" i="8"/>
  <c r="J621" i="8"/>
  <c r="I621" i="8"/>
  <c r="H621" i="8"/>
  <c r="G621" i="8"/>
  <c r="F621" i="8"/>
  <c r="E621" i="8"/>
  <c r="D621" i="8"/>
  <c r="H617" i="8"/>
  <c r="I616" i="8"/>
  <c r="H616" i="8"/>
  <c r="G616" i="8"/>
  <c r="F616" i="8"/>
  <c r="E616" i="8"/>
  <c r="D616" i="8"/>
  <c r="H615" i="8"/>
  <c r="G615" i="8"/>
  <c r="F615" i="8"/>
  <c r="E615" i="8"/>
  <c r="D615" i="8"/>
  <c r="H614" i="8"/>
  <c r="G614" i="8"/>
  <c r="F614" i="8"/>
  <c r="E614" i="8"/>
  <c r="D614" i="8"/>
  <c r="I613" i="8"/>
  <c r="H613" i="8"/>
  <c r="G613" i="8"/>
  <c r="F613" i="8"/>
  <c r="E613" i="8"/>
  <c r="D613" i="8"/>
  <c r="I612" i="8"/>
  <c r="H612" i="8"/>
  <c r="G612" i="8"/>
  <c r="F612" i="8"/>
  <c r="E612" i="8"/>
  <c r="D612" i="8"/>
  <c r="H611" i="8"/>
  <c r="G611" i="8"/>
  <c r="F611" i="8"/>
  <c r="E611" i="8"/>
  <c r="D611" i="8"/>
  <c r="H610" i="8"/>
  <c r="M610" i="8" s="1"/>
  <c r="G610" i="8"/>
  <c r="F610" i="8"/>
  <c r="E610" i="8"/>
  <c r="D610" i="8"/>
  <c r="J609" i="8"/>
  <c r="I609" i="8"/>
  <c r="H609" i="8"/>
  <c r="G609" i="8"/>
  <c r="F609" i="8"/>
  <c r="E609" i="8"/>
  <c r="D609" i="8"/>
  <c r="I604" i="8"/>
  <c r="H604" i="8"/>
  <c r="G604" i="8"/>
  <c r="F604" i="8"/>
  <c r="E604" i="8"/>
  <c r="D604" i="8"/>
  <c r="I603" i="8"/>
  <c r="H603" i="8"/>
  <c r="G603" i="8"/>
  <c r="F603" i="8"/>
  <c r="E603" i="8"/>
  <c r="D603" i="8"/>
  <c r="H602" i="8"/>
  <c r="G602" i="8"/>
  <c r="F602" i="8"/>
  <c r="E602" i="8"/>
  <c r="D602" i="8"/>
  <c r="H601" i="8"/>
  <c r="G601" i="8"/>
  <c r="F601" i="8"/>
  <c r="E601" i="8"/>
  <c r="D601" i="8"/>
  <c r="I600" i="8"/>
  <c r="H600" i="8"/>
  <c r="G600" i="8"/>
  <c r="F600" i="8"/>
  <c r="E600" i="8"/>
  <c r="D600" i="8"/>
  <c r="I599" i="8"/>
  <c r="H599" i="8"/>
  <c r="G599" i="8"/>
  <c r="F599" i="8"/>
  <c r="E599" i="8"/>
  <c r="D599" i="8"/>
  <c r="L598" i="8"/>
  <c r="H598" i="8"/>
  <c r="G598" i="8"/>
  <c r="F598" i="8"/>
  <c r="E598" i="8"/>
  <c r="D598" i="8"/>
  <c r="J597" i="8"/>
  <c r="I597" i="8"/>
  <c r="H597" i="8"/>
  <c r="G597" i="8"/>
  <c r="F597" i="8"/>
  <c r="E597" i="8"/>
  <c r="D597" i="8"/>
  <c r="H592" i="8"/>
  <c r="G592" i="8"/>
  <c r="F592" i="8"/>
  <c r="E592" i="8"/>
  <c r="D592" i="8"/>
  <c r="I591" i="8"/>
  <c r="H591" i="8"/>
  <c r="G591" i="8"/>
  <c r="F591" i="8"/>
  <c r="E591" i="8"/>
  <c r="D591" i="8"/>
  <c r="I590" i="8"/>
  <c r="H590" i="8"/>
  <c r="G590" i="8"/>
  <c r="F590" i="8"/>
  <c r="E590" i="8"/>
  <c r="D590" i="8"/>
  <c r="H589" i="8"/>
  <c r="G589" i="8"/>
  <c r="G593" i="8" s="1"/>
  <c r="F589" i="8"/>
  <c r="E589" i="8"/>
  <c r="D589" i="8"/>
  <c r="H588" i="8"/>
  <c r="G588" i="8"/>
  <c r="F588" i="8"/>
  <c r="E588" i="8"/>
  <c r="D588" i="8"/>
  <c r="I587" i="8"/>
  <c r="H587" i="8"/>
  <c r="G587" i="8"/>
  <c r="F587" i="8"/>
  <c r="E587" i="8"/>
  <c r="D587" i="8"/>
  <c r="M586" i="8"/>
  <c r="I586" i="8"/>
  <c r="H586" i="8"/>
  <c r="G586" i="8"/>
  <c r="F586" i="8"/>
  <c r="E586" i="8"/>
  <c r="D586" i="8"/>
  <c r="J585" i="8"/>
  <c r="I585" i="8"/>
  <c r="H585" i="8"/>
  <c r="G585" i="8"/>
  <c r="F585" i="8"/>
  <c r="E585" i="8"/>
  <c r="D585" i="8"/>
  <c r="I580" i="8"/>
  <c r="H580" i="8"/>
  <c r="G580" i="8"/>
  <c r="F580" i="8"/>
  <c r="E580" i="8"/>
  <c r="D580" i="8"/>
  <c r="H579" i="8"/>
  <c r="G579" i="8"/>
  <c r="F579" i="8"/>
  <c r="E579" i="8"/>
  <c r="D579" i="8"/>
  <c r="I578" i="8"/>
  <c r="H578" i="8"/>
  <c r="G578" i="8"/>
  <c r="F578" i="8"/>
  <c r="E578" i="8"/>
  <c r="D578" i="8"/>
  <c r="I577" i="8"/>
  <c r="H577" i="8"/>
  <c r="H581" i="8" s="1"/>
  <c r="G577" i="8"/>
  <c r="F577" i="8"/>
  <c r="E577" i="8"/>
  <c r="D577" i="8"/>
  <c r="I576" i="8"/>
  <c r="H576" i="8"/>
  <c r="G576" i="8"/>
  <c r="F576" i="8"/>
  <c r="E576" i="8"/>
  <c r="D576" i="8"/>
  <c r="H575" i="8"/>
  <c r="G575" i="8"/>
  <c r="F575" i="8"/>
  <c r="E575" i="8"/>
  <c r="D575" i="8"/>
  <c r="I574" i="8"/>
  <c r="H574" i="8"/>
  <c r="G574" i="8"/>
  <c r="G581" i="8" s="1"/>
  <c r="F574" i="8"/>
  <c r="E574" i="8"/>
  <c r="D574" i="8"/>
  <c r="J573" i="8"/>
  <c r="I573" i="8"/>
  <c r="H573" i="8"/>
  <c r="G573" i="8"/>
  <c r="F573" i="8"/>
  <c r="E573" i="8"/>
  <c r="D573" i="8"/>
  <c r="I568" i="8"/>
  <c r="H568" i="8"/>
  <c r="G568" i="8"/>
  <c r="F568" i="8"/>
  <c r="E568" i="8"/>
  <c r="D568" i="8"/>
  <c r="I567" i="8"/>
  <c r="H567" i="8"/>
  <c r="G567" i="8"/>
  <c r="F567" i="8"/>
  <c r="E567" i="8"/>
  <c r="D567" i="8"/>
  <c r="H566" i="8"/>
  <c r="G566" i="8"/>
  <c r="F566" i="8"/>
  <c r="E566" i="8"/>
  <c r="D566" i="8"/>
  <c r="I565" i="8"/>
  <c r="H565" i="8"/>
  <c r="G565" i="8"/>
  <c r="L562" i="8" s="1"/>
  <c r="F565" i="8"/>
  <c r="E565" i="8"/>
  <c r="D565" i="8"/>
  <c r="I564" i="8"/>
  <c r="H564" i="8"/>
  <c r="G564" i="8"/>
  <c r="F564" i="8"/>
  <c r="E564" i="8"/>
  <c r="D564" i="8"/>
  <c r="I563" i="8"/>
  <c r="H563" i="8"/>
  <c r="G563" i="8"/>
  <c r="F563" i="8"/>
  <c r="E563" i="8"/>
  <c r="D563" i="8"/>
  <c r="H562" i="8"/>
  <c r="G562" i="8"/>
  <c r="F562" i="8"/>
  <c r="E562" i="8"/>
  <c r="D562" i="8"/>
  <c r="J561" i="8"/>
  <c r="I561" i="8"/>
  <c r="H561" i="8"/>
  <c r="G561" i="8"/>
  <c r="F561" i="8"/>
  <c r="E561" i="8"/>
  <c r="D561" i="8"/>
  <c r="I556" i="8"/>
  <c r="H556" i="8"/>
  <c r="G556" i="8"/>
  <c r="F556" i="8"/>
  <c r="E556" i="8"/>
  <c r="D556" i="8"/>
  <c r="I555" i="8"/>
  <c r="H555" i="8"/>
  <c r="G555" i="8"/>
  <c r="F555" i="8"/>
  <c r="E555" i="8"/>
  <c r="D555" i="8"/>
  <c r="I554" i="8"/>
  <c r="H554" i="8"/>
  <c r="G554" i="8"/>
  <c r="F554" i="8"/>
  <c r="E554" i="8"/>
  <c r="D554" i="8"/>
  <c r="H553" i="8"/>
  <c r="G553" i="8"/>
  <c r="F553" i="8"/>
  <c r="E553" i="8"/>
  <c r="D553" i="8"/>
  <c r="I552" i="8"/>
  <c r="H552" i="8"/>
  <c r="G552" i="8"/>
  <c r="F552" i="8"/>
  <c r="E552" i="8"/>
  <c r="D552" i="8"/>
  <c r="I551" i="8"/>
  <c r="H551" i="8"/>
  <c r="G551" i="8"/>
  <c r="F551" i="8"/>
  <c r="E551" i="8"/>
  <c r="D551" i="8"/>
  <c r="L550" i="8"/>
  <c r="I550" i="8"/>
  <c r="H550" i="8"/>
  <c r="G550" i="8"/>
  <c r="F550" i="8"/>
  <c r="E550" i="8"/>
  <c r="D550" i="8"/>
  <c r="J549" i="8"/>
  <c r="I549" i="8"/>
  <c r="H549" i="8"/>
  <c r="G549" i="8"/>
  <c r="F549" i="8"/>
  <c r="E549" i="8"/>
  <c r="D549" i="8"/>
  <c r="I544" i="8"/>
  <c r="H544" i="8"/>
  <c r="G544" i="8"/>
  <c r="F544" i="8"/>
  <c r="E544" i="8"/>
  <c r="D544" i="8"/>
  <c r="J543" i="8"/>
  <c r="I543" i="8"/>
  <c r="H543" i="8"/>
  <c r="G543" i="8"/>
  <c r="F543" i="8"/>
  <c r="E543" i="8"/>
  <c r="D543" i="8"/>
  <c r="I542" i="8"/>
  <c r="N538" i="8" s="1"/>
  <c r="H542" i="8"/>
  <c r="G542" i="8"/>
  <c r="F542" i="8"/>
  <c r="E542" i="8"/>
  <c r="D542" i="8"/>
  <c r="I541" i="8"/>
  <c r="H541" i="8"/>
  <c r="H545" i="8" s="1"/>
  <c r="G541" i="8"/>
  <c r="F541" i="8"/>
  <c r="E541" i="8"/>
  <c r="D541" i="8"/>
  <c r="I540" i="8"/>
  <c r="H540" i="8"/>
  <c r="G540" i="8"/>
  <c r="F540" i="8"/>
  <c r="E540" i="8"/>
  <c r="D540" i="8"/>
  <c r="I539" i="8"/>
  <c r="H539" i="8"/>
  <c r="G539" i="8"/>
  <c r="G545" i="8" s="1"/>
  <c r="F539" i="8"/>
  <c r="E539" i="8"/>
  <c r="D539" i="8"/>
  <c r="I538" i="8"/>
  <c r="H538" i="8"/>
  <c r="M538" i="8" s="1"/>
  <c r="G538" i="8"/>
  <c r="L538" i="8" s="1"/>
  <c r="O538" i="8" s="1"/>
  <c r="F538" i="8"/>
  <c r="E538" i="8"/>
  <c r="D538" i="8"/>
  <c r="J537" i="8"/>
  <c r="I537" i="8"/>
  <c r="H537" i="8"/>
  <c r="G537" i="8"/>
  <c r="F537" i="8"/>
  <c r="E537" i="8"/>
  <c r="D537" i="8"/>
  <c r="I532" i="8"/>
  <c r="H532" i="8"/>
  <c r="G532" i="8"/>
  <c r="F532" i="8"/>
  <c r="E532" i="8"/>
  <c r="D532" i="8"/>
  <c r="I531" i="8"/>
  <c r="H531" i="8"/>
  <c r="H533" i="8" s="1"/>
  <c r="G531" i="8"/>
  <c r="F531" i="8"/>
  <c r="E531" i="8"/>
  <c r="D531" i="8"/>
  <c r="I530" i="8"/>
  <c r="H530" i="8"/>
  <c r="G530" i="8"/>
  <c r="F530" i="8"/>
  <c r="E530" i="8"/>
  <c r="D530" i="8"/>
  <c r="I529" i="8"/>
  <c r="H529" i="8"/>
  <c r="G529" i="8"/>
  <c r="F529" i="8"/>
  <c r="E529" i="8"/>
  <c r="D529" i="8"/>
  <c r="I528" i="8"/>
  <c r="I533" i="8" s="1"/>
  <c r="H528" i="8"/>
  <c r="G528" i="8"/>
  <c r="F528" i="8"/>
  <c r="E528" i="8"/>
  <c r="D528" i="8"/>
  <c r="I527" i="8"/>
  <c r="H527" i="8"/>
  <c r="G527" i="8"/>
  <c r="F527" i="8"/>
  <c r="E527" i="8"/>
  <c r="D527" i="8"/>
  <c r="I526" i="8"/>
  <c r="H526" i="8"/>
  <c r="G526" i="8"/>
  <c r="F526" i="8"/>
  <c r="E526" i="8"/>
  <c r="D526" i="8"/>
  <c r="J525" i="8"/>
  <c r="I525" i="8"/>
  <c r="H525" i="8"/>
  <c r="G525" i="8"/>
  <c r="F525" i="8"/>
  <c r="E525" i="8"/>
  <c r="D525" i="8"/>
  <c r="I520" i="8"/>
  <c r="H520" i="8"/>
  <c r="G520" i="8"/>
  <c r="F520" i="8"/>
  <c r="E520" i="8"/>
  <c r="D520" i="8"/>
  <c r="I519" i="8"/>
  <c r="I521" i="8" s="1"/>
  <c r="H519" i="8"/>
  <c r="G519" i="8"/>
  <c r="F519" i="8"/>
  <c r="E519" i="8"/>
  <c r="D519" i="8"/>
  <c r="I518" i="8"/>
  <c r="H518" i="8"/>
  <c r="G518" i="8"/>
  <c r="L514" i="8" s="1"/>
  <c r="F518" i="8"/>
  <c r="E518" i="8"/>
  <c r="D518" i="8"/>
  <c r="I517" i="8"/>
  <c r="H517" i="8"/>
  <c r="G517" i="8"/>
  <c r="F517" i="8"/>
  <c r="E517" i="8"/>
  <c r="D517" i="8"/>
  <c r="I516" i="8"/>
  <c r="H516" i="8"/>
  <c r="G516" i="8"/>
  <c r="F516" i="8"/>
  <c r="E516" i="8"/>
  <c r="D516" i="8"/>
  <c r="I515" i="8"/>
  <c r="H515" i="8"/>
  <c r="G515" i="8"/>
  <c r="F515" i="8"/>
  <c r="E515" i="8"/>
  <c r="D515" i="8"/>
  <c r="I514" i="8"/>
  <c r="N514" i="8" s="1"/>
  <c r="H514" i="8"/>
  <c r="G514" i="8"/>
  <c r="F514" i="8"/>
  <c r="E514" i="8"/>
  <c r="D514" i="8"/>
  <c r="J513" i="8"/>
  <c r="I513" i="8"/>
  <c r="H513" i="8"/>
  <c r="G513" i="8"/>
  <c r="F513" i="8"/>
  <c r="E513" i="8"/>
  <c r="D513" i="8"/>
  <c r="I508" i="8"/>
  <c r="H508" i="8"/>
  <c r="G508" i="8"/>
  <c r="F508" i="8"/>
  <c r="E508" i="8"/>
  <c r="D508" i="8"/>
  <c r="I507" i="8"/>
  <c r="H507" i="8"/>
  <c r="G507" i="8"/>
  <c r="F507" i="8"/>
  <c r="E507" i="8"/>
  <c r="D507" i="8"/>
  <c r="I506" i="8"/>
  <c r="H506" i="8"/>
  <c r="G506" i="8"/>
  <c r="F506" i="8"/>
  <c r="E506" i="8"/>
  <c r="D506" i="8"/>
  <c r="I505" i="8"/>
  <c r="H505" i="8"/>
  <c r="G505" i="8"/>
  <c r="F505" i="8"/>
  <c r="E505" i="8"/>
  <c r="D505" i="8"/>
  <c r="I504" i="8"/>
  <c r="H504" i="8"/>
  <c r="G504" i="8"/>
  <c r="G509" i="8" s="1"/>
  <c r="F504" i="8"/>
  <c r="E504" i="8"/>
  <c r="D504" i="8"/>
  <c r="I503" i="8"/>
  <c r="H503" i="8"/>
  <c r="G503" i="8"/>
  <c r="F503" i="8"/>
  <c r="E503" i="8"/>
  <c r="D503" i="8"/>
  <c r="I502" i="8"/>
  <c r="H502" i="8"/>
  <c r="G502" i="8"/>
  <c r="F502" i="8"/>
  <c r="E502" i="8"/>
  <c r="D502" i="8"/>
  <c r="J501" i="8"/>
  <c r="I501" i="8"/>
  <c r="H501" i="8"/>
  <c r="G501" i="8"/>
  <c r="F501" i="8"/>
  <c r="E501" i="8"/>
  <c r="D501" i="8"/>
  <c r="I496" i="8"/>
  <c r="H496" i="8"/>
  <c r="G496" i="8"/>
  <c r="F496" i="8"/>
  <c r="E496" i="8"/>
  <c r="D496" i="8"/>
  <c r="J495" i="8"/>
  <c r="I495" i="8"/>
  <c r="H495" i="8"/>
  <c r="G495" i="8"/>
  <c r="F495" i="8"/>
  <c r="E495" i="8"/>
  <c r="D495" i="8"/>
  <c r="I494" i="8"/>
  <c r="N490" i="8" s="1"/>
  <c r="H494" i="8"/>
  <c r="G494" i="8"/>
  <c r="F494" i="8"/>
  <c r="E494" i="8"/>
  <c r="D494" i="8"/>
  <c r="I493" i="8"/>
  <c r="H493" i="8"/>
  <c r="H497" i="8" s="1"/>
  <c r="G493" i="8"/>
  <c r="F493" i="8"/>
  <c r="E493" i="8"/>
  <c r="D493" i="8"/>
  <c r="I492" i="8"/>
  <c r="H492" i="8"/>
  <c r="G492" i="8"/>
  <c r="F492" i="8"/>
  <c r="E492" i="8"/>
  <c r="D492" i="8"/>
  <c r="I491" i="8"/>
  <c r="H491" i="8"/>
  <c r="G491" i="8"/>
  <c r="G497" i="8" s="1"/>
  <c r="F491" i="8"/>
  <c r="E491" i="8"/>
  <c r="D491" i="8"/>
  <c r="I490" i="8"/>
  <c r="H490" i="8"/>
  <c r="M490" i="8" s="1"/>
  <c r="G490" i="8"/>
  <c r="L490" i="8" s="1"/>
  <c r="F490" i="8"/>
  <c r="E490" i="8"/>
  <c r="D490" i="8"/>
  <c r="J489" i="8"/>
  <c r="I489" i="8"/>
  <c r="H489" i="8"/>
  <c r="G489" i="8"/>
  <c r="F489" i="8"/>
  <c r="E489" i="8"/>
  <c r="D489" i="8"/>
  <c r="I484" i="8"/>
  <c r="H484" i="8"/>
  <c r="G484" i="8"/>
  <c r="F484" i="8"/>
  <c r="E484" i="8"/>
  <c r="D484" i="8"/>
  <c r="I483" i="8"/>
  <c r="H483" i="8"/>
  <c r="H485" i="8" s="1"/>
  <c r="G483" i="8"/>
  <c r="F483" i="8"/>
  <c r="E483" i="8"/>
  <c r="D483" i="8"/>
  <c r="I482" i="8"/>
  <c r="H482" i="8"/>
  <c r="G482" i="8"/>
  <c r="F482" i="8"/>
  <c r="E482" i="8"/>
  <c r="D482" i="8"/>
  <c r="I481" i="8"/>
  <c r="H481" i="8"/>
  <c r="G481" i="8"/>
  <c r="F481" i="8"/>
  <c r="E481" i="8"/>
  <c r="D481" i="8"/>
  <c r="I480" i="8"/>
  <c r="I485" i="8" s="1"/>
  <c r="H480" i="8"/>
  <c r="G480" i="8"/>
  <c r="F480" i="8"/>
  <c r="E480" i="8"/>
  <c r="D480" i="8"/>
  <c r="I479" i="8"/>
  <c r="H479" i="8"/>
  <c r="G479" i="8"/>
  <c r="F479" i="8"/>
  <c r="E479" i="8"/>
  <c r="D479" i="8"/>
  <c r="I478" i="8"/>
  <c r="H478" i="8"/>
  <c r="G478" i="8"/>
  <c r="F478" i="8"/>
  <c r="E478" i="8"/>
  <c r="D478" i="8"/>
  <c r="J477" i="8"/>
  <c r="I477" i="8"/>
  <c r="H477" i="8"/>
  <c r="G477" i="8"/>
  <c r="F477" i="8"/>
  <c r="E477" i="8"/>
  <c r="D477" i="8"/>
  <c r="I472" i="8"/>
  <c r="H472" i="8"/>
  <c r="G472" i="8"/>
  <c r="F472" i="8"/>
  <c r="E472" i="8"/>
  <c r="D472" i="8"/>
  <c r="I471" i="8"/>
  <c r="I473" i="8" s="1"/>
  <c r="H471" i="8"/>
  <c r="G471" i="8"/>
  <c r="F471" i="8"/>
  <c r="E471" i="8"/>
  <c r="D471" i="8"/>
  <c r="I470" i="8"/>
  <c r="H470" i="8"/>
  <c r="G470" i="8"/>
  <c r="L466" i="8" s="1"/>
  <c r="F470" i="8"/>
  <c r="E470" i="8"/>
  <c r="D470" i="8"/>
  <c r="I469" i="8"/>
  <c r="H469" i="8"/>
  <c r="G469" i="8"/>
  <c r="F469" i="8"/>
  <c r="E469" i="8"/>
  <c r="D469" i="8"/>
  <c r="I468" i="8"/>
  <c r="H468" i="8"/>
  <c r="G468" i="8"/>
  <c r="F468" i="8"/>
  <c r="E468" i="8"/>
  <c r="D468" i="8"/>
  <c r="I467" i="8"/>
  <c r="H467" i="8"/>
  <c r="G467" i="8"/>
  <c r="F467" i="8"/>
  <c r="E467" i="8"/>
  <c r="D467" i="8"/>
  <c r="I466" i="8"/>
  <c r="N466" i="8" s="1"/>
  <c r="H466" i="8"/>
  <c r="G466" i="8"/>
  <c r="F466" i="8"/>
  <c r="E466" i="8"/>
  <c r="D466" i="8"/>
  <c r="J465" i="8"/>
  <c r="I465" i="8"/>
  <c r="H465" i="8"/>
  <c r="G465" i="8"/>
  <c r="F465" i="8"/>
  <c r="E465" i="8"/>
  <c r="D465" i="8"/>
  <c r="I460" i="8"/>
  <c r="H460" i="8"/>
  <c r="G460" i="8"/>
  <c r="F460" i="8"/>
  <c r="E460" i="8"/>
  <c r="D460" i="8"/>
  <c r="I459" i="8"/>
  <c r="H459" i="8"/>
  <c r="G459" i="8"/>
  <c r="F459" i="8"/>
  <c r="E459" i="8"/>
  <c r="D459" i="8"/>
  <c r="I458" i="8"/>
  <c r="H458" i="8"/>
  <c r="G458" i="8"/>
  <c r="F458" i="8"/>
  <c r="E458" i="8"/>
  <c r="D458" i="8"/>
  <c r="I457" i="8"/>
  <c r="H457" i="8"/>
  <c r="G457" i="8"/>
  <c r="F457" i="8"/>
  <c r="E457" i="8"/>
  <c r="D457" i="8"/>
  <c r="I456" i="8"/>
  <c r="H456" i="8"/>
  <c r="G456" i="8"/>
  <c r="G461" i="8" s="1"/>
  <c r="F456" i="8"/>
  <c r="E456" i="8"/>
  <c r="D456" i="8"/>
  <c r="I455" i="8"/>
  <c r="H455" i="8"/>
  <c r="G455" i="8"/>
  <c r="F455" i="8"/>
  <c r="E455" i="8"/>
  <c r="D455" i="8"/>
  <c r="I454" i="8"/>
  <c r="H454" i="8"/>
  <c r="G454" i="8"/>
  <c r="F454" i="8"/>
  <c r="E454" i="8"/>
  <c r="D454" i="8"/>
  <c r="J453" i="8"/>
  <c r="I453" i="8"/>
  <c r="H453" i="8"/>
  <c r="G453" i="8"/>
  <c r="F453" i="8"/>
  <c r="E453" i="8"/>
  <c r="D453" i="8"/>
  <c r="I448" i="8"/>
  <c r="H448" i="8"/>
  <c r="G448" i="8"/>
  <c r="F448" i="8"/>
  <c r="E448" i="8"/>
  <c r="D448" i="8"/>
  <c r="J447" i="8"/>
  <c r="I447" i="8"/>
  <c r="H447" i="8"/>
  <c r="G447" i="8"/>
  <c r="F447" i="8"/>
  <c r="E447" i="8"/>
  <c r="D447" i="8"/>
  <c r="I446" i="8"/>
  <c r="N442" i="8" s="1"/>
  <c r="H446" i="8"/>
  <c r="G446" i="8"/>
  <c r="F446" i="8"/>
  <c r="E446" i="8"/>
  <c r="D446" i="8"/>
  <c r="I445" i="8"/>
  <c r="H445" i="8"/>
  <c r="H449" i="8" s="1"/>
  <c r="G445" i="8"/>
  <c r="F445" i="8"/>
  <c r="E445" i="8"/>
  <c r="D445" i="8"/>
  <c r="I444" i="8"/>
  <c r="H444" i="8"/>
  <c r="G444" i="8"/>
  <c r="F444" i="8"/>
  <c r="E444" i="8"/>
  <c r="D444" i="8"/>
  <c r="I443" i="8"/>
  <c r="H443" i="8"/>
  <c r="G443" i="8"/>
  <c r="G449" i="8" s="1"/>
  <c r="F443" i="8"/>
  <c r="E443" i="8"/>
  <c r="D443" i="8"/>
  <c r="I442" i="8"/>
  <c r="H442" i="8"/>
  <c r="M442" i="8" s="1"/>
  <c r="G442" i="8"/>
  <c r="L442" i="8" s="1"/>
  <c r="F442" i="8"/>
  <c r="E442" i="8"/>
  <c r="D442" i="8"/>
  <c r="J441" i="8"/>
  <c r="I441" i="8"/>
  <c r="H441" i="8"/>
  <c r="G441" i="8"/>
  <c r="F441" i="8"/>
  <c r="E441" i="8"/>
  <c r="D441" i="8"/>
  <c r="I436" i="8"/>
  <c r="H436" i="8"/>
  <c r="G436" i="8"/>
  <c r="F436" i="8"/>
  <c r="E436" i="8"/>
  <c r="D436" i="8"/>
  <c r="I435" i="8"/>
  <c r="H435" i="8"/>
  <c r="H437" i="8" s="1"/>
  <c r="G435" i="8"/>
  <c r="F435" i="8"/>
  <c r="E435" i="8"/>
  <c r="D435" i="8"/>
  <c r="I434" i="8"/>
  <c r="H434" i="8"/>
  <c r="G434" i="8"/>
  <c r="F434" i="8"/>
  <c r="E434" i="8"/>
  <c r="D434" i="8"/>
  <c r="I433" i="8"/>
  <c r="H433" i="8"/>
  <c r="G433" i="8"/>
  <c r="F433" i="8"/>
  <c r="E433" i="8"/>
  <c r="D433" i="8"/>
  <c r="I432" i="8"/>
  <c r="I437" i="8" s="1"/>
  <c r="H432" i="8"/>
  <c r="G432" i="8"/>
  <c r="F432" i="8"/>
  <c r="E432" i="8"/>
  <c r="D432" i="8"/>
  <c r="I431" i="8"/>
  <c r="H431" i="8"/>
  <c r="G431" i="8"/>
  <c r="F431" i="8"/>
  <c r="E431" i="8"/>
  <c r="D431" i="8"/>
  <c r="I430" i="8"/>
  <c r="H430" i="8"/>
  <c r="G430" i="8"/>
  <c r="F430" i="8"/>
  <c r="E430" i="8"/>
  <c r="D430" i="8"/>
  <c r="J429" i="8"/>
  <c r="I429" i="8"/>
  <c r="H429" i="8"/>
  <c r="G429" i="8"/>
  <c r="F429" i="8"/>
  <c r="E429" i="8"/>
  <c r="D429" i="8"/>
  <c r="I424" i="8"/>
  <c r="H424" i="8"/>
  <c r="G424" i="8"/>
  <c r="F424" i="8"/>
  <c r="E424" i="8"/>
  <c r="D424" i="8"/>
  <c r="I423" i="8"/>
  <c r="I425" i="8" s="1"/>
  <c r="H423" i="8"/>
  <c r="G423" i="8"/>
  <c r="F423" i="8"/>
  <c r="E423" i="8"/>
  <c r="D423" i="8"/>
  <c r="I422" i="8"/>
  <c r="H422" i="8"/>
  <c r="G422" i="8"/>
  <c r="L418" i="8" s="1"/>
  <c r="F422" i="8"/>
  <c r="E422" i="8"/>
  <c r="D422" i="8"/>
  <c r="I421" i="8"/>
  <c r="H421" i="8"/>
  <c r="G421" i="8"/>
  <c r="F421" i="8"/>
  <c r="E421" i="8"/>
  <c r="D421" i="8"/>
  <c r="I420" i="8"/>
  <c r="H420" i="8"/>
  <c r="G420" i="8"/>
  <c r="F420" i="8"/>
  <c r="E420" i="8"/>
  <c r="D420" i="8"/>
  <c r="I419" i="8"/>
  <c r="H419" i="8"/>
  <c r="G419" i="8"/>
  <c r="F419" i="8"/>
  <c r="E419" i="8"/>
  <c r="D419" i="8"/>
  <c r="I418" i="8"/>
  <c r="N418" i="8" s="1"/>
  <c r="H418" i="8"/>
  <c r="G418" i="8"/>
  <c r="F418" i="8"/>
  <c r="E418" i="8"/>
  <c r="D418" i="8"/>
  <c r="J417" i="8"/>
  <c r="I417" i="8"/>
  <c r="H417" i="8"/>
  <c r="G417" i="8"/>
  <c r="F417" i="8"/>
  <c r="E417" i="8"/>
  <c r="D417" i="8"/>
  <c r="I412" i="8"/>
  <c r="H412" i="8"/>
  <c r="G412" i="8"/>
  <c r="F412" i="8"/>
  <c r="E412" i="8"/>
  <c r="D412" i="8"/>
  <c r="I411" i="8"/>
  <c r="H411" i="8"/>
  <c r="G411" i="8"/>
  <c r="F411" i="8"/>
  <c r="E411" i="8"/>
  <c r="D411" i="8"/>
  <c r="I410" i="8"/>
  <c r="H410" i="8"/>
  <c r="G410" i="8"/>
  <c r="F410" i="8"/>
  <c r="E410" i="8"/>
  <c r="D410" i="8"/>
  <c r="I409" i="8"/>
  <c r="H409" i="8"/>
  <c r="G409" i="8"/>
  <c r="F409" i="8"/>
  <c r="E409" i="8"/>
  <c r="D409" i="8"/>
  <c r="I408" i="8"/>
  <c r="H408" i="8"/>
  <c r="G408" i="8"/>
  <c r="G413" i="8" s="1"/>
  <c r="F408" i="8"/>
  <c r="E408" i="8"/>
  <c r="D408" i="8"/>
  <c r="I407" i="8"/>
  <c r="H407" i="8"/>
  <c r="G407" i="8"/>
  <c r="F407" i="8"/>
  <c r="E407" i="8"/>
  <c r="D407" i="8"/>
  <c r="I406" i="8"/>
  <c r="H406" i="8"/>
  <c r="G406" i="8"/>
  <c r="F406" i="8"/>
  <c r="E406" i="8"/>
  <c r="D406" i="8"/>
  <c r="J405" i="8"/>
  <c r="I405" i="8"/>
  <c r="H405" i="8"/>
  <c r="G405" i="8"/>
  <c r="F405" i="8"/>
  <c r="E405" i="8"/>
  <c r="D405" i="8"/>
  <c r="I400" i="8"/>
  <c r="H400" i="8"/>
  <c r="G400" i="8"/>
  <c r="F400" i="8"/>
  <c r="E400" i="8"/>
  <c r="D400" i="8"/>
  <c r="J399" i="8"/>
  <c r="I399" i="8"/>
  <c r="H399" i="8"/>
  <c r="G399" i="8"/>
  <c r="F399" i="8"/>
  <c r="E399" i="8"/>
  <c r="D399" i="8"/>
  <c r="I398" i="8"/>
  <c r="N394" i="8" s="1"/>
  <c r="H398" i="8"/>
  <c r="G398" i="8"/>
  <c r="F398" i="8"/>
  <c r="E398" i="8"/>
  <c r="D398" i="8"/>
  <c r="I397" i="8"/>
  <c r="H397" i="8"/>
  <c r="H401" i="8" s="1"/>
  <c r="G397" i="8"/>
  <c r="F397" i="8"/>
  <c r="E397" i="8"/>
  <c r="D397" i="8"/>
  <c r="I396" i="8"/>
  <c r="H396" i="8"/>
  <c r="G396" i="8"/>
  <c r="F396" i="8"/>
  <c r="E396" i="8"/>
  <c r="D396" i="8"/>
  <c r="I395" i="8"/>
  <c r="H395" i="8"/>
  <c r="G395" i="8"/>
  <c r="G401" i="8" s="1"/>
  <c r="F395" i="8"/>
  <c r="E395" i="8"/>
  <c r="D395" i="8"/>
  <c r="I394" i="8"/>
  <c r="H394" i="8"/>
  <c r="M394" i="8" s="1"/>
  <c r="G394" i="8"/>
  <c r="L394" i="8" s="1"/>
  <c r="O394" i="8" s="1"/>
  <c r="F394" i="8"/>
  <c r="E394" i="8"/>
  <c r="D394" i="8"/>
  <c r="J393" i="8"/>
  <c r="I393" i="8"/>
  <c r="H393" i="8"/>
  <c r="G393" i="8"/>
  <c r="F393" i="8"/>
  <c r="E393" i="8"/>
  <c r="D393" i="8"/>
  <c r="I388" i="8"/>
  <c r="H388" i="8"/>
  <c r="G388" i="8"/>
  <c r="F388" i="8"/>
  <c r="E388" i="8"/>
  <c r="D388" i="8"/>
  <c r="I387" i="8"/>
  <c r="H387" i="8"/>
  <c r="H389" i="8" s="1"/>
  <c r="G387" i="8"/>
  <c r="F387" i="8"/>
  <c r="E387" i="8"/>
  <c r="D387" i="8"/>
  <c r="I386" i="8"/>
  <c r="H386" i="8"/>
  <c r="G386" i="8"/>
  <c r="F386" i="8"/>
  <c r="E386" i="8"/>
  <c r="D386" i="8"/>
  <c r="I385" i="8"/>
  <c r="H385" i="8"/>
  <c r="G385" i="8"/>
  <c r="F385" i="8"/>
  <c r="E385" i="8"/>
  <c r="D385" i="8"/>
  <c r="I384" i="8"/>
  <c r="I389" i="8" s="1"/>
  <c r="H384" i="8"/>
  <c r="G384" i="8"/>
  <c r="F384" i="8"/>
  <c r="E384" i="8"/>
  <c r="D384" i="8"/>
  <c r="I383" i="8"/>
  <c r="H383" i="8"/>
  <c r="G383" i="8"/>
  <c r="F383" i="8"/>
  <c r="E383" i="8"/>
  <c r="D383" i="8"/>
  <c r="I382" i="8"/>
  <c r="H382" i="8"/>
  <c r="G382" i="8"/>
  <c r="F382" i="8"/>
  <c r="E382" i="8"/>
  <c r="D382" i="8"/>
  <c r="J381" i="8"/>
  <c r="I381" i="8"/>
  <c r="H381" i="8"/>
  <c r="G381" i="8"/>
  <c r="F381" i="8"/>
  <c r="E381" i="8"/>
  <c r="D381" i="8"/>
  <c r="I376" i="8"/>
  <c r="H376" i="8"/>
  <c r="G376" i="8"/>
  <c r="F376" i="8"/>
  <c r="E376" i="8"/>
  <c r="D376" i="8"/>
  <c r="I375" i="8"/>
  <c r="H375" i="8"/>
  <c r="G375" i="8"/>
  <c r="F375" i="8"/>
  <c r="E375" i="8"/>
  <c r="D375" i="8"/>
  <c r="I374" i="8"/>
  <c r="H374" i="8"/>
  <c r="G374" i="8"/>
  <c r="F374" i="8"/>
  <c r="E374" i="8"/>
  <c r="D374" i="8"/>
  <c r="I373" i="8"/>
  <c r="H373" i="8"/>
  <c r="G373" i="8"/>
  <c r="F373" i="8"/>
  <c r="E373" i="8"/>
  <c r="D373" i="8"/>
  <c r="I372" i="8"/>
  <c r="H372" i="8"/>
  <c r="G372" i="8"/>
  <c r="F372" i="8"/>
  <c r="E372" i="8"/>
  <c r="D372" i="8"/>
  <c r="I371" i="8"/>
  <c r="H371" i="8"/>
  <c r="G371" i="8"/>
  <c r="F371" i="8"/>
  <c r="E371" i="8"/>
  <c r="D371" i="8"/>
  <c r="I370" i="8"/>
  <c r="N370" i="8" s="1"/>
  <c r="H370" i="8"/>
  <c r="G370" i="8"/>
  <c r="F370" i="8"/>
  <c r="E370" i="8"/>
  <c r="D370" i="8"/>
  <c r="J369" i="8"/>
  <c r="I369" i="8"/>
  <c r="H369" i="8"/>
  <c r="G369" i="8"/>
  <c r="F369" i="8"/>
  <c r="E369" i="8"/>
  <c r="D369" i="8"/>
  <c r="J364" i="8"/>
  <c r="I364" i="8"/>
  <c r="H364" i="8"/>
  <c r="G364" i="8"/>
  <c r="F364" i="8"/>
  <c r="E364" i="8"/>
  <c r="D364" i="8"/>
  <c r="J363" i="8"/>
  <c r="I363" i="8"/>
  <c r="H363" i="8"/>
  <c r="G363" i="8"/>
  <c r="F363" i="8"/>
  <c r="E363" i="8"/>
  <c r="D363" i="8"/>
  <c r="J362" i="8"/>
  <c r="I362" i="8"/>
  <c r="H362" i="8"/>
  <c r="G362" i="8"/>
  <c r="F362" i="8"/>
  <c r="E362" i="8"/>
  <c r="D362" i="8"/>
  <c r="J361" i="8"/>
  <c r="I361" i="8"/>
  <c r="H361" i="8"/>
  <c r="G361" i="8"/>
  <c r="F361" i="8"/>
  <c r="E361" i="8"/>
  <c r="D361" i="8"/>
  <c r="J360" i="8"/>
  <c r="I360" i="8"/>
  <c r="H360" i="8"/>
  <c r="G360" i="8"/>
  <c r="F360" i="8"/>
  <c r="E360" i="8"/>
  <c r="D360" i="8"/>
  <c r="I359" i="8"/>
  <c r="I365" i="8" s="1"/>
  <c r="H359" i="8"/>
  <c r="G359" i="8"/>
  <c r="F359" i="8"/>
  <c r="E359" i="8"/>
  <c r="D359" i="8"/>
  <c r="J358" i="8"/>
  <c r="I358" i="8"/>
  <c r="H358" i="8"/>
  <c r="G358" i="8"/>
  <c r="F358" i="8"/>
  <c r="E358" i="8"/>
  <c r="D358" i="8"/>
  <c r="J357" i="8"/>
  <c r="I357" i="8"/>
  <c r="H357" i="8"/>
  <c r="G357" i="8"/>
  <c r="G365" i="8" s="1"/>
  <c r="F357" i="8"/>
  <c r="E357" i="8"/>
  <c r="D357" i="8"/>
  <c r="J356" i="8"/>
  <c r="I356" i="8"/>
  <c r="H356" i="8"/>
  <c r="G356" i="8"/>
  <c r="F356" i="8"/>
  <c r="E356" i="8"/>
  <c r="D356" i="8"/>
  <c r="I352" i="8"/>
  <c r="I351" i="8"/>
  <c r="H351" i="8"/>
  <c r="G351" i="8"/>
  <c r="F351" i="8"/>
  <c r="E351" i="8"/>
  <c r="D351" i="8"/>
  <c r="J350" i="8"/>
  <c r="I350" i="8"/>
  <c r="H350" i="8"/>
  <c r="G350" i="8"/>
  <c r="F350" i="8"/>
  <c r="E350" i="8"/>
  <c r="D350" i="8"/>
  <c r="I349" i="8"/>
  <c r="H349" i="8"/>
  <c r="G349" i="8"/>
  <c r="F349" i="8"/>
  <c r="E349" i="8"/>
  <c r="D349" i="8"/>
  <c r="J348" i="8"/>
  <c r="I348" i="8"/>
  <c r="H348" i="8"/>
  <c r="G348" i="8"/>
  <c r="F348" i="8"/>
  <c r="E348" i="8"/>
  <c r="D348" i="8"/>
  <c r="J347" i="8"/>
  <c r="I347" i="8"/>
  <c r="H347" i="8"/>
  <c r="G347" i="8"/>
  <c r="F347" i="8"/>
  <c r="E347" i="8"/>
  <c r="D347" i="8"/>
  <c r="J346" i="8"/>
  <c r="I346" i="8"/>
  <c r="H346" i="8"/>
  <c r="G346" i="8"/>
  <c r="F346" i="8"/>
  <c r="E346" i="8"/>
  <c r="D346" i="8"/>
  <c r="J345" i="8"/>
  <c r="I345" i="8"/>
  <c r="N345" i="8" s="1"/>
  <c r="H345" i="8"/>
  <c r="H352" i="8" s="1"/>
  <c r="G345" i="8"/>
  <c r="F345" i="8"/>
  <c r="E345" i="8"/>
  <c r="D345" i="8"/>
  <c r="J344" i="8"/>
  <c r="I344" i="8"/>
  <c r="H344" i="8"/>
  <c r="G344" i="8"/>
  <c r="F344" i="8"/>
  <c r="E344" i="8"/>
  <c r="D344" i="8"/>
  <c r="J339" i="8"/>
  <c r="I339" i="8"/>
  <c r="H339" i="8"/>
  <c r="G339" i="8"/>
  <c r="F339" i="8"/>
  <c r="E339" i="8"/>
  <c r="D339" i="8"/>
  <c r="J338" i="8"/>
  <c r="I338" i="8"/>
  <c r="H338" i="8"/>
  <c r="G338" i="8"/>
  <c r="F338" i="8"/>
  <c r="E338" i="8"/>
  <c r="D338" i="8"/>
  <c r="J337" i="8"/>
  <c r="I337" i="8"/>
  <c r="H337" i="8"/>
  <c r="G337" i="8"/>
  <c r="F337" i="8"/>
  <c r="E337" i="8"/>
  <c r="D337" i="8"/>
  <c r="J336" i="8"/>
  <c r="I336" i="8"/>
  <c r="H336" i="8"/>
  <c r="G336" i="8"/>
  <c r="F336" i="8"/>
  <c r="E336" i="8"/>
  <c r="D336" i="8"/>
  <c r="J335" i="8"/>
  <c r="I335" i="8"/>
  <c r="H335" i="8"/>
  <c r="G335" i="8"/>
  <c r="F335" i="8"/>
  <c r="E335" i="8"/>
  <c r="D335" i="8"/>
  <c r="J334" i="8"/>
  <c r="I334" i="8"/>
  <c r="H334" i="8"/>
  <c r="G334" i="8"/>
  <c r="F334" i="8"/>
  <c r="E334" i="8"/>
  <c r="D334" i="8"/>
  <c r="N333" i="8"/>
  <c r="J333" i="8"/>
  <c r="I333" i="8"/>
  <c r="H333" i="8"/>
  <c r="H340" i="8" s="1"/>
  <c r="G333" i="8"/>
  <c r="F333" i="8"/>
  <c r="E333" i="8"/>
  <c r="D333" i="8"/>
  <c r="J332" i="8"/>
  <c r="I332" i="8"/>
  <c r="H332" i="8"/>
  <c r="G332" i="8"/>
  <c r="F332" i="8"/>
  <c r="E332" i="8"/>
  <c r="D332" i="8"/>
  <c r="J327" i="8"/>
  <c r="I327" i="8"/>
  <c r="H327" i="8"/>
  <c r="G327" i="8"/>
  <c r="F327" i="8"/>
  <c r="E327" i="8"/>
  <c r="D327" i="8"/>
  <c r="I326" i="8"/>
  <c r="H326" i="8"/>
  <c r="G326" i="8"/>
  <c r="F326" i="8"/>
  <c r="E326" i="8"/>
  <c r="D326" i="8"/>
  <c r="J325" i="8"/>
  <c r="I325" i="8"/>
  <c r="H325" i="8"/>
  <c r="G325" i="8"/>
  <c r="F325" i="8"/>
  <c r="E325" i="8"/>
  <c r="D325" i="8"/>
  <c r="J324" i="8"/>
  <c r="I324" i="8"/>
  <c r="H324" i="8"/>
  <c r="G324" i="8"/>
  <c r="F324" i="8"/>
  <c r="E324" i="8"/>
  <c r="D324" i="8"/>
  <c r="J323" i="8"/>
  <c r="I323" i="8"/>
  <c r="H323" i="8"/>
  <c r="H328" i="8" s="1"/>
  <c r="G323" i="8"/>
  <c r="G328" i="8" s="1"/>
  <c r="J328" i="8" s="1"/>
  <c r="F323" i="8"/>
  <c r="E323" i="8"/>
  <c r="D323" i="8"/>
  <c r="J322" i="8"/>
  <c r="I322" i="8"/>
  <c r="H322" i="8"/>
  <c r="G322" i="8"/>
  <c r="F322" i="8"/>
  <c r="E322" i="8"/>
  <c r="D322" i="8"/>
  <c r="J321" i="8"/>
  <c r="I321" i="8"/>
  <c r="H321" i="8"/>
  <c r="G321" i="8"/>
  <c r="F321" i="8"/>
  <c r="E321" i="8"/>
  <c r="D321" i="8"/>
  <c r="J320" i="8"/>
  <c r="I320" i="8"/>
  <c r="I328" i="8" s="1"/>
  <c r="H320" i="8"/>
  <c r="G320" i="8"/>
  <c r="F320" i="8"/>
  <c r="E320" i="8"/>
  <c r="D320" i="8"/>
  <c r="J319" i="8"/>
  <c r="I319" i="8"/>
  <c r="H319" i="8"/>
  <c r="G319" i="8"/>
  <c r="F319" i="8"/>
  <c r="E319" i="8"/>
  <c r="D319" i="8"/>
  <c r="J314" i="8"/>
  <c r="I314" i="8"/>
  <c r="H314" i="8"/>
  <c r="G314" i="8"/>
  <c r="F314" i="8"/>
  <c r="E314" i="8"/>
  <c r="D314" i="8"/>
  <c r="J313" i="8"/>
  <c r="I313" i="8"/>
  <c r="H313" i="8"/>
  <c r="G313" i="8"/>
  <c r="F313" i="8"/>
  <c r="E313" i="8"/>
  <c r="D313" i="8"/>
  <c r="J312" i="8"/>
  <c r="I312" i="8"/>
  <c r="H312" i="8"/>
  <c r="G312" i="8"/>
  <c r="F312" i="8"/>
  <c r="E312" i="8"/>
  <c r="D312" i="8"/>
  <c r="J311" i="8"/>
  <c r="I311" i="8"/>
  <c r="H311" i="8"/>
  <c r="G311" i="8"/>
  <c r="F311" i="8"/>
  <c r="E311" i="8"/>
  <c r="D311" i="8"/>
  <c r="I310" i="8"/>
  <c r="H310" i="8"/>
  <c r="G310" i="8"/>
  <c r="F310" i="8"/>
  <c r="E310" i="8"/>
  <c r="D310" i="8"/>
  <c r="J309" i="8"/>
  <c r="I309" i="8"/>
  <c r="H309" i="8"/>
  <c r="G309" i="8"/>
  <c r="F309" i="8"/>
  <c r="E309" i="8"/>
  <c r="D309" i="8"/>
  <c r="J308" i="8"/>
  <c r="I308" i="8"/>
  <c r="H308" i="8"/>
  <c r="G308" i="8"/>
  <c r="F308" i="8"/>
  <c r="E308" i="8"/>
  <c r="D308" i="8"/>
  <c r="J307" i="8"/>
  <c r="I307" i="8"/>
  <c r="H307" i="8"/>
  <c r="G307" i="8"/>
  <c r="F307" i="8"/>
  <c r="E307" i="8"/>
  <c r="D307" i="8"/>
  <c r="J306" i="8"/>
  <c r="I306" i="8"/>
  <c r="H306" i="8"/>
  <c r="M306" i="8" s="1"/>
  <c r="G306" i="8"/>
  <c r="G315" i="8" s="1"/>
  <c r="F306" i="8"/>
  <c r="E306" i="8"/>
  <c r="D306" i="8"/>
  <c r="J305" i="8"/>
  <c r="I305" i="8"/>
  <c r="H305" i="8"/>
  <c r="G305" i="8"/>
  <c r="F305" i="8"/>
  <c r="E305" i="8"/>
  <c r="D305" i="8"/>
  <c r="I300" i="8"/>
  <c r="H300" i="8"/>
  <c r="G300" i="8"/>
  <c r="F300" i="8"/>
  <c r="E300" i="8"/>
  <c r="D300" i="8"/>
  <c r="J299" i="8"/>
  <c r="I299" i="8"/>
  <c r="H299" i="8"/>
  <c r="G299" i="8"/>
  <c r="F299" i="8"/>
  <c r="E299" i="8"/>
  <c r="D299" i="8"/>
  <c r="J298" i="8"/>
  <c r="I298" i="8"/>
  <c r="H298" i="8"/>
  <c r="G298" i="8"/>
  <c r="F298" i="8"/>
  <c r="E298" i="8"/>
  <c r="D298" i="8"/>
  <c r="J297" i="8"/>
  <c r="I297" i="8"/>
  <c r="H297" i="8"/>
  <c r="G297" i="8"/>
  <c r="F297" i="8"/>
  <c r="E297" i="8"/>
  <c r="D297" i="8"/>
  <c r="J296" i="8"/>
  <c r="I296" i="8"/>
  <c r="H296" i="8"/>
  <c r="G296" i="8"/>
  <c r="G301" i="8" s="1"/>
  <c r="F296" i="8"/>
  <c r="E296" i="8"/>
  <c r="D296" i="8"/>
  <c r="J295" i="8"/>
  <c r="I295" i="8"/>
  <c r="H295" i="8"/>
  <c r="G295" i="8"/>
  <c r="F295" i="8"/>
  <c r="E295" i="8"/>
  <c r="D295" i="8"/>
  <c r="N294" i="8"/>
  <c r="M294" i="8"/>
  <c r="J294" i="8"/>
  <c r="I294" i="8"/>
  <c r="H294" i="8"/>
  <c r="H301" i="8" s="1"/>
  <c r="G294" i="8"/>
  <c r="L294" i="8" s="1"/>
  <c r="O294" i="8" s="1"/>
  <c r="F294" i="8"/>
  <c r="E294" i="8"/>
  <c r="D294" i="8"/>
  <c r="J293" i="8"/>
  <c r="I293" i="8"/>
  <c r="H293" i="8"/>
  <c r="G293" i="8"/>
  <c r="F293" i="8"/>
  <c r="E293" i="8"/>
  <c r="D293" i="8"/>
  <c r="G289" i="8"/>
  <c r="J289" i="8" s="1"/>
  <c r="I288" i="8"/>
  <c r="H288" i="8"/>
  <c r="G288" i="8"/>
  <c r="F288" i="8"/>
  <c r="E288" i="8"/>
  <c r="D288" i="8"/>
  <c r="I287" i="8"/>
  <c r="H287" i="8"/>
  <c r="G287" i="8"/>
  <c r="F287" i="8"/>
  <c r="E287" i="8"/>
  <c r="D287" i="8"/>
  <c r="J286" i="8"/>
  <c r="I286" i="8"/>
  <c r="H286" i="8"/>
  <c r="G286" i="8"/>
  <c r="F286" i="8"/>
  <c r="E286" i="8"/>
  <c r="D286" i="8"/>
  <c r="J285" i="8"/>
  <c r="I285" i="8"/>
  <c r="H285" i="8"/>
  <c r="H289" i="8" s="1"/>
  <c r="G285" i="8"/>
  <c r="F285" i="8"/>
  <c r="E285" i="8"/>
  <c r="D285" i="8"/>
  <c r="J284" i="8"/>
  <c r="I284" i="8"/>
  <c r="H284" i="8"/>
  <c r="G284" i="8"/>
  <c r="F284" i="8"/>
  <c r="E284" i="8"/>
  <c r="D284" i="8"/>
  <c r="J283" i="8"/>
  <c r="I283" i="8"/>
  <c r="H283" i="8"/>
  <c r="G283" i="8"/>
  <c r="F283" i="8"/>
  <c r="E283" i="8"/>
  <c r="D283" i="8"/>
  <c r="N282" i="8"/>
  <c r="J282" i="8"/>
  <c r="I282" i="8"/>
  <c r="I289" i="8" s="1"/>
  <c r="H282" i="8"/>
  <c r="M282" i="8" s="1"/>
  <c r="O282" i="8" s="1"/>
  <c r="G282" i="8"/>
  <c r="L282" i="8" s="1"/>
  <c r="F282" i="8"/>
  <c r="E282" i="8"/>
  <c r="D282" i="8"/>
  <c r="J281" i="8"/>
  <c r="I281" i="8"/>
  <c r="H281" i="8"/>
  <c r="G281" i="8"/>
  <c r="F281" i="8"/>
  <c r="E281" i="8"/>
  <c r="D281" i="8"/>
  <c r="I277" i="8"/>
  <c r="I276" i="8"/>
  <c r="H276" i="8"/>
  <c r="G276" i="8"/>
  <c r="F276" i="8"/>
  <c r="E276" i="8"/>
  <c r="D276" i="8"/>
  <c r="I275" i="8"/>
  <c r="H275" i="8"/>
  <c r="H277" i="8" s="1"/>
  <c r="G275" i="8"/>
  <c r="F275" i="8"/>
  <c r="E275" i="8"/>
  <c r="D275" i="8"/>
  <c r="I274" i="8"/>
  <c r="H274" i="8"/>
  <c r="G274" i="8"/>
  <c r="F274" i="8"/>
  <c r="E274" i="8"/>
  <c r="D274" i="8"/>
  <c r="I273" i="8"/>
  <c r="H273" i="8"/>
  <c r="G273" i="8"/>
  <c r="F273" i="8"/>
  <c r="E273" i="8"/>
  <c r="D273" i="8"/>
  <c r="I272" i="8"/>
  <c r="H272" i="8"/>
  <c r="G272" i="8"/>
  <c r="F272" i="8"/>
  <c r="E272" i="8"/>
  <c r="D272" i="8"/>
  <c r="J271" i="8"/>
  <c r="I271" i="8"/>
  <c r="H271" i="8"/>
  <c r="G271" i="8"/>
  <c r="F271" i="8"/>
  <c r="E271" i="8"/>
  <c r="D271" i="8"/>
  <c r="J270" i="8"/>
  <c r="I270" i="8"/>
  <c r="H270" i="8"/>
  <c r="G270" i="8"/>
  <c r="G277" i="8" s="1"/>
  <c r="F270" i="8"/>
  <c r="E270" i="8"/>
  <c r="D270" i="8"/>
  <c r="J269" i="8"/>
  <c r="I269" i="8"/>
  <c r="H269" i="8"/>
  <c r="G269" i="8"/>
  <c r="F269" i="8"/>
  <c r="E269" i="8"/>
  <c r="D269" i="8"/>
  <c r="I264" i="8"/>
  <c r="H264" i="8"/>
  <c r="G264" i="8"/>
  <c r="F264" i="8"/>
  <c r="E264" i="8"/>
  <c r="D264" i="8"/>
  <c r="I263" i="8"/>
  <c r="H263" i="8"/>
  <c r="G263" i="8"/>
  <c r="F263" i="8"/>
  <c r="E263" i="8"/>
  <c r="D263" i="8"/>
  <c r="I262" i="8"/>
  <c r="H262" i="8"/>
  <c r="G262" i="8"/>
  <c r="F262" i="8"/>
  <c r="E262" i="8"/>
  <c r="D262" i="8"/>
  <c r="I261" i="8"/>
  <c r="H261" i="8"/>
  <c r="G261" i="8"/>
  <c r="F261" i="8"/>
  <c r="E261" i="8"/>
  <c r="D261" i="8"/>
  <c r="J260" i="8"/>
  <c r="I260" i="8"/>
  <c r="H260" i="8"/>
  <c r="G260" i="8"/>
  <c r="F260" i="8"/>
  <c r="E260" i="8"/>
  <c r="D260" i="8"/>
  <c r="J259" i="8"/>
  <c r="I259" i="8"/>
  <c r="I265" i="8" s="1"/>
  <c r="H259" i="8"/>
  <c r="G259" i="8"/>
  <c r="F259" i="8"/>
  <c r="E259" i="8"/>
  <c r="D259" i="8"/>
  <c r="J258" i="8"/>
  <c r="I258" i="8"/>
  <c r="H258" i="8"/>
  <c r="G258" i="8"/>
  <c r="F258" i="8"/>
  <c r="E258" i="8"/>
  <c r="D258" i="8"/>
  <c r="J257" i="8"/>
  <c r="I257" i="8"/>
  <c r="H257" i="8"/>
  <c r="G257" i="8"/>
  <c r="F257" i="8"/>
  <c r="E257" i="8"/>
  <c r="D257" i="8"/>
  <c r="I252" i="8"/>
  <c r="H252" i="8"/>
  <c r="G252" i="8"/>
  <c r="F252" i="8"/>
  <c r="E252" i="8"/>
  <c r="D252" i="8"/>
  <c r="I251" i="8"/>
  <c r="H251" i="8"/>
  <c r="G251" i="8"/>
  <c r="F251" i="8"/>
  <c r="E251" i="8"/>
  <c r="D251" i="8"/>
  <c r="I250" i="8"/>
  <c r="H250" i="8"/>
  <c r="G250" i="8"/>
  <c r="F250" i="8"/>
  <c r="E250" i="8"/>
  <c r="D250" i="8"/>
  <c r="J249" i="8"/>
  <c r="I249" i="8"/>
  <c r="H249" i="8"/>
  <c r="M246" i="8" s="1"/>
  <c r="G249" i="8"/>
  <c r="F249" i="8"/>
  <c r="E249" i="8"/>
  <c r="D249" i="8"/>
  <c r="J248" i="8"/>
  <c r="I248" i="8"/>
  <c r="H248" i="8"/>
  <c r="G248" i="8"/>
  <c r="G253" i="8" s="1"/>
  <c r="F248" i="8"/>
  <c r="E248" i="8"/>
  <c r="D248" i="8"/>
  <c r="J247" i="8"/>
  <c r="I247" i="8"/>
  <c r="H247" i="8"/>
  <c r="G247" i="8"/>
  <c r="F247" i="8"/>
  <c r="E247" i="8"/>
  <c r="D247" i="8"/>
  <c r="J246" i="8"/>
  <c r="I246" i="8"/>
  <c r="H246" i="8"/>
  <c r="G246" i="8"/>
  <c r="F246" i="8"/>
  <c r="E246" i="8"/>
  <c r="D246" i="8"/>
  <c r="J245" i="8"/>
  <c r="I245" i="8"/>
  <c r="H245" i="8"/>
  <c r="G245" i="8"/>
  <c r="F245" i="8"/>
  <c r="E245" i="8"/>
  <c r="D245" i="8"/>
  <c r="I240" i="8"/>
  <c r="H240" i="8"/>
  <c r="G240" i="8"/>
  <c r="F240" i="8"/>
  <c r="E240" i="8"/>
  <c r="D240" i="8"/>
  <c r="I239" i="8"/>
  <c r="H239" i="8"/>
  <c r="G239" i="8"/>
  <c r="F239" i="8"/>
  <c r="E239" i="8"/>
  <c r="D239" i="8"/>
  <c r="J238" i="8"/>
  <c r="I238" i="8"/>
  <c r="H238" i="8"/>
  <c r="G238" i="8"/>
  <c r="F238" i="8"/>
  <c r="E238" i="8"/>
  <c r="D238" i="8"/>
  <c r="J237" i="8"/>
  <c r="I237" i="8"/>
  <c r="H237" i="8"/>
  <c r="G237" i="8"/>
  <c r="F237" i="8"/>
  <c r="E237" i="8"/>
  <c r="D237" i="8"/>
  <c r="I236" i="8"/>
  <c r="H236" i="8"/>
  <c r="G236" i="8"/>
  <c r="F236" i="8"/>
  <c r="E236" i="8"/>
  <c r="D236" i="8"/>
  <c r="J235" i="8"/>
  <c r="I235" i="8"/>
  <c r="H235" i="8"/>
  <c r="G235" i="8"/>
  <c r="F235" i="8"/>
  <c r="E235" i="8"/>
  <c r="D235" i="8"/>
  <c r="J234" i="8"/>
  <c r="I234" i="8"/>
  <c r="H234" i="8"/>
  <c r="G234" i="8"/>
  <c r="F234" i="8"/>
  <c r="E234" i="8"/>
  <c r="D234" i="8"/>
  <c r="J233" i="8"/>
  <c r="I233" i="8"/>
  <c r="H233" i="8"/>
  <c r="G233" i="8"/>
  <c r="F233" i="8"/>
  <c r="E233" i="8"/>
  <c r="D233" i="8"/>
  <c r="I228" i="8"/>
  <c r="H228" i="8"/>
  <c r="G228" i="8"/>
  <c r="F228" i="8"/>
  <c r="E228" i="8"/>
  <c r="D228" i="8"/>
  <c r="I227" i="8"/>
  <c r="H227" i="8"/>
  <c r="G227" i="8"/>
  <c r="F227" i="8"/>
  <c r="E227" i="8"/>
  <c r="D227" i="8"/>
  <c r="J226" i="8"/>
  <c r="I226" i="8"/>
  <c r="H226" i="8"/>
  <c r="G226" i="8"/>
  <c r="F226" i="8"/>
  <c r="E226" i="8"/>
  <c r="D226" i="8"/>
  <c r="J225" i="8"/>
  <c r="I225" i="8"/>
  <c r="N219" i="8" s="1"/>
  <c r="H225" i="8"/>
  <c r="G225" i="8"/>
  <c r="F225" i="8"/>
  <c r="E225" i="8"/>
  <c r="D225" i="8"/>
  <c r="I224" i="8"/>
  <c r="H224" i="8"/>
  <c r="H229" i="8" s="1"/>
  <c r="G224" i="8"/>
  <c r="F224" i="8"/>
  <c r="E224" i="8"/>
  <c r="D224" i="8"/>
  <c r="J223" i="8"/>
  <c r="I223" i="8"/>
  <c r="H223" i="8"/>
  <c r="G223" i="8"/>
  <c r="F223" i="8"/>
  <c r="E223" i="8"/>
  <c r="D223" i="8"/>
  <c r="I222" i="8"/>
  <c r="H222" i="8"/>
  <c r="G222" i="8"/>
  <c r="F222" i="8"/>
  <c r="E222" i="8"/>
  <c r="D222" i="8"/>
  <c r="J221" i="8"/>
  <c r="I221" i="8"/>
  <c r="G221" i="8"/>
  <c r="F221" i="8"/>
  <c r="D221" i="8"/>
  <c r="J220" i="8"/>
  <c r="I220" i="8"/>
  <c r="H220" i="8"/>
  <c r="G220" i="8"/>
  <c r="F220" i="8"/>
  <c r="E220" i="8"/>
  <c r="D220" i="8"/>
  <c r="J219" i="8"/>
  <c r="I219" i="8"/>
  <c r="H219" i="8"/>
  <c r="M219" i="8" s="1"/>
  <c r="G219" i="8"/>
  <c r="F219" i="8"/>
  <c r="E219" i="8"/>
  <c r="D219" i="8"/>
  <c r="J218" i="8"/>
  <c r="I218" i="8"/>
  <c r="H218" i="8"/>
  <c r="G218" i="8"/>
  <c r="F218" i="8"/>
  <c r="E218" i="8"/>
  <c r="D218" i="8"/>
  <c r="H214" i="8"/>
  <c r="J213" i="8"/>
  <c r="I213" i="8"/>
  <c r="H213" i="8"/>
  <c r="G213" i="8"/>
  <c r="F213" i="8"/>
  <c r="E213" i="8"/>
  <c r="D213" i="8"/>
  <c r="J212" i="8"/>
  <c r="I212" i="8"/>
  <c r="H212" i="8"/>
  <c r="G212" i="8"/>
  <c r="F212" i="8"/>
  <c r="E212" i="8"/>
  <c r="D212" i="8"/>
  <c r="J211" i="8"/>
  <c r="I211" i="8"/>
  <c r="H211" i="8"/>
  <c r="G211" i="8"/>
  <c r="F211" i="8"/>
  <c r="E211" i="8"/>
  <c r="D211" i="8"/>
  <c r="J210" i="8"/>
  <c r="I210" i="8"/>
  <c r="I214" i="8" s="1"/>
  <c r="H210" i="8"/>
  <c r="G210" i="8"/>
  <c r="F210" i="8"/>
  <c r="E210" i="8"/>
  <c r="D210" i="8"/>
  <c r="J209" i="8"/>
  <c r="I209" i="8"/>
  <c r="H209" i="8"/>
  <c r="G209" i="8"/>
  <c r="F209" i="8"/>
  <c r="E209" i="8"/>
  <c r="D209" i="8"/>
  <c r="I208" i="8"/>
  <c r="H208" i="8"/>
  <c r="G208" i="8"/>
  <c r="F208" i="8"/>
  <c r="E208" i="8"/>
  <c r="D208" i="8"/>
  <c r="J207" i="8"/>
  <c r="I207" i="8"/>
  <c r="H207" i="8"/>
  <c r="G207" i="8"/>
  <c r="F207" i="8"/>
  <c r="E207" i="8"/>
  <c r="D207" i="8"/>
  <c r="J206" i="8"/>
  <c r="I206" i="8"/>
  <c r="H206" i="8"/>
  <c r="G206" i="8"/>
  <c r="F206" i="8"/>
  <c r="E206" i="8"/>
  <c r="D206" i="8"/>
  <c r="J205" i="8"/>
  <c r="I205" i="8"/>
  <c r="H205" i="8"/>
  <c r="G205" i="8"/>
  <c r="F205" i="8"/>
  <c r="E205" i="8"/>
  <c r="D205" i="8"/>
  <c r="J204" i="8"/>
  <c r="I204" i="8"/>
  <c r="H204" i="8"/>
  <c r="M204" i="8" s="1"/>
  <c r="G204" i="8"/>
  <c r="F204" i="8"/>
  <c r="E204" i="8"/>
  <c r="D204" i="8"/>
  <c r="J203" i="8"/>
  <c r="I203" i="8"/>
  <c r="H203" i="8"/>
  <c r="G203" i="8"/>
  <c r="F203" i="8"/>
  <c r="E203" i="8"/>
  <c r="D203" i="8"/>
  <c r="I198" i="8"/>
  <c r="H198" i="8"/>
  <c r="G198" i="8"/>
  <c r="F198" i="8"/>
  <c r="E198" i="8"/>
  <c r="D198" i="8"/>
  <c r="I197" i="8"/>
  <c r="H197" i="8"/>
  <c r="G197" i="8"/>
  <c r="F197" i="8"/>
  <c r="E197" i="8"/>
  <c r="D197" i="8"/>
  <c r="J196" i="8"/>
  <c r="I196" i="8"/>
  <c r="H196" i="8"/>
  <c r="G196" i="8"/>
  <c r="F196" i="8"/>
  <c r="E196" i="8"/>
  <c r="D196" i="8"/>
  <c r="I195" i="8"/>
  <c r="H195" i="8"/>
  <c r="G195" i="8"/>
  <c r="G199" i="8" s="1"/>
  <c r="F195" i="8"/>
  <c r="E195" i="8"/>
  <c r="D195" i="8"/>
  <c r="J194" i="8"/>
  <c r="I194" i="8"/>
  <c r="H194" i="8"/>
  <c r="G194" i="8"/>
  <c r="F194" i="8"/>
  <c r="E194" i="8"/>
  <c r="D194" i="8"/>
  <c r="J193" i="8"/>
  <c r="I193" i="8"/>
  <c r="H193" i="8"/>
  <c r="G193" i="8"/>
  <c r="F193" i="8"/>
  <c r="E193" i="8"/>
  <c r="D193" i="8"/>
  <c r="N192" i="8"/>
  <c r="M192" i="8"/>
  <c r="J192" i="8"/>
  <c r="I192" i="8"/>
  <c r="H192" i="8"/>
  <c r="H199" i="8" s="1"/>
  <c r="G192" i="8"/>
  <c r="L192" i="8" s="1"/>
  <c r="F192" i="8"/>
  <c r="E192" i="8"/>
  <c r="D192" i="8"/>
  <c r="J191" i="8"/>
  <c r="I191" i="8"/>
  <c r="H191" i="8"/>
  <c r="G191" i="8"/>
  <c r="F191" i="8"/>
  <c r="E191" i="8"/>
  <c r="D191" i="8"/>
  <c r="H187" i="8"/>
  <c r="G187" i="8"/>
  <c r="I186" i="8"/>
  <c r="H186" i="8"/>
  <c r="G186" i="8"/>
  <c r="F186" i="8"/>
  <c r="E186" i="8"/>
  <c r="D186" i="8"/>
  <c r="I185" i="8"/>
  <c r="H185" i="8"/>
  <c r="G185" i="8"/>
  <c r="F185" i="8"/>
  <c r="E185" i="8"/>
  <c r="D185" i="8"/>
  <c r="J184" i="8"/>
  <c r="I184" i="8"/>
  <c r="H184" i="8"/>
  <c r="G184" i="8"/>
  <c r="F184" i="8"/>
  <c r="E184" i="8"/>
  <c r="D184" i="8"/>
  <c r="I183" i="8"/>
  <c r="H183" i="8"/>
  <c r="G183" i="8"/>
  <c r="F183" i="8"/>
  <c r="E183" i="8"/>
  <c r="D183" i="8"/>
  <c r="J182" i="8"/>
  <c r="I182" i="8"/>
  <c r="H182" i="8"/>
  <c r="G182" i="8"/>
  <c r="F182" i="8"/>
  <c r="E182" i="8"/>
  <c r="D182" i="8"/>
  <c r="J181" i="8"/>
  <c r="I181" i="8"/>
  <c r="H181" i="8"/>
  <c r="G181" i="8"/>
  <c r="F181" i="8"/>
  <c r="E181" i="8"/>
  <c r="D181" i="8"/>
  <c r="N180" i="8"/>
  <c r="J180" i="8"/>
  <c r="I180" i="8"/>
  <c r="H180" i="8"/>
  <c r="M180" i="8" s="1"/>
  <c r="G180" i="8"/>
  <c r="L180" i="8" s="1"/>
  <c r="O180" i="8" s="1"/>
  <c r="F180" i="8"/>
  <c r="E180" i="8"/>
  <c r="D180" i="8"/>
  <c r="J179" i="8"/>
  <c r="I179" i="8"/>
  <c r="H179" i="8"/>
  <c r="G179" i="8"/>
  <c r="F179" i="8"/>
  <c r="E179" i="8"/>
  <c r="D179" i="8"/>
  <c r="J174" i="8"/>
  <c r="I174" i="8"/>
  <c r="H174" i="8"/>
  <c r="G174" i="8"/>
  <c r="F174" i="8"/>
  <c r="E174" i="8"/>
  <c r="D174" i="8"/>
  <c r="J173" i="8"/>
  <c r="I173" i="8"/>
  <c r="H173" i="8"/>
  <c r="G173" i="8"/>
  <c r="F173" i="8"/>
  <c r="E173" i="8"/>
  <c r="D173" i="8"/>
  <c r="J172" i="8"/>
  <c r="I172" i="8"/>
  <c r="H172" i="8"/>
  <c r="G172" i="8"/>
  <c r="F172" i="8"/>
  <c r="E172" i="8"/>
  <c r="D172" i="8"/>
  <c r="J171" i="8"/>
  <c r="I171" i="8"/>
  <c r="H171" i="8"/>
  <c r="G171" i="8"/>
  <c r="F171" i="8"/>
  <c r="E171" i="8"/>
  <c r="D171" i="8"/>
  <c r="I170" i="8"/>
  <c r="H170" i="8"/>
  <c r="G170" i="8"/>
  <c r="F170" i="8"/>
  <c r="E170" i="8"/>
  <c r="D170" i="8"/>
  <c r="J169" i="8"/>
  <c r="I169" i="8"/>
  <c r="H169" i="8"/>
  <c r="G169" i="8"/>
  <c r="F169" i="8"/>
  <c r="E169" i="8"/>
  <c r="D169" i="8"/>
  <c r="J168" i="8"/>
  <c r="I168" i="8"/>
  <c r="H168" i="8"/>
  <c r="H175" i="8" s="1"/>
  <c r="G168" i="8"/>
  <c r="F168" i="8"/>
  <c r="E168" i="8"/>
  <c r="D168" i="8"/>
  <c r="J167" i="8"/>
  <c r="I167" i="8"/>
  <c r="H167" i="8"/>
  <c r="G167" i="8"/>
  <c r="F167" i="8"/>
  <c r="E167" i="8"/>
  <c r="D167" i="8"/>
  <c r="J166" i="8"/>
  <c r="I166" i="8"/>
  <c r="H166" i="8"/>
  <c r="G166" i="8"/>
  <c r="F166" i="8"/>
  <c r="E166" i="8"/>
  <c r="D166" i="8"/>
  <c r="J161" i="8"/>
  <c r="I161" i="8"/>
  <c r="H161" i="8"/>
  <c r="G161" i="8"/>
  <c r="F161" i="8"/>
  <c r="E161" i="8"/>
  <c r="D161" i="8"/>
  <c r="I160" i="8"/>
  <c r="H160" i="8"/>
  <c r="G160" i="8"/>
  <c r="F160" i="8"/>
  <c r="E160" i="8"/>
  <c r="D160" i="8"/>
  <c r="I159" i="8"/>
  <c r="H159" i="8"/>
  <c r="G159" i="8"/>
  <c r="F159" i="8"/>
  <c r="E159" i="8"/>
  <c r="D159" i="8"/>
  <c r="J158" i="8"/>
  <c r="I158" i="8"/>
  <c r="H158" i="8"/>
  <c r="G158" i="8"/>
  <c r="F158" i="8"/>
  <c r="E158" i="8"/>
  <c r="D158" i="8"/>
  <c r="J157" i="8"/>
  <c r="I157" i="8"/>
  <c r="H157" i="8"/>
  <c r="G157" i="8"/>
  <c r="F157" i="8"/>
  <c r="E157" i="8"/>
  <c r="D157" i="8"/>
  <c r="I156" i="8"/>
  <c r="H156" i="8"/>
  <c r="H162" i="8" s="1"/>
  <c r="J162" i="8" s="1"/>
  <c r="G156" i="8"/>
  <c r="F156" i="8"/>
  <c r="E156" i="8"/>
  <c r="D156" i="8"/>
  <c r="J155" i="8"/>
  <c r="I155" i="8"/>
  <c r="H155" i="8"/>
  <c r="G155" i="8"/>
  <c r="F155" i="8"/>
  <c r="E155" i="8"/>
  <c r="D155" i="8"/>
  <c r="J154" i="8"/>
  <c r="I154" i="8"/>
  <c r="I162" i="8" s="1"/>
  <c r="H154" i="8"/>
  <c r="G154" i="8"/>
  <c r="G162" i="8" s="1"/>
  <c r="F154" i="8"/>
  <c r="E154" i="8"/>
  <c r="D154" i="8"/>
  <c r="J153" i="8"/>
  <c r="I153" i="8"/>
  <c r="H153" i="8"/>
  <c r="G153" i="8"/>
  <c r="F153" i="8"/>
  <c r="E153" i="8"/>
  <c r="D153" i="8"/>
  <c r="I148" i="8"/>
  <c r="H148" i="8"/>
  <c r="G148" i="8"/>
  <c r="F148" i="8"/>
  <c r="E148" i="8"/>
  <c r="D148" i="8"/>
  <c r="J147" i="8"/>
  <c r="I147" i="8"/>
  <c r="H147" i="8"/>
  <c r="G147" i="8"/>
  <c r="F147" i="8"/>
  <c r="E147" i="8"/>
  <c r="D147" i="8"/>
  <c r="I146" i="8"/>
  <c r="H146" i="8"/>
  <c r="G146" i="8"/>
  <c r="J145" i="8"/>
  <c r="I145" i="8"/>
  <c r="H145" i="8"/>
  <c r="G145" i="8"/>
  <c r="F145" i="8"/>
  <c r="E145" i="8"/>
  <c r="D145" i="8"/>
  <c r="J144" i="8"/>
  <c r="I144" i="8"/>
  <c r="H144" i="8"/>
  <c r="G144" i="8"/>
  <c r="F144" i="8"/>
  <c r="E144" i="8"/>
  <c r="D144" i="8"/>
  <c r="J143" i="8"/>
  <c r="I143" i="8"/>
  <c r="H143" i="8"/>
  <c r="G143" i="8"/>
  <c r="F143" i="8"/>
  <c r="E143" i="8"/>
  <c r="D143" i="8"/>
  <c r="J142" i="8"/>
  <c r="I142" i="8"/>
  <c r="H142" i="8"/>
  <c r="M142" i="8" s="1"/>
  <c r="G142" i="8"/>
  <c r="G149" i="8" s="1"/>
  <c r="F142" i="8"/>
  <c r="E142" i="8"/>
  <c r="D142" i="8"/>
  <c r="J141" i="8"/>
  <c r="I141" i="8"/>
  <c r="H141" i="8"/>
  <c r="G141" i="8"/>
  <c r="F141" i="8"/>
  <c r="E141" i="8"/>
  <c r="D141" i="8"/>
  <c r="J136" i="8"/>
  <c r="I136" i="8"/>
  <c r="H136" i="8"/>
  <c r="G136" i="8"/>
  <c r="F136" i="8"/>
  <c r="E136" i="8"/>
  <c r="D136" i="8"/>
  <c r="J135" i="8"/>
  <c r="I135" i="8"/>
  <c r="H135" i="8"/>
  <c r="G135" i="8"/>
  <c r="F135" i="8"/>
  <c r="E135" i="8"/>
  <c r="D135" i="8"/>
  <c r="J134" i="8"/>
  <c r="I134" i="8"/>
  <c r="H134" i="8"/>
  <c r="G134" i="8"/>
  <c r="F134" i="8"/>
  <c r="E134" i="8"/>
  <c r="D134" i="8"/>
  <c r="J133" i="8"/>
  <c r="I133" i="8"/>
  <c r="N130" i="8" s="1"/>
  <c r="H133" i="8"/>
  <c r="G133" i="8"/>
  <c r="F133" i="8"/>
  <c r="E133" i="8"/>
  <c r="D133" i="8"/>
  <c r="J132" i="8"/>
  <c r="I132" i="8"/>
  <c r="H132" i="8"/>
  <c r="H137" i="8" s="1"/>
  <c r="G132" i="8"/>
  <c r="G137" i="8" s="1"/>
  <c r="F132" i="8"/>
  <c r="E132" i="8"/>
  <c r="D132" i="8"/>
  <c r="J131" i="8"/>
  <c r="I131" i="8"/>
  <c r="H131" i="8"/>
  <c r="G131" i="8"/>
  <c r="F131" i="8"/>
  <c r="E131" i="8"/>
  <c r="D131" i="8"/>
  <c r="J130" i="8"/>
  <c r="I130" i="8"/>
  <c r="H130" i="8"/>
  <c r="G130" i="8"/>
  <c r="F130" i="8"/>
  <c r="E130" i="8"/>
  <c r="D130" i="8"/>
  <c r="J129" i="8"/>
  <c r="I129" i="8"/>
  <c r="H129" i="8"/>
  <c r="G129" i="8"/>
  <c r="F129" i="8"/>
  <c r="E129" i="8"/>
  <c r="D129" i="8"/>
  <c r="I127" i="8"/>
  <c r="H127" i="8"/>
  <c r="G127" i="8"/>
  <c r="F127" i="8"/>
  <c r="E127" i="8"/>
  <c r="D127" i="8"/>
  <c r="I126" i="8"/>
  <c r="H126" i="8"/>
  <c r="G126" i="8"/>
  <c r="F126" i="8"/>
  <c r="E126" i="8"/>
  <c r="D126" i="8"/>
  <c r="J125" i="8"/>
  <c r="I125" i="8"/>
  <c r="H125" i="8"/>
  <c r="G125" i="8"/>
  <c r="F125" i="8"/>
  <c r="E125" i="8"/>
  <c r="D125" i="8"/>
  <c r="I124" i="8"/>
  <c r="H124" i="8"/>
  <c r="G124" i="8"/>
  <c r="F124" i="8"/>
  <c r="E124" i="8"/>
  <c r="D124" i="8"/>
  <c r="J123" i="8"/>
  <c r="I123" i="8"/>
  <c r="N121" i="8" s="1"/>
  <c r="H123" i="8"/>
  <c r="G123" i="8"/>
  <c r="F123" i="8"/>
  <c r="E123" i="8"/>
  <c r="D123" i="8"/>
  <c r="J122" i="8"/>
  <c r="I122" i="8"/>
  <c r="H122" i="8"/>
  <c r="G122" i="8"/>
  <c r="F122" i="8"/>
  <c r="E122" i="8"/>
  <c r="D122" i="8"/>
  <c r="J121" i="8"/>
  <c r="I121" i="8"/>
  <c r="H121" i="8"/>
  <c r="G121" i="8"/>
  <c r="F121" i="8"/>
  <c r="E121" i="8"/>
  <c r="D121" i="8"/>
  <c r="J120" i="8"/>
  <c r="I120" i="8"/>
  <c r="H120" i="8"/>
  <c r="G120" i="8"/>
  <c r="F120" i="8"/>
  <c r="E120" i="8"/>
  <c r="D120" i="8"/>
  <c r="I115" i="8"/>
  <c r="H115" i="8"/>
  <c r="G115" i="8"/>
  <c r="F115" i="8"/>
  <c r="E115" i="8"/>
  <c r="D115" i="8"/>
  <c r="J114" i="8"/>
  <c r="I114" i="8"/>
  <c r="H114" i="8"/>
  <c r="G114" i="8"/>
  <c r="F114" i="8"/>
  <c r="E114" i="8"/>
  <c r="D114" i="8"/>
  <c r="I113" i="8"/>
  <c r="H113" i="8"/>
  <c r="G113" i="8"/>
  <c r="F113" i="8"/>
  <c r="E113" i="8"/>
  <c r="D113" i="8"/>
  <c r="J112" i="8"/>
  <c r="I112" i="8"/>
  <c r="H112" i="8"/>
  <c r="G112" i="8"/>
  <c r="F112" i="8"/>
  <c r="E112" i="8"/>
  <c r="D112" i="8"/>
  <c r="J111" i="8"/>
  <c r="I111" i="8"/>
  <c r="I116" i="8" s="1"/>
  <c r="H111" i="8"/>
  <c r="G111" i="8"/>
  <c r="F111" i="8"/>
  <c r="E111" i="8"/>
  <c r="D111" i="8"/>
  <c r="J110" i="8"/>
  <c r="I110" i="8"/>
  <c r="H110" i="8"/>
  <c r="G110" i="8"/>
  <c r="F110" i="8"/>
  <c r="E110" i="8"/>
  <c r="D110" i="8"/>
  <c r="J109" i="8"/>
  <c r="I109" i="8"/>
  <c r="N109" i="8" s="1"/>
  <c r="H109" i="8"/>
  <c r="H116" i="8" s="1"/>
  <c r="G109" i="8"/>
  <c r="F109" i="8"/>
  <c r="E109" i="8"/>
  <c r="D109" i="8"/>
  <c r="J108" i="8"/>
  <c r="I108" i="8"/>
  <c r="H108" i="8"/>
  <c r="G108" i="8"/>
  <c r="F108" i="8"/>
  <c r="E108" i="8"/>
  <c r="D108" i="8"/>
  <c r="I103" i="8"/>
  <c r="I104" i="8" s="1"/>
  <c r="H103" i="8"/>
  <c r="G103" i="8"/>
  <c r="F103" i="8"/>
  <c r="E103" i="8"/>
  <c r="D103" i="8"/>
  <c r="J102" i="8"/>
  <c r="I102" i="8"/>
  <c r="H102" i="8"/>
  <c r="G102" i="8"/>
  <c r="F102" i="8"/>
  <c r="E102" i="8"/>
  <c r="D102" i="8"/>
  <c r="I101" i="8"/>
  <c r="H101" i="8"/>
  <c r="G101" i="8"/>
  <c r="F101" i="8"/>
  <c r="E101" i="8"/>
  <c r="D101" i="8"/>
  <c r="J100" i="8"/>
  <c r="I100" i="8"/>
  <c r="H100" i="8"/>
  <c r="G100" i="8"/>
  <c r="F100" i="8"/>
  <c r="E100" i="8"/>
  <c r="D100" i="8"/>
  <c r="J99" i="8"/>
  <c r="I99" i="8"/>
  <c r="H99" i="8"/>
  <c r="G99" i="8"/>
  <c r="F99" i="8"/>
  <c r="E99" i="8"/>
  <c r="D99" i="8"/>
  <c r="J98" i="8"/>
  <c r="I98" i="8"/>
  <c r="H98" i="8"/>
  <c r="G98" i="8"/>
  <c r="F98" i="8"/>
  <c r="E98" i="8"/>
  <c r="D98" i="8"/>
  <c r="J97" i="8"/>
  <c r="I97" i="8"/>
  <c r="H97" i="8"/>
  <c r="G97" i="8"/>
  <c r="G104" i="8" s="1"/>
  <c r="F97" i="8"/>
  <c r="E97" i="8"/>
  <c r="D97" i="8"/>
  <c r="J96" i="8"/>
  <c r="I96" i="8"/>
  <c r="H96" i="8"/>
  <c r="G96" i="8"/>
  <c r="F96" i="8"/>
  <c r="E96" i="8"/>
  <c r="D96" i="8"/>
  <c r="G92" i="8"/>
  <c r="I91" i="8"/>
  <c r="H91" i="8"/>
  <c r="G91" i="8"/>
  <c r="F91" i="8"/>
  <c r="E91" i="8"/>
  <c r="D91" i="8"/>
  <c r="I90" i="8"/>
  <c r="H90" i="8"/>
  <c r="G90" i="8"/>
  <c r="F90" i="8"/>
  <c r="E90" i="8"/>
  <c r="D90" i="8"/>
  <c r="I89" i="8"/>
  <c r="H89" i="8"/>
  <c r="G89" i="8"/>
  <c r="F89" i="8"/>
  <c r="E89" i="8"/>
  <c r="D89" i="8"/>
  <c r="J88" i="8"/>
  <c r="I88" i="8"/>
  <c r="H88" i="8"/>
  <c r="M85" i="8" s="1"/>
  <c r="G88" i="8"/>
  <c r="F88" i="8"/>
  <c r="E88" i="8"/>
  <c r="D88" i="8"/>
  <c r="J87" i="8"/>
  <c r="I87" i="8"/>
  <c r="H87" i="8"/>
  <c r="G87" i="8"/>
  <c r="F87" i="8"/>
  <c r="E87" i="8"/>
  <c r="D87" i="8"/>
  <c r="J86" i="8"/>
  <c r="I86" i="8"/>
  <c r="H86" i="8"/>
  <c r="G86" i="8"/>
  <c r="F86" i="8"/>
  <c r="E86" i="8"/>
  <c r="D86" i="8"/>
  <c r="J85" i="8"/>
  <c r="I85" i="8"/>
  <c r="H85" i="8"/>
  <c r="G85" i="8"/>
  <c r="F85" i="8"/>
  <c r="E85" i="8"/>
  <c r="D85" i="8"/>
  <c r="J84" i="8"/>
  <c r="I84" i="8"/>
  <c r="H84" i="8"/>
  <c r="G84" i="8"/>
  <c r="F84" i="8"/>
  <c r="E84" i="8"/>
  <c r="D84" i="8"/>
  <c r="I79" i="8"/>
  <c r="H79" i="8"/>
  <c r="G79" i="8"/>
  <c r="F79" i="8"/>
  <c r="E79" i="8"/>
  <c r="D79" i="8"/>
  <c r="J78" i="8"/>
  <c r="I78" i="8"/>
  <c r="H78" i="8"/>
  <c r="G78" i="8"/>
  <c r="F78" i="8"/>
  <c r="E78" i="8"/>
  <c r="D78" i="8"/>
  <c r="J77" i="8"/>
  <c r="I77" i="8"/>
  <c r="H77" i="8"/>
  <c r="G77" i="8"/>
  <c r="F77" i="8"/>
  <c r="E77" i="8"/>
  <c r="D77" i="8"/>
  <c r="J76" i="8"/>
  <c r="I76" i="8"/>
  <c r="H76" i="8"/>
  <c r="G76" i="8"/>
  <c r="F76" i="8"/>
  <c r="E76" i="8"/>
  <c r="D76" i="8"/>
  <c r="J75" i="8"/>
  <c r="I75" i="8"/>
  <c r="H75" i="8"/>
  <c r="G75" i="8"/>
  <c r="F75" i="8"/>
  <c r="E75" i="8"/>
  <c r="D75" i="8"/>
  <c r="I74" i="8"/>
  <c r="H74" i="8"/>
  <c r="G74" i="8"/>
  <c r="F74" i="8"/>
  <c r="E74" i="8"/>
  <c r="D74" i="8"/>
  <c r="J73" i="8"/>
  <c r="I73" i="8"/>
  <c r="I80" i="8" s="1"/>
  <c r="H73" i="8"/>
  <c r="G73" i="8"/>
  <c r="F73" i="8"/>
  <c r="E73" i="8"/>
  <c r="D73" i="8"/>
  <c r="J72" i="8"/>
  <c r="I72" i="8"/>
  <c r="H72" i="8"/>
  <c r="G72" i="8"/>
  <c r="F72" i="8"/>
  <c r="E72" i="8"/>
  <c r="D72" i="8"/>
  <c r="H68" i="8"/>
  <c r="I67" i="8"/>
  <c r="H67" i="8"/>
  <c r="G67" i="8"/>
  <c r="F67" i="8"/>
  <c r="E67" i="8"/>
  <c r="D67" i="8"/>
  <c r="I66" i="8"/>
  <c r="H66" i="8"/>
  <c r="G66" i="8"/>
  <c r="F66" i="8"/>
  <c r="E66" i="8"/>
  <c r="D66" i="8"/>
  <c r="J65" i="8"/>
  <c r="I65" i="8"/>
  <c r="H65" i="8"/>
  <c r="G65" i="8"/>
  <c r="F65" i="8"/>
  <c r="E65" i="8"/>
  <c r="D65" i="8"/>
  <c r="J64" i="8"/>
  <c r="I64" i="8"/>
  <c r="H64" i="8"/>
  <c r="G64" i="8"/>
  <c r="F64" i="8"/>
  <c r="E64" i="8"/>
  <c r="D64" i="8"/>
  <c r="J63" i="8"/>
  <c r="I63" i="8"/>
  <c r="H63" i="8"/>
  <c r="G63" i="8"/>
  <c r="F63" i="8"/>
  <c r="E63" i="8"/>
  <c r="D63" i="8"/>
  <c r="J62" i="8"/>
  <c r="I62" i="8"/>
  <c r="H62" i="8"/>
  <c r="G62" i="8"/>
  <c r="F62" i="8"/>
  <c r="E62" i="8"/>
  <c r="D62" i="8"/>
  <c r="J61" i="8"/>
  <c r="I61" i="8"/>
  <c r="I68" i="8" s="1"/>
  <c r="U10" i="6" s="1"/>
  <c r="H61" i="8"/>
  <c r="G61" i="8"/>
  <c r="F61" i="8"/>
  <c r="E61" i="8"/>
  <c r="D61" i="8"/>
  <c r="J60" i="8"/>
  <c r="I60" i="8"/>
  <c r="H60" i="8"/>
  <c r="G60" i="8"/>
  <c r="F60" i="8"/>
  <c r="E60" i="8"/>
  <c r="D60" i="8"/>
  <c r="J55" i="8"/>
  <c r="I55" i="8"/>
  <c r="H55" i="8"/>
  <c r="G55" i="8"/>
  <c r="F55" i="8"/>
  <c r="E55" i="8"/>
  <c r="D55" i="8"/>
  <c r="J54" i="8"/>
  <c r="I54" i="8"/>
  <c r="H54" i="8"/>
  <c r="G54" i="8"/>
  <c r="F54" i="8"/>
  <c r="E54" i="8"/>
  <c r="D54" i="8"/>
  <c r="J53" i="8"/>
  <c r="I53" i="8"/>
  <c r="H53" i="8"/>
  <c r="G53" i="8"/>
  <c r="F53" i="8"/>
  <c r="E53" i="8"/>
  <c r="D53" i="8"/>
  <c r="J52" i="8"/>
  <c r="I52" i="8"/>
  <c r="H52" i="8"/>
  <c r="G52" i="8"/>
  <c r="F52" i="8"/>
  <c r="E52" i="8"/>
  <c r="D52" i="8"/>
  <c r="I51" i="8"/>
  <c r="H51" i="8"/>
  <c r="G51" i="8"/>
  <c r="F51" i="8"/>
  <c r="E51" i="8"/>
  <c r="D51" i="8"/>
  <c r="J50" i="8"/>
  <c r="I50" i="8"/>
  <c r="I56" i="8" s="1"/>
  <c r="U9" i="6" s="1"/>
  <c r="H50" i="8"/>
  <c r="G50" i="8"/>
  <c r="F50" i="8"/>
  <c r="E50" i="8"/>
  <c r="D50" i="8"/>
  <c r="J49" i="8"/>
  <c r="I49" i="8"/>
  <c r="H49" i="8"/>
  <c r="H56" i="8" s="1"/>
  <c r="T9" i="6" s="1"/>
  <c r="G49" i="8"/>
  <c r="F49" i="8"/>
  <c r="E49" i="8"/>
  <c r="D49" i="8"/>
  <c r="J48" i="8"/>
  <c r="I48" i="8"/>
  <c r="H48" i="8"/>
  <c r="G48" i="8"/>
  <c r="F48" i="8"/>
  <c r="E48" i="8"/>
  <c r="D48" i="8"/>
  <c r="J43" i="8"/>
  <c r="I43" i="8"/>
  <c r="H43" i="8"/>
  <c r="G43" i="8"/>
  <c r="F43" i="8"/>
  <c r="E43" i="8"/>
  <c r="D43" i="8"/>
  <c r="J42" i="8"/>
  <c r="I42" i="8"/>
  <c r="H42" i="8"/>
  <c r="G42" i="8"/>
  <c r="F42" i="8"/>
  <c r="E42" i="8"/>
  <c r="D42" i="8"/>
  <c r="I41" i="8"/>
  <c r="I44" i="8" s="1"/>
  <c r="U8" i="6" s="1"/>
  <c r="H41" i="8"/>
  <c r="G41" i="8"/>
  <c r="F41" i="8"/>
  <c r="E41" i="8"/>
  <c r="D41" i="8"/>
  <c r="J40" i="8"/>
  <c r="I40" i="8"/>
  <c r="H40" i="8"/>
  <c r="G40" i="8"/>
  <c r="F40" i="8"/>
  <c r="E40" i="8"/>
  <c r="D40" i="8"/>
  <c r="J39" i="8"/>
  <c r="I39" i="8"/>
  <c r="H39" i="8"/>
  <c r="G39" i="8"/>
  <c r="G44" i="8" s="1"/>
  <c r="F39" i="8"/>
  <c r="E39" i="8"/>
  <c r="D39" i="8"/>
  <c r="A39" i="8"/>
  <c r="A49" i="8" s="1"/>
  <c r="J38" i="8"/>
  <c r="I38" i="8"/>
  <c r="H38" i="8"/>
  <c r="G38" i="8"/>
  <c r="F38" i="8"/>
  <c r="E38" i="8"/>
  <c r="D38" i="8"/>
  <c r="H35" i="8"/>
  <c r="J33" i="8"/>
  <c r="I33" i="8"/>
  <c r="H33" i="8"/>
  <c r="G33" i="8"/>
  <c r="F33" i="8"/>
  <c r="E33" i="8"/>
  <c r="D33" i="8"/>
  <c r="J32" i="8"/>
  <c r="I32" i="8"/>
  <c r="H32" i="8"/>
  <c r="G32" i="8"/>
  <c r="F32" i="8"/>
  <c r="E32" i="8"/>
  <c r="D32" i="8"/>
  <c r="I31" i="8"/>
  <c r="H31" i="8"/>
  <c r="H34" i="8" s="1"/>
  <c r="T7" i="6" s="1"/>
  <c r="G31" i="8"/>
  <c r="F31" i="8"/>
  <c r="E31" i="8"/>
  <c r="D31" i="8"/>
  <c r="J30" i="8"/>
  <c r="I30" i="8"/>
  <c r="I34" i="8" s="1"/>
  <c r="U7" i="6" s="1"/>
  <c r="H30" i="8"/>
  <c r="G30" i="8"/>
  <c r="F30" i="8"/>
  <c r="E30" i="8"/>
  <c r="D30" i="8"/>
  <c r="J29" i="8"/>
  <c r="I29" i="8"/>
  <c r="H29" i="8"/>
  <c r="G29" i="8"/>
  <c r="F29" i="8"/>
  <c r="E29" i="8"/>
  <c r="D29" i="8"/>
  <c r="J28" i="8"/>
  <c r="I28" i="8"/>
  <c r="H28" i="8"/>
  <c r="G28" i="8"/>
  <c r="F28" i="8"/>
  <c r="E28" i="8"/>
  <c r="D28" i="8"/>
  <c r="J23" i="8"/>
  <c r="I23" i="8"/>
  <c r="I24" i="8" s="1"/>
  <c r="U6" i="6" s="1"/>
  <c r="H23" i="8"/>
  <c r="G23" i="8"/>
  <c r="F23" i="8"/>
  <c r="E23" i="8"/>
  <c r="D23" i="8"/>
  <c r="J22" i="8"/>
  <c r="I22" i="8"/>
  <c r="H22" i="8"/>
  <c r="G22" i="8"/>
  <c r="F22" i="8"/>
  <c r="E22" i="8"/>
  <c r="D22" i="8"/>
  <c r="J21" i="8"/>
  <c r="I21" i="8"/>
  <c r="H21" i="8"/>
  <c r="G21" i="8"/>
  <c r="G24" i="8" s="1"/>
  <c r="F21" i="8"/>
  <c r="E21" i="8"/>
  <c r="D21" i="8"/>
  <c r="J20" i="8"/>
  <c r="I20" i="8"/>
  <c r="H20" i="8"/>
  <c r="G20" i="8"/>
  <c r="F20" i="8"/>
  <c r="E20" i="8"/>
  <c r="D20" i="8"/>
  <c r="A20" i="8"/>
  <c r="A29" i="8" s="1"/>
  <c r="J19" i="8"/>
  <c r="I19" i="8"/>
  <c r="H19" i="8"/>
  <c r="G19" i="8"/>
  <c r="F19" i="8"/>
  <c r="E19" i="8"/>
  <c r="D19" i="8"/>
  <c r="I17" i="8"/>
  <c r="U5" i="6" s="1"/>
  <c r="H17" i="8"/>
  <c r="T5" i="6" s="1"/>
  <c r="J16" i="8"/>
  <c r="I16" i="8"/>
  <c r="H16" i="8"/>
  <c r="G16" i="8"/>
  <c r="F16" i="8"/>
  <c r="E16" i="8"/>
  <c r="D16" i="8"/>
  <c r="J15" i="8"/>
  <c r="I15" i="8"/>
  <c r="H15" i="8"/>
  <c r="G15" i="8"/>
  <c r="F15" i="8"/>
  <c r="E15" i="8"/>
  <c r="D15" i="8"/>
  <c r="J14" i="8"/>
  <c r="J17" i="8" s="1"/>
  <c r="I14" i="8"/>
  <c r="H14" i="8"/>
  <c r="G14" i="8"/>
  <c r="F14" i="8"/>
  <c r="E14" i="8"/>
  <c r="D14" i="8"/>
  <c r="J13" i="8"/>
  <c r="I13" i="8"/>
  <c r="H13" i="8"/>
  <c r="G13" i="8"/>
  <c r="F13" i="8"/>
  <c r="E13" i="8"/>
  <c r="D13" i="8"/>
  <c r="J10" i="8"/>
  <c r="I10" i="8"/>
  <c r="I11" i="8" s="1"/>
  <c r="H10" i="8"/>
  <c r="H11" i="8" s="1"/>
  <c r="G10" i="8"/>
  <c r="F10" i="8"/>
  <c r="E10" i="8"/>
  <c r="D10" i="8"/>
  <c r="J9" i="8"/>
  <c r="J11" i="8" s="1"/>
  <c r="I9" i="8"/>
  <c r="H9" i="8"/>
  <c r="G9" i="8"/>
  <c r="G11" i="8" s="1"/>
  <c r="S4" i="6" s="1"/>
  <c r="F9" i="8"/>
  <c r="E9" i="8"/>
  <c r="D9" i="8"/>
  <c r="J8" i="8"/>
  <c r="I8" i="8"/>
  <c r="H8" i="8"/>
  <c r="G8" i="8"/>
  <c r="F8" i="8"/>
  <c r="E8" i="8"/>
  <c r="D8" i="8"/>
  <c r="H6" i="8"/>
  <c r="T3" i="6" s="1"/>
  <c r="J5" i="8"/>
  <c r="I5" i="8"/>
  <c r="H5" i="8"/>
  <c r="G5" i="8"/>
  <c r="F5" i="8"/>
  <c r="E5" i="8"/>
  <c r="D5" i="8"/>
  <c r="J4" i="8"/>
  <c r="I4" i="8"/>
  <c r="H4" i="8"/>
  <c r="G4" i="8"/>
  <c r="F4" i="8"/>
  <c r="E4" i="8"/>
  <c r="D4" i="8"/>
  <c r="I3" i="8"/>
  <c r="H3" i="8"/>
  <c r="G3" i="8"/>
  <c r="F3" i="8"/>
  <c r="E3" i="8"/>
  <c r="D3" i="8"/>
  <c r="J2" i="8"/>
  <c r="I2" i="8"/>
  <c r="I6" i="8" s="1"/>
  <c r="U3" i="6" s="1"/>
  <c r="H2" i="8"/>
  <c r="G2" i="8"/>
  <c r="F2" i="8"/>
  <c r="E2" i="8"/>
  <c r="D2" i="8"/>
  <c r="J1" i="8"/>
  <c r="I1" i="8"/>
  <c r="H1" i="8"/>
  <c r="G1" i="8"/>
  <c r="F1" i="8"/>
  <c r="E1" i="8"/>
  <c r="D1" i="8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N35" i="7"/>
  <c r="L35" i="7"/>
  <c r="O35" i="7" s="1"/>
  <c r="K35" i="7"/>
  <c r="J35" i="7"/>
  <c r="M35" i="7" s="1"/>
  <c r="I35" i="7"/>
  <c r="I34" i="7"/>
  <c r="I33" i="7"/>
  <c r="I32" i="7"/>
  <c r="L31" i="7"/>
  <c r="O31" i="7" s="1"/>
  <c r="K31" i="7"/>
  <c r="N31" i="7" s="1"/>
  <c r="J31" i="7"/>
  <c r="I31" i="7"/>
  <c r="I30" i="7"/>
  <c r="I29" i="7"/>
  <c r="I28" i="7"/>
  <c r="I27" i="7"/>
  <c r="I26" i="7"/>
  <c r="I25" i="7"/>
  <c r="O24" i="7"/>
  <c r="N24" i="7"/>
  <c r="L24" i="7"/>
  <c r="K24" i="7"/>
  <c r="J24" i="7"/>
  <c r="I24" i="7"/>
  <c r="I23" i="7"/>
  <c r="I22" i="7"/>
  <c r="L21" i="7"/>
  <c r="O21" i="7" s="1"/>
  <c r="K21" i="7"/>
  <c r="J21" i="7"/>
  <c r="I21" i="7"/>
  <c r="I20" i="7"/>
  <c r="I19" i="7"/>
  <c r="L18" i="7"/>
  <c r="O18" i="7" s="1"/>
  <c r="K18" i="7"/>
  <c r="N18" i="7" s="1"/>
  <c r="J18" i="7"/>
  <c r="I18" i="7"/>
  <c r="I17" i="7"/>
  <c r="I16" i="7"/>
  <c r="O15" i="7"/>
  <c r="L15" i="7"/>
  <c r="K15" i="7"/>
  <c r="J15" i="7"/>
  <c r="M15" i="7" s="1"/>
  <c r="I15" i="7"/>
  <c r="I14" i="7"/>
  <c r="I13" i="7"/>
  <c r="I12" i="7"/>
  <c r="I11" i="7"/>
  <c r="I10" i="7"/>
  <c r="I9" i="7"/>
  <c r="I8" i="7"/>
  <c r="I7" i="7"/>
  <c r="I6" i="7"/>
  <c r="I5" i="7"/>
  <c r="I4" i="7"/>
  <c r="L3" i="7"/>
  <c r="K3" i="7"/>
  <c r="N15" i="7" s="1"/>
  <c r="J3" i="7"/>
  <c r="M18" i="7" s="1"/>
  <c r="B3" i="7"/>
  <c r="A3" i="7"/>
  <c r="B2" i="7"/>
  <c r="A2" i="7"/>
  <c r="AB111" i="6"/>
  <c r="O111" i="6"/>
  <c r="AB110" i="6"/>
  <c r="O110" i="6"/>
  <c r="AB109" i="6"/>
  <c r="O109" i="6"/>
  <c r="AB108" i="6"/>
  <c r="O108" i="6"/>
  <c r="AB107" i="6"/>
  <c r="O107" i="6"/>
  <c r="AB106" i="6"/>
  <c r="O106" i="6"/>
  <c r="AB105" i="6"/>
  <c r="O105" i="6"/>
  <c r="AB104" i="6"/>
  <c r="O104" i="6"/>
  <c r="AB103" i="6"/>
  <c r="O103" i="6"/>
  <c r="AB102" i="6"/>
  <c r="O102" i="6"/>
  <c r="AB101" i="6"/>
  <c r="O101" i="6"/>
  <c r="AB100" i="6"/>
  <c r="O100" i="6"/>
  <c r="AB99" i="6"/>
  <c r="O99" i="6"/>
  <c r="AB98" i="6"/>
  <c r="O98" i="6"/>
  <c r="AB97" i="6"/>
  <c r="O97" i="6"/>
  <c r="AB96" i="6"/>
  <c r="O96" i="6"/>
  <c r="AB95" i="6"/>
  <c r="O95" i="6"/>
  <c r="AB94" i="6"/>
  <c r="O94" i="6"/>
  <c r="AB93" i="6"/>
  <c r="O93" i="6"/>
  <c r="AB92" i="6"/>
  <c r="O92" i="6"/>
  <c r="AB91" i="6"/>
  <c r="O91" i="6"/>
  <c r="AB90" i="6"/>
  <c r="O90" i="6"/>
  <c r="AB89" i="6"/>
  <c r="O89" i="6"/>
  <c r="AB88" i="6"/>
  <c r="O88" i="6"/>
  <c r="AB87" i="6"/>
  <c r="O87" i="6"/>
  <c r="AB86" i="6"/>
  <c r="O86" i="6"/>
  <c r="AB85" i="6"/>
  <c r="O85" i="6"/>
  <c r="AB84" i="6"/>
  <c r="O84" i="6"/>
  <c r="AB83" i="6"/>
  <c r="O83" i="6"/>
  <c r="AB82" i="6"/>
  <c r="O82" i="6"/>
  <c r="AB81" i="6"/>
  <c r="O81" i="6"/>
  <c r="AB80" i="6"/>
  <c r="O80" i="6"/>
  <c r="AB79" i="6"/>
  <c r="O79" i="6"/>
  <c r="AB78" i="6"/>
  <c r="O78" i="6"/>
  <c r="AB77" i="6"/>
  <c r="O77" i="6"/>
  <c r="AB76" i="6"/>
  <c r="O76" i="6"/>
  <c r="AB75" i="6"/>
  <c r="O75" i="6"/>
  <c r="AB74" i="6"/>
  <c r="O74" i="6"/>
  <c r="AB73" i="6"/>
  <c r="O73" i="6"/>
  <c r="AB72" i="6"/>
  <c r="O72" i="6"/>
  <c r="AB71" i="6"/>
  <c r="O71" i="6"/>
  <c r="AB70" i="6"/>
  <c r="O70" i="6"/>
  <c r="AB69" i="6"/>
  <c r="O69" i="6"/>
  <c r="AB68" i="6"/>
  <c r="O68" i="6"/>
  <c r="AB67" i="6"/>
  <c r="O67" i="6"/>
  <c r="AB66" i="6"/>
  <c r="O66" i="6"/>
  <c r="AB65" i="6"/>
  <c r="O65" i="6"/>
  <c r="AB64" i="6"/>
  <c r="O64" i="6"/>
  <c r="AB63" i="6"/>
  <c r="O63" i="6"/>
  <c r="AB62" i="6"/>
  <c r="O62" i="6"/>
  <c r="AB61" i="6"/>
  <c r="O61" i="6"/>
  <c r="AB60" i="6"/>
  <c r="O60" i="6"/>
  <c r="AB59" i="6"/>
  <c r="O59" i="6"/>
  <c r="AB58" i="6"/>
  <c r="O58" i="6"/>
  <c r="AB57" i="6"/>
  <c r="O57" i="6"/>
  <c r="AB56" i="6"/>
  <c r="O56" i="6"/>
  <c r="AB55" i="6"/>
  <c r="O55" i="6"/>
  <c r="AB54" i="6"/>
  <c r="O54" i="6"/>
  <c r="AB53" i="6"/>
  <c r="O53" i="6"/>
  <c r="AB52" i="6"/>
  <c r="O52" i="6"/>
  <c r="AB51" i="6"/>
  <c r="O51" i="6"/>
  <c r="AB50" i="6"/>
  <c r="O50" i="6"/>
  <c r="AB49" i="6"/>
  <c r="O49" i="6"/>
  <c r="AB48" i="6"/>
  <c r="O48" i="6"/>
  <c r="AB47" i="6"/>
  <c r="O47" i="6"/>
  <c r="AB46" i="6"/>
  <c r="O46" i="6"/>
  <c r="AB45" i="6"/>
  <c r="O45" i="6"/>
  <c r="AB44" i="6"/>
  <c r="O44" i="6"/>
  <c r="AB43" i="6"/>
  <c r="O43" i="6"/>
  <c r="AB42" i="6"/>
  <c r="O42" i="6"/>
  <c r="AB41" i="6"/>
  <c r="O41" i="6"/>
  <c r="AB40" i="6"/>
  <c r="O40" i="6"/>
  <c r="AB39" i="6"/>
  <c r="O39" i="6"/>
  <c r="AB38" i="6"/>
  <c r="O38" i="6"/>
  <c r="AB37" i="6"/>
  <c r="O37" i="6"/>
  <c r="AB36" i="6"/>
  <c r="O36" i="6"/>
  <c r="AB35" i="6"/>
  <c r="O35" i="6"/>
  <c r="AB34" i="6"/>
  <c r="O34" i="6"/>
  <c r="AB33" i="6"/>
  <c r="O33" i="6"/>
  <c r="AB32" i="6"/>
  <c r="O32" i="6"/>
  <c r="AB31" i="6"/>
  <c r="O31" i="6"/>
  <c r="AB30" i="6"/>
  <c r="O30" i="6"/>
  <c r="AB29" i="6"/>
  <c r="O29" i="6"/>
  <c r="AB28" i="6"/>
  <c r="O28" i="6"/>
  <c r="AB27" i="6"/>
  <c r="O27" i="6"/>
  <c r="AB26" i="6"/>
  <c r="O26" i="6"/>
  <c r="AB25" i="6"/>
  <c r="O25" i="6"/>
  <c r="AB24" i="6"/>
  <c r="O24" i="6"/>
  <c r="AB23" i="6"/>
  <c r="O23" i="6"/>
  <c r="AB22" i="6"/>
  <c r="O22" i="6"/>
  <c r="AB21" i="6"/>
  <c r="O21" i="6"/>
  <c r="AB20" i="6"/>
  <c r="O20" i="6"/>
  <c r="AB19" i="6"/>
  <c r="O19" i="6"/>
  <c r="AB18" i="6"/>
  <c r="O18" i="6"/>
  <c r="AB17" i="6"/>
  <c r="O17" i="6"/>
  <c r="AB16" i="6"/>
  <c r="O16" i="6"/>
  <c r="AB15" i="6"/>
  <c r="O15" i="6"/>
  <c r="AB14" i="6"/>
  <c r="O14" i="6"/>
  <c r="AB13" i="6"/>
  <c r="O13" i="6"/>
  <c r="AB12" i="6"/>
  <c r="O12" i="6"/>
  <c r="AB11" i="6"/>
  <c r="O11" i="6"/>
  <c r="AB10" i="6"/>
  <c r="T10" i="6"/>
  <c r="O10" i="6"/>
  <c r="AB9" i="6"/>
  <c r="O9" i="6"/>
  <c r="AB8" i="6"/>
  <c r="O8" i="6"/>
  <c r="H45" i="8" s="1"/>
  <c r="AB7" i="6"/>
  <c r="O7" i="6"/>
  <c r="AB6" i="6"/>
  <c r="O6" i="6"/>
  <c r="AB5" i="6"/>
  <c r="V5" i="6"/>
  <c r="O5" i="6"/>
  <c r="H25" i="8" s="1"/>
  <c r="AB4" i="6"/>
  <c r="V4" i="6"/>
  <c r="U4" i="6"/>
  <c r="T4" i="6"/>
  <c r="O4" i="6"/>
  <c r="X4" i="6" s="1"/>
  <c r="B4" i="6"/>
  <c r="B5" i="6" s="1"/>
  <c r="A4" i="6"/>
  <c r="AB3" i="6"/>
  <c r="O3" i="6"/>
  <c r="X3" i="6" s="1"/>
  <c r="C3" i="6"/>
  <c r="Z2" i="6"/>
  <c r="Y2" i="6"/>
  <c r="X2" i="6"/>
  <c r="W2" i="6"/>
  <c r="V2" i="6"/>
  <c r="U2" i="6"/>
  <c r="T2" i="6"/>
  <c r="S2" i="6"/>
  <c r="B10" i="5"/>
  <c r="B9" i="5"/>
  <c r="B8" i="5"/>
  <c r="B4" i="5" s="1"/>
  <c r="B5" i="5" s="1"/>
  <c r="B7" i="5"/>
  <c r="D12" i="4"/>
  <c r="C12" i="4"/>
  <c r="C11" i="4"/>
  <c r="D11" i="4" s="1"/>
  <c r="D10" i="4"/>
  <c r="C10" i="4"/>
  <c r="C9" i="4"/>
  <c r="D9" i="4" s="1"/>
  <c r="D8" i="4"/>
  <c r="B4" i="4" s="1"/>
  <c r="C8" i="4"/>
  <c r="B11" i="3"/>
  <c r="B10" i="3"/>
  <c r="B9" i="3"/>
  <c r="B8" i="3"/>
  <c r="G15" i="3" s="1"/>
  <c r="B5" i="3"/>
  <c r="B17" i="2"/>
  <c r="D17" i="2" s="1"/>
  <c r="B16" i="2"/>
  <c r="D16" i="2" s="1"/>
  <c r="B15" i="2"/>
  <c r="D15" i="2" s="1"/>
  <c r="B14" i="2"/>
  <c r="D14" i="2" s="1"/>
  <c r="D18" i="2" s="1"/>
  <c r="B13" i="2"/>
  <c r="D13" i="2" s="1"/>
  <c r="C10" i="2"/>
  <c r="B8" i="2"/>
  <c r="B10" i="2" s="1"/>
  <c r="B11" i="2" s="1"/>
  <c r="B7" i="2"/>
  <c r="L370" i="8" l="1"/>
  <c r="I377" i="8"/>
  <c r="F80" i="8"/>
  <c r="U11" i="6"/>
  <c r="B13" i="3"/>
  <c r="B4" i="3" s="1"/>
  <c r="B14" i="3"/>
  <c r="J104" i="8"/>
  <c r="O442" i="8"/>
  <c r="B4" i="2"/>
  <c r="B5" i="2" s="1"/>
  <c r="G3" i="6" s="1"/>
  <c r="B6" i="3"/>
  <c r="B5" i="7"/>
  <c r="B6" i="6"/>
  <c r="H26" i="8"/>
  <c r="AC3" i="6"/>
  <c r="A5" i="6"/>
  <c r="A4" i="7"/>
  <c r="A61" i="8"/>
  <c r="J44" i="8"/>
  <c r="V8" i="6" s="1"/>
  <c r="S8" i="6"/>
  <c r="O490" i="8"/>
  <c r="N167" i="8"/>
  <c r="I175" i="8"/>
  <c r="O192" i="8"/>
  <c r="I229" i="8"/>
  <c r="I253" i="8"/>
  <c r="N246" i="8"/>
  <c r="L306" i="8"/>
  <c r="O306" i="8" s="1"/>
  <c r="L357" i="8"/>
  <c r="H377" i="8"/>
  <c r="M370" i="8"/>
  <c r="O370" i="8" s="1"/>
  <c r="H425" i="8"/>
  <c r="M418" i="8"/>
  <c r="H521" i="8"/>
  <c r="M514" i="8"/>
  <c r="O514" i="8" s="1"/>
  <c r="H605" i="8"/>
  <c r="M598" i="8"/>
  <c r="H641" i="8"/>
  <c r="M634" i="8"/>
  <c r="N634" i="8"/>
  <c r="H701" i="8"/>
  <c r="M694" i="8"/>
  <c r="H737" i="8"/>
  <c r="M730" i="8"/>
  <c r="J1300" i="8"/>
  <c r="J1296" i="8"/>
  <c r="J1287" i="8"/>
  <c r="J1283" i="8"/>
  <c r="J1274" i="8"/>
  <c r="J1270" i="8"/>
  <c r="J1261" i="8"/>
  <c r="J1252" i="8"/>
  <c r="J1248" i="8"/>
  <c r="J1239" i="8"/>
  <c r="J1235" i="8"/>
  <c r="J1226" i="8"/>
  <c r="J1222" i="8"/>
  <c r="J1213" i="8"/>
  <c r="J1204" i="8"/>
  <c r="J1200" i="8"/>
  <c r="J1191" i="8"/>
  <c r="J1187" i="8"/>
  <c r="J1178" i="8"/>
  <c r="J1174" i="8"/>
  <c r="J1165" i="8"/>
  <c r="J1156" i="8"/>
  <c r="J1152" i="8"/>
  <c r="J1143" i="8"/>
  <c r="J1139" i="8"/>
  <c r="J1130" i="8"/>
  <c r="J1126" i="8"/>
  <c r="J1117" i="8"/>
  <c r="J1108" i="8"/>
  <c r="J1104" i="8"/>
  <c r="J1095" i="8"/>
  <c r="J1091" i="8"/>
  <c r="J1082" i="8"/>
  <c r="J1078" i="8"/>
  <c r="J1069" i="8"/>
  <c r="J1060" i="8"/>
  <c r="J1056" i="8"/>
  <c r="J1047" i="8"/>
  <c r="J1043" i="8"/>
  <c r="J1034" i="8"/>
  <c r="J1030" i="8"/>
  <c r="J1021" i="8"/>
  <c r="J1012" i="8"/>
  <c r="J1008" i="8"/>
  <c r="J999" i="8"/>
  <c r="J995" i="8"/>
  <c r="J1297" i="8"/>
  <c r="J1288" i="8"/>
  <c r="J1284" i="8"/>
  <c r="J1275" i="8"/>
  <c r="J1271" i="8"/>
  <c r="J1262" i="8"/>
  <c r="J1258" i="8"/>
  <c r="J1249" i="8"/>
  <c r="J1240" i="8"/>
  <c r="J1236" i="8"/>
  <c r="J1227" i="8"/>
  <c r="J1223" i="8"/>
  <c r="J1214" i="8"/>
  <c r="J1210" i="8"/>
  <c r="J1201" i="8"/>
  <c r="J1192" i="8"/>
  <c r="J1188" i="8"/>
  <c r="J1179" i="8"/>
  <c r="J1175" i="8"/>
  <c r="J1166" i="8"/>
  <c r="J1162" i="8"/>
  <c r="J1153" i="8"/>
  <c r="J1144" i="8"/>
  <c r="J1140" i="8"/>
  <c r="J1131" i="8"/>
  <c r="J1127" i="8"/>
  <c r="J1118" i="8"/>
  <c r="J1114" i="8"/>
  <c r="J1105" i="8"/>
  <c r="J1096" i="8"/>
  <c r="J1092" i="8"/>
  <c r="J1083" i="8"/>
  <c r="J1079" i="8"/>
  <c r="J1070" i="8"/>
  <c r="J1066" i="8"/>
  <c r="J1057" i="8"/>
  <c r="J1048" i="8"/>
  <c r="J1044" i="8"/>
  <c r="J1035" i="8"/>
  <c r="J1031" i="8"/>
  <c r="J1022" i="8"/>
  <c r="J1018" i="8"/>
  <c r="J1009" i="8"/>
  <c r="J1000" i="8"/>
  <c r="J996" i="8"/>
  <c r="J1286" i="8"/>
  <c r="J1282" i="8"/>
  <c r="J1276" i="8"/>
  <c r="J1272" i="8"/>
  <c r="J1264" i="8"/>
  <c r="J1260" i="8"/>
  <c r="J1237" i="8"/>
  <c r="J1225" i="8"/>
  <c r="J1215" i="8"/>
  <c r="J1211" i="8"/>
  <c r="J1190" i="8"/>
  <c r="J1186" i="8"/>
  <c r="J1180" i="8"/>
  <c r="J1176" i="8"/>
  <c r="J1168" i="8"/>
  <c r="J1164" i="8"/>
  <c r="J1141" i="8"/>
  <c r="J1129" i="8"/>
  <c r="J1119" i="8"/>
  <c r="J1115" i="8"/>
  <c r="J1094" i="8"/>
  <c r="J1090" i="8"/>
  <c r="J1084" i="8"/>
  <c r="J1080" i="8"/>
  <c r="J1072" i="8"/>
  <c r="J1068" i="8"/>
  <c r="J1045" i="8"/>
  <c r="J1033" i="8"/>
  <c r="J1023" i="8"/>
  <c r="J1019" i="8"/>
  <c r="J998" i="8"/>
  <c r="J987" i="8"/>
  <c r="J983" i="8"/>
  <c r="J974" i="8"/>
  <c r="J970" i="8"/>
  <c r="J961" i="8"/>
  <c r="J952" i="8"/>
  <c r="J948" i="8"/>
  <c r="J939" i="8"/>
  <c r="J935" i="8"/>
  <c r="J926" i="8"/>
  <c r="J922" i="8"/>
  <c r="J913" i="8"/>
  <c r="J904" i="8"/>
  <c r="J900" i="8"/>
  <c r="J891" i="8"/>
  <c r="J887" i="8"/>
  <c r="J878" i="8"/>
  <c r="J874" i="8"/>
  <c r="J865" i="8"/>
  <c r="J856" i="8"/>
  <c r="J852" i="8"/>
  <c r="J843" i="8"/>
  <c r="J839" i="8"/>
  <c r="J830" i="8"/>
  <c r="J826" i="8"/>
  <c r="J817" i="8"/>
  <c r="J808" i="8"/>
  <c r="J804" i="8"/>
  <c r="J795" i="8"/>
  <c r="J791" i="8"/>
  <c r="J782" i="8"/>
  <c r="J778" i="8"/>
  <c r="J769" i="8"/>
  <c r="J1298" i="8"/>
  <c r="J1294" i="8"/>
  <c r="J1251" i="8"/>
  <c r="J1247" i="8"/>
  <c r="J1202" i="8"/>
  <c r="J1198" i="8"/>
  <c r="J1155" i="8"/>
  <c r="J1151" i="8"/>
  <c r="J1106" i="8"/>
  <c r="J1102" i="8"/>
  <c r="J1059" i="8"/>
  <c r="J1055" i="8"/>
  <c r="J1010" i="8"/>
  <c r="J1006" i="8"/>
  <c r="J988" i="8"/>
  <c r="J984" i="8"/>
  <c r="J975" i="8"/>
  <c r="J971" i="8"/>
  <c r="J962" i="8"/>
  <c r="J958" i="8"/>
  <c r="J949" i="8"/>
  <c r="J940" i="8"/>
  <c r="J936" i="8"/>
  <c r="J927" i="8"/>
  <c r="J923" i="8"/>
  <c r="J914" i="8"/>
  <c r="J910" i="8"/>
  <c r="J901" i="8"/>
  <c r="J892" i="8"/>
  <c r="J888" i="8"/>
  <c r="J879" i="8"/>
  <c r="J875" i="8"/>
  <c r="J866" i="8"/>
  <c r="J862" i="8"/>
  <c r="J853" i="8"/>
  <c r="J844" i="8"/>
  <c r="J840" i="8"/>
  <c r="J831" i="8"/>
  <c r="J827" i="8"/>
  <c r="J818" i="8"/>
  <c r="J814" i="8"/>
  <c r="J805" i="8"/>
  <c r="J796" i="8"/>
  <c r="J792" i="8"/>
  <c r="J783" i="8"/>
  <c r="J779" i="8"/>
  <c r="J1299" i="8"/>
  <c r="J1259" i="8"/>
  <c r="J1199" i="8"/>
  <c r="J1167" i="8"/>
  <c r="J1142" i="8"/>
  <c r="J1138" i="8"/>
  <c r="J1107" i="8"/>
  <c r="J1067" i="8"/>
  <c r="J1007" i="8"/>
  <c r="J994" i="8"/>
  <c r="J985" i="8"/>
  <c r="J973" i="8"/>
  <c r="J963" i="8"/>
  <c r="J959" i="8"/>
  <c r="J938" i="8"/>
  <c r="J934" i="8"/>
  <c r="J928" i="8"/>
  <c r="J924" i="8"/>
  <c r="J916" i="8"/>
  <c r="J912" i="8"/>
  <c r="J889" i="8"/>
  <c r="J877" i="8"/>
  <c r="J867" i="8"/>
  <c r="J863" i="8"/>
  <c r="J842" i="8"/>
  <c r="J838" i="8"/>
  <c r="J832" i="8"/>
  <c r="J828" i="8"/>
  <c r="J820" i="8"/>
  <c r="J816" i="8"/>
  <c r="J793" i="8"/>
  <c r="J781" i="8"/>
  <c r="J772" i="8"/>
  <c r="J767" i="8"/>
  <c r="J760" i="8"/>
  <c r="J756" i="8"/>
  <c r="J747" i="8"/>
  <c r="J743" i="8"/>
  <c r="J734" i="8"/>
  <c r="J730" i="8"/>
  <c r="J721" i="8"/>
  <c r="J712" i="8"/>
  <c r="J708" i="8"/>
  <c r="J699" i="8"/>
  <c r="J695" i="8"/>
  <c r="J686" i="8"/>
  <c r="J682" i="8"/>
  <c r="J673" i="8"/>
  <c r="J664" i="8"/>
  <c r="J660" i="8"/>
  <c r="J651" i="8"/>
  <c r="J647" i="8"/>
  <c r="J638" i="8"/>
  <c r="J634" i="8"/>
  <c r="J625" i="8"/>
  <c r="J616" i="8"/>
  <c r="J612" i="8"/>
  <c r="J603" i="8"/>
  <c r="J599" i="8"/>
  <c r="J590" i="8"/>
  <c r="J586" i="8"/>
  <c r="J1250" i="8"/>
  <c r="J1246" i="8"/>
  <c r="J1224" i="8"/>
  <c r="J1216" i="8"/>
  <c r="J1189" i="8"/>
  <c r="J1177" i="8"/>
  <c r="J1132" i="8"/>
  <c r="J1116" i="8"/>
  <c r="J1058" i="8"/>
  <c r="J1054" i="8"/>
  <c r="J1032" i="8"/>
  <c r="J1024" i="8"/>
  <c r="J997" i="8"/>
  <c r="J951" i="8"/>
  <c r="J947" i="8"/>
  <c r="J902" i="8"/>
  <c r="J898" i="8"/>
  <c r="J855" i="8"/>
  <c r="J851" i="8"/>
  <c r="J806" i="8"/>
  <c r="J802" i="8"/>
  <c r="J759" i="8"/>
  <c r="J755" i="8"/>
  <c r="J746" i="8"/>
  <c r="J742" i="8"/>
  <c r="J733" i="8"/>
  <c r="J724" i="8"/>
  <c r="J720" i="8"/>
  <c r="J711" i="8"/>
  <c r="J707" i="8"/>
  <c r="J698" i="8"/>
  <c r="J694" i="8"/>
  <c r="J685" i="8"/>
  <c r="J676" i="8"/>
  <c r="J672" i="8"/>
  <c r="J663" i="8"/>
  <c r="J659" i="8"/>
  <c r="J650" i="8"/>
  <c r="J646" i="8"/>
  <c r="J637" i="8"/>
  <c r="J628" i="8"/>
  <c r="J624" i="8"/>
  <c r="J615" i="8"/>
  <c r="J611" i="8"/>
  <c r="J602" i="8"/>
  <c r="J598" i="8"/>
  <c r="J589" i="8"/>
  <c r="J580" i="8"/>
  <c r="J576" i="8"/>
  <c r="J567" i="8"/>
  <c r="J563" i="8"/>
  <c r="J554" i="8"/>
  <c r="J550" i="8"/>
  <c r="J1273" i="8"/>
  <c r="J1238" i="8"/>
  <c r="J1228" i="8"/>
  <c r="J1212" i="8"/>
  <c r="J1163" i="8"/>
  <c r="J1154" i="8"/>
  <c r="J1120" i="8"/>
  <c r="J1071" i="8"/>
  <c r="J1011" i="8"/>
  <c r="J986" i="8"/>
  <c r="J982" i="8"/>
  <c r="J976" i="8"/>
  <c r="J950" i="8"/>
  <c r="J946" i="8"/>
  <c r="J937" i="8"/>
  <c r="J899" i="8"/>
  <c r="J876" i="8"/>
  <c r="J807" i="8"/>
  <c r="J794" i="8"/>
  <c r="J790" i="8"/>
  <c r="J784" i="8"/>
  <c r="J770" i="8"/>
  <c r="J768" i="8"/>
  <c r="J723" i="8"/>
  <c r="J719" i="8"/>
  <c r="J674" i="8"/>
  <c r="J670" i="8"/>
  <c r="J627" i="8"/>
  <c r="J623" i="8"/>
  <c r="J578" i="8"/>
  <c r="J575" i="8"/>
  <c r="J574" i="8"/>
  <c r="J568" i="8"/>
  <c r="J556" i="8"/>
  <c r="J553" i="8"/>
  <c r="J541" i="8"/>
  <c r="J532" i="8"/>
  <c r="J528" i="8"/>
  <c r="J519" i="8"/>
  <c r="J515" i="8"/>
  <c r="J506" i="8"/>
  <c r="J502" i="8"/>
  <c r="J493" i="8"/>
  <c r="J484" i="8"/>
  <c r="J480" i="8"/>
  <c r="J471" i="8"/>
  <c r="J467" i="8"/>
  <c r="J458" i="8"/>
  <c r="J454" i="8"/>
  <c r="J445" i="8"/>
  <c r="J436" i="8"/>
  <c r="J432" i="8"/>
  <c r="J423" i="8"/>
  <c r="J419" i="8"/>
  <c r="J410" i="8"/>
  <c r="J406" i="8"/>
  <c r="J397" i="8"/>
  <c r="J388" i="8"/>
  <c r="J384" i="8"/>
  <c r="J375" i="8"/>
  <c r="J371" i="8"/>
  <c r="J276" i="8"/>
  <c r="J263" i="8"/>
  <c r="J250" i="8"/>
  <c r="J228" i="8"/>
  <c r="J1295" i="8"/>
  <c r="J1285" i="8"/>
  <c r="J1234" i="8"/>
  <c r="J964" i="8"/>
  <c r="J925" i="8"/>
  <c r="J915" i="8"/>
  <c r="J864" i="8"/>
  <c r="J815" i="8"/>
  <c r="J758" i="8"/>
  <c r="J754" i="8"/>
  <c r="J748" i="8"/>
  <c r="J744" i="8"/>
  <c r="J736" i="8"/>
  <c r="J732" i="8"/>
  <c r="J709" i="8"/>
  <c r="J697" i="8"/>
  <c r="J687" i="8"/>
  <c r="J683" i="8"/>
  <c r="J662" i="8"/>
  <c r="J658" i="8"/>
  <c r="J652" i="8"/>
  <c r="J648" i="8"/>
  <c r="J640" i="8"/>
  <c r="J636" i="8"/>
  <c r="J613" i="8"/>
  <c r="J601" i="8"/>
  <c r="J591" i="8"/>
  <c r="J587" i="8"/>
  <c r="J577" i="8"/>
  <c r="J565" i="8"/>
  <c r="J555" i="8"/>
  <c r="J544" i="8"/>
  <c r="J540" i="8"/>
  <c r="J531" i="8"/>
  <c r="J527" i="8"/>
  <c r="J518" i="8"/>
  <c r="J514" i="8"/>
  <c r="J505" i="8"/>
  <c r="J496" i="8"/>
  <c r="J492" i="8"/>
  <c r="J483" i="8"/>
  <c r="J479" i="8"/>
  <c r="J470" i="8"/>
  <c r="J466" i="8"/>
  <c r="J457" i="8"/>
  <c r="J448" i="8"/>
  <c r="J444" i="8"/>
  <c r="J435" i="8"/>
  <c r="J431" i="8"/>
  <c r="J422" i="8"/>
  <c r="J418" i="8"/>
  <c r="J409" i="8"/>
  <c r="J400" i="8"/>
  <c r="J396" i="8"/>
  <c r="J387" i="8"/>
  <c r="J383" i="8"/>
  <c r="J374" i="8"/>
  <c r="J370" i="8"/>
  <c r="J288" i="8"/>
  <c r="J275" i="8"/>
  <c r="J262" i="8"/>
  <c r="J240" i="8"/>
  <c r="J227" i="8"/>
  <c r="J186" i="8"/>
  <c r="J127" i="8"/>
  <c r="J67" i="8"/>
  <c r="J1263" i="8"/>
  <c r="J1081" i="8"/>
  <c r="J1046" i="8"/>
  <c r="J903" i="8"/>
  <c r="J890" i="8"/>
  <c r="J841" i="8"/>
  <c r="J771" i="8"/>
  <c r="J731" i="8"/>
  <c r="J722" i="8"/>
  <c r="J696" i="8"/>
  <c r="J684" i="8"/>
  <c r="J635" i="8"/>
  <c r="J626" i="8"/>
  <c r="J600" i="8"/>
  <c r="J588" i="8"/>
  <c r="J551" i="8"/>
  <c r="J538" i="8"/>
  <c r="J530" i="8"/>
  <c r="J504" i="8"/>
  <c r="J490" i="8"/>
  <c r="J482" i="8"/>
  <c r="J456" i="8"/>
  <c r="J442" i="8"/>
  <c r="J434" i="8"/>
  <c r="J408" i="8"/>
  <c r="J394" i="8"/>
  <c r="J386" i="8"/>
  <c r="J351" i="8"/>
  <c r="J274" i="8"/>
  <c r="J264" i="8"/>
  <c r="J251" i="8"/>
  <c r="J239" i="8"/>
  <c r="J126" i="8"/>
  <c r="J91" i="8"/>
  <c r="J79" i="8"/>
  <c r="J1093" i="8"/>
  <c r="J1020" i="8"/>
  <c r="J972" i="8"/>
  <c r="J960" i="8"/>
  <c r="J880" i="8"/>
  <c r="J868" i="8"/>
  <c r="J850" i="8"/>
  <c r="J819" i="8"/>
  <c r="J766" i="8"/>
  <c r="J757" i="8"/>
  <c r="J735" i="8"/>
  <c r="J718" i="8"/>
  <c r="J710" i="8"/>
  <c r="J700" i="8"/>
  <c r="J688" i="8"/>
  <c r="J671" i="8"/>
  <c r="J661" i="8"/>
  <c r="J639" i="8"/>
  <c r="J622" i="8"/>
  <c r="J614" i="8"/>
  <c r="J604" i="8"/>
  <c r="J592" i="8"/>
  <c r="J579" i="8"/>
  <c r="J562" i="8"/>
  <c r="J552" i="8"/>
  <c r="J539" i="8"/>
  <c r="J516" i="8"/>
  <c r="J507" i="8"/>
  <c r="J491" i="8"/>
  <c r="J468" i="8"/>
  <c r="J459" i="8"/>
  <c r="J443" i="8"/>
  <c r="J420" i="8"/>
  <c r="J411" i="8"/>
  <c r="J395" i="8"/>
  <c r="J372" i="8"/>
  <c r="J300" i="8"/>
  <c r="J287" i="8"/>
  <c r="J252" i="8"/>
  <c r="J115" i="8"/>
  <c r="J103" i="8"/>
  <c r="L142" i="8"/>
  <c r="H473" i="8"/>
  <c r="M466" i="8"/>
  <c r="O466" i="8" s="1"/>
  <c r="G34" i="8"/>
  <c r="G80" i="8"/>
  <c r="J92" i="8"/>
  <c r="J148" i="8"/>
  <c r="G265" i="8"/>
  <c r="H315" i="8"/>
  <c r="J315" i="8" s="1"/>
  <c r="J376" i="8"/>
  <c r="H413" i="8"/>
  <c r="M406" i="8"/>
  <c r="J472" i="8"/>
  <c r="J520" i="8"/>
  <c r="I689" i="8"/>
  <c r="G14" i="3"/>
  <c r="N21" i="7"/>
  <c r="J90" i="8"/>
  <c r="H92" i="8"/>
  <c r="H104" i="8"/>
  <c r="M97" i="8"/>
  <c r="M121" i="8"/>
  <c r="L130" i="8"/>
  <c r="M130" i="8"/>
  <c r="I149" i="8"/>
  <c r="J149" i="8" s="1"/>
  <c r="H149" i="8"/>
  <c r="L154" i="8"/>
  <c r="J159" i="8"/>
  <c r="J187" i="8"/>
  <c r="J198" i="8"/>
  <c r="N204" i="8"/>
  <c r="L219" i="8"/>
  <c r="O219" i="8" s="1"/>
  <c r="G241" i="8"/>
  <c r="J241" i="8" s="1"/>
  <c r="H241" i="8"/>
  <c r="H265" i="8"/>
  <c r="M258" i="8"/>
  <c r="J273" i="8"/>
  <c r="N320" i="8"/>
  <c r="J373" i="8"/>
  <c r="J382" i="8"/>
  <c r="I413" i="8"/>
  <c r="N406" i="8"/>
  <c r="J412" i="8"/>
  <c r="J421" i="8"/>
  <c r="O418" i="8"/>
  <c r="J430" i="8"/>
  <c r="I461" i="8"/>
  <c r="N454" i="8"/>
  <c r="J460" i="8"/>
  <c r="J469" i="8"/>
  <c r="J478" i="8"/>
  <c r="I509" i="8"/>
  <c r="N502" i="8"/>
  <c r="J508" i="8"/>
  <c r="J517" i="8"/>
  <c r="J526" i="8"/>
  <c r="N550" i="8"/>
  <c r="O550" i="8" s="1"/>
  <c r="I557" i="8"/>
  <c r="H665" i="8"/>
  <c r="J675" i="8"/>
  <c r="H761" i="8"/>
  <c r="G833" i="8"/>
  <c r="L826" i="8"/>
  <c r="J854" i="8"/>
  <c r="J886" i="8"/>
  <c r="J911" i="8"/>
  <c r="J1042" i="8"/>
  <c r="G1085" i="8"/>
  <c r="L1078" i="8"/>
  <c r="J1203" i="8"/>
  <c r="H1229" i="8"/>
  <c r="M1222" i="8"/>
  <c r="H1265" i="8"/>
  <c r="M1258" i="8"/>
  <c r="G1289" i="8"/>
  <c r="L1282" i="8"/>
  <c r="B4" i="7"/>
  <c r="H36" i="8"/>
  <c r="X7" i="6" s="1"/>
  <c r="J66" i="8"/>
  <c r="L97" i="8"/>
  <c r="O97" i="8" s="1"/>
  <c r="L121" i="8"/>
  <c r="O121" i="8" s="1"/>
  <c r="L258" i="8"/>
  <c r="J277" i="8"/>
  <c r="L270" i="8"/>
  <c r="O270" i="8" s="1"/>
  <c r="N382" i="8"/>
  <c r="J398" i="8"/>
  <c r="J424" i="8"/>
  <c r="N430" i="8"/>
  <c r="J446" i="8"/>
  <c r="H461" i="8"/>
  <c r="M454" i="8"/>
  <c r="N478" i="8"/>
  <c r="J494" i="8"/>
  <c r="H509" i="8"/>
  <c r="M502" i="8"/>
  <c r="N526" i="8"/>
  <c r="J542" i="8"/>
  <c r="H569" i="8"/>
  <c r="M562" i="8"/>
  <c r="M574" i="8"/>
  <c r="J610" i="8"/>
  <c r="J706" i="8"/>
  <c r="G845" i="8"/>
  <c r="L838" i="8"/>
  <c r="H929" i="8"/>
  <c r="M922" i="8"/>
  <c r="J1036" i="8"/>
  <c r="X5" i="6"/>
  <c r="M24" i="7"/>
  <c r="S6" i="6"/>
  <c r="M21" i="7"/>
  <c r="G17" i="8"/>
  <c r="S5" i="6" s="1"/>
  <c r="H24" i="8"/>
  <c r="T6" i="6" s="1"/>
  <c r="X6" i="6" s="1"/>
  <c r="G56" i="8"/>
  <c r="G68" i="8"/>
  <c r="H80" i="8"/>
  <c r="L85" i="8"/>
  <c r="N85" i="8"/>
  <c r="J89" i="8"/>
  <c r="N97" i="8"/>
  <c r="M109" i="8"/>
  <c r="N154" i="8"/>
  <c r="J185" i="8"/>
  <c r="J197" i="8"/>
  <c r="I241" i="8"/>
  <c r="N234" i="8"/>
  <c r="J261" i="8"/>
  <c r="M320" i="8"/>
  <c r="L333" i="8"/>
  <c r="M333" i="8"/>
  <c r="G340" i="8"/>
  <c r="M345" i="8"/>
  <c r="J385" i="8"/>
  <c r="J407" i="8"/>
  <c r="J413" i="8"/>
  <c r="J433" i="8"/>
  <c r="J455" i="8"/>
  <c r="J461" i="8"/>
  <c r="J481" i="8"/>
  <c r="J503" i="8"/>
  <c r="J509" i="8"/>
  <c r="J529" i="8"/>
  <c r="J564" i="8"/>
  <c r="J566" i="8"/>
  <c r="O634" i="8"/>
  <c r="G665" i="8"/>
  <c r="L658" i="8"/>
  <c r="G761" i="8"/>
  <c r="L754" i="8"/>
  <c r="J780" i="8"/>
  <c r="J1103" i="8"/>
  <c r="J1128" i="8"/>
  <c r="H44" i="8"/>
  <c r="T8" i="6" s="1"/>
  <c r="I137" i="8"/>
  <c r="J137" i="8" s="1"/>
  <c r="N142" i="8"/>
  <c r="M154" i="8"/>
  <c r="G175" i="8"/>
  <c r="J175" i="8" s="1"/>
  <c r="L167" i="8"/>
  <c r="I187" i="8"/>
  <c r="I199" i="8"/>
  <c r="J199" i="8" s="1"/>
  <c r="G214" i="8"/>
  <c r="J214" i="8" s="1"/>
  <c r="L204" i="8"/>
  <c r="O204" i="8" s="1"/>
  <c r="L234" i="8"/>
  <c r="L246" i="8"/>
  <c r="O246" i="8" s="1"/>
  <c r="N258" i="8"/>
  <c r="M270" i="8"/>
  <c r="I315" i="8"/>
  <c r="I340" i="8"/>
  <c r="M357" i="8"/>
  <c r="G389" i="8"/>
  <c r="J389" i="8" s="1"/>
  <c r="L382" i="8"/>
  <c r="O382" i="8" s="1"/>
  <c r="I401" i="8"/>
  <c r="J401" i="8" s="1"/>
  <c r="G437" i="8"/>
  <c r="J437" i="8" s="1"/>
  <c r="L430" i="8"/>
  <c r="I449" i="8"/>
  <c r="J449" i="8" s="1"/>
  <c r="G485" i="8"/>
  <c r="J485" i="8" s="1"/>
  <c r="L478" i="8"/>
  <c r="I497" i="8"/>
  <c r="J497" i="8" s="1"/>
  <c r="G533" i="8"/>
  <c r="J533" i="8" s="1"/>
  <c r="L526" i="8"/>
  <c r="O526" i="8" s="1"/>
  <c r="I545" i="8"/>
  <c r="J545" i="8" s="1"/>
  <c r="H785" i="8"/>
  <c r="M778" i="8"/>
  <c r="O778" i="8" s="1"/>
  <c r="M838" i="8"/>
  <c r="H893" i="8"/>
  <c r="L898" i="8"/>
  <c r="H917" i="8"/>
  <c r="M910" i="8"/>
  <c r="M994" i="8"/>
  <c r="H1097" i="8"/>
  <c r="J349" i="8"/>
  <c r="J41" i="8"/>
  <c r="M31" i="7"/>
  <c r="G6" i="8"/>
  <c r="S3" i="6" s="1"/>
  <c r="I92" i="8"/>
  <c r="G116" i="8"/>
  <c r="J116" i="8" s="1"/>
  <c r="L109" i="8"/>
  <c r="O109" i="8" s="1"/>
  <c r="M167" i="8"/>
  <c r="M234" i="8"/>
  <c r="H253" i="8"/>
  <c r="J253" i="8" s="1"/>
  <c r="N270" i="8"/>
  <c r="I301" i="8"/>
  <c r="J301" i="8" s="1"/>
  <c r="L320" i="8"/>
  <c r="G352" i="8"/>
  <c r="J352" i="8" s="1"/>
  <c r="L345" i="8"/>
  <c r="O345" i="8" s="1"/>
  <c r="N357" i="8"/>
  <c r="G377" i="8"/>
  <c r="M382" i="8"/>
  <c r="L406" i="8"/>
  <c r="O406" i="8" s="1"/>
  <c r="G425" i="8"/>
  <c r="J425" i="8" s="1"/>
  <c r="M430" i="8"/>
  <c r="L454" i="8"/>
  <c r="G473" i="8"/>
  <c r="J473" i="8" s="1"/>
  <c r="M478" i="8"/>
  <c r="L502" i="8"/>
  <c r="G521" i="8"/>
  <c r="M526" i="8"/>
  <c r="G557" i="8"/>
  <c r="M550" i="8"/>
  <c r="L610" i="8"/>
  <c r="L622" i="8"/>
  <c r="G653" i="8"/>
  <c r="L646" i="8"/>
  <c r="H677" i="8"/>
  <c r="L706" i="8"/>
  <c r="L718" i="8"/>
  <c r="G749" i="8"/>
  <c r="L742" i="8"/>
  <c r="G857" i="8"/>
  <c r="N910" i="8"/>
  <c r="H1001" i="8"/>
  <c r="J272" i="8"/>
  <c r="J224" i="8"/>
  <c r="J310" i="8"/>
  <c r="J160" i="8"/>
  <c r="G229" i="8"/>
  <c r="H365" i="8"/>
  <c r="J365" i="8" s="1"/>
  <c r="H557" i="8"/>
  <c r="G569" i="8"/>
  <c r="L574" i="8"/>
  <c r="H593" i="8"/>
  <c r="G605" i="8"/>
  <c r="G617" i="8"/>
  <c r="L670" i="8"/>
  <c r="H689" i="8"/>
  <c r="J689" i="8" s="1"/>
  <c r="G701" i="8"/>
  <c r="G713" i="8"/>
  <c r="I773" i="8"/>
  <c r="M766" i="8"/>
  <c r="N778" i="8"/>
  <c r="L802" i="8"/>
  <c r="G821" i="8"/>
  <c r="I857" i="8"/>
  <c r="G929" i="8"/>
  <c r="L922" i="8"/>
  <c r="M934" i="8"/>
  <c r="H941" i="8"/>
  <c r="H1037" i="8"/>
  <c r="M1030" i="8"/>
  <c r="L1054" i="8"/>
  <c r="H1073" i="8"/>
  <c r="M1066" i="8"/>
  <c r="G1265" i="8"/>
  <c r="G1277" i="8"/>
  <c r="L1270" i="8"/>
  <c r="H1289" i="8"/>
  <c r="I1298" i="8"/>
  <c r="I6" i="9"/>
  <c r="N306" i="8"/>
  <c r="L586" i="8"/>
  <c r="M622" i="8"/>
  <c r="I641" i="8"/>
  <c r="J641" i="8" s="1"/>
  <c r="M658" i="8"/>
  <c r="L682" i="8"/>
  <c r="M718" i="8"/>
  <c r="M754" i="8"/>
  <c r="G773" i="8"/>
  <c r="G809" i="8"/>
  <c r="H821" i="8"/>
  <c r="M814" i="8"/>
  <c r="H833" i="8"/>
  <c r="M826" i="8"/>
  <c r="G941" i="8"/>
  <c r="L934" i="8"/>
  <c r="H953" i="8"/>
  <c r="L958" i="8"/>
  <c r="G1097" i="8"/>
  <c r="L1090" i="8"/>
  <c r="G1205" i="8"/>
  <c r="I1217" i="8"/>
  <c r="I1299" i="8"/>
  <c r="I1295" i="8"/>
  <c r="N1294" i="8" s="1"/>
  <c r="I1286" i="8"/>
  <c r="I1282" i="8"/>
  <c r="I1273" i="8"/>
  <c r="I1264" i="8"/>
  <c r="I1260" i="8"/>
  <c r="I1251" i="8"/>
  <c r="I1247" i="8"/>
  <c r="I1238" i="8"/>
  <c r="I1234" i="8"/>
  <c r="I1225" i="8"/>
  <c r="I1216" i="8"/>
  <c r="I1212" i="8"/>
  <c r="I1203" i="8"/>
  <c r="I1199" i="8"/>
  <c r="I1190" i="8"/>
  <c r="I1186" i="8"/>
  <c r="I1177" i="8"/>
  <c r="I1168" i="8"/>
  <c r="I1164" i="8"/>
  <c r="I1155" i="8"/>
  <c r="I1151" i="8"/>
  <c r="I1142" i="8"/>
  <c r="I1138" i="8"/>
  <c r="I1129" i="8"/>
  <c r="I1120" i="8"/>
  <c r="I1116" i="8"/>
  <c r="I1107" i="8"/>
  <c r="I1103" i="8"/>
  <c r="N1102" i="8" s="1"/>
  <c r="I1094" i="8"/>
  <c r="I1090" i="8"/>
  <c r="I1081" i="8"/>
  <c r="I1072" i="8"/>
  <c r="I1068" i="8"/>
  <c r="I1059" i="8"/>
  <c r="I1055" i="8"/>
  <c r="I1046" i="8"/>
  <c r="I1042" i="8"/>
  <c r="I1033" i="8"/>
  <c r="I1024" i="8"/>
  <c r="I1020" i="8"/>
  <c r="I1011" i="8"/>
  <c r="I1007" i="8"/>
  <c r="I998" i="8"/>
  <c r="I994" i="8"/>
  <c r="I1300" i="8"/>
  <c r="I1301" i="8" s="1"/>
  <c r="I1296" i="8"/>
  <c r="I1287" i="8"/>
  <c r="I1283" i="8"/>
  <c r="I1274" i="8"/>
  <c r="I1270" i="8"/>
  <c r="I1261" i="8"/>
  <c r="I1252" i="8"/>
  <c r="I1248" i="8"/>
  <c r="I1239" i="8"/>
  <c r="I1235" i="8"/>
  <c r="I1226" i="8"/>
  <c r="I1222" i="8"/>
  <c r="I1213" i="8"/>
  <c r="I1204" i="8"/>
  <c r="I1200" i="8"/>
  <c r="I1191" i="8"/>
  <c r="I1187" i="8"/>
  <c r="I1178" i="8"/>
  <c r="I1174" i="8"/>
  <c r="I1165" i="8"/>
  <c r="I1156" i="8"/>
  <c r="I1152" i="8"/>
  <c r="I1143" i="8"/>
  <c r="I1139" i="8"/>
  <c r="I1130" i="8"/>
  <c r="I1126" i="8"/>
  <c r="I1117" i="8"/>
  <c r="I1108" i="8"/>
  <c r="I1104" i="8"/>
  <c r="I1095" i="8"/>
  <c r="I1091" i="8"/>
  <c r="I1082" i="8"/>
  <c r="I1078" i="8"/>
  <c r="I1069" i="8"/>
  <c r="I1060" i="8"/>
  <c r="I1056" i="8"/>
  <c r="I1047" i="8"/>
  <c r="I1043" i="8"/>
  <c r="I1034" i="8"/>
  <c r="I1030" i="8"/>
  <c r="I1021" i="8"/>
  <c r="I1012" i="8"/>
  <c r="I1008" i="8"/>
  <c r="I999" i="8"/>
  <c r="I1297" i="8"/>
  <c r="I1250" i="8"/>
  <c r="I1246" i="8"/>
  <c r="I1201" i="8"/>
  <c r="I1154" i="8"/>
  <c r="I1150" i="8"/>
  <c r="I1105" i="8"/>
  <c r="I1058" i="8"/>
  <c r="I1054" i="8"/>
  <c r="I1009" i="8"/>
  <c r="I986" i="8"/>
  <c r="I982" i="8"/>
  <c r="I973" i="8"/>
  <c r="I964" i="8"/>
  <c r="I960" i="8"/>
  <c r="I951" i="8"/>
  <c r="I947" i="8"/>
  <c r="I953" i="8" s="1"/>
  <c r="I938" i="8"/>
  <c r="I934" i="8"/>
  <c r="I925" i="8"/>
  <c r="I916" i="8"/>
  <c r="I912" i="8"/>
  <c r="I903" i="8"/>
  <c r="I899" i="8"/>
  <c r="I890" i="8"/>
  <c r="I886" i="8"/>
  <c r="I877" i="8"/>
  <c r="I868" i="8"/>
  <c r="I864" i="8"/>
  <c r="I855" i="8"/>
  <c r="I851" i="8"/>
  <c r="N850" i="8" s="1"/>
  <c r="I842" i="8"/>
  <c r="I838" i="8"/>
  <c r="I829" i="8"/>
  <c r="I820" i="8"/>
  <c r="I816" i="8"/>
  <c r="I807" i="8"/>
  <c r="I803" i="8"/>
  <c r="I794" i="8"/>
  <c r="I790" i="8"/>
  <c r="I781" i="8"/>
  <c r="I772" i="8"/>
  <c r="I768" i="8"/>
  <c r="N766" i="8" s="1"/>
  <c r="I1288" i="8"/>
  <c r="I1284" i="8"/>
  <c r="I1276" i="8"/>
  <c r="I1272" i="8"/>
  <c r="I1262" i="8"/>
  <c r="I1258" i="8"/>
  <c r="I1237" i="8"/>
  <c r="I1227" i="8"/>
  <c r="I1223" i="8"/>
  <c r="I1215" i="8"/>
  <c r="I1211" i="8"/>
  <c r="N1210" i="8" s="1"/>
  <c r="I1192" i="8"/>
  <c r="I1188" i="8"/>
  <c r="I1180" i="8"/>
  <c r="I1176" i="8"/>
  <c r="I1166" i="8"/>
  <c r="I1162" i="8"/>
  <c r="I1141" i="8"/>
  <c r="I1131" i="8"/>
  <c r="I1127" i="8"/>
  <c r="I1119" i="8"/>
  <c r="I1115" i="8"/>
  <c r="I1096" i="8"/>
  <c r="I1092" i="8"/>
  <c r="I1084" i="8"/>
  <c r="I1080" i="8"/>
  <c r="I1070" i="8"/>
  <c r="I1066" i="8"/>
  <c r="I1045" i="8"/>
  <c r="I1035" i="8"/>
  <c r="I1031" i="8"/>
  <c r="I1023" i="8"/>
  <c r="I1019" i="8"/>
  <c r="I1025" i="8" s="1"/>
  <c r="I1000" i="8"/>
  <c r="I996" i="8"/>
  <c r="I987" i="8"/>
  <c r="I983" i="8"/>
  <c r="I974" i="8"/>
  <c r="I970" i="8"/>
  <c r="I961" i="8"/>
  <c r="I952" i="8"/>
  <c r="I948" i="8"/>
  <c r="N946" i="8" s="1"/>
  <c r="I939" i="8"/>
  <c r="I935" i="8"/>
  <c r="I926" i="8"/>
  <c r="I922" i="8"/>
  <c r="I913" i="8"/>
  <c r="I904" i="8"/>
  <c r="I900" i="8"/>
  <c r="I891" i="8"/>
  <c r="I887" i="8"/>
  <c r="I878" i="8"/>
  <c r="I874" i="8"/>
  <c r="I865" i="8"/>
  <c r="I856" i="8"/>
  <c r="I852" i="8"/>
  <c r="I843" i="8"/>
  <c r="I839" i="8"/>
  <c r="I830" i="8"/>
  <c r="I826" i="8"/>
  <c r="I817" i="8"/>
  <c r="I808" i="8"/>
  <c r="I804" i="8"/>
  <c r="I795" i="8"/>
  <c r="I791" i="8"/>
  <c r="I782" i="8"/>
  <c r="I1271" i="8"/>
  <c r="I1224" i="8"/>
  <c r="I1202" i="8"/>
  <c r="I1198" i="8"/>
  <c r="I1189" i="8"/>
  <c r="I1179" i="8"/>
  <c r="I1132" i="8"/>
  <c r="I1118" i="8"/>
  <c r="I1114" i="8"/>
  <c r="I1079" i="8"/>
  <c r="I1032" i="8"/>
  <c r="I1010" i="8"/>
  <c r="I1006" i="8"/>
  <c r="I997" i="8"/>
  <c r="I949" i="8"/>
  <c r="I902" i="8"/>
  <c r="I898" i="8"/>
  <c r="I853" i="8"/>
  <c r="I806" i="8"/>
  <c r="I802" i="8"/>
  <c r="I769" i="8"/>
  <c r="I759" i="8"/>
  <c r="I755" i="8"/>
  <c r="I746" i="8"/>
  <c r="I742" i="8"/>
  <c r="I733" i="8"/>
  <c r="I724" i="8"/>
  <c r="I725" i="8" s="1"/>
  <c r="J725" i="8" s="1"/>
  <c r="I720" i="8"/>
  <c r="I711" i="8"/>
  <c r="I707" i="8"/>
  <c r="I698" i="8"/>
  <c r="I694" i="8"/>
  <c r="I685" i="8"/>
  <c r="I676" i="8"/>
  <c r="I672" i="8"/>
  <c r="I677" i="8" s="1"/>
  <c r="J677" i="8" s="1"/>
  <c r="I663" i="8"/>
  <c r="I659" i="8"/>
  <c r="I650" i="8"/>
  <c r="I646" i="8"/>
  <c r="I637" i="8"/>
  <c r="I628" i="8"/>
  <c r="I624" i="8"/>
  <c r="I615" i="8"/>
  <c r="I611" i="8"/>
  <c r="I602" i="8"/>
  <c r="I598" i="8"/>
  <c r="I589" i="8"/>
  <c r="I1263" i="8"/>
  <c r="I1240" i="8"/>
  <c r="I1163" i="8"/>
  <c r="I1153" i="8"/>
  <c r="I1140" i="8"/>
  <c r="I1071" i="8"/>
  <c r="I1048" i="8"/>
  <c r="I995" i="8"/>
  <c r="I988" i="8"/>
  <c r="I984" i="8"/>
  <c r="I976" i="8"/>
  <c r="I972" i="8"/>
  <c r="I962" i="8"/>
  <c r="I958" i="8"/>
  <c r="I937" i="8"/>
  <c r="I927" i="8"/>
  <c r="I923" i="8"/>
  <c r="I915" i="8"/>
  <c r="I911" i="8"/>
  <c r="I917" i="8" s="1"/>
  <c r="I892" i="8"/>
  <c r="I888" i="8"/>
  <c r="I880" i="8"/>
  <c r="I876" i="8"/>
  <c r="I866" i="8"/>
  <c r="I862" i="8"/>
  <c r="I841" i="8"/>
  <c r="I831" i="8"/>
  <c r="I827" i="8"/>
  <c r="I819" i="8"/>
  <c r="I815" i="8"/>
  <c r="N814" i="8" s="1"/>
  <c r="I796" i="8"/>
  <c r="I792" i="8"/>
  <c r="I784" i="8"/>
  <c r="I780" i="8"/>
  <c r="I785" i="8" s="1"/>
  <c r="I771" i="8"/>
  <c r="I758" i="8"/>
  <c r="I754" i="8"/>
  <c r="I745" i="8"/>
  <c r="I736" i="8"/>
  <c r="I732" i="8"/>
  <c r="N730" i="8" s="1"/>
  <c r="O730" i="8" s="1"/>
  <c r="I723" i="8"/>
  <c r="I719" i="8"/>
  <c r="I710" i="8"/>
  <c r="I706" i="8"/>
  <c r="I697" i="8"/>
  <c r="I688" i="8"/>
  <c r="I684" i="8"/>
  <c r="N682" i="8" s="1"/>
  <c r="I675" i="8"/>
  <c r="I671" i="8"/>
  <c r="N670" i="8" s="1"/>
  <c r="I662" i="8"/>
  <c r="I658" i="8"/>
  <c r="I649" i="8"/>
  <c r="I640" i="8"/>
  <c r="I636" i="8"/>
  <c r="I627" i="8"/>
  <c r="I623" i="8"/>
  <c r="N622" i="8" s="1"/>
  <c r="I614" i="8"/>
  <c r="I610" i="8"/>
  <c r="I601" i="8"/>
  <c r="I592" i="8"/>
  <c r="I588" i="8"/>
  <c r="N586" i="8" s="1"/>
  <c r="I579" i="8"/>
  <c r="I575" i="8"/>
  <c r="N574" i="8" s="1"/>
  <c r="I566" i="8"/>
  <c r="I562" i="8"/>
  <c r="I553" i="8"/>
  <c r="G785" i="8"/>
  <c r="M790" i="8"/>
  <c r="L814" i="8"/>
  <c r="M850" i="8"/>
  <c r="H881" i="8"/>
  <c r="M886" i="8"/>
  <c r="L910" i="8"/>
  <c r="M946" i="8"/>
  <c r="H977" i="8"/>
  <c r="M982" i="8"/>
  <c r="H1013" i="8"/>
  <c r="G1025" i="8"/>
  <c r="M1102" i="8"/>
  <c r="H1133" i="8"/>
  <c r="M1126" i="8"/>
  <c r="L1150" i="8"/>
  <c r="H1169" i="8"/>
  <c r="M1162" i="8"/>
  <c r="G1181" i="8"/>
  <c r="L1174" i="8"/>
  <c r="H1193" i="8"/>
  <c r="H1205" i="8"/>
  <c r="G1217" i="8"/>
  <c r="L766" i="8"/>
  <c r="G797" i="8"/>
  <c r="L850" i="8"/>
  <c r="H869" i="8"/>
  <c r="G881" i="8"/>
  <c r="G893" i="8"/>
  <c r="L946" i="8"/>
  <c r="H965" i="8"/>
  <c r="G977" i="8"/>
  <c r="G989" i="8"/>
  <c r="L1042" i="8"/>
  <c r="G1109" i="8"/>
  <c r="L1162" i="8"/>
  <c r="L1234" i="8"/>
  <c r="G1001" i="8"/>
  <c r="L1018" i="8"/>
  <c r="M1054" i="8"/>
  <c r="H1085" i="8"/>
  <c r="M1090" i="8"/>
  <c r="L1114" i="8"/>
  <c r="M1150" i="8"/>
  <c r="H1181" i="8"/>
  <c r="M1186" i="8"/>
  <c r="L1210" i="8"/>
  <c r="M1246" i="8"/>
  <c r="H1277" i="8"/>
  <c r="M1282" i="8"/>
  <c r="L1006" i="8"/>
  <c r="G1037" i="8"/>
  <c r="G1049" i="8"/>
  <c r="L1102" i="8"/>
  <c r="G1133" i="8"/>
  <c r="G1145" i="8"/>
  <c r="L1198" i="8"/>
  <c r="G1229" i="8"/>
  <c r="G1241" i="8"/>
  <c r="G1301" i="8"/>
  <c r="L1294" i="8"/>
  <c r="C4" i="10"/>
  <c r="F3" i="10"/>
  <c r="E3" i="10"/>
  <c r="G3" i="10" s="1"/>
  <c r="H3" i="10" s="1"/>
  <c r="H1301" i="8"/>
  <c r="M1294" i="8"/>
  <c r="J377" i="8" l="1"/>
  <c r="O1030" i="8"/>
  <c r="O562" i="8"/>
  <c r="O982" i="8"/>
  <c r="O1222" i="8"/>
  <c r="J737" i="8"/>
  <c r="J953" i="8"/>
  <c r="F4" i="10"/>
  <c r="E4" i="10"/>
  <c r="G4" i="10" s="1"/>
  <c r="O1102" i="8"/>
  <c r="J1001" i="8"/>
  <c r="O766" i="8"/>
  <c r="N706" i="8"/>
  <c r="O706" i="8" s="1"/>
  <c r="I713" i="8"/>
  <c r="N874" i="8"/>
  <c r="O874" i="8" s="1"/>
  <c r="I881" i="8"/>
  <c r="N1030" i="8"/>
  <c r="I1037" i="8"/>
  <c r="N1222" i="8"/>
  <c r="I1229" i="8"/>
  <c r="J1229" i="8" s="1"/>
  <c r="N1234" i="8"/>
  <c r="O1234" i="8" s="1"/>
  <c r="I1241" i="8"/>
  <c r="J359" i="8"/>
  <c r="J183" i="8"/>
  <c r="J236" i="8"/>
  <c r="J195" i="8"/>
  <c r="J156" i="8"/>
  <c r="J101" i="8"/>
  <c r="J222" i="8"/>
  <c r="J146" i="8"/>
  <c r="J31" i="8"/>
  <c r="J326" i="8"/>
  <c r="J113" i="8"/>
  <c r="J3" i="8"/>
  <c r="J6" i="8" s="1"/>
  <c r="V3" i="6" s="1"/>
  <c r="J124" i="8"/>
  <c r="J74" i="8"/>
  <c r="J170" i="8"/>
  <c r="J51" i="8"/>
  <c r="J1277" i="8"/>
  <c r="J557" i="8"/>
  <c r="J761" i="8"/>
  <c r="S9" i="6"/>
  <c r="J56" i="8"/>
  <c r="V9" i="6" s="1"/>
  <c r="O357" i="8"/>
  <c r="O1198" i="8"/>
  <c r="J1217" i="8"/>
  <c r="J1025" i="8"/>
  <c r="J785" i="8"/>
  <c r="N826" i="8"/>
  <c r="I833" i="8"/>
  <c r="J833" i="8" s="1"/>
  <c r="N934" i="8"/>
  <c r="O934" i="8" s="1"/>
  <c r="I941" i="8"/>
  <c r="J1265" i="8"/>
  <c r="J821" i="8"/>
  <c r="O670" i="8"/>
  <c r="I581" i="8"/>
  <c r="J581" i="8" s="1"/>
  <c r="O1282" i="8"/>
  <c r="J80" i="8"/>
  <c r="V11" i="6" s="1"/>
  <c r="D80" i="8"/>
  <c r="S11" i="6"/>
  <c r="J1301" i="8"/>
  <c r="J1037" i="8"/>
  <c r="O946" i="8"/>
  <c r="O850" i="8"/>
  <c r="N718" i="8"/>
  <c r="O718" i="8" s="1"/>
  <c r="I905" i="8"/>
  <c r="J905" i="8" s="1"/>
  <c r="N898" i="8"/>
  <c r="I1121" i="8"/>
  <c r="J1121" i="8" s="1"/>
  <c r="N1114" i="8"/>
  <c r="O1114" i="8" s="1"/>
  <c r="N970" i="8"/>
  <c r="O970" i="8" s="1"/>
  <c r="I977" i="8"/>
  <c r="J977" i="8" s="1"/>
  <c r="J1241" i="8"/>
  <c r="J1133" i="8"/>
  <c r="O1210" i="8"/>
  <c r="O1018" i="8"/>
  <c r="J893" i="8"/>
  <c r="J797" i="8"/>
  <c r="O910" i="8"/>
  <c r="O814" i="8"/>
  <c r="N562" i="8"/>
  <c r="I569" i="8"/>
  <c r="J569" i="8" s="1"/>
  <c r="N754" i="8"/>
  <c r="I761" i="8"/>
  <c r="I869" i="8"/>
  <c r="J869" i="8" s="1"/>
  <c r="N862" i="8"/>
  <c r="O862" i="8" s="1"/>
  <c r="N694" i="8"/>
  <c r="O694" i="8" s="1"/>
  <c r="I701" i="8"/>
  <c r="I809" i="8"/>
  <c r="N802" i="8"/>
  <c r="O802" i="8" s="1"/>
  <c r="I1205" i="8"/>
  <c r="N1198" i="8"/>
  <c r="N922" i="8"/>
  <c r="I929" i="8"/>
  <c r="J929" i="8" s="1"/>
  <c r="I1265" i="8"/>
  <c r="N1258" i="8"/>
  <c r="O1258" i="8" s="1"/>
  <c r="N838" i="8"/>
  <c r="O838" i="8" s="1"/>
  <c r="I845" i="8"/>
  <c r="J845" i="8" s="1"/>
  <c r="I1061" i="8"/>
  <c r="J1061" i="8" s="1"/>
  <c r="N1054" i="8"/>
  <c r="N1078" i="8"/>
  <c r="O1078" i="8" s="1"/>
  <c r="I1085" i="8"/>
  <c r="N1270" i="8"/>
  <c r="I1277" i="8"/>
  <c r="N1090" i="8"/>
  <c r="O1090" i="8" s="1"/>
  <c r="I1097" i="8"/>
  <c r="J1097" i="8" s="1"/>
  <c r="N1282" i="8"/>
  <c r="I1289" i="8"/>
  <c r="I1109" i="8"/>
  <c r="J1109" i="8" s="1"/>
  <c r="J941" i="8"/>
  <c r="O1270" i="8"/>
  <c r="I821" i="8"/>
  <c r="J701" i="8"/>
  <c r="J617" i="8"/>
  <c r="J653" i="8"/>
  <c r="O502" i="8"/>
  <c r="O320" i="8"/>
  <c r="N1018" i="8"/>
  <c r="O478" i="8"/>
  <c r="O754" i="8"/>
  <c r="J340" i="8"/>
  <c r="J68" i="8"/>
  <c r="V10" i="6" s="1"/>
  <c r="S10" i="6"/>
  <c r="J24" i="8"/>
  <c r="V6" i="6" s="1"/>
  <c r="O826" i="8"/>
  <c r="I593" i="8"/>
  <c r="J593" i="8" s="1"/>
  <c r="O142" i="8"/>
  <c r="H46" i="8"/>
  <c r="X8" i="6" s="1"/>
  <c r="B1" i="6"/>
  <c r="D3" i="6"/>
  <c r="B5" i="4"/>
  <c r="B6" i="4" s="1"/>
  <c r="J881" i="8"/>
  <c r="N646" i="8"/>
  <c r="I653" i="8"/>
  <c r="I1169" i="8"/>
  <c r="J1169" i="8" s="1"/>
  <c r="N1162" i="8"/>
  <c r="O1162" i="8" s="1"/>
  <c r="N790" i="8"/>
  <c r="O790" i="8" s="1"/>
  <c r="I797" i="8"/>
  <c r="N982" i="8"/>
  <c r="I989" i="8"/>
  <c r="J989" i="8" s="1"/>
  <c r="N1042" i="8"/>
  <c r="O1042" i="8" s="1"/>
  <c r="I1049" i="8"/>
  <c r="I737" i="8"/>
  <c r="O1054" i="8"/>
  <c r="O622" i="8"/>
  <c r="A73" i="8"/>
  <c r="O1294" i="8"/>
  <c r="J1049" i="8"/>
  <c r="N658" i="8"/>
  <c r="O658" i="8" s="1"/>
  <c r="I665" i="8"/>
  <c r="J665" i="8" s="1"/>
  <c r="N598" i="8"/>
  <c r="O598" i="8" s="1"/>
  <c r="I605" i="8"/>
  <c r="J605" i="8" s="1"/>
  <c r="I1073" i="8"/>
  <c r="J1073" i="8" s="1"/>
  <c r="N1066" i="8"/>
  <c r="O1066" i="8" s="1"/>
  <c r="I1253" i="8"/>
  <c r="J1253" i="8" s="1"/>
  <c r="N1246" i="8"/>
  <c r="O1246" i="8" s="1"/>
  <c r="N1174" i="8"/>
  <c r="O1174" i="8" s="1"/>
  <c r="I1181" i="8"/>
  <c r="N994" i="8"/>
  <c r="O994" i="8" s="1"/>
  <c r="I1001" i="8"/>
  <c r="N1186" i="8"/>
  <c r="O1186" i="8" s="1"/>
  <c r="I1193" i="8"/>
  <c r="J1193" i="8" s="1"/>
  <c r="J1205" i="8"/>
  <c r="J809" i="8"/>
  <c r="O922" i="8"/>
  <c r="J917" i="8"/>
  <c r="O234" i="8"/>
  <c r="O333" i="8"/>
  <c r="O85" i="8"/>
  <c r="A5" i="7"/>
  <c r="A6" i="6"/>
  <c r="B6" i="7"/>
  <c r="B7" i="6"/>
  <c r="J1181" i="8"/>
  <c r="N610" i="8"/>
  <c r="O610" i="8" s="1"/>
  <c r="I617" i="8"/>
  <c r="I965" i="8"/>
  <c r="J965" i="8" s="1"/>
  <c r="N958" i="8"/>
  <c r="O958" i="8" s="1"/>
  <c r="N742" i="8"/>
  <c r="O742" i="8" s="1"/>
  <c r="I749" i="8"/>
  <c r="J749" i="8" s="1"/>
  <c r="I1013" i="8"/>
  <c r="J1013" i="8" s="1"/>
  <c r="N1006" i="8"/>
  <c r="O1006" i="8" s="1"/>
  <c r="N886" i="8"/>
  <c r="O886" i="8" s="1"/>
  <c r="I893" i="8"/>
  <c r="I1157" i="8"/>
  <c r="J1157" i="8" s="1"/>
  <c r="N1150" i="8"/>
  <c r="O1150" i="8" s="1"/>
  <c r="N1126" i="8"/>
  <c r="O1126" i="8" s="1"/>
  <c r="I1133" i="8"/>
  <c r="N1138" i="8"/>
  <c r="O1138" i="8" s="1"/>
  <c r="I1145" i="8"/>
  <c r="J1145" i="8" s="1"/>
  <c r="J773" i="8"/>
  <c r="O682" i="8"/>
  <c r="O586" i="8"/>
  <c r="J713" i="8"/>
  <c r="I629" i="8"/>
  <c r="J629" i="8" s="1"/>
  <c r="O574" i="8"/>
  <c r="J229" i="8"/>
  <c r="J857" i="8"/>
  <c r="O646" i="8"/>
  <c r="J521" i="8"/>
  <c r="O454" i="8"/>
  <c r="O898" i="8"/>
  <c r="O430" i="8"/>
  <c r="O167" i="8"/>
  <c r="T11" i="6"/>
  <c r="E80" i="8"/>
  <c r="O258" i="8"/>
  <c r="J1289" i="8"/>
  <c r="J1085" i="8"/>
  <c r="O154" i="8"/>
  <c r="O130" i="8"/>
  <c r="J265" i="8"/>
  <c r="J34" i="8"/>
  <c r="V7" i="6" s="1"/>
  <c r="S7" i="6"/>
  <c r="D111" i="6" l="1"/>
  <c r="D107" i="6"/>
  <c r="D103" i="6"/>
  <c r="D99" i="6"/>
  <c r="D95" i="6"/>
  <c r="D91" i="6"/>
  <c r="D87" i="6"/>
  <c r="D83" i="6"/>
  <c r="D106" i="6"/>
  <c r="D101" i="6"/>
  <c r="D96" i="6"/>
  <c r="D90" i="6"/>
  <c r="D85" i="6"/>
  <c r="D80" i="6"/>
  <c r="D78" i="6"/>
  <c r="D74" i="6"/>
  <c r="D70" i="6"/>
  <c r="D66" i="6"/>
  <c r="D62" i="6"/>
  <c r="D58" i="6"/>
  <c r="D54" i="6"/>
  <c r="D50" i="6"/>
  <c r="D46" i="6"/>
  <c r="D42" i="6"/>
  <c r="D38" i="6"/>
  <c r="D110" i="6"/>
  <c r="D108" i="6"/>
  <c r="D104" i="6"/>
  <c r="D97" i="6"/>
  <c r="D84" i="6"/>
  <c r="D76" i="6"/>
  <c r="D71" i="6"/>
  <c r="D65" i="6"/>
  <c r="D60" i="6"/>
  <c r="D55" i="6"/>
  <c r="D49" i="6"/>
  <c r="D44" i="6"/>
  <c r="D39" i="6"/>
  <c r="D32" i="6"/>
  <c r="D28" i="6"/>
  <c r="D24" i="6"/>
  <c r="D22" i="6"/>
  <c r="D20" i="6"/>
  <c r="D18" i="6"/>
  <c r="D16" i="6"/>
  <c r="D14" i="6"/>
  <c r="D12" i="6"/>
  <c r="D10" i="6"/>
  <c r="D8" i="6"/>
  <c r="D6" i="6"/>
  <c r="D4" i="6"/>
  <c r="D100" i="6"/>
  <c r="D86" i="6"/>
  <c r="D72" i="6"/>
  <c r="D67" i="6"/>
  <c r="D61" i="6"/>
  <c r="D56" i="6"/>
  <c r="D45" i="6"/>
  <c r="D40" i="6"/>
  <c r="D35" i="6"/>
  <c r="D31" i="6"/>
  <c r="D105" i="6"/>
  <c r="D79" i="6"/>
  <c r="D68" i="6"/>
  <c r="D63" i="6"/>
  <c r="D41" i="6"/>
  <c r="D34" i="6"/>
  <c r="D30" i="6"/>
  <c r="D26" i="6"/>
  <c r="D23" i="6"/>
  <c r="D15" i="6"/>
  <c r="D13" i="6"/>
  <c r="D9" i="6"/>
  <c r="D7" i="6"/>
  <c r="D93" i="6"/>
  <c r="D89" i="6"/>
  <c r="D82" i="6"/>
  <c r="D77" i="6"/>
  <c r="D51" i="6"/>
  <c r="D27" i="6"/>
  <c r="D109" i="6"/>
  <c r="D102" i="6"/>
  <c r="D98" i="6"/>
  <c r="D73" i="6"/>
  <c r="D57" i="6"/>
  <c r="D52" i="6"/>
  <c r="D47" i="6"/>
  <c r="D36" i="6"/>
  <c r="D21" i="6"/>
  <c r="D19" i="6"/>
  <c r="D17" i="6"/>
  <c r="D11" i="6"/>
  <c r="D5" i="6"/>
  <c r="D92" i="6"/>
  <c r="D88" i="6"/>
  <c r="D94" i="6"/>
  <c r="D81" i="6"/>
  <c r="D75" i="6"/>
  <c r="D37" i="6"/>
  <c r="D25" i="6"/>
  <c r="D69" i="6"/>
  <c r="D48" i="6"/>
  <c r="D64" i="6"/>
  <c r="D59" i="6"/>
  <c r="D29" i="6"/>
  <c r="D43" i="6"/>
  <c r="D33" i="6"/>
  <c r="D53" i="6"/>
  <c r="E3" i="6"/>
  <c r="H3" i="6" s="1"/>
  <c r="M108" i="6"/>
  <c r="P108" i="6" s="1"/>
  <c r="M104" i="6"/>
  <c r="P104" i="6" s="1"/>
  <c r="M100" i="6"/>
  <c r="P100" i="6" s="1"/>
  <c r="M96" i="6"/>
  <c r="P96" i="6" s="1"/>
  <c r="M92" i="6"/>
  <c r="P92" i="6" s="1"/>
  <c r="M88" i="6"/>
  <c r="P88" i="6" s="1"/>
  <c r="M84" i="6"/>
  <c r="P84" i="6" s="1"/>
  <c r="M80" i="6"/>
  <c r="P80" i="6" s="1"/>
  <c r="M102" i="6"/>
  <c r="P102" i="6" s="1"/>
  <c r="M99" i="6"/>
  <c r="P99" i="6" s="1"/>
  <c r="M97" i="6"/>
  <c r="P97" i="6" s="1"/>
  <c r="M86" i="6"/>
  <c r="P86" i="6" s="1"/>
  <c r="M83" i="6"/>
  <c r="P83" i="6" s="1"/>
  <c r="M81" i="6"/>
  <c r="P81" i="6" s="1"/>
  <c r="M75" i="6"/>
  <c r="P75" i="6" s="1"/>
  <c r="M71" i="6"/>
  <c r="P71" i="6" s="1"/>
  <c r="M67" i="6"/>
  <c r="P67" i="6" s="1"/>
  <c r="M63" i="6"/>
  <c r="P63" i="6" s="1"/>
  <c r="M59" i="6"/>
  <c r="P59" i="6" s="1"/>
  <c r="M55" i="6"/>
  <c r="P55" i="6" s="1"/>
  <c r="M51" i="6"/>
  <c r="P51" i="6" s="1"/>
  <c r="M47" i="6"/>
  <c r="P47" i="6" s="1"/>
  <c r="M43" i="6"/>
  <c r="P43" i="6" s="1"/>
  <c r="M39" i="6"/>
  <c r="P39" i="6" s="1"/>
  <c r="M110" i="6"/>
  <c r="P110" i="6" s="1"/>
  <c r="M77" i="6"/>
  <c r="P77" i="6" s="1"/>
  <c r="M74" i="6"/>
  <c r="P74" i="6" s="1"/>
  <c r="M72" i="6"/>
  <c r="P72" i="6" s="1"/>
  <c r="M61" i="6"/>
  <c r="P61" i="6" s="1"/>
  <c r="M58" i="6"/>
  <c r="P58" i="6" s="1"/>
  <c r="M56" i="6"/>
  <c r="P56" i="6" s="1"/>
  <c r="M45" i="6"/>
  <c r="P45" i="6" s="1"/>
  <c r="M42" i="6"/>
  <c r="P42" i="6" s="1"/>
  <c r="M40" i="6"/>
  <c r="P40" i="6" s="1"/>
  <c r="M33" i="6"/>
  <c r="P33" i="6" s="1"/>
  <c r="M29" i="6"/>
  <c r="P29" i="6" s="1"/>
  <c r="M25" i="6"/>
  <c r="P25" i="6" s="1"/>
  <c r="M93" i="6"/>
  <c r="P93" i="6" s="1"/>
  <c r="M89" i="6"/>
  <c r="P89" i="6" s="1"/>
  <c r="M87" i="6"/>
  <c r="P87" i="6" s="1"/>
  <c r="M85" i="6"/>
  <c r="P85" i="6" s="1"/>
  <c r="M82" i="6"/>
  <c r="P82" i="6" s="1"/>
  <c r="M79" i="6"/>
  <c r="P79" i="6" s="1"/>
  <c r="M70" i="6"/>
  <c r="P70" i="6" s="1"/>
  <c r="M68" i="6"/>
  <c r="P68" i="6" s="1"/>
  <c r="M52" i="6"/>
  <c r="P52" i="6" s="1"/>
  <c r="M41" i="6"/>
  <c r="P41" i="6" s="1"/>
  <c r="M38" i="6"/>
  <c r="P38" i="6" s="1"/>
  <c r="M36" i="6"/>
  <c r="P36" i="6" s="1"/>
  <c r="M32" i="6"/>
  <c r="P32" i="6" s="1"/>
  <c r="M22" i="6"/>
  <c r="P22" i="6" s="1"/>
  <c r="M20" i="6"/>
  <c r="P20" i="6" s="1"/>
  <c r="M16" i="6"/>
  <c r="P16" i="6" s="1"/>
  <c r="M14" i="6"/>
  <c r="P14" i="6" s="1"/>
  <c r="M12" i="6"/>
  <c r="P12" i="6" s="1"/>
  <c r="M8" i="6"/>
  <c r="P8" i="6" s="1"/>
  <c r="I45" i="8" s="1"/>
  <c r="I46" i="8" s="1"/>
  <c r="Y8" i="6" s="1"/>
  <c r="M4" i="6"/>
  <c r="P4" i="6" s="1"/>
  <c r="Y4" i="6" s="1"/>
  <c r="M109" i="6"/>
  <c r="P109" i="6" s="1"/>
  <c r="M103" i="6"/>
  <c r="P103" i="6" s="1"/>
  <c r="M101" i="6"/>
  <c r="P101" i="6" s="1"/>
  <c r="M98" i="6"/>
  <c r="P98" i="6" s="1"/>
  <c r="M95" i="6"/>
  <c r="P95" i="6" s="1"/>
  <c r="M90" i="6"/>
  <c r="P90" i="6" s="1"/>
  <c r="M69" i="6"/>
  <c r="P69" i="6" s="1"/>
  <c r="M66" i="6"/>
  <c r="P66" i="6" s="1"/>
  <c r="M64" i="6"/>
  <c r="P64" i="6" s="1"/>
  <c r="M53" i="6"/>
  <c r="P53" i="6" s="1"/>
  <c r="M50" i="6"/>
  <c r="P50" i="6" s="1"/>
  <c r="M48" i="6"/>
  <c r="P48" i="6" s="1"/>
  <c r="M37" i="6"/>
  <c r="P37" i="6" s="1"/>
  <c r="M35" i="6"/>
  <c r="P35" i="6" s="1"/>
  <c r="M73" i="6"/>
  <c r="P73" i="6" s="1"/>
  <c r="M57" i="6"/>
  <c r="P57" i="6" s="1"/>
  <c r="M54" i="6"/>
  <c r="P54" i="6" s="1"/>
  <c r="M28" i="6"/>
  <c r="P28" i="6" s="1"/>
  <c r="M24" i="6"/>
  <c r="P24" i="6" s="1"/>
  <c r="M18" i="6"/>
  <c r="P18" i="6" s="1"/>
  <c r="M10" i="6"/>
  <c r="P10" i="6" s="1"/>
  <c r="M6" i="6"/>
  <c r="P6" i="6" s="1"/>
  <c r="Y6" i="6" s="1"/>
  <c r="M105" i="6"/>
  <c r="P105" i="6" s="1"/>
  <c r="M91" i="6"/>
  <c r="P91" i="6" s="1"/>
  <c r="M31" i="6"/>
  <c r="P31" i="6" s="1"/>
  <c r="M27" i="6"/>
  <c r="P27" i="6" s="1"/>
  <c r="M107" i="6"/>
  <c r="P107" i="6" s="1"/>
  <c r="M94" i="6"/>
  <c r="P94" i="6" s="1"/>
  <c r="M111" i="6"/>
  <c r="P111" i="6" s="1"/>
  <c r="M106" i="6"/>
  <c r="P106" i="6" s="1"/>
  <c r="M62" i="6"/>
  <c r="P62" i="6" s="1"/>
  <c r="M34" i="6"/>
  <c r="P34" i="6" s="1"/>
  <c r="M21" i="6"/>
  <c r="P21" i="6" s="1"/>
  <c r="M13" i="6"/>
  <c r="P13" i="6" s="1"/>
  <c r="M5" i="6"/>
  <c r="P5" i="6" s="1"/>
  <c r="M26" i="6"/>
  <c r="P26" i="6" s="1"/>
  <c r="M17" i="6"/>
  <c r="P17" i="6" s="1"/>
  <c r="M3" i="6"/>
  <c r="P3" i="6" s="1"/>
  <c r="Y3" i="6" s="1"/>
  <c r="M44" i="6"/>
  <c r="P44" i="6" s="1"/>
  <c r="M19" i="6"/>
  <c r="P19" i="6" s="1"/>
  <c r="M11" i="6"/>
  <c r="P11" i="6" s="1"/>
  <c r="M76" i="6"/>
  <c r="P76" i="6" s="1"/>
  <c r="M46" i="6"/>
  <c r="P46" i="6" s="1"/>
  <c r="M23" i="6"/>
  <c r="P23" i="6" s="1"/>
  <c r="M15" i="6"/>
  <c r="P15" i="6" s="1"/>
  <c r="M7" i="6"/>
  <c r="P7" i="6" s="1"/>
  <c r="I35" i="8" s="1"/>
  <c r="I36" i="8" s="1"/>
  <c r="Y7" i="6" s="1"/>
  <c r="M65" i="6"/>
  <c r="P65" i="6" s="1"/>
  <c r="M60" i="6"/>
  <c r="P60" i="6" s="1"/>
  <c r="M9" i="6"/>
  <c r="P9" i="6" s="1"/>
  <c r="M78" i="6"/>
  <c r="P78" i="6" s="1"/>
  <c r="M49" i="6"/>
  <c r="P49" i="6" s="1"/>
  <c r="M30" i="6"/>
  <c r="P30" i="6" s="1"/>
  <c r="H4" i="10"/>
  <c r="C5" i="10" s="1"/>
  <c r="A7" i="6"/>
  <c r="A6" i="7"/>
  <c r="A85" i="8"/>
  <c r="B7" i="7"/>
  <c r="B8" i="6"/>
  <c r="B8" i="7" l="1"/>
  <c r="B9" i="6"/>
  <c r="A97" i="8"/>
  <c r="A7" i="7"/>
  <c r="A8" i="6"/>
  <c r="J3" i="6"/>
  <c r="I3" i="6"/>
  <c r="N3" i="6" s="1"/>
  <c r="I25" i="8"/>
  <c r="I26" i="8" s="1"/>
  <c r="Y5" i="6"/>
  <c r="C6" i="10"/>
  <c r="F5" i="10"/>
  <c r="E5" i="10"/>
  <c r="G5" i="10" s="1"/>
  <c r="H5" i="10" s="1"/>
  <c r="B9" i="7" l="1"/>
  <c r="B10" i="6"/>
  <c r="K3" i="6"/>
  <c r="W3" i="6"/>
  <c r="Z3" i="6" s="1"/>
  <c r="AA3" i="6" s="1"/>
  <c r="C4" i="6" s="1"/>
  <c r="Q3" i="6"/>
  <c r="A109" i="8"/>
  <c r="E6" i="10"/>
  <c r="G6" i="10" s="1"/>
  <c r="F6" i="10"/>
  <c r="A9" i="6"/>
  <c r="A8" i="7"/>
  <c r="I57" i="8"/>
  <c r="I58" i="8" s="1"/>
  <c r="Y9" i="6" s="1"/>
  <c r="A9" i="7" l="1"/>
  <c r="A10" i="6"/>
  <c r="H69" i="8"/>
  <c r="H70" i="8" s="1"/>
  <c r="X10" i="6" s="1"/>
  <c r="H57" i="8"/>
  <c r="H58" i="8" s="1"/>
  <c r="X9" i="6" s="1"/>
  <c r="B10" i="7"/>
  <c r="B11" i="6"/>
  <c r="I69" i="8"/>
  <c r="I70" i="8" s="1"/>
  <c r="Y10" i="6" s="1"/>
  <c r="H6" i="10"/>
  <c r="C7" i="10" s="1"/>
  <c r="A121" i="8"/>
  <c r="AC4" i="6"/>
  <c r="G4" i="6"/>
  <c r="I4" i="6" s="1"/>
  <c r="N4" i="6" s="1"/>
  <c r="E4" i="6"/>
  <c r="H4" i="6" s="1"/>
  <c r="W4" i="6" l="1"/>
  <c r="Z4" i="6" s="1"/>
  <c r="Q4" i="6"/>
  <c r="K4" i="6"/>
  <c r="A130" i="8"/>
  <c r="B12" i="6"/>
  <c r="B11" i="7"/>
  <c r="A10" i="7"/>
  <c r="A11" i="6"/>
  <c r="AA4" i="6"/>
  <c r="C5" i="6" s="1"/>
  <c r="J4" i="6"/>
  <c r="F7" i="10"/>
  <c r="E7" i="10"/>
  <c r="G7" i="10" s="1"/>
  <c r="H7" i="10" s="1"/>
  <c r="C8" i="10" s="1"/>
  <c r="F8" i="10" l="1"/>
  <c r="E8" i="10"/>
  <c r="G8" i="10" s="1"/>
  <c r="H8" i="10" s="1"/>
  <c r="C9" i="10"/>
  <c r="AC5" i="6"/>
  <c r="G5" i="6"/>
  <c r="E5" i="6"/>
  <c r="H5" i="6" s="1"/>
  <c r="A11" i="7"/>
  <c r="A12" i="6"/>
  <c r="H81" i="8"/>
  <c r="H82" i="8" s="1"/>
  <c r="X11" i="6" s="1"/>
  <c r="Q85" i="8"/>
  <c r="U85" i="8" s="1"/>
  <c r="I81" i="8"/>
  <c r="I82" i="8" s="1"/>
  <c r="Y11" i="6" s="1"/>
  <c r="I93" i="8"/>
  <c r="I94" i="8" s="1"/>
  <c r="H93" i="8"/>
  <c r="H94" i="8" s="1"/>
  <c r="R85" i="8"/>
  <c r="V85" i="8" s="1"/>
  <c r="A142" i="8"/>
  <c r="B13" i="6"/>
  <c r="B12" i="7"/>
  <c r="B13" i="7" l="1"/>
  <c r="B14" i="6"/>
  <c r="J5" i="6"/>
  <c r="F9" i="10"/>
  <c r="E9" i="10"/>
  <c r="G9" i="10" s="1"/>
  <c r="A154" i="8"/>
  <c r="S12" i="6"/>
  <c r="V12" i="6"/>
  <c r="U12" i="6"/>
  <c r="A13" i="6"/>
  <c r="Y12" i="6"/>
  <c r="A12" i="7"/>
  <c r="X12" i="6"/>
  <c r="T12" i="6"/>
  <c r="I5" i="6"/>
  <c r="N5" i="6" s="1"/>
  <c r="B14" i="7" l="1"/>
  <c r="B15" i="6"/>
  <c r="K5" i="6"/>
  <c r="W5" i="6"/>
  <c r="Z5" i="6" s="1"/>
  <c r="AA5" i="6" s="1"/>
  <c r="C6" i="6" s="1"/>
  <c r="G25" i="8"/>
  <c r="G26" i="8" s="1"/>
  <c r="Q5" i="6"/>
  <c r="J25" i="8" s="1"/>
  <c r="J26" i="8" s="1"/>
  <c r="H9" i="10"/>
  <c r="C10" i="10" s="1"/>
  <c r="A13" i="7"/>
  <c r="U13" i="6"/>
  <c r="T13" i="6"/>
  <c r="S13" i="6"/>
  <c r="A14" i="6"/>
  <c r="V13" i="6"/>
  <c r="I117" i="8"/>
  <c r="I118" i="8" s="1"/>
  <c r="R109" i="8"/>
  <c r="H105" i="8"/>
  <c r="H106" i="8" s="1"/>
  <c r="R97" i="8"/>
  <c r="Y13" i="6" s="1"/>
  <c r="Q97" i="8"/>
  <c r="X13" i="6" s="1"/>
  <c r="H117" i="8"/>
  <c r="H118" i="8" s="1"/>
  <c r="Q109" i="8"/>
  <c r="I105" i="8"/>
  <c r="I106" i="8" s="1"/>
  <c r="A167" i="8"/>
  <c r="B15" i="7" l="1"/>
  <c r="B16" i="6"/>
  <c r="A180" i="8"/>
  <c r="S14" i="6"/>
  <c r="V14" i="6"/>
  <c r="U14" i="6"/>
  <c r="A15" i="6"/>
  <c r="Y14" i="6"/>
  <c r="A14" i="7"/>
  <c r="X14" i="6"/>
  <c r="T14" i="6"/>
  <c r="AC6" i="6"/>
  <c r="G6" i="6"/>
  <c r="E6" i="6"/>
  <c r="H6" i="6" s="1"/>
  <c r="F10" i="10"/>
  <c r="E10" i="10"/>
  <c r="G10" i="10" s="1"/>
  <c r="H10" i="10" s="1"/>
  <c r="C11" i="10" s="1"/>
  <c r="F11" i="10" l="1"/>
  <c r="E11" i="10"/>
  <c r="G11" i="10" s="1"/>
  <c r="H11" i="10" s="1"/>
  <c r="C12" i="10" s="1"/>
  <c r="I6" i="6"/>
  <c r="N6" i="6" s="1"/>
  <c r="J6" i="6"/>
  <c r="A192" i="8"/>
  <c r="B16" i="7"/>
  <c r="B17" i="6"/>
  <c r="A15" i="7"/>
  <c r="U15" i="6"/>
  <c r="T15" i="6"/>
  <c r="S15" i="6"/>
  <c r="A16" i="6"/>
  <c r="V15" i="6"/>
  <c r="R130" i="8"/>
  <c r="Q121" i="8"/>
  <c r="X15" i="6" s="1"/>
  <c r="I138" i="8"/>
  <c r="I139" i="8" s="1"/>
  <c r="R121" i="8"/>
  <c r="Y15" i="6" s="1"/>
  <c r="F12" i="10" l="1"/>
  <c r="E12" i="10"/>
  <c r="G12" i="10" s="1"/>
  <c r="H12" i="10" s="1"/>
  <c r="C13" i="10"/>
  <c r="A204" i="8"/>
  <c r="Q130" i="8"/>
  <c r="H138" i="8"/>
  <c r="H139" i="8" s="1"/>
  <c r="A16" i="7"/>
  <c r="S16" i="6"/>
  <c r="V16" i="6"/>
  <c r="U16" i="6"/>
  <c r="A17" i="6"/>
  <c r="Y16" i="6"/>
  <c r="X16" i="6"/>
  <c r="T16" i="6"/>
  <c r="B17" i="7"/>
  <c r="B18" i="6"/>
  <c r="W6" i="6"/>
  <c r="Z6" i="6" s="1"/>
  <c r="AA6" i="6" s="1"/>
  <c r="C7" i="6" s="1"/>
  <c r="Q6" i="6"/>
  <c r="K6" i="6"/>
  <c r="B19" i="6" l="1"/>
  <c r="B18" i="7"/>
  <c r="U17" i="6"/>
  <c r="S17" i="6"/>
  <c r="A17" i="7"/>
  <c r="T17" i="6"/>
  <c r="A18" i="6"/>
  <c r="V17" i="6"/>
  <c r="Q142" i="8"/>
  <c r="X17" i="6" s="1"/>
  <c r="A219" i="8"/>
  <c r="R142" i="8"/>
  <c r="Y17" i="6" s="1"/>
  <c r="I150" i="8"/>
  <c r="I151" i="8" s="1"/>
  <c r="AC7" i="6"/>
  <c r="G7" i="6"/>
  <c r="E7" i="6"/>
  <c r="H7" i="6" s="1"/>
  <c r="F13" i="10"/>
  <c r="E13" i="10"/>
  <c r="G13" i="10" s="1"/>
  <c r="I163" i="8"/>
  <c r="I164" i="8" s="1"/>
  <c r="Q154" i="8"/>
  <c r="H150" i="8"/>
  <c r="H151" i="8" s="1"/>
  <c r="J7" i="6" l="1"/>
  <c r="S18" i="6"/>
  <c r="A19" i="6"/>
  <c r="V18" i="6"/>
  <c r="U18" i="6"/>
  <c r="A18" i="7"/>
  <c r="T18" i="6"/>
  <c r="X18" i="6"/>
  <c r="R167" i="8"/>
  <c r="H13" i="10"/>
  <c r="C14" i="10" s="1"/>
  <c r="I176" i="8"/>
  <c r="I177" i="8" s="1"/>
  <c r="I7" i="6"/>
  <c r="N7" i="6" s="1"/>
  <c r="R154" i="8"/>
  <c r="Y18" i="6" s="1"/>
  <c r="A234" i="8"/>
  <c r="H176" i="8"/>
  <c r="H177" i="8" s="1"/>
  <c r="H163" i="8"/>
  <c r="H164" i="8" s="1"/>
  <c r="B19" i="7"/>
  <c r="B20" i="6"/>
  <c r="A246" i="8" l="1"/>
  <c r="F14" i="10"/>
  <c r="E14" i="10"/>
  <c r="G14" i="10" s="1"/>
  <c r="B20" i="7"/>
  <c r="B21" i="6"/>
  <c r="G35" i="8"/>
  <c r="G36" i="8" s="1"/>
  <c r="W7" i="6" s="1"/>
  <c r="K7" i="6"/>
  <c r="Q7" i="6"/>
  <c r="J35" i="8" s="1"/>
  <c r="J36" i="8" s="1"/>
  <c r="Z7" i="6" s="1"/>
  <c r="AA7" i="6" s="1"/>
  <c r="C8" i="6" s="1"/>
  <c r="Y19" i="6"/>
  <c r="U19" i="6"/>
  <c r="T19" i="6"/>
  <c r="S19" i="6"/>
  <c r="A19" i="7"/>
  <c r="V19" i="6"/>
  <c r="A20" i="6"/>
  <c r="Q167" i="8"/>
  <c r="X19" i="6" s="1"/>
  <c r="A20" i="7" l="1"/>
  <c r="S20" i="6"/>
  <c r="U20" i="6"/>
  <c r="A21" i="6"/>
  <c r="V20" i="6"/>
  <c r="T20" i="6"/>
  <c r="R192" i="8"/>
  <c r="R180" i="8"/>
  <c r="Y20" i="6" s="1"/>
  <c r="Q192" i="8"/>
  <c r="I188" i="8"/>
  <c r="I189" i="8" s="1"/>
  <c r="H200" i="8"/>
  <c r="H201" i="8" s="1"/>
  <c r="H188" i="8"/>
  <c r="H189" i="8" s="1"/>
  <c r="Q180" i="8"/>
  <c r="X20" i="6" s="1"/>
  <c r="H14" i="10"/>
  <c r="C15" i="10" s="1"/>
  <c r="A258" i="8"/>
  <c r="B21" i="7"/>
  <c r="B22" i="6"/>
  <c r="G8" i="6"/>
  <c r="AC8" i="6"/>
  <c r="E8" i="6"/>
  <c r="H8" i="6" s="1"/>
  <c r="B23" i="6" l="1"/>
  <c r="B22" i="7"/>
  <c r="A21" i="7"/>
  <c r="Y21" i="6"/>
  <c r="U21" i="6"/>
  <c r="T21" i="6"/>
  <c r="S21" i="6"/>
  <c r="X21" i="6"/>
  <c r="V21" i="6"/>
  <c r="A22" i="6"/>
  <c r="I200" i="8"/>
  <c r="I201" i="8" s="1"/>
  <c r="I8" i="6"/>
  <c r="N8" i="6" s="1"/>
  <c r="J8" i="6"/>
  <c r="A270" i="8"/>
  <c r="F15" i="10"/>
  <c r="E15" i="10"/>
  <c r="G15" i="10" s="1"/>
  <c r="G45" i="8" l="1"/>
  <c r="G46" i="8" s="1"/>
  <c r="W8" i="6" s="1"/>
  <c r="Q8" i="6"/>
  <c r="J45" i="8" s="1"/>
  <c r="J46" i="8" s="1"/>
  <c r="Z8" i="6" s="1"/>
  <c r="AA8" i="6" s="1"/>
  <c r="C9" i="6" s="1"/>
  <c r="K8" i="6"/>
  <c r="A22" i="7"/>
  <c r="S22" i="6"/>
  <c r="A23" i="6"/>
  <c r="U22" i="6"/>
  <c r="V22" i="6"/>
  <c r="T22" i="6"/>
  <c r="R204" i="8"/>
  <c r="Y22" i="6" s="1"/>
  <c r="Q204" i="8"/>
  <c r="X22" i="6" s="1"/>
  <c r="H215" i="8"/>
  <c r="H216" i="8" s="1"/>
  <c r="A282" i="8"/>
  <c r="I215" i="8"/>
  <c r="I216" i="8" s="1"/>
  <c r="H15" i="10"/>
  <c r="C16" i="10" s="1"/>
  <c r="B24" i="6"/>
  <c r="B23" i="7"/>
  <c r="A23" i="7" l="1"/>
  <c r="U23" i="6"/>
  <c r="T23" i="6"/>
  <c r="S23" i="6"/>
  <c r="V23" i="6"/>
  <c r="A24" i="6"/>
  <c r="R234" i="8"/>
  <c r="Q234" i="8"/>
  <c r="AC9" i="6"/>
  <c r="G9" i="6"/>
  <c r="E9" i="6"/>
  <c r="H9" i="6" s="1"/>
  <c r="R219" i="8"/>
  <c r="Y23" i="6" s="1"/>
  <c r="I230" i="8"/>
  <c r="I231" i="8" s="1"/>
  <c r="F16" i="10"/>
  <c r="E16" i="10"/>
  <c r="G16" i="10" s="1"/>
  <c r="Q219" i="8"/>
  <c r="X23" i="6" s="1"/>
  <c r="B24" i="7"/>
  <c r="B25" i="6"/>
  <c r="H230" i="8"/>
  <c r="H231" i="8" s="1"/>
  <c r="A294" i="8"/>
  <c r="S24" i="6" l="1"/>
  <c r="V24" i="6"/>
  <c r="A25" i="6"/>
  <c r="U24" i="6"/>
  <c r="Y24" i="6"/>
  <c r="A24" i="7"/>
  <c r="X24" i="6"/>
  <c r="T24" i="6"/>
  <c r="I254" i="8"/>
  <c r="I255" i="8" s="1"/>
  <c r="A306" i="8"/>
  <c r="H254" i="8"/>
  <c r="H255" i="8" s="1"/>
  <c r="B25" i="7"/>
  <c r="B26" i="6"/>
  <c r="H16" i="10"/>
  <c r="C17" i="10" s="1"/>
  <c r="I9" i="6"/>
  <c r="N9" i="6" s="1"/>
  <c r="J9" i="6"/>
  <c r="I242" i="8"/>
  <c r="I243" i="8" s="1"/>
  <c r="H242" i="8"/>
  <c r="H243" i="8" s="1"/>
  <c r="B26" i="7" l="1"/>
  <c r="B27" i="6"/>
  <c r="K9" i="6"/>
  <c r="Q9" i="6"/>
  <c r="J57" i="8" s="1"/>
  <c r="J58" i="8" s="1"/>
  <c r="Z9" i="6" s="1"/>
  <c r="AA9" i="6" s="1"/>
  <c r="C10" i="6" s="1"/>
  <c r="A320" i="8"/>
  <c r="F17" i="10"/>
  <c r="E17" i="10"/>
  <c r="G17" i="10" s="1"/>
  <c r="A25" i="7"/>
  <c r="V25" i="6"/>
  <c r="U25" i="6"/>
  <c r="T25" i="6"/>
  <c r="A26" i="6"/>
  <c r="S25" i="6"/>
  <c r="Q246" i="8"/>
  <c r="X25" i="6" s="1"/>
  <c r="I266" i="8"/>
  <c r="I267" i="8" s="1"/>
  <c r="R246" i="8"/>
  <c r="Y25" i="6" s="1"/>
  <c r="A333" i="8" l="1"/>
  <c r="B27" i="7"/>
  <c r="B28" i="6"/>
  <c r="A27" i="6"/>
  <c r="U26" i="6"/>
  <c r="T26" i="6"/>
  <c r="A26" i="7"/>
  <c r="S26" i="6"/>
  <c r="V26" i="6"/>
  <c r="H278" i="8"/>
  <c r="H279" i="8" s="1"/>
  <c r="H266" i="8"/>
  <c r="H267" i="8" s="1"/>
  <c r="R270" i="8"/>
  <c r="Q258" i="8"/>
  <c r="X26" i="6" s="1"/>
  <c r="R258" i="8"/>
  <c r="Y26" i="6" s="1"/>
  <c r="H17" i="10"/>
  <c r="C18" i="10" s="1"/>
  <c r="AC10" i="6"/>
  <c r="G10" i="6"/>
  <c r="E10" i="6"/>
  <c r="H10" i="6" s="1"/>
  <c r="I10" i="6" l="1"/>
  <c r="N10" i="6" s="1"/>
  <c r="A27" i="7"/>
  <c r="T27" i="6"/>
  <c r="S27" i="6"/>
  <c r="V27" i="6"/>
  <c r="A28" i="6"/>
  <c r="U27" i="6"/>
  <c r="Y27" i="6"/>
  <c r="I278" i="8"/>
  <c r="I279" i="8" s="1"/>
  <c r="H290" i="8"/>
  <c r="H291" i="8" s="1"/>
  <c r="Q282" i="8"/>
  <c r="Q270" i="8"/>
  <c r="X27" i="6" s="1"/>
  <c r="I290" i="8"/>
  <c r="I291" i="8" s="1"/>
  <c r="J10" i="6"/>
  <c r="B28" i="7"/>
  <c r="B29" i="6"/>
  <c r="A345" i="8"/>
  <c r="F18" i="10"/>
  <c r="E18" i="10"/>
  <c r="G18" i="10" s="1"/>
  <c r="H18" i="10" s="1"/>
  <c r="C19" i="10" s="1"/>
  <c r="F19" i="10" l="1"/>
  <c r="E19" i="10"/>
  <c r="G19" i="10" s="1"/>
  <c r="H19" i="10" s="1"/>
  <c r="C20" i="10" s="1"/>
  <c r="A357" i="8"/>
  <c r="B30" i="6"/>
  <c r="B29" i="7"/>
  <c r="S28" i="6"/>
  <c r="A28" i="7"/>
  <c r="U28" i="6"/>
  <c r="V28" i="6"/>
  <c r="A29" i="6"/>
  <c r="T28" i="6"/>
  <c r="X28" i="6"/>
  <c r="H302" i="8"/>
  <c r="H303" i="8" s="1"/>
  <c r="Q294" i="8"/>
  <c r="R282" i="8"/>
  <c r="Y28" i="6" s="1"/>
  <c r="Q10" i="6"/>
  <c r="J69" i="8" s="1"/>
  <c r="J70" i="8" s="1"/>
  <c r="Z10" i="6" s="1"/>
  <c r="AA10" i="6" s="1"/>
  <c r="C11" i="6" s="1"/>
  <c r="K10" i="6"/>
  <c r="G69" i="8"/>
  <c r="G70" i="8" s="1"/>
  <c r="W10" i="6" s="1"/>
  <c r="F20" i="10" l="1"/>
  <c r="E20" i="10"/>
  <c r="G20" i="10" s="1"/>
  <c r="H20" i="10" s="1"/>
  <c r="C21" i="10"/>
  <c r="A370" i="8"/>
  <c r="AC11" i="6"/>
  <c r="G11" i="6"/>
  <c r="E11" i="6"/>
  <c r="H11" i="6" s="1"/>
  <c r="I302" i="8"/>
  <c r="I303" i="8" s="1"/>
  <c r="B30" i="7"/>
  <c r="B31" i="6"/>
  <c r="R294" i="8"/>
  <c r="A29" i="7"/>
  <c r="V29" i="6"/>
  <c r="A30" i="6"/>
  <c r="Y29" i="6"/>
  <c r="X29" i="6"/>
  <c r="T29" i="6"/>
  <c r="U29" i="6"/>
  <c r="S29" i="6"/>
  <c r="Q306" i="8"/>
  <c r="R306" i="8"/>
  <c r="I316" i="8"/>
  <c r="I317" i="8" s="1"/>
  <c r="H316" i="8"/>
  <c r="H317" i="8" s="1"/>
  <c r="I11" i="6" l="1"/>
  <c r="N11" i="6" s="1"/>
  <c r="G81" i="8" s="1"/>
  <c r="G82" i="8" s="1"/>
  <c r="W11" i="6" s="1"/>
  <c r="F21" i="10"/>
  <c r="E21" i="10"/>
  <c r="G21" i="10" s="1"/>
  <c r="H21" i="10" s="1"/>
  <c r="C22" i="10" s="1"/>
  <c r="A31" i="6"/>
  <c r="Y30" i="6"/>
  <c r="U30" i="6"/>
  <c r="X30" i="6"/>
  <c r="T30" i="6"/>
  <c r="A30" i="7"/>
  <c r="S30" i="6"/>
  <c r="V30" i="6"/>
  <c r="B32" i="6"/>
  <c r="B31" i="7"/>
  <c r="J11" i="6"/>
  <c r="A382" i="8"/>
  <c r="Q11" i="6" l="1"/>
  <c r="J81" i="8" s="1"/>
  <c r="J82" i="8" s="1"/>
  <c r="Z11" i="6" s="1"/>
  <c r="AA11" i="6" s="1"/>
  <c r="C12" i="6" s="1"/>
  <c r="G12" i="6" s="1"/>
  <c r="K11" i="6"/>
  <c r="E22" i="10"/>
  <c r="G22" i="10" s="1"/>
  <c r="H22" i="10" s="1"/>
  <c r="C23" i="10" s="1"/>
  <c r="F22" i="10"/>
  <c r="B32" i="7"/>
  <c r="B33" i="6"/>
  <c r="AC12" i="6"/>
  <c r="E12" i="6"/>
  <c r="H12" i="6" s="1"/>
  <c r="T31" i="6"/>
  <c r="S31" i="6"/>
  <c r="V31" i="6"/>
  <c r="A31" i="7"/>
  <c r="U31" i="6"/>
  <c r="A32" i="6"/>
  <c r="H341" i="8"/>
  <c r="H342" i="8" s="1"/>
  <c r="I341" i="8"/>
  <c r="I342" i="8" s="1"/>
  <c r="Q320" i="8"/>
  <c r="X31" i="6" s="1"/>
  <c r="R320" i="8"/>
  <c r="Y31" i="6" s="1"/>
  <c r="R333" i="8"/>
  <c r="Q333" i="8"/>
  <c r="I329" i="8"/>
  <c r="I330" i="8" s="1"/>
  <c r="A394" i="8"/>
  <c r="H329" i="8"/>
  <c r="H330" i="8" s="1"/>
  <c r="F23" i="10" l="1"/>
  <c r="E23" i="10"/>
  <c r="G23" i="10" s="1"/>
  <c r="H23" i="10" s="1"/>
  <c r="C24" i="10" s="1"/>
  <c r="A406" i="8"/>
  <c r="J12" i="6"/>
  <c r="B33" i="7"/>
  <c r="B34" i="6"/>
  <c r="A32" i="7"/>
  <c r="S32" i="6"/>
  <c r="V32" i="6"/>
  <c r="Y32" i="6"/>
  <c r="U32" i="6"/>
  <c r="A33" i="6"/>
  <c r="X32" i="6"/>
  <c r="T32" i="6"/>
  <c r="Q345" i="8"/>
  <c r="I12" i="6"/>
  <c r="N12" i="6" s="1"/>
  <c r="F24" i="10" l="1"/>
  <c r="E24" i="10"/>
  <c r="G24" i="10" s="1"/>
  <c r="H24" i="10" s="1"/>
  <c r="C25" i="10"/>
  <c r="A418" i="8"/>
  <c r="Q12" i="6"/>
  <c r="K12" i="6"/>
  <c r="G93" i="8"/>
  <c r="G94" i="8" s="1"/>
  <c r="V33" i="6"/>
  <c r="A34" i="6"/>
  <c r="U33" i="6"/>
  <c r="A33" i="7"/>
  <c r="X33" i="6"/>
  <c r="T33" i="6"/>
  <c r="S33" i="6"/>
  <c r="H353" i="8"/>
  <c r="H354" i="8" s="1"/>
  <c r="Q357" i="8"/>
  <c r="H366" i="8"/>
  <c r="R345" i="8"/>
  <c r="Y33" i="6" s="1"/>
  <c r="R357" i="8"/>
  <c r="I366" i="8"/>
  <c r="I353" i="8"/>
  <c r="I354" i="8" s="1"/>
  <c r="B34" i="7"/>
  <c r="B35" i="6"/>
  <c r="I367" i="8" l="1"/>
  <c r="F366" i="8"/>
  <c r="A34" i="7"/>
  <c r="A35" i="6"/>
  <c r="Y34" i="6"/>
  <c r="U34" i="6"/>
  <c r="X34" i="6"/>
  <c r="T34" i="6"/>
  <c r="S34" i="6"/>
  <c r="V34" i="6"/>
  <c r="H378" i="8"/>
  <c r="H379" i="8" s="1"/>
  <c r="Q370" i="8"/>
  <c r="A430" i="8"/>
  <c r="H367" i="8"/>
  <c r="E366" i="8"/>
  <c r="F25" i="10"/>
  <c r="E25" i="10"/>
  <c r="G25" i="10" s="1"/>
  <c r="H25" i="10" s="1"/>
  <c r="C26" i="10" s="1"/>
  <c r="B36" i="6"/>
  <c r="B35" i="7"/>
  <c r="S85" i="8"/>
  <c r="W85" i="8" s="1"/>
  <c r="Z12" i="6" s="1"/>
  <c r="AA12" i="6" s="1"/>
  <c r="C13" i="6" s="1"/>
  <c r="J93" i="8"/>
  <c r="J94" i="8" s="1"/>
  <c r="F26" i="10" l="1"/>
  <c r="E26" i="10"/>
  <c r="G26" i="10" s="1"/>
  <c r="H26" i="10" s="1"/>
  <c r="C27" i="10" s="1"/>
  <c r="AC13" i="6"/>
  <c r="G13" i="6"/>
  <c r="E13" i="6"/>
  <c r="H13" i="6" s="1"/>
  <c r="A442" i="8"/>
  <c r="B36" i="7"/>
  <c r="B37" i="6"/>
  <c r="A35" i="7"/>
  <c r="A36" i="6"/>
  <c r="X35" i="6"/>
  <c r="T35" i="6"/>
  <c r="S35" i="6"/>
  <c r="V35" i="6"/>
  <c r="U35" i="6"/>
  <c r="I378" i="8"/>
  <c r="I379" i="8" s="1"/>
  <c r="Q382" i="8"/>
  <c r="R382" i="8"/>
  <c r="R370" i="8"/>
  <c r="Y35" i="6" s="1"/>
  <c r="F27" i="10" l="1"/>
  <c r="E27" i="10"/>
  <c r="G27" i="10" s="1"/>
  <c r="H27" i="10" s="1"/>
  <c r="C28" i="10" s="1"/>
  <c r="B37" i="7"/>
  <c r="B38" i="6"/>
  <c r="A454" i="8"/>
  <c r="J13" i="6"/>
  <c r="A36" i="7"/>
  <c r="A37" i="6"/>
  <c r="Y36" i="6"/>
  <c r="U36" i="6"/>
  <c r="T36" i="6"/>
  <c r="X36" i="6"/>
  <c r="S36" i="6"/>
  <c r="V36" i="6"/>
  <c r="H402" i="8"/>
  <c r="H403" i="8" s="1"/>
  <c r="Q394" i="8"/>
  <c r="I390" i="8"/>
  <c r="I391" i="8" s="1"/>
  <c r="R394" i="8"/>
  <c r="H390" i="8"/>
  <c r="H391" i="8" s="1"/>
  <c r="I13" i="6"/>
  <c r="N13" i="6" s="1"/>
  <c r="F28" i="10" l="1"/>
  <c r="E28" i="10"/>
  <c r="G28" i="10" s="1"/>
  <c r="H28" i="10" s="1"/>
  <c r="C29" i="10"/>
  <c r="I402" i="8"/>
  <c r="I403" i="8" s="1"/>
  <c r="B38" i="7"/>
  <c r="B39" i="6"/>
  <c r="A37" i="7"/>
  <c r="X37" i="6"/>
  <c r="T37" i="6"/>
  <c r="U37" i="6"/>
  <c r="A38" i="6"/>
  <c r="Y37" i="6"/>
  <c r="S37" i="6"/>
  <c r="V37" i="6"/>
  <c r="K13" i="6"/>
  <c r="Q13" i="6"/>
  <c r="P97" i="8"/>
  <c r="W13" i="6" s="1"/>
  <c r="H414" i="8"/>
  <c r="H415" i="8" s="1"/>
  <c r="Q406" i="8"/>
  <c r="A466" i="8"/>
  <c r="B39" i="7" l="1"/>
  <c r="B40" i="6"/>
  <c r="F29" i="10"/>
  <c r="E29" i="10"/>
  <c r="G29" i="10" s="1"/>
  <c r="S38" i="6"/>
  <c r="U38" i="6"/>
  <c r="T38" i="6"/>
  <c r="A38" i="7"/>
  <c r="A39" i="6"/>
  <c r="X38" i="6"/>
  <c r="V38" i="6"/>
  <c r="I426" i="8"/>
  <c r="I427" i="8" s="1"/>
  <c r="I414" i="8"/>
  <c r="I415" i="8" s="1"/>
  <c r="R406" i="8"/>
  <c r="Y38" i="6" s="1"/>
  <c r="A478" i="8"/>
  <c r="S97" i="8"/>
  <c r="Z13" i="6" s="1"/>
  <c r="AA13" i="6" s="1"/>
  <c r="C14" i="6" s="1"/>
  <c r="J105" i="8"/>
  <c r="J106" i="8" s="1"/>
  <c r="V39" i="6" l="1"/>
  <c r="A39" i="7"/>
  <c r="U39" i="6"/>
  <c r="T39" i="6"/>
  <c r="S39" i="6"/>
  <c r="A40" i="6"/>
  <c r="R430" i="8"/>
  <c r="Q418" i="8"/>
  <c r="X39" i="6" s="1"/>
  <c r="R418" i="8"/>
  <c r="Y39" i="6" s="1"/>
  <c r="H438" i="8"/>
  <c r="H439" i="8" s="1"/>
  <c r="H426" i="8"/>
  <c r="H427" i="8" s="1"/>
  <c r="B41" i="6"/>
  <c r="B40" i="7"/>
  <c r="I438" i="8"/>
  <c r="I439" i="8" s="1"/>
  <c r="AC14" i="6"/>
  <c r="G14" i="6"/>
  <c r="E14" i="6"/>
  <c r="H14" i="6" s="1"/>
  <c r="A490" i="8"/>
  <c r="H29" i="10"/>
  <c r="C30" i="10" s="1"/>
  <c r="F30" i="10" l="1"/>
  <c r="E30" i="10"/>
  <c r="G30" i="10" s="1"/>
  <c r="H30" i="10" s="1"/>
  <c r="C31" i="10" s="1"/>
  <c r="B41" i="7"/>
  <c r="B42" i="6"/>
  <c r="J14" i="6"/>
  <c r="I14" i="6"/>
  <c r="N14" i="6" s="1"/>
  <c r="A502" i="8"/>
  <c r="A41" i="6"/>
  <c r="Y40" i="6"/>
  <c r="U40" i="6"/>
  <c r="S40" i="6"/>
  <c r="V40" i="6"/>
  <c r="A40" i="7"/>
  <c r="T40" i="6"/>
  <c r="Q430" i="8"/>
  <c r="X40" i="6" s="1"/>
  <c r="F31" i="10" l="1"/>
  <c r="E31" i="10"/>
  <c r="G31" i="10" s="1"/>
  <c r="H31" i="10" s="1"/>
  <c r="C32" i="10" s="1"/>
  <c r="A41" i="7"/>
  <c r="T41" i="6"/>
  <c r="A42" i="6"/>
  <c r="S41" i="6"/>
  <c r="V41" i="6"/>
  <c r="U41" i="6"/>
  <c r="H450" i="8"/>
  <c r="H451" i="8" s="1"/>
  <c r="R454" i="8"/>
  <c r="Q442" i="8"/>
  <c r="X41" i="6" s="1"/>
  <c r="R442" i="8"/>
  <c r="Y41" i="6" s="1"/>
  <c r="I462" i="8"/>
  <c r="I463" i="8" s="1"/>
  <c r="Q14" i="6"/>
  <c r="K14" i="6"/>
  <c r="P109" i="8"/>
  <c r="W14" i="6" s="1"/>
  <c r="G117" i="8"/>
  <c r="G118" i="8" s="1"/>
  <c r="A514" i="8"/>
  <c r="I450" i="8"/>
  <c r="I451" i="8" s="1"/>
  <c r="B42" i="7"/>
  <c r="B43" i="6"/>
  <c r="F32" i="10" l="1"/>
  <c r="E32" i="10"/>
  <c r="G32" i="10" s="1"/>
  <c r="H32" i="10" s="1"/>
  <c r="C33" i="10"/>
  <c r="S42" i="6"/>
  <c r="Y42" i="6"/>
  <c r="T42" i="6"/>
  <c r="A43" i="6"/>
  <c r="A42" i="7"/>
  <c r="V42" i="6"/>
  <c r="U42" i="6"/>
  <c r="A526" i="8"/>
  <c r="S109" i="8"/>
  <c r="Z14" i="6" s="1"/>
  <c r="AA14" i="6" s="1"/>
  <c r="C15" i="6" s="1"/>
  <c r="J117" i="8"/>
  <c r="J118" i="8" s="1"/>
  <c r="Q466" i="8"/>
  <c r="B44" i="6"/>
  <c r="B43" i="7"/>
  <c r="Q454" i="8"/>
  <c r="X42" i="6" s="1"/>
  <c r="H462" i="8"/>
  <c r="H463" i="8" s="1"/>
  <c r="V43" i="6" l="1"/>
  <c r="U43" i="6"/>
  <c r="T43" i="6"/>
  <c r="X43" i="6"/>
  <c r="A44" i="6"/>
  <c r="S43" i="6"/>
  <c r="A43" i="7"/>
  <c r="I486" i="8"/>
  <c r="I487" i="8" s="1"/>
  <c r="H486" i="8"/>
  <c r="H487" i="8" s="1"/>
  <c r="R466" i="8"/>
  <c r="Y43" i="6" s="1"/>
  <c r="I474" i="8"/>
  <c r="I475" i="8" s="1"/>
  <c r="F33" i="10"/>
  <c r="E33" i="10"/>
  <c r="G33" i="10" s="1"/>
  <c r="H33" i="10" s="1"/>
  <c r="C34" i="10" s="1"/>
  <c r="Q478" i="8"/>
  <c r="H474" i="8"/>
  <c r="H475" i="8" s="1"/>
  <c r="B44" i="7"/>
  <c r="B45" i="6"/>
  <c r="AC15" i="6"/>
  <c r="G15" i="6"/>
  <c r="E15" i="6"/>
  <c r="H15" i="6" s="1"/>
  <c r="A538" i="8"/>
  <c r="F34" i="10" l="1"/>
  <c r="E34" i="10"/>
  <c r="G34" i="10" s="1"/>
  <c r="H34" i="10" s="1"/>
  <c r="C35" i="10" s="1"/>
  <c r="A44" i="7"/>
  <c r="A45" i="6"/>
  <c r="U44" i="6"/>
  <c r="T44" i="6"/>
  <c r="V44" i="6"/>
  <c r="X44" i="6"/>
  <c r="S44" i="6"/>
  <c r="A550" i="8"/>
  <c r="J15" i="6"/>
  <c r="B45" i="7"/>
  <c r="B46" i="6"/>
  <c r="H498" i="8"/>
  <c r="H499" i="8" s="1"/>
  <c r="Q490" i="8"/>
  <c r="I15" i="6"/>
  <c r="N15" i="6" s="1"/>
  <c r="R478" i="8"/>
  <c r="Y44" i="6" s="1"/>
  <c r="F35" i="10" l="1"/>
  <c r="E35" i="10"/>
  <c r="G35" i="10" s="1"/>
  <c r="H35" i="10" s="1"/>
  <c r="C36" i="10" s="1"/>
  <c r="A562" i="8"/>
  <c r="K15" i="6"/>
  <c r="Q15" i="6"/>
  <c r="S121" i="8" s="1"/>
  <c r="Z15" i="6" s="1"/>
  <c r="AA15" i="6" s="1"/>
  <c r="C16" i="6" s="1"/>
  <c r="P121" i="8"/>
  <c r="W15" i="6" s="1"/>
  <c r="B46" i="7"/>
  <c r="B47" i="6"/>
  <c r="A45" i="7"/>
  <c r="X45" i="6"/>
  <c r="T45" i="6"/>
  <c r="V45" i="6"/>
  <c r="U45" i="6"/>
  <c r="S45" i="6"/>
  <c r="A46" i="6"/>
  <c r="R490" i="8"/>
  <c r="Y45" i="6" s="1"/>
  <c r="I498" i="8"/>
  <c r="I499" i="8" s="1"/>
  <c r="F36" i="10" l="1"/>
  <c r="E36" i="10"/>
  <c r="G36" i="10" s="1"/>
  <c r="H36" i="10" s="1"/>
  <c r="C37" i="10"/>
  <c r="S46" i="6"/>
  <c r="A46" i="7"/>
  <c r="A47" i="6"/>
  <c r="U46" i="6"/>
  <c r="V46" i="6"/>
  <c r="T46" i="6"/>
  <c r="H510" i="8"/>
  <c r="H511" i="8" s="1"/>
  <c r="I522" i="8"/>
  <c r="I523" i="8" s="1"/>
  <c r="R502" i="8"/>
  <c r="Y46" i="6" s="1"/>
  <c r="H522" i="8"/>
  <c r="H523" i="8" s="1"/>
  <c r="I510" i="8"/>
  <c r="I511" i="8" s="1"/>
  <c r="Q502" i="8"/>
  <c r="X46" i="6" s="1"/>
  <c r="AC16" i="6"/>
  <c r="G16" i="6"/>
  <c r="E16" i="6"/>
  <c r="H16" i="6" s="1"/>
  <c r="B47" i="7"/>
  <c r="B48" i="6"/>
  <c r="A574" i="8"/>
  <c r="B49" i="6" l="1"/>
  <c r="B48" i="7"/>
  <c r="V47" i="6"/>
  <c r="T47" i="6"/>
  <c r="A48" i="6"/>
  <c r="R526" i="8" s="1"/>
  <c r="S47" i="6"/>
  <c r="A47" i="7"/>
  <c r="U47" i="6"/>
  <c r="Q514" i="8"/>
  <c r="X47" i="6" s="1"/>
  <c r="A586" i="8"/>
  <c r="I16" i="6"/>
  <c r="N16" i="6" s="1"/>
  <c r="J16" i="6"/>
  <c r="F37" i="10"/>
  <c r="E37" i="10"/>
  <c r="G37" i="10" s="1"/>
  <c r="H37" i="10" s="1"/>
  <c r="C38" i="10" s="1"/>
  <c r="R514" i="8"/>
  <c r="Y47" i="6" s="1"/>
  <c r="E38" i="10" l="1"/>
  <c r="G38" i="10" s="1"/>
  <c r="F38" i="10"/>
  <c r="Q16" i="6"/>
  <c r="K16" i="6"/>
  <c r="G138" i="8"/>
  <c r="G139" i="8" s="1"/>
  <c r="P130" i="8"/>
  <c r="W16" i="6" s="1"/>
  <c r="A598" i="8"/>
  <c r="A49" i="6"/>
  <c r="Y48" i="6"/>
  <c r="U48" i="6"/>
  <c r="A48" i="7"/>
  <c r="V48" i="6"/>
  <c r="T48" i="6"/>
  <c r="S48" i="6"/>
  <c r="R538" i="8"/>
  <c r="I534" i="8"/>
  <c r="I535" i="8" s="1"/>
  <c r="H546" i="8"/>
  <c r="H547" i="8" s="1"/>
  <c r="Q526" i="8"/>
  <c r="X48" i="6" s="1"/>
  <c r="H534" i="8"/>
  <c r="H535" i="8" s="1"/>
  <c r="B50" i="6"/>
  <c r="B49" i="7"/>
  <c r="A610" i="8" l="1"/>
  <c r="S130" i="8"/>
  <c r="Z16" i="6" s="1"/>
  <c r="AA16" i="6" s="1"/>
  <c r="C17" i="6" s="1"/>
  <c r="J138" i="8"/>
  <c r="J139" i="8" s="1"/>
  <c r="H38" i="10"/>
  <c r="C39" i="10" s="1"/>
  <c r="B50" i="7"/>
  <c r="B51" i="6"/>
  <c r="A49" i="7"/>
  <c r="T49" i="6"/>
  <c r="V49" i="6"/>
  <c r="U49" i="6"/>
  <c r="A50" i="6"/>
  <c r="Y49" i="6"/>
  <c r="S49" i="6"/>
  <c r="I546" i="8"/>
  <c r="I547" i="8" s="1"/>
  <c r="Q550" i="8"/>
  <c r="Q538" i="8"/>
  <c r="X49" i="6" s="1"/>
  <c r="B52" i="6" l="1"/>
  <c r="B51" i="7"/>
  <c r="A622" i="8"/>
  <c r="AC17" i="6"/>
  <c r="G17" i="6"/>
  <c r="E17" i="6"/>
  <c r="H17" i="6" s="1"/>
  <c r="S50" i="6"/>
  <c r="V50" i="6"/>
  <c r="U50" i="6"/>
  <c r="T50" i="6"/>
  <c r="A50" i="7"/>
  <c r="A51" i="6"/>
  <c r="X50" i="6"/>
  <c r="R550" i="8"/>
  <c r="Y50" i="6" s="1"/>
  <c r="I558" i="8"/>
  <c r="I559" i="8" s="1"/>
  <c r="H558" i="8"/>
  <c r="H559" i="8" s="1"/>
  <c r="H570" i="8"/>
  <c r="H571" i="8" s="1"/>
  <c r="F39" i="10"/>
  <c r="E39" i="10"/>
  <c r="G39" i="10" s="1"/>
  <c r="H39" i="10" s="1"/>
  <c r="C40" i="10" s="1"/>
  <c r="I17" i="6" l="1"/>
  <c r="N17" i="6" s="1"/>
  <c r="F40" i="10"/>
  <c r="E40" i="10"/>
  <c r="G40" i="10" s="1"/>
  <c r="H40" i="10" s="1"/>
  <c r="C41" i="10"/>
  <c r="K17" i="6"/>
  <c r="Q17" i="6"/>
  <c r="V51" i="6"/>
  <c r="A52" i="6"/>
  <c r="S51" i="6"/>
  <c r="U51" i="6"/>
  <c r="A51" i="7"/>
  <c r="T51" i="6"/>
  <c r="H582" i="8"/>
  <c r="H583" i="8" s="1"/>
  <c r="Q562" i="8"/>
  <c r="X51" i="6" s="1"/>
  <c r="I570" i="8"/>
  <c r="I571" i="8" s="1"/>
  <c r="B53" i="6"/>
  <c r="B52" i="7"/>
  <c r="R562" i="8"/>
  <c r="Y51" i="6" s="1"/>
  <c r="J17" i="6"/>
  <c r="A634" i="8"/>
  <c r="A646" i="8" l="1"/>
  <c r="F41" i="10"/>
  <c r="E41" i="10"/>
  <c r="G41" i="10" s="1"/>
  <c r="A52" i="7"/>
  <c r="A53" i="6"/>
  <c r="U52" i="6"/>
  <c r="T52" i="6"/>
  <c r="S52" i="6"/>
  <c r="V52" i="6"/>
  <c r="I582" i="8"/>
  <c r="I583" i="8" s="1"/>
  <c r="Q574" i="8"/>
  <c r="X52" i="6" s="1"/>
  <c r="B53" i="7"/>
  <c r="B54" i="6"/>
  <c r="H594" i="8"/>
  <c r="H595" i="8" s="1"/>
  <c r="R574" i="8"/>
  <c r="Y52" i="6" s="1"/>
  <c r="Q586" i="8"/>
  <c r="B54" i="7" l="1"/>
  <c r="B55" i="6"/>
  <c r="Q598" i="8"/>
  <c r="A53" i="7"/>
  <c r="X53" i="6"/>
  <c r="T53" i="6"/>
  <c r="U53" i="6"/>
  <c r="A54" i="6"/>
  <c r="S53" i="6"/>
  <c r="V53" i="6"/>
  <c r="R598" i="8"/>
  <c r="I594" i="8"/>
  <c r="I595" i="8" s="1"/>
  <c r="H41" i="10"/>
  <c r="C42" i="10" s="1"/>
  <c r="I606" i="8"/>
  <c r="I607" i="8" s="1"/>
  <c r="A658" i="8"/>
  <c r="A670" i="8" l="1"/>
  <c r="F42" i="10"/>
  <c r="E42" i="10"/>
  <c r="G42" i="10" s="1"/>
  <c r="B55" i="7"/>
  <c r="B56" i="6"/>
  <c r="S54" i="6"/>
  <c r="U54" i="6"/>
  <c r="Y54" i="6"/>
  <c r="T54" i="6"/>
  <c r="A55" i="6"/>
  <c r="A54" i="7"/>
  <c r="X54" i="6"/>
  <c r="V54" i="6"/>
  <c r="Q610" i="8"/>
  <c r="H606" i="8"/>
  <c r="H607" i="8" s="1"/>
  <c r="B57" i="6" l="1"/>
  <c r="B56" i="7"/>
  <c r="V55" i="6"/>
  <c r="A55" i="7"/>
  <c r="U55" i="6"/>
  <c r="T55" i="6"/>
  <c r="A56" i="6"/>
  <c r="X55" i="6"/>
  <c r="S55" i="6"/>
  <c r="I618" i="8"/>
  <c r="I619" i="8" s="1"/>
  <c r="H618" i="8"/>
  <c r="H619" i="8" s="1"/>
  <c r="R622" i="8"/>
  <c r="R610" i="8"/>
  <c r="Y55" i="6" s="1"/>
  <c r="Q622" i="8"/>
  <c r="A682" i="8"/>
  <c r="I630" i="8"/>
  <c r="I631" i="8" s="1"/>
  <c r="H42" i="10"/>
  <c r="C43" i="10" s="1"/>
  <c r="A57" i="6" l="1"/>
  <c r="Y56" i="6"/>
  <c r="U56" i="6"/>
  <c r="X56" i="6"/>
  <c r="S56" i="6"/>
  <c r="A56" i="7"/>
  <c r="V56" i="6"/>
  <c r="T56" i="6"/>
  <c r="H630" i="8"/>
  <c r="H631" i="8" s="1"/>
  <c r="H642" i="8"/>
  <c r="H643" i="8" s="1"/>
  <c r="A694" i="8"/>
  <c r="F43" i="10"/>
  <c r="E43" i="10"/>
  <c r="G43" i="10" s="1"/>
  <c r="H43" i="10" s="1"/>
  <c r="C44" i="10" s="1"/>
  <c r="B57" i="7"/>
  <c r="B58" i="6"/>
  <c r="F44" i="10" l="1"/>
  <c r="E44" i="10"/>
  <c r="G44" i="10" s="1"/>
  <c r="H44" i="10" s="1"/>
  <c r="C45" i="10"/>
  <c r="B58" i="7"/>
  <c r="B59" i="6"/>
  <c r="A706" i="8"/>
  <c r="A57" i="7"/>
  <c r="T57" i="6"/>
  <c r="A58" i="6"/>
  <c r="Y57" i="6"/>
  <c r="S57" i="6"/>
  <c r="V57" i="6"/>
  <c r="U57" i="6"/>
  <c r="I654" i="8"/>
  <c r="I655" i="8" s="1"/>
  <c r="Q634" i="8"/>
  <c r="X57" i="6" s="1"/>
  <c r="R646" i="8"/>
  <c r="R634" i="8"/>
  <c r="F45" i="10" l="1"/>
  <c r="E45" i="10"/>
  <c r="G45" i="10" s="1"/>
  <c r="A718" i="8"/>
  <c r="S58" i="6"/>
  <c r="Y58" i="6"/>
  <c r="T58" i="6"/>
  <c r="A58" i="7"/>
  <c r="A59" i="6"/>
  <c r="V58" i="6"/>
  <c r="U58" i="6"/>
  <c r="Q658" i="8"/>
  <c r="Q646" i="8"/>
  <c r="X58" i="6" s="1"/>
  <c r="H666" i="8"/>
  <c r="H667" i="8" s="1"/>
  <c r="H654" i="8"/>
  <c r="H655" i="8" s="1"/>
  <c r="B60" i="6"/>
  <c r="B59" i="7"/>
  <c r="H678" i="8" l="1"/>
  <c r="H679" i="8" s="1"/>
  <c r="I666" i="8"/>
  <c r="I667" i="8" s="1"/>
  <c r="H45" i="10"/>
  <c r="C46" i="10" s="1"/>
  <c r="V59" i="6"/>
  <c r="U59" i="6"/>
  <c r="A60" i="6"/>
  <c r="S59" i="6"/>
  <c r="T59" i="6"/>
  <c r="X59" i="6"/>
  <c r="A59" i="7"/>
  <c r="I678" i="8"/>
  <c r="I679" i="8" s="1"/>
  <c r="R658" i="8"/>
  <c r="Y59" i="6" s="1"/>
  <c r="Q670" i="8"/>
  <c r="B60" i="7"/>
  <c r="B61" i="6"/>
  <c r="A730" i="8"/>
  <c r="A742" i="8" l="1"/>
  <c r="C47" i="10"/>
  <c r="F46" i="10"/>
  <c r="E46" i="10"/>
  <c r="G46" i="10" s="1"/>
  <c r="H46" i="10" s="1"/>
  <c r="B61" i="7"/>
  <c r="B62" i="6"/>
  <c r="A60" i="7"/>
  <c r="A61" i="6"/>
  <c r="U60" i="6"/>
  <c r="V60" i="6"/>
  <c r="T60" i="6"/>
  <c r="S60" i="6"/>
  <c r="X60" i="6"/>
  <c r="R670" i="8"/>
  <c r="Y60" i="6" s="1"/>
  <c r="I690" i="8"/>
  <c r="I691" i="8" s="1"/>
  <c r="A61" i="7" l="1"/>
  <c r="T61" i="6"/>
  <c r="V61" i="6"/>
  <c r="U61" i="6"/>
  <c r="A62" i="6"/>
  <c r="S61" i="6"/>
  <c r="H702" i="8"/>
  <c r="H703" i="8" s="1"/>
  <c r="R694" i="8"/>
  <c r="R682" i="8"/>
  <c r="Y61" i="6" s="1"/>
  <c r="Q682" i="8"/>
  <c r="X61" i="6" s="1"/>
  <c r="H690" i="8"/>
  <c r="H691" i="8" s="1"/>
  <c r="B62" i="7"/>
  <c r="B63" i="6"/>
  <c r="C48" i="10"/>
  <c r="F47" i="10"/>
  <c r="E47" i="10"/>
  <c r="G47" i="10" s="1"/>
  <c r="H47" i="10" s="1"/>
  <c r="A754" i="8"/>
  <c r="F48" i="10" l="1"/>
  <c r="E48" i="10"/>
  <c r="G48" i="10" s="1"/>
  <c r="H48" i="10" s="1"/>
  <c r="C49" i="10"/>
  <c r="A766" i="8"/>
  <c r="B63" i="7"/>
  <c r="B64" i="6"/>
  <c r="S62" i="6"/>
  <c r="A62" i="7"/>
  <c r="A63" i="6"/>
  <c r="U62" i="6"/>
  <c r="V62" i="6"/>
  <c r="Y62" i="6"/>
  <c r="T62" i="6"/>
  <c r="I714" i="8"/>
  <c r="I715" i="8" s="1"/>
  <c r="I702" i="8"/>
  <c r="I703" i="8" s="1"/>
  <c r="Q694" i="8"/>
  <c r="X62" i="6" s="1"/>
  <c r="Q706" i="8"/>
  <c r="A778" i="8" l="1"/>
  <c r="V63" i="6"/>
  <c r="T63" i="6"/>
  <c r="A64" i="6"/>
  <c r="S63" i="6"/>
  <c r="X63" i="6"/>
  <c r="A63" i="7"/>
  <c r="U63" i="6"/>
  <c r="H714" i="8"/>
  <c r="H715" i="8" s="1"/>
  <c r="I726" i="8"/>
  <c r="I727" i="8" s="1"/>
  <c r="R706" i="8"/>
  <c r="Y63" i="6" s="1"/>
  <c r="R718" i="8"/>
  <c r="B65" i="6"/>
  <c r="B64" i="7"/>
  <c r="C50" i="10"/>
  <c r="F49" i="10"/>
  <c r="E49" i="10"/>
  <c r="G49" i="10" s="1"/>
  <c r="H49" i="10" s="1"/>
  <c r="B65" i="7" l="1"/>
  <c r="B66" i="6"/>
  <c r="A65" i="6"/>
  <c r="Y64" i="6"/>
  <c r="U64" i="6"/>
  <c r="A64" i="7"/>
  <c r="V64" i="6"/>
  <c r="T64" i="6"/>
  <c r="S64" i="6"/>
  <c r="R730" i="8"/>
  <c r="F50" i="10"/>
  <c r="E50" i="10"/>
  <c r="G50" i="10" s="1"/>
  <c r="Q718" i="8"/>
  <c r="X64" i="6" s="1"/>
  <c r="H726" i="8"/>
  <c r="H727" i="8" s="1"/>
  <c r="A790" i="8"/>
  <c r="I738" i="8" l="1"/>
  <c r="I739" i="8" s="1"/>
  <c r="B66" i="7"/>
  <c r="B67" i="6"/>
  <c r="A65" i="7"/>
  <c r="T65" i="6"/>
  <c r="V65" i="6"/>
  <c r="A66" i="6"/>
  <c r="S65" i="6"/>
  <c r="U65" i="6"/>
  <c r="Y65" i="6"/>
  <c r="Q742" i="8"/>
  <c r="I750" i="8"/>
  <c r="I751" i="8" s="1"/>
  <c r="H738" i="8"/>
  <c r="H739" i="8" s="1"/>
  <c r="R742" i="8"/>
  <c r="H750" i="8"/>
  <c r="H751" i="8" s="1"/>
  <c r="Q730" i="8"/>
  <c r="X65" i="6" s="1"/>
  <c r="A802" i="8"/>
  <c r="H50" i="10"/>
  <c r="C51" i="10" s="1"/>
  <c r="B68" i="6" l="1"/>
  <c r="B67" i="7"/>
  <c r="C52" i="10"/>
  <c r="F51" i="10"/>
  <c r="E51" i="10"/>
  <c r="G51" i="10" s="1"/>
  <c r="H51" i="10" s="1"/>
  <c r="A814" i="8"/>
  <c r="S66" i="6"/>
  <c r="V66" i="6"/>
  <c r="Y66" i="6"/>
  <c r="U66" i="6"/>
  <c r="T66" i="6"/>
  <c r="A66" i="7"/>
  <c r="A67" i="6"/>
  <c r="X66" i="6"/>
  <c r="F52" i="10" l="1"/>
  <c r="E52" i="10"/>
  <c r="G52" i="10" s="1"/>
  <c r="H762" i="8"/>
  <c r="H763" i="8" s="1"/>
  <c r="B68" i="7"/>
  <c r="B69" i="6"/>
  <c r="V67" i="6"/>
  <c r="A68" i="6"/>
  <c r="S67" i="6"/>
  <c r="A67" i="7"/>
  <c r="U67" i="6"/>
  <c r="T67" i="6"/>
  <c r="R754" i="8"/>
  <c r="Y67" i="6" s="1"/>
  <c r="Q754" i="8"/>
  <c r="X67" i="6" s="1"/>
  <c r="A826" i="8"/>
  <c r="A68" i="7" l="1"/>
  <c r="A69" i="6"/>
  <c r="Y68" i="6"/>
  <c r="U68" i="6"/>
  <c r="T68" i="6"/>
  <c r="S68" i="6"/>
  <c r="V68" i="6"/>
  <c r="I774" i="8"/>
  <c r="I775" i="8" s="1"/>
  <c r="A838" i="8"/>
  <c r="R766" i="8"/>
  <c r="H774" i="8"/>
  <c r="H775" i="8" s="1"/>
  <c r="Q766" i="8"/>
  <c r="X68" i="6" s="1"/>
  <c r="B69" i="7"/>
  <c r="B70" i="6"/>
  <c r="H52" i="10"/>
  <c r="C53" i="10" s="1"/>
  <c r="B70" i="7" l="1"/>
  <c r="B71" i="6"/>
  <c r="A850" i="8"/>
  <c r="A69" i="7"/>
  <c r="T69" i="6"/>
  <c r="U69" i="6"/>
  <c r="A70" i="6"/>
  <c r="S69" i="6"/>
  <c r="V69" i="6"/>
  <c r="R790" i="8"/>
  <c r="R778" i="8"/>
  <c r="Y69" i="6" s="1"/>
  <c r="I798" i="8"/>
  <c r="I799" i="8" s="1"/>
  <c r="F53" i="10"/>
  <c r="E53" i="10"/>
  <c r="G53" i="10" s="1"/>
  <c r="H53" i="10" s="1"/>
  <c r="C54" i="10" s="1"/>
  <c r="H786" i="8"/>
  <c r="H787" i="8" s="1"/>
  <c r="I786" i="8"/>
  <c r="I787" i="8" s="1"/>
  <c r="Q790" i="8"/>
  <c r="E54" i="10" l="1"/>
  <c r="G54" i="10" s="1"/>
  <c r="F54" i="10"/>
  <c r="B71" i="7"/>
  <c r="B72" i="6"/>
  <c r="S70" i="6"/>
  <c r="U70" i="6"/>
  <c r="Y70" i="6"/>
  <c r="A70" i="7"/>
  <c r="X70" i="6"/>
  <c r="T70" i="6"/>
  <c r="A71" i="6"/>
  <c r="V70" i="6"/>
  <c r="I810" i="8"/>
  <c r="I811" i="8" s="1"/>
  <c r="H798" i="8"/>
  <c r="H799" i="8" s="1"/>
  <c r="H810" i="8"/>
  <c r="H811" i="8" s="1"/>
  <c r="A862" i="8"/>
  <c r="V71" i="6" l="1"/>
  <c r="A71" i="7"/>
  <c r="U71" i="6"/>
  <c r="T71" i="6"/>
  <c r="S71" i="6"/>
  <c r="A72" i="6"/>
  <c r="I822" i="8"/>
  <c r="I823" i="8" s="1"/>
  <c r="R802" i="8"/>
  <c r="Y71" i="6" s="1"/>
  <c r="R814" i="8"/>
  <c r="Q802" i="8"/>
  <c r="X71" i="6" s="1"/>
  <c r="H54" i="10"/>
  <c r="C55" i="10" s="1"/>
  <c r="A874" i="8"/>
  <c r="Q814" i="8"/>
  <c r="B73" i="6"/>
  <c r="B72" i="7"/>
  <c r="B73" i="7" l="1"/>
  <c r="B74" i="6"/>
  <c r="A886" i="8"/>
  <c r="C56" i="10"/>
  <c r="F55" i="10"/>
  <c r="E55" i="10"/>
  <c r="G55" i="10" s="1"/>
  <c r="H55" i="10" s="1"/>
  <c r="A73" i="6"/>
  <c r="Y72" i="6"/>
  <c r="U72" i="6"/>
  <c r="X72" i="6"/>
  <c r="S72" i="6"/>
  <c r="A72" i="7"/>
  <c r="V72" i="6"/>
  <c r="T72" i="6"/>
  <c r="H822" i="8"/>
  <c r="H823" i="8" s="1"/>
  <c r="F56" i="10" l="1"/>
  <c r="E56" i="10"/>
  <c r="G56" i="10" s="1"/>
  <c r="H56" i="10" s="1"/>
  <c r="C57" i="10"/>
  <c r="A73" i="7"/>
  <c r="T73" i="6"/>
  <c r="A74" i="6"/>
  <c r="S73" i="6"/>
  <c r="V73" i="6"/>
  <c r="U73" i="6"/>
  <c r="R826" i="8"/>
  <c r="Y73" i="6" s="1"/>
  <c r="H846" i="8"/>
  <c r="H847" i="8" s="1"/>
  <c r="R838" i="8"/>
  <c r="I834" i="8"/>
  <c r="I835" i="8" s="1"/>
  <c r="Q838" i="8"/>
  <c r="Q826" i="8"/>
  <c r="X73" i="6" s="1"/>
  <c r="A898" i="8"/>
  <c r="I846" i="8"/>
  <c r="I847" i="8" s="1"/>
  <c r="B74" i="7"/>
  <c r="B75" i="6"/>
  <c r="H834" i="8"/>
  <c r="H835" i="8" s="1"/>
  <c r="B76" i="6" l="1"/>
  <c r="B75" i="7"/>
  <c r="A910" i="8"/>
  <c r="S74" i="6"/>
  <c r="Y74" i="6"/>
  <c r="T74" i="6"/>
  <c r="A75" i="6"/>
  <c r="V74" i="6"/>
  <c r="A74" i="7"/>
  <c r="X74" i="6"/>
  <c r="U74" i="6"/>
  <c r="R850" i="8"/>
  <c r="F57" i="10"/>
  <c r="E57" i="10"/>
  <c r="G57" i="10" s="1"/>
  <c r="H57" i="10" s="1"/>
  <c r="C58" i="10" s="1"/>
  <c r="H858" i="8"/>
  <c r="H859" i="8" s="1"/>
  <c r="F58" i="10" l="1"/>
  <c r="E58" i="10"/>
  <c r="G58" i="10" s="1"/>
  <c r="H58" i="10" s="1"/>
  <c r="C59" i="10" s="1"/>
  <c r="V75" i="6"/>
  <c r="U75" i="6"/>
  <c r="Y75" i="6"/>
  <c r="T75" i="6"/>
  <c r="S75" i="6"/>
  <c r="A76" i="6"/>
  <c r="A75" i="7"/>
  <c r="I858" i="8"/>
  <c r="I859" i="8" s="1"/>
  <c r="A922" i="8"/>
  <c r="R862" i="8"/>
  <c r="Q850" i="8"/>
  <c r="X75" i="6" s="1"/>
  <c r="Q862" i="8"/>
  <c r="I870" i="8"/>
  <c r="I871" i="8" s="1"/>
  <c r="B76" i="7"/>
  <c r="B77" i="6"/>
  <c r="F59" i="10" l="1"/>
  <c r="E59" i="10"/>
  <c r="G59" i="10" s="1"/>
  <c r="H59" i="10" s="1"/>
  <c r="C60" i="10" s="1"/>
  <c r="A934" i="8"/>
  <c r="A76" i="7"/>
  <c r="A77" i="6"/>
  <c r="Y76" i="6"/>
  <c r="U76" i="6"/>
  <c r="T76" i="6"/>
  <c r="V76" i="6"/>
  <c r="S76" i="6"/>
  <c r="X76" i="6"/>
  <c r="B77" i="7"/>
  <c r="B78" i="6"/>
  <c r="Q874" i="8"/>
  <c r="I882" i="8"/>
  <c r="I883" i="8" s="1"/>
  <c r="H870" i="8"/>
  <c r="H871" i="8" s="1"/>
  <c r="H882" i="8"/>
  <c r="H883" i="8" s="1"/>
  <c r="F60" i="10" l="1"/>
  <c r="E60" i="10"/>
  <c r="G60" i="10" s="1"/>
  <c r="H60" i="10" s="1"/>
  <c r="C61" i="10"/>
  <c r="B78" i="7"/>
  <c r="B79" i="6"/>
  <c r="A77" i="7"/>
  <c r="X77" i="6"/>
  <c r="T77" i="6"/>
  <c r="U77" i="6"/>
  <c r="V77" i="6"/>
  <c r="S77" i="6"/>
  <c r="A78" i="6"/>
  <c r="I894" i="8"/>
  <c r="I895" i="8" s="1"/>
  <c r="Q886" i="8"/>
  <c r="A946" i="8"/>
  <c r="A958" i="8" l="1"/>
  <c r="S78" i="6"/>
  <c r="A79" i="6"/>
  <c r="X78" i="6"/>
  <c r="U78" i="6"/>
  <c r="A78" i="7"/>
  <c r="V78" i="6"/>
  <c r="Y78" i="6"/>
  <c r="T78" i="6"/>
  <c r="R886" i="8"/>
  <c r="C62" i="10"/>
  <c r="F61" i="10"/>
  <c r="E61" i="10"/>
  <c r="G61" i="10" s="1"/>
  <c r="H61" i="10" s="1"/>
  <c r="H894" i="8"/>
  <c r="H895" i="8" s="1"/>
  <c r="B79" i="7"/>
  <c r="B80" i="6"/>
  <c r="F62" i="10" l="1"/>
  <c r="E62" i="10"/>
  <c r="G62" i="10" s="1"/>
  <c r="H62" i="10" s="1"/>
  <c r="C63" i="10" s="1"/>
  <c r="S79" i="6"/>
  <c r="U79" i="6"/>
  <c r="A79" i="7"/>
  <c r="A80" i="6"/>
  <c r="V79" i="6"/>
  <c r="T79" i="6"/>
  <c r="R910" i="8"/>
  <c r="B81" i="6"/>
  <c r="B80" i="7"/>
  <c r="Q898" i="8"/>
  <c r="X79" i="6" s="1"/>
  <c r="H918" i="8"/>
  <c r="H919" i="8" s="1"/>
  <c r="H906" i="8"/>
  <c r="H907" i="8" s="1"/>
  <c r="R898" i="8"/>
  <c r="Y79" i="6" s="1"/>
  <c r="Q910" i="8"/>
  <c r="I906" i="8"/>
  <c r="I907" i="8" s="1"/>
  <c r="A970" i="8"/>
  <c r="F63" i="10" l="1"/>
  <c r="E63" i="10"/>
  <c r="G63" i="10" s="1"/>
  <c r="H63" i="10" s="1"/>
  <c r="C64" i="10" s="1"/>
  <c r="A982" i="8"/>
  <c r="B82" i="6"/>
  <c r="B81" i="7"/>
  <c r="V80" i="6"/>
  <c r="Y80" i="6"/>
  <c r="S80" i="6"/>
  <c r="A81" i="6"/>
  <c r="U80" i="6"/>
  <c r="X80" i="6"/>
  <c r="A80" i="7"/>
  <c r="T80" i="6"/>
  <c r="I918" i="8"/>
  <c r="I919" i="8" s="1"/>
  <c r="F64" i="10" l="1"/>
  <c r="E64" i="10"/>
  <c r="G64" i="10" s="1"/>
  <c r="H64" i="10" s="1"/>
  <c r="C65" i="10"/>
  <c r="A81" i="7"/>
  <c r="A82" i="6"/>
  <c r="U81" i="6"/>
  <c r="S81" i="6"/>
  <c r="T81" i="6"/>
  <c r="V81" i="6"/>
  <c r="H942" i="8"/>
  <c r="H943" i="8" s="1"/>
  <c r="H930" i="8"/>
  <c r="H931" i="8" s="1"/>
  <c r="I942" i="8"/>
  <c r="I943" i="8" s="1"/>
  <c r="Q922" i="8"/>
  <c r="X81" i="6" s="1"/>
  <c r="R922" i="8"/>
  <c r="Y81" i="6" s="1"/>
  <c r="R934" i="8"/>
  <c r="A994" i="8"/>
  <c r="Q934" i="8"/>
  <c r="I930" i="8"/>
  <c r="I931" i="8" s="1"/>
  <c r="B82" i="7"/>
  <c r="B83" i="6"/>
  <c r="F65" i="10" l="1"/>
  <c r="E65" i="10"/>
  <c r="G65" i="10" s="1"/>
  <c r="H65" i="10" s="1"/>
  <c r="C66" i="10" s="1"/>
  <c r="B84" i="6"/>
  <c r="B83" i="7"/>
  <c r="A1006" i="8"/>
  <c r="X82" i="6"/>
  <c r="T82" i="6"/>
  <c r="A83" i="6"/>
  <c r="Y82" i="6"/>
  <c r="S82" i="6"/>
  <c r="A82" i="7"/>
  <c r="V82" i="6"/>
  <c r="U82" i="6"/>
  <c r="F66" i="10" l="1"/>
  <c r="E66" i="10"/>
  <c r="G66" i="10" s="1"/>
  <c r="H66" i="10" s="1"/>
  <c r="C67" i="10" s="1"/>
  <c r="A1018" i="8"/>
  <c r="B85" i="6"/>
  <c r="B84" i="7"/>
  <c r="S83" i="6"/>
  <c r="T83" i="6"/>
  <c r="A84" i="6"/>
  <c r="V83" i="6"/>
  <c r="U83" i="6"/>
  <c r="A83" i="7"/>
  <c r="Q958" i="8"/>
  <c r="R958" i="8"/>
  <c r="Q946" i="8"/>
  <c r="X83" i="6" s="1"/>
  <c r="R946" i="8"/>
  <c r="Y83" i="6" s="1"/>
  <c r="H966" i="8"/>
  <c r="H967" i="8" s="1"/>
  <c r="H954" i="8"/>
  <c r="H955" i="8" s="1"/>
  <c r="I966" i="8"/>
  <c r="I967" i="8" s="1"/>
  <c r="I954" i="8"/>
  <c r="I955" i="8" s="1"/>
  <c r="F67" i="10" l="1"/>
  <c r="E67" i="10"/>
  <c r="G67" i="10" s="1"/>
  <c r="H67" i="10" s="1"/>
  <c r="C68" i="10" s="1"/>
  <c r="V84" i="6"/>
  <c r="A84" i="7"/>
  <c r="U84" i="6"/>
  <c r="Y84" i="6"/>
  <c r="S84" i="6"/>
  <c r="X84" i="6"/>
  <c r="A85" i="6"/>
  <c r="T84" i="6"/>
  <c r="Q970" i="8"/>
  <c r="B85" i="7"/>
  <c r="B86" i="6"/>
  <c r="H978" i="8"/>
  <c r="H979" i="8" s="1"/>
  <c r="I978" i="8"/>
  <c r="I979" i="8" s="1"/>
  <c r="A1030" i="8"/>
  <c r="F68" i="10" l="1"/>
  <c r="E68" i="10"/>
  <c r="G68" i="10" s="1"/>
  <c r="B86" i="7"/>
  <c r="B87" i="6"/>
  <c r="A1042" i="8"/>
  <c r="A85" i="7"/>
  <c r="A86" i="6"/>
  <c r="U85" i="6"/>
  <c r="V85" i="6"/>
  <c r="T85" i="6"/>
  <c r="S85" i="6"/>
  <c r="X85" i="6"/>
  <c r="R970" i="8"/>
  <c r="Y85" i="6" s="1"/>
  <c r="Q982" i="8"/>
  <c r="H990" i="8" l="1"/>
  <c r="H991" i="8" s="1"/>
  <c r="A1054" i="8"/>
  <c r="H68" i="10"/>
  <c r="C69" i="10" s="1"/>
  <c r="X86" i="6"/>
  <c r="T86" i="6"/>
  <c r="V86" i="6"/>
  <c r="U86" i="6"/>
  <c r="S86" i="6"/>
  <c r="A86" i="7"/>
  <c r="A87" i="6"/>
  <c r="R994" i="8"/>
  <c r="H1002" i="8"/>
  <c r="H1003" i="8" s="1"/>
  <c r="I1002" i="8"/>
  <c r="I1003" i="8" s="1"/>
  <c r="R982" i="8"/>
  <c r="Y86" i="6" s="1"/>
  <c r="I990" i="8"/>
  <c r="I991" i="8" s="1"/>
  <c r="B87" i="7"/>
  <c r="B88" i="6"/>
  <c r="B89" i="6" l="1"/>
  <c r="B88" i="7"/>
  <c r="S87" i="6"/>
  <c r="A88" i="6"/>
  <c r="A87" i="7"/>
  <c r="V87" i="6"/>
  <c r="U87" i="6"/>
  <c r="T87" i="6"/>
  <c r="Y87" i="6"/>
  <c r="Q994" i="8"/>
  <c r="X87" i="6" s="1"/>
  <c r="A1066" i="8"/>
  <c r="F69" i="10"/>
  <c r="E69" i="10"/>
  <c r="G69" i="10" s="1"/>
  <c r="H69" i="10" s="1"/>
  <c r="C70" i="10" s="1"/>
  <c r="E70" i="10" l="1"/>
  <c r="G70" i="10" s="1"/>
  <c r="F70" i="10"/>
  <c r="A1078" i="8"/>
  <c r="V88" i="6"/>
  <c r="T88" i="6"/>
  <c r="A88" i="7"/>
  <c r="S88" i="6"/>
  <c r="A89" i="6"/>
  <c r="U88" i="6"/>
  <c r="H1014" i="8"/>
  <c r="H1015" i="8" s="1"/>
  <c r="R1006" i="8"/>
  <c r="Y88" i="6" s="1"/>
  <c r="Q1018" i="8"/>
  <c r="H1026" i="8"/>
  <c r="H1027" i="8" s="1"/>
  <c r="I1026" i="8"/>
  <c r="I1027" i="8" s="1"/>
  <c r="R1018" i="8"/>
  <c r="Q1006" i="8"/>
  <c r="X88" i="6" s="1"/>
  <c r="I1014" i="8"/>
  <c r="I1015" i="8" s="1"/>
  <c r="B89" i="7"/>
  <c r="B90" i="6"/>
  <c r="H70" i="10" l="1"/>
  <c r="C71" i="10" s="1"/>
  <c r="A89" i="7"/>
  <c r="A90" i="6"/>
  <c r="Y89" i="6"/>
  <c r="U89" i="6"/>
  <c r="V89" i="6"/>
  <c r="T89" i="6"/>
  <c r="S89" i="6"/>
  <c r="X89" i="6"/>
  <c r="A1090" i="8"/>
  <c r="B90" i="7"/>
  <c r="B91" i="6"/>
  <c r="Q1030" i="8" l="1"/>
  <c r="X90" i="6"/>
  <c r="T90" i="6"/>
  <c r="V90" i="6"/>
  <c r="A90" i="7"/>
  <c r="A91" i="6"/>
  <c r="U90" i="6"/>
  <c r="S90" i="6"/>
  <c r="I1038" i="8"/>
  <c r="I1039" i="8" s="1"/>
  <c r="Q1042" i="8"/>
  <c r="R1030" i="8"/>
  <c r="Y90" i="6" s="1"/>
  <c r="R1042" i="8"/>
  <c r="H1050" i="8"/>
  <c r="H1051" i="8" s="1"/>
  <c r="I1050" i="8"/>
  <c r="I1051" i="8" s="1"/>
  <c r="B92" i="6"/>
  <c r="B91" i="7"/>
  <c r="A1102" i="8"/>
  <c r="F71" i="10"/>
  <c r="E71" i="10"/>
  <c r="G71" i="10" s="1"/>
  <c r="H71" i="10" s="1"/>
  <c r="C72" i="10" s="1"/>
  <c r="F72" i="10" l="1"/>
  <c r="E72" i="10"/>
  <c r="G72" i="10" s="1"/>
  <c r="H72" i="10" s="1"/>
  <c r="C73" i="10"/>
  <c r="A1114" i="8"/>
  <c r="B93" i="6"/>
  <c r="B92" i="7"/>
  <c r="S91" i="6"/>
  <c r="V91" i="6"/>
  <c r="Y91" i="6"/>
  <c r="X91" i="6"/>
  <c r="U91" i="6"/>
  <c r="A92" i="6"/>
  <c r="T91" i="6"/>
  <c r="A91" i="7"/>
  <c r="I1062" i="8"/>
  <c r="I1063" i="8" s="1"/>
  <c r="Q1054" i="8"/>
  <c r="V92" i="6" l="1"/>
  <c r="A92" i="7"/>
  <c r="A93" i="6"/>
  <c r="X92" i="6"/>
  <c r="S92" i="6"/>
  <c r="T92" i="6"/>
  <c r="Y92" i="6"/>
  <c r="U92" i="6"/>
  <c r="R1054" i="8"/>
  <c r="H1062" i="8"/>
  <c r="H1063" i="8" s="1"/>
  <c r="Q1066" i="8"/>
  <c r="B93" i="7"/>
  <c r="B94" i="6"/>
  <c r="F73" i="10"/>
  <c r="E73" i="10"/>
  <c r="G73" i="10" s="1"/>
  <c r="A1126" i="8"/>
  <c r="B94" i="7" l="1"/>
  <c r="B95" i="6"/>
  <c r="R1066" i="8"/>
  <c r="A1138" i="8"/>
  <c r="A93" i="7"/>
  <c r="A94" i="6"/>
  <c r="Y93" i="6"/>
  <c r="U93" i="6"/>
  <c r="T93" i="6"/>
  <c r="V93" i="6"/>
  <c r="S93" i="6"/>
  <c r="X93" i="6"/>
  <c r="I1074" i="8"/>
  <c r="I1075" i="8" s="1"/>
  <c r="H73" i="10"/>
  <c r="C74" i="10" s="1"/>
  <c r="R1078" i="8"/>
  <c r="T94" i="6" l="1"/>
  <c r="U94" i="6"/>
  <c r="A95" i="6"/>
  <c r="V94" i="6"/>
  <c r="A94" i="7"/>
  <c r="S94" i="6"/>
  <c r="Y94" i="6"/>
  <c r="H1086" i="8"/>
  <c r="H1087" i="8" s="1"/>
  <c r="R1090" i="8"/>
  <c r="B95" i="7"/>
  <c r="B96" i="6"/>
  <c r="I1086" i="8"/>
  <c r="I1087" i="8" s="1"/>
  <c r="Q1078" i="8"/>
  <c r="X94" i="6" s="1"/>
  <c r="Q1090" i="8"/>
  <c r="C75" i="10"/>
  <c r="F74" i="10"/>
  <c r="E74" i="10"/>
  <c r="G74" i="10" s="1"/>
  <c r="H74" i="10" s="1"/>
  <c r="A1150" i="8"/>
  <c r="H1098" i="8"/>
  <c r="H1099" i="8" s="1"/>
  <c r="B97" i="6" l="1"/>
  <c r="B96" i="7"/>
  <c r="F75" i="10"/>
  <c r="E75" i="10"/>
  <c r="G75" i="10" s="1"/>
  <c r="H75" i="10" s="1"/>
  <c r="C76" i="10" s="1"/>
  <c r="A1162" i="8"/>
  <c r="S95" i="6"/>
  <c r="U95" i="6"/>
  <c r="A95" i="7"/>
  <c r="X95" i="6"/>
  <c r="V95" i="6"/>
  <c r="T95" i="6"/>
  <c r="A96" i="6"/>
  <c r="Y95" i="6"/>
  <c r="I1110" i="8"/>
  <c r="I1111" i="8" s="1"/>
  <c r="H1110" i="8"/>
  <c r="H1111" i="8" s="1"/>
  <c r="R1102" i="8"/>
  <c r="Q1102" i="8"/>
  <c r="I1098" i="8"/>
  <c r="I1099" i="8" s="1"/>
  <c r="F76" i="10" l="1"/>
  <c r="E76" i="10"/>
  <c r="G76" i="10" s="1"/>
  <c r="H76" i="10" s="1"/>
  <c r="C77" i="10"/>
  <c r="V96" i="6"/>
  <c r="T96" i="6"/>
  <c r="S96" i="6"/>
  <c r="A96" i="7"/>
  <c r="A97" i="6"/>
  <c r="Y96" i="6"/>
  <c r="X96" i="6"/>
  <c r="U96" i="6"/>
  <c r="R1114" i="8"/>
  <c r="B98" i="6"/>
  <c r="B97" i="7"/>
  <c r="A1174" i="8"/>
  <c r="I1122" i="8"/>
  <c r="I1123" i="8" s="1"/>
  <c r="F77" i="10" l="1"/>
  <c r="E77" i="10"/>
  <c r="G77" i="10" s="1"/>
  <c r="H77" i="10" s="1"/>
  <c r="C78" i="10" s="1"/>
  <c r="B98" i="7"/>
  <c r="B99" i="6"/>
  <c r="A97" i="7"/>
  <c r="A98" i="6"/>
  <c r="Y97" i="6"/>
  <c r="U97" i="6"/>
  <c r="S97" i="6"/>
  <c r="V97" i="6"/>
  <c r="T97" i="6"/>
  <c r="I1134" i="8"/>
  <c r="I1135" i="8" s="1"/>
  <c r="H1122" i="8"/>
  <c r="H1123" i="8" s="1"/>
  <c r="R1126" i="8"/>
  <c r="Q1114" i="8"/>
  <c r="X97" i="6" s="1"/>
  <c r="A1186" i="8"/>
  <c r="F78" i="10" l="1"/>
  <c r="E78" i="10"/>
  <c r="G78" i="10" s="1"/>
  <c r="H78" i="10" s="1"/>
  <c r="C79" i="10" s="1"/>
  <c r="A1198" i="8"/>
  <c r="T98" i="6"/>
  <c r="A99" i="6"/>
  <c r="Y98" i="6"/>
  <c r="S98" i="6"/>
  <c r="A98" i="7"/>
  <c r="V98" i="6"/>
  <c r="U98" i="6"/>
  <c r="H1146" i="8"/>
  <c r="H1147" i="8" s="1"/>
  <c r="Q1126" i="8"/>
  <c r="X98" i="6" s="1"/>
  <c r="H1134" i="8"/>
  <c r="H1135" i="8" s="1"/>
  <c r="B100" i="6"/>
  <c r="B99" i="7"/>
  <c r="F79" i="10" l="1"/>
  <c r="E79" i="10"/>
  <c r="G79" i="10" s="1"/>
  <c r="H79" i="10" s="1"/>
  <c r="C80" i="10" s="1"/>
  <c r="S99" i="6"/>
  <c r="T99" i="6"/>
  <c r="A100" i="6"/>
  <c r="A99" i="7"/>
  <c r="V99" i="6"/>
  <c r="U99" i="6"/>
  <c r="R1138" i="8"/>
  <c r="Y99" i="6" s="1"/>
  <c r="Q1138" i="8"/>
  <c r="X99" i="6" s="1"/>
  <c r="I1146" i="8"/>
  <c r="I1147" i="8" s="1"/>
  <c r="A1210" i="8"/>
  <c r="B101" i="6"/>
  <c r="B100" i="7"/>
  <c r="E80" i="10" l="1"/>
  <c r="G80" i="10" s="1"/>
  <c r="F80" i="10"/>
  <c r="B101" i="7"/>
  <c r="B102" i="6"/>
  <c r="A1222" i="8"/>
  <c r="V100" i="6"/>
  <c r="A100" i="7"/>
  <c r="U100" i="6"/>
  <c r="T100" i="6"/>
  <c r="S100" i="6"/>
  <c r="X100" i="6"/>
  <c r="A101" i="6"/>
  <c r="H1158" i="8"/>
  <c r="H1159" i="8" s="1"/>
  <c r="Q1150" i="8"/>
  <c r="R1150" i="8"/>
  <c r="Y100" i="6" s="1"/>
  <c r="I1158" i="8"/>
  <c r="I1159" i="8" s="1"/>
  <c r="A101" i="7" l="1"/>
  <c r="A102" i="6"/>
  <c r="Y101" i="6"/>
  <c r="U101" i="6"/>
  <c r="V101" i="6"/>
  <c r="T101" i="6"/>
  <c r="S101" i="6"/>
  <c r="H1182" i="8"/>
  <c r="H1183" i="8" s="1"/>
  <c r="R1162" i="8"/>
  <c r="I1182" i="8"/>
  <c r="I1183" i="8" s="1"/>
  <c r="H1170" i="8"/>
  <c r="H1171" i="8" s="1"/>
  <c r="Q1162" i="8"/>
  <c r="X101" i="6" s="1"/>
  <c r="A1234" i="8"/>
  <c r="H80" i="10"/>
  <c r="C81" i="10" s="1"/>
  <c r="I1170" i="8"/>
  <c r="I1171" i="8" s="1"/>
  <c r="B102" i="7"/>
  <c r="B103" i="6"/>
  <c r="F81" i="10" l="1"/>
  <c r="E81" i="10"/>
  <c r="G81" i="10" s="1"/>
  <c r="H81" i="10" s="1"/>
  <c r="C82" i="10" s="1"/>
  <c r="B103" i="7"/>
  <c r="B104" i="6"/>
  <c r="A1246" i="8"/>
  <c r="T102" i="6"/>
  <c r="A103" i="6"/>
  <c r="V102" i="6"/>
  <c r="U102" i="6"/>
  <c r="S102" i="6"/>
  <c r="A102" i="7"/>
  <c r="Q1174" i="8"/>
  <c r="X102" i="6" s="1"/>
  <c r="R1186" i="8"/>
  <c r="R1174" i="8"/>
  <c r="Y102" i="6" s="1"/>
  <c r="F82" i="10" l="1"/>
  <c r="E82" i="10"/>
  <c r="G82" i="10" s="1"/>
  <c r="H82" i="10" s="1"/>
  <c r="C83" i="10"/>
  <c r="A1258" i="8"/>
  <c r="S103" i="6"/>
  <c r="A104" i="6"/>
  <c r="A103" i="7"/>
  <c r="Y103" i="6"/>
  <c r="V103" i="6"/>
  <c r="U103" i="6"/>
  <c r="T103" i="6"/>
  <c r="Q1186" i="8"/>
  <c r="X103" i="6" s="1"/>
  <c r="I1194" i="8"/>
  <c r="I1195" i="8" s="1"/>
  <c r="I1206" i="8"/>
  <c r="I1207" i="8" s="1"/>
  <c r="H1206" i="8"/>
  <c r="H1207" i="8" s="1"/>
  <c r="H1194" i="8"/>
  <c r="H1195" i="8" s="1"/>
  <c r="B105" i="6"/>
  <c r="B104" i="7"/>
  <c r="B106" i="6" l="1"/>
  <c r="B105" i="7"/>
  <c r="A1270" i="8"/>
  <c r="V104" i="6"/>
  <c r="T104" i="6"/>
  <c r="A104" i="7"/>
  <c r="U104" i="6"/>
  <c r="S104" i="6"/>
  <c r="A105" i="6"/>
  <c r="C84" i="10"/>
  <c r="F83" i="10"/>
  <c r="E83" i="10"/>
  <c r="G83" i="10" s="1"/>
  <c r="H83" i="10" s="1"/>
  <c r="G1242" i="8"/>
  <c r="G1243" i="8" s="1"/>
  <c r="Q1198" i="8"/>
  <c r="X104" i="6" s="1"/>
  <c r="G1230" i="8"/>
  <c r="G1231" i="8" s="1"/>
  <c r="R1198" i="8"/>
  <c r="Y104" i="6" s="1"/>
  <c r="H1254" i="8"/>
  <c r="H1255" i="8" s="1"/>
  <c r="F84" i="10" l="1"/>
  <c r="E84" i="10"/>
  <c r="G84" i="10" s="1"/>
  <c r="H84" i="10" s="1"/>
  <c r="C85" i="10"/>
  <c r="A105" i="7"/>
  <c r="A106" i="6"/>
  <c r="U105" i="6"/>
  <c r="V105" i="6"/>
  <c r="T105" i="6"/>
  <c r="S105" i="6"/>
  <c r="H1230" i="8"/>
  <c r="H1231" i="8" s="1"/>
  <c r="H1218" i="8"/>
  <c r="H1219" i="8" s="1"/>
  <c r="J1242" i="8"/>
  <c r="J1243" i="8" s="1"/>
  <c r="Q1222" i="8"/>
  <c r="Q1210" i="8"/>
  <c r="X105" i="6" s="1"/>
  <c r="I1218" i="8"/>
  <c r="I1219" i="8" s="1"/>
  <c r="G1266" i="8"/>
  <c r="G1267" i="8" s="1"/>
  <c r="R1210" i="8"/>
  <c r="Y105" i="6" s="1"/>
  <c r="I1242" i="8"/>
  <c r="I1243" i="8" s="1"/>
  <c r="I1254" i="8"/>
  <c r="I1255" i="8" s="1"/>
  <c r="H1278" i="8"/>
  <c r="H1279" i="8" s="1"/>
  <c r="G1278" i="8"/>
  <c r="G1279" i="8" s="1"/>
  <c r="J1278" i="8"/>
  <c r="J1279" i="8" s="1"/>
  <c r="I1278" i="8"/>
  <c r="I1279" i="8" s="1"/>
  <c r="A1282" i="8"/>
  <c r="J1266" i="8"/>
  <c r="J1267" i="8" s="1"/>
  <c r="I1266" i="8"/>
  <c r="I1267" i="8" s="1"/>
  <c r="G1254" i="8"/>
  <c r="G1255" i="8" s="1"/>
  <c r="R1222" i="8"/>
  <c r="J1230" i="8"/>
  <c r="J1231" i="8" s="1"/>
  <c r="J1254" i="8"/>
  <c r="J1255" i="8" s="1"/>
  <c r="I1230" i="8"/>
  <c r="I1231" i="8" s="1"/>
  <c r="H1242" i="8"/>
  <c r="H1243" i="8" s="1"/>
  <c r="H1266" i="8"/>
  <c r="H1267" i="8" s="1"/>
  <c r="B106" i="7"/>
  <c r="B107" i="6"/>
  <c r="B107" i="7" l="1"/>
  <c r="B108" i="6"/>
  <c r="F85" i="10"/>
  <c r="E85" i="10"/>
  <c r="G85" i="10" s="1"/>
  <c r="G1290" i="8"/>
  <c r="G1291" i="8" s="1"/>
  <c r="A1294" i="8"/>
  <c r="J1290" i="8"/>
  <c r="J1291" i="8" s="1"/>
  <c r="I1290" i="8"/>
  <c r="I1291" i="8" s="1"/>
  <c r="H1290" i="8"/>
  <c r="H1291" i="8" s="1"/>
  <c r="X106" i="6"/>
  <c r="T106" i="6"/>
  <c r="V106" i="6"/>
  <c r="A106" i="7"/>
  <c r="Y106" i="6"/>
  <c r="U106" i="6"/>
  <c r="A107" i="6"/>
  <c r="S106" i="6"/>
  <c r="H1302" i="8" l="1"/>
  <c r="H1303" i="8" s="1"/>
  <c r="G1302" i="8"/>
  <c r="G1303" i="8" s="1"/>
  <c r="J1302" i="8"/>
  <c r="J1303" i="8" s="1"/>
  <c r="I1302" i="8"/>
  <c r="I1303" i="8" s="1"/>
  <c r="S107" i="6"/>
  <c r="V107" i="6"/>
  <c r="T107" i="6"/>
  <c r="A108" i="6"/>
  <c r="A107" i="7"/>
  <c r="U107" i="6"/>
  <c r="Q1234" i="8"/>
  <c r="X107" i="6" s="1"/>
  <c r="Q1246" i="8"/>
  <c r="R1246" i="8"/>
  <c r="B109" i="6"/>
  <c r="B108" i="7"/>
  <c r="R1234" i="8"/>
  <c r="Y107" i="6" s="1"/>
  <c r="H85" i="10"/>
  <c r="C86" i="10" s="1"/>
  <c r="F86" i="10" l="1"/>
  <c r="E86" i="10"/>
  <c r="G86" i="10" s="1"/>
  <c r="H86" i="10" s="1"/>
  <c r="C87" i="10" s="1"/>
  <c r="B109" i="7"/>
  <c r="B110" i="6"/>
  <c r="V108" i="6"/>
  <c r="A108" i="7"/>
  <c r="A109" i="6"/>
  <c r="X108" i="6"/>
  <c r="S108" i="6"/>
  <c r="U108" i="6"/>
  <c r="Y108" i="6"/>
  <c r="T108" i="6"/>
  <c r="R1258" i="8"/>
  <c r="Q1258" i="8"/>
  <c r="F87" i="10" l="1"/>
  <c r="E87" i="10"/>
  <c r="G87" i="10" s="1"/>
  <c r="H87" i="10" s="1"/>
  <c r="C88" i="10" s="1"/>
  <c r="A109" i="7"/>
  <c r="A110" i="6"/>
  <c r="Y109" i="6"/>
  <c r="U109" i="6"/>
  <c r="T109" i="6"/>
  <c r="X109" i="6"/>
  <c r="V109" i="6"/>
  <c r="S109" i="6"/>
  <c r="Q1270" i="8"/>
  <c r="B110" i="7"/>
  <c r="B111" i="6"/>
  <c r="B111" i="7" s="1"/>
  <c r="E88" i="10" l="1"/>
  <c r="G88" i="10" s="1"/>
  <c r="F88" i="10"/>
  <c r="X110" i="6"/>
  <c r="T110" i="6"/>
  <c r="U110" i="6"/>
  <c r="A111" i="6"/>
  <c r="V110" i="6"/>
  <c r="A110" i="7"/>
  <c r="S110" i="6"/>
  <c r="S1294" i="8"/>
  <c r="R1270" i="8"/>
  <c r="Y110" i="6" s="1"/>
  <c r="R1282" i="8"/>
  <c r="Q1282" i="8"/>
  <c r="P1294" i="8"/>
  <c r="H88" i="10" l="1"/>
  <c r="C89" i="10" s="1"/>
  <c r="S111" i="6"/>
  <c r="U111" i="6"/>
  <c r="A111" i="7"/>
  <c r="Y111" i="6"/>
  <c r="X111" i="6"/>
  <c r="V111" i="6"/>
  <c r="T111" i="6"/>
  <c r="R1294" i="8"/>
  <c r="Q1294" i="8"/>
  <c r="F89" i="10" l="1"/>
  <c r="E89" i="10"/>
  <c r="G89" i="10" s="1"/>
  <c r="H89" i="10" s="1"/>
  <c r="C90" i="10" s="1"/>
  <c r="C91" i="10" l="1"/>
  <c r="F90" i="10"/>
  <c r="E90" i="10"/>
  <c r="G90" i="10" s="1"/>
  <c r="H90" i="10" s="1"/>
  <c r="C92" i="10" l="1"/>
  <c r="F91" i="10"/>
  <c r="E91" i="10"/>
  <c r="G91" i="10" s="1"/>
  <c r="H91" i="10" s="1"/>
  <c r="F92" i="10" l="1"/>
  <c r="E92" i="10"/>
  <c r="G92" i="10" s="1"/>
  <c r="H92" i="10" l="1"/>
  <c r="C93" i="10" s="1"/>
  <c r="C94" i="10" l="1"/>
  <c r="F93" i="10"/>
  <c r="E93" i="10"/>
  <c r="G93" i="10" s="1"/>
  <c r="H93" i="10" s="1"/>
  <c r="F94" i="10" l="1"/>
  <c r="E94" i="10"/>
  <c r="G94" i="10" s="1"/>
  <c r="H94" i="10" l="1"/>
  <c r="C95" i="10" s="1"/>
  <c r="C96" i="10" l="1"/>
  <c r="F95" i="10"/>
  <c r="E95" i="10"/>
  <c r="G95" i="10" s="1"/>
  <c r="H95" i="10" s="1"/>
  <c r="E96" i="10" l="1"/>
  <c r="G96" i="10" s="1"/>
  <c r="F96" i="10"/>
  <c r="H96" i="10" l="1"/>
  <c r="C97" i="10" s="1"/>
  <c r="C98" i="10" l="1"/>
  <c r="F97" i="10"/>
  <c r="E97" i="10"/>
  <c r="G97" i="10" s="1"/>
  <c r="H97" i="10" s="1"/>
  <c r="E98" i="10" l="1"/>
  <c r="G98" i="10" s="1"/>
  <c r="F98" i="10"/>
  <c r="H98" i="10" l="1"/>
  <c r="C99" i="10" s="1"/>
  <c r="C100" i="10" l="1"/>
  <c r="F99" i="10"/>
  <c r="E99" i="10"/>
  <c r="G99" i="10" s="1"/>
  <c r="H99" i="10" s="1"/>
  <c r="F100" i="10" l="1"/>
  <c r="E100" i="10"/>
  <c r="G100" i="10" s="1"/>
  <c r="H100" i="10" l="1"/>
  <c r="C101" i="10" s="1"/>
  <c r="C102" i="10" l="1"/>
  <c r="F101" i="10"/>
  <c r="E101" i="10"/>
  <c r="G101" i="10" s="1"/>
  <c r="H101" i="10" s="1"/>
  <c r="F102" i="10" l="1"/>
  <c r="E102" i="10"/>
  <c r="G102" i="10" s="1"/>
  <c r="H102" i="10" s="1"/>
  <c r="C103" i="10" s="1"/>
  <c r="C104" i="10" l="1"/>
  <c r="F103" i="10"/>
  <c r="E103" i="10"/>
  <c r="G103" i="10" s="1"/>
  <c r="H103" i="10" s="1"/>
  <c r="E104" i="10" l="1"/>
  <c r="G104" i="10" s="1"/>
  <c r="F104" i="10"/>
  <c r="H104" i="10" l="1"/>
  <c r="C105" i="10" s="1"/>
  <c r="C106" i="10" l="1"/>
  <c r="F105" i="10"/>
  <c r="E105" i="10"/>
  <c r="G105" i="10" s="1"/>
  <c r="H105" i="10" s="1"/>
  <c r="E106" i="10" l="1"/>
  <c r="G106" i="10" s="1"/>
  <c r="F106" i="10"/>
  <c r="H106" i="10" l="1"/>
  <c r="C107" i="10" s="1"/>
  <c r="C108" i="10" l="1"/>
  <c r="F107" i="10"/>
  <c r="E107" i="10"/>
  <c r="G107" i="10" s="1"/>
  <c r="H107" i="10" s="1"/>
  <c r="F108" i="10" l="1"/>
  <c r="E108" i="10"/>
  <c r="G108" i="10" s="1"/>
  <c r="H108" i="10" l="1"/>
  <c r="C109" i="10" s="1"/>
  <c r="C110" i="10" l="1"/>
  <c r="F109" i="10"/>
  <c r="E109" i="10"/>
  <c r="G109" i="10" s="1"/>
  <c r="H109" i="10" s="1"/>
  <c r="F110" i="10" l="1"/>
  <c r="E110" i="10"/>
  <c r="G110" i="10" s="1"/>
  <c r="H110" i="10" l="1"/>
  <c r="C111" i="10" s="1"/>
  <c r="F111" i="10" l="1"/>
  <c r="E111" i="10"/>
  <c r="G111" i="10" s="1"/>
  <c r="H111" i="10" s="1"/>
  <c r="C112" i="10" s="1"/>
  <c r="E112" i="10" l="1"/>
  <c r="G112" i="10" s="1"/>
  <c r="F112" i="10"/>
  <c r="H112" i="10" l="1"/>
  <c r="C113" i="10" s="1"/>
  <c r="F113" i="10" l="1"/>
  <c r="E113" i="10"/>
  <c r="G113" i="10" s="1"/>
  <c r="H113" i="10" s="1"/>
  <c r="C114" i="10" s="1"/>
  <c r="E114" i="10" l="1"/>
  <c r="G114" i="10" s="1"/>
  <c r="F114" i="10"/>
  <c r="H114" i="10" l="1"/>
  <c r="C115" i="10" s="1"/>
  <c r="F115" i="10" l="1"/>
  <c r="E115" i="10"/>
  <c r="G115" i="10" s="1"/>
  <c r="H115" i="10" s="1"/>
  <c r="C116" i="10" s="1"/>
  <c r="F116" i="10" l="1"/>
  <c r="E116" i="10"/>
  <c r="G116" i="10" s="1"/>
  <c r="H116" i="10" s="1"/>
  <c r="C117" i="10" s="1"/>
  <c r="F117" i="10" l="1"/>
  <c r="E117" i="10"/>
  <c r="G117" i="10" s="1"/>
  <c r="H117" i="10" s="1"/>
  <c r="C118" i="10" s="1"/>
  <c r="F118" i="10" l="1"/>
  <c r="E118" i="10"/>
  <c r="G118" i="10" s="1"/>
  <c r="H118" i="10" s="1"/>
  <c r="C119" i="10" s="1"/>
  <c r="F119" i="10" l="1"/>
  <c r="E119" i="10"/>
  <c r="G119" i="10" s="1"/>
  <c r="H119" i="10" s="1"/>
  <c r="C120" i="10" s="1"/>
  <c r="E120" i="10" l="1"/>
  <c r="G120" i="10" s="1"/>
  <c r="F120" i="10"/>
  <c r="H120" i="10" l="1"/>
  <c r="C121" i="10" s="1"/>
  <c r="F121" i="10" l="1"/>
  <c r="E121" i="10"/>
  <c r="G121" i="10" s="1"/>
  <c r="H121" i="10" s="1"/>
  <c r="C122" i="10" s="1"/>
  <c r="E122" i="10" l="1"/>
  <c r="G122" i="10" s="1"/>
  <c r="F122" i="10"/>
  <c r="H122" i="10" l="1"/>
  <c r="C123" i="10" s="1"/>
  <c r="F123" i="10" l="1"/>
  <c r="E123" i="10"/>
  <c r="G123" i="10" s="1"/>
  <c r="H123" i="10" s="1"/>
  <c r="C124" i="10" s="1"/>
  <c r="F124" i="10" l="1"/>
  <c r="E124" i="10"/>
  <c r="G124" i="10" s="1"/>
  <c r="H124" i="10" s="1"/>
  <c r="C125" i="10" s="1"/>
  <c r="F125" i="10" l="1"/>
  <c r="E125" i="10"/>
  <c r="G125" i="10" s="1"/>
  <c r="H125" i="10" s="1"/>
  <c r="C126" i="10" s="1"/>
  <c r="F126" i="10" l="1"/>
  <c r="E126" i="10"/>
  <c r="G126" i="10" s="1"/>
  <c r="H126" i="10" s="1"/>
  <c r="C127" i="10" s="1"/>
  <c r="F127" i="10" l="1"/>
  <c r="E127" i="10"/>
  <c r="G127" i="10" s="1"/>
  <c r="H127" i="10" s="1"/>
  <c r="C128" i="10" s="1"/>
  <c r="E128" i="10" l="1"/>
  <c r="G128" i="10" s="1"/>
  <c r="F128" i="10"/>
  <c r="H128" i="10" l="1"/>
  <c r="C129" i="10" s="1"/>
  <c r="F129" i="10" l="1"/>
  <c r="E129" i="10"/>
  <c r="G129" i="10" s="1"/>
  <c r="H129" i="10" s="1"/>
  <c r="C130" i="10" s="1"/>
  <c r="E130" i="10" l="1"/>
  <c r="G130" i="10" s="1"/>
  <c r="F130" i="10"/>
  <c r="H130" i="10" l="1"/>
  <c r="C131" i="10" s="1"/>
  <c r="F131" i="10" l="1"/>
  <c r="E131" i="10"/>
  <c r="G131" i="10" s="1"/>
  <c r="H131" i="10" s="1"/>
  <c r="C132" i="10" s="1"/>
  <c r="F132" i="10" l="1"/>
  <c r="E132" i="10"/>
  <c r="G132" i="10" s="1"/>
  <c r="H132" i="10" s="1"/>
  <c r="C133" i="10" s="1"/>
  <c r="F133" i="10" l="1"/>
  <c r="E133" i="10"/>
  <c r="G133" i="10" s="1"/>
  <c r="H133" i="10" s="1"/>
  <c r="C134" i="10" s="1"/>
  <c r="F134" i="10" l="1"/>
  <c r="E134" i="10"/>
  <c r="G134" i="10" s="1"/>
  <c r="H134" i="10" s="1"/>
  <c r="C135" i="10" s="1"/>
  <c r="F135" i="10" l="1"/>
  <c r="E135" i="10"/>
  <c r="G135" i="10" s="1"/>
  <c r="H135" i="10" s="1"/>
  <c r="C136" i="10" s="1"/>
  <c r="E136" i="10" l="1"/>
  <c r="G136" i="10" s="1"/>
  <c r="F136" i="10"/>
  <c r="H136" i="10" l="1"/>
  <c r="C137" i="10" s="1"/>
  <c r="F137" i="10" l="1"/>
  <c r="E137" i="10"/>
  <c r="G137" i="10" s="1"/>
  <c r="H137" i="10" s="1"/>
  <c r="C138" i="10" s="1"/>
  <c r="E138" i="10" l="1"/>
  <c r="G138" i="10" s="1"/>
  <c r="F138" i="10"/>
  <c r="H138" i="10" l="1"/>
  <c r="C139" i="10" s="1"/>
  <c r="F139" i="10" l="1"/>
  <c r="E139" i="10"/>
  <c r="G139" i="10" s="1"/>
  <c r="H139" i="10" s="1"/>
  <c r="C140" i="10" s="1"/>
  <c r="F140" i="10" l="1"/>
  <c r="E140" i="10"/>
  <c r="G140" i="10" s="1"/>
  <c r="H140" i="10" s="1"/>
  <c r="C141" i="10"/>
  <c r="C142" i="10" l="1"/>
  <c r="F141" i="10"/>
  <c r="E141" i="10"/>
  <c r="G141" i="10" s="1"/>
  <c r="H141" i="10" s="1"/>
  <c r="F142" i="10" l="1"/>
  <c r="E142" i="10"/>
  <c r="G142" i="10" s="1"/>
  <c r="H142" i="10" s="1"/>
  <c r="C143" i="10" s="1"/>
  <c r="F143" i="10" l="1"/>
  <c r="E143" i="10"/>
  <c r="G143" i="10" s="1"/>
  <c r="H143" i="10" s="1"/>
  <c r="C144" i="10" s="1"/>
  <c r="E144" i="10" l="1"/>
  <c r="G144" i="10" s="1"/>
  <c r="F144" i="10"/>
  <c r="H144" i="10" l="1"/>
  <c r="C145" i="10" s="1"/>
  <c r="F145" i="10" l="1"/>
  <c r="E145" i="10"/>
  <c r="G145" i="10" s="1"/>
  <c r="H145" i="10" s="1"/>
  <c r="C146" i="10" s="1"/>
  <c r="E146" i="10" l="1"/>
  <c r="G146" i="10" s="1"/>
  <c r="F146" i="10"/>
  <c r="H146" i="10" l="1"/>
  <c r="C147" i="10" s="1"/>
  <c r="F147" i="10" l="1"/>
  <c r="E147" i="10"/>
  <c r="G147" i="10" s="1"/>
  <c r="H147" i="10" s="1"/>
  <c r="C148" i="10" s="1"/>
  <c r="F148" i="10" l="1"/>
  <c r="E148" i="10"/>
  <c r="G148" i="10" s="1"/>
  <c r="H148" i="10" s="1"/>
  <c r="C149" i="10" s="1"/>
  <c r="F149" i="10" l="1"/>
  <c r="E149" i="10"/>
  <c r="G149" i="10" s="1"/>
  <c r="H149" i="10" s="1"/>
  <c r="C150" i="10" s="1"/>
  <c r="F150" i="10" l="1"/>
  <c r="E150" i="10"/>
  <c r="G150" i="10" s="1"/>
  <c r="H150" i="10" s="1"/>
  <c r="C151" i="10" s="1"/>
  <c r="F151" i="10" l="1"/>
  <c r="E151" i="10"/>
  <c r="G151" i="10" s="1"/>
  <c r="H151" i="10" s="1"/>
  <c r="C152" i="10" s="1"/>
  <c r="E152" i="10" l="1"/>
  <c r="G152" i="10" s="1"/>
  <c r="F152" i="10"/>
  <c r="H152" i="10" l="1"/>
  <c r="C153" i="10" s="1"/>
  <c r="F153" i="10" l="1"/>
  <c r="E153" i="10"/>
  <c r="G153" i="10" s="1"/>
  <c r="H153" i="10" s="1"/>
  <c r="C154" i="10" s="1"/>
  <c r="E154" i="10" l="1"/>
  <c r="G154" i="10" s="1"/>
  <c r="F154" i="10"/>
  <c r="H154" i="10" l="1"/>
  <c r="C155" i="10" s="1"/>
  <c r="C156" i="10" l="1"/>
  <c r="F155" i="10"/>
  <c r="E155" i="10"/>
  <c r="G155" i="10" s="1"/>
  <c r="H155" i="10" s="1"/>
  <c r="F156" i="10" l="1"/>
  <c r="E156" i="10"/>
  <c r="G156" i="10" s="1"/>
  <c r="H156" i="10" l="1"/>
  <c r="C157" i="10" s="1"/>
  <c r="C158" i="10" l="1"/>
  <c r="F157" i="10"/>
  <c r="E157" i="10"/>
  <c r="G157" i="10" s="1"/>
  <c r="H157" i="10" s="1"/>
  <c r="F158" i="10" l="1"/>
  <c r="E158" i="10"/>
  <c r="G158" i="10" s="1"/>
  <c r="H158" i="10" l="1"/>
  <c r="C159" i="10" s="1"/>
  <c r="C160" i="10" l="1"/>
  <c r="F159" i="10"/>
  <c r="E159" i="10"/>
  <c r="G159" i="10" s="1"/>
  <c r="H159" i="10" s="1"/>
  <c r="E160" i="10" l="1"/>
  <c r="G160" i="10" s="1"/>
  <c r="F160" i="10"/>
  <c r="H160" i="10" l="1"/>
  <c r="C161" i="10" s="1"/>
  <c r="F161" i="10" l="1"/>
  <c r="E161" i="10"/>
  <c r="G161" i="10" s="1"/>
  <c r="H161" i="10" s="1"/>
  <c r="C162" i="10" s="1"/>
  <c r="E162" i="10" l="1"/>
  <c r="G162" i="10" s="1"/>
  <c r="F162" i="10"/>
  <c r="H162" i="10" l="1"/>
  <c r="C163" i="10" s="1"/>
  <c r="C164" i="10" l="1"/>
  <c r="F163" i="10"/>
  <c r="E163" i="10"/>
  <c r="G163" i="10" s="1"/>
  <c r="H163" i="10" s="1"/>
  <c r="F164" i="10" l="1"/>
  <c r="E164" i="10"/>
  <c r="G164" i="10" s="1"/>
  <c r="H164" i="10" l="1"/>
  <c r="C165" i="10" s="1"/>
  <c r="C166" i="10" l="1"/>
  <c r="F165" i="10"/>
  <c r="E165" i="10"/>
  <c r="G165" i="10" s="1"/>
  <c r="H165" i="10" s="1"/>
  <c r="F166" i="10" l="1"/>
  <c r="E166" i="10"/>
  <c r="G166" i="10" s="1"/>
  <c r="H166" i="10" l="1"/>
  <c r="C167" i="10" s="1"/>
  <c r="C168" i="10" l="1"/>
  <c r="F167" i="10"/>
  <c r="E167" i="10"/>
  <c r="G167" i="10" s="1"/>
  <c r="H167" i="10" s="1"/>
  <c r="E168" i="10" l="1"/>
  <c r="G168" i="10" s="1"/>
  <c r="H168" i="10" s="1"/>
  <c r="C169" i="10" s="1"/>
  <c r="F168" i="10"/>
  <c r="C170" i="10" l="1"/>
  <c r="F169" i="10"/>
  <c r="E169" i="10"/>
  <c r="G169" i="10" s="1"/>
  <c r="H169" i="10" s="1"/>
  <c r="E170" i="10" l="1"/>
  <c r="G170" i="10" s="1"/>
  <c r="H170" i="10" s="1"/>
  <c r="C171" i="10" s="1"/>
  <c r="F170" i="10"/>
  <c r="C172" i="10" l="1"/>
  <c r="F171" i="10"/>
  <c r="E171" i="10"/>
  <c r="G171" i="10" s="1"/>
  <c r="H171" i="10" s="1"/>
  <c r="E172" i="10" l="1"/>
  <c r="G172" i="10" s="1"/>
  <c r="H172" i="10" s="1"/>
  <c r="C173" i="10" s="1"/>
  <c r="F172" i="10"/>
  <c r="C174" i="10" l="1"/>
  <c r="F173" i="10"/>
  <c r="E173" i="10"/>
  <c r="G173" i="10" s="1"/>
  <c r="H173" i="10" s="1"/>
  <c r="E174" i="10" l="1"/>
  <c r="G174" i="10" s="1"/>
  <c r="H174" i="10" s="1"/>
  <c r="C175" i="10" s="1"/>
  <c r="F174" i="10"/>
  <c r="C176" i="10" l="1"/>
  <c r="F175" i="10"/>
  <c r="E175" i="10"/>
  <c r="G175" i="10" s="1"/>
  <c r="H175" i="10" s="1"/>
  <c r="E176" i="10" l="1"/>
  <c r="G176" i="10" s="1"/>
  <c r="H176" i="10" s="1"/>
  <c r="C177" i="10" s="1"/>
  <c r="F176" i="10"/>
  <c r="C178" i="10" l="1"/>
  <c r="F177" i="10"/>
  <c r="E177" i="10"/>
  <c r="G177" i="10" s="1"/>
  <c r="H177" i="10" s="1"/>
  <c r="E178" i="10" l="1"/>
  <c r="G178" i="10" s="1"/>
  <c r="H178" i="10" s="1"/>
  <c r="C179" i="10" s="1"/>
  <c r="F178" i="10"/>
  <c r="C180" i="10" l="1"/>
  <c r="F179" i="10"/>
  <c r="E179" i="10"/>
  <c r="G179" i="10" s="1"/>
  <c r="H179" i="10" s="1"/>
  <c r="E180" i="10" l="1"/>
  <c r="G180" i="10" s="1"/>
  <c r="H180" i="10" s="1"/>
  <c r="C181" i="10" s="1"/>
  <c r="F180" i="10"/>
  <c r="C182" i="10" l="1"/>
  <c r="F181" i="10"/>
  <c r="E181" i="10"/>
  <c r="G181" i="10" s="1"/>
  <c r="H181" i="10" s="1"/>
  <c r="E182" i="10" l="1"/>
  <c r="G182" i="10" s="1"/>
  <c r="H182" i="10" s="1"/>
  <c r="C183" i="10" s="1"/>
  <c r="F182" i="10"/>
  <c r="C184" i="10" l="1"/>
  <c r="F183" i="10"/>
  <c r="E183" i="10"/>
  <c r="G183" i="10" s="1"/>
  <c r="H183" i="10" s="1"/>
  <c r="E184" i="10" l="1"/>
  <c r="G184" i="10" s="1"/>
  <c r="H184" i="10" s="1"/>
  <c r="C185" i="10" s="1"/>
  <c r="F184" i="10"/>
  <c r="C186" i="10" l="1"/>
  <c r="F185" i="10"/>
  <c r="E185" i="10"/>
  <c r="G185" i="10" s="1"/>
  <c r="H185" i="10" s="1"/>
  <c r="E186" i="10" l="1"/>
  <c r="G186" i="10" s="1"/>
  <c r="H186" i="10" s="1"/>
  <c r="C187" i="10" s="1"/>
  <c r="F186" i="10"/>
  <c r="C188" i="10" l="1"/>
  <c r="F187" i="10"/>
  <c r="E187" i="10"/>
  <c r="G187" i="10" s="1"/>
  <c r="H187" i="10" s="1"/>
  <c r="E188" i="10" l="1"/>
  <c r="G188" i="10" s="1"/>
  <c r="H188" i="10" s="1"/>
  <c r="C189" i="10" s="1"/>
  <c r="F188" i="10"/>
  <c r="C190" i="10" l="1"/>
  <c r="F189" i="10"/>
  <c r="E189" i="10"/>
  <c r="G189" i="10" s="1"/>
  <c r="H189" i="10" s="1"/>
  <c r="E190" i="10" l="1"/>
  <c r="G190" i="10" s="1"/>
  <c r="H190" i="10" s="1"/>
  <c r="C191" i="10" s="1"/>
  <c r="F190" i="10"/>
  <c r="C192" i="10" l="1"/>
  <c r="F191" i="10"/>
  <c r="E191" i="10"/>
  <c r="G191" i="10" s="1"/>
  <c r="H191" i="10" s="1"/>
  <c r="E192" i="10" l="1"/>
  <c r="G192" i="10" s="1"/>
  <c r="H192" i="10" s="1"/>
  <c r="C193" i="10" s="1"/>
  <c r="F192" i="10"/>
  <c r="C194" i="10" l="1"/>
  <c r="F193" i="10"/>
  <c r="E193" i="10"/>
  <c r="G193" i="10" s="1"/>
  <c r="H193" i="10" s="1"/>
  <c r="E194" i="10" l="1"/>
  <c r="G194" i="10" s="1"/>
  <c r="H194" i="10" s="1"/>
  <c r="C195" i="10" s="1"/>
  <c r="F194" i="10"/>
  <c r="C196" i="10" l="1"/>
  <c r="F195" i="10"/>
  <c r="E195" i="10"/>
  <c r="G195" i="10" s="1"/>
  <c r="H195" i="10" s="1"/>
  <c r="E196" i="10" l="1"/>
  <c r="G196" i="10" s="1"/>
  <c r="H196" i="10" s="1"/>
  <c r="C197" i="10" s="1"/>
  <c r="F196" i="10"/>
  <c r="C198" i="10" l="1"/>
  <c r="F197" i="10"/>
  <c r="E197" i="10"/>
  <c r="G197" i="10" s="1"/>
  <c r="H197" i="10" s="1"/>
  <c r="E198" i="10" l="1"/>
  <c r="G198" i="10" s="1"/>
  <c r="H198" i="10" s="1"/>
  <c r="C199" i="10" s="1"/>
  <c r="F198" i="10"/>
  <c r="F199" i="10" l="1"/>
  <c r="E199" i="10"/>
  <c r="G199" i="10" s="1"/>
  <c r="H199" i="10" s="1"/>
  <c r="C200" i="10" s="1"/>
  <c r="C201" i="10" l="1"/>
  <c r="F200" i="10"/>
  <c r="E200" i="10"/>
  <c r="G200" i="10" s="1"/>
  <c r="H200" i="10" s="1"/>
  <c r="E201" i="10" l="1"/>
  <c r="G201" i="10" s="1"/>
  <c r="F201" i="10"/>
  <c r="H201" i="10" l="1"/>
  <c r="C202" i="10" s="1"/>
  <c r="C203" i="10" l="1"/>
  <c r="F202" i="10"/>
  <c r="E202" i="10"/>
  <c r="G202" i="10" s="1"/>
  <c r="H202" i="10" s="1"/>
  <c r="F203" i="10" l="1"/>
  <c r="E203" i="10"/>
  <c r="G203" i="10" s="1"/>
  <c r="H203" i="10" l="1"/>
  <c r="C204" i="10" s="1"/>
  <c r="F204" i="10" l="1"/>
  <c r="E204" i="10"/>
  <c r="G204" i="10" s="1"/>
  <c r="H204" i="10" s="1"/>
  <c r="C205" i="10" s="1"/>
  <c r="F205" i="10" l="1"/>
  <c r="E205" i="10"/>
  <c r="G205" i="10" s="1"/>
  <c r="H205" i="10" l="1"/>
  <c r="C206" i="10" s="1"/>
  <c r="C207" i="10" l="1"/>
  <c r="F206" i="10"/>
  <c r="E206" i="10"/>
  <c r="G206" i="10" s="1"/>
  <c r="H206" i="10" s="1"/>
  <c r="F207" i="10" l="1"/>
  <c r="E207" i="10"/>
  <c r="G207" i="10" s="1"/>
  <c r="H207" i="10" l="1"/>
  <c r="C208" i="10" s="1"/>
  <c r="C209" i="10" l="1"/>
  <c r="F208" i="10"/>
  <c r="E208" i="10"/>
  <c r="G208" i="10" s="1"/>
  <c r="H208" i="10" s="1"/>
  <c r="E209" i="10" l="1"/>
  <c r="G209" i="10" s="1"/>
  <c r="F209" i="10"/>
  <c r="H209" i="10" l="1"/>
  <c r="C210" i="10" s="1"/>
  <c r="C211" i="10" l="1"/>
  <c r="F210" i="10"/>
  <c r="E210" i="10"/>
  <c r="G210" i="10" s="1"/>
  <c r="H210" i="10" s="1"/>
  <c r="E211" i="10" l="1"/>
  <c r="G211" i="10" s="1"/>
  <c r="F211" i="10"/>
  <c r="H211" i="10" l="1"/>
  <c r="C212" i="10" s="1"/>
  <c r="C213" i="10" l="1"/>
  <c r="F212" i="10"/>
  <c r="E212" i="10"/>
  <c r="G212" i="10" s="1"/>
  <c r="H212" i="10" s="1"/>
  <c r="F213" i="10" l="1"/>
  <c r="E213" i="10"/>
  <c r="G213" i="10" s="1"/>
  <c r="H213" i="10" l="1"/>
  <c r="C214" i="10" s="1"/>
  <c r="C215" i="10" l="1"/>
  <c r="F214" i="10"/>
  <c r="E214" i="10"/>
  <c r="G214" i="10" s="1"/>
  <c r="H214" i="10" s="1"/>
  <c r="F215" i="10" l="1"/>
  <c r="E215" i="10"/>
  <c r="G215" i="10" s="1"/>
  <c r="H215" i="10" l="1"/>
  <c r="C216" i="10" s="1"/>
  <c r="C217" i="10" l="1"/>
  <c r="F216" i="10"/>
  <c r="E216" i="10"/>
  <c r="G216" i="10" s="1"/>
  <c r="H216" i="10" s="1"/>
  <c r="E217" i="10" l="1"/>
  <c r="G217" i="10" s="1"/>
  <c r="F217" i="10"/>
  <c r="H217" i="10" l="1"/>
  <c r="C218" i="10" s="1"/>
  <c r="C219" i="10" l="1"/>
  <c r="F218" i="10"/>
  <c r="E218" i="10"/>
  <c r="G218" i="10" s="1"/>
  <c r="H218" i="10" s="1"/>
  <c r="F219" i="10" l="1"/>
  <c r="E219" i="10"/>
  <c r="G219" i="10" s="1"/>
  <c r="H219" i="10" l="1"/>
  <c r="C220" i="10" s="1"/>
  <c r="C221" i="10" l="1"/>
  <c r="F220" i="10"/>
  <c r="E220" i="10"/>
  <c r="G220" i="10" s="1"/>
  <c r="H220" i="10" s="1"/>
  <c r="F221" i="10" l="1"/>
  <c r="E221" i="10"/>
  <c r="G221" i="10" s="1"/>
  <c r="H221" i="10" l="1"/>
  <c r="C222" i="10" s="1"/>
  <c r="C223" i="10" l="1"/>
  <c r="F222" i="10"/>
  <c r="E222" i="10"/>
  <c r="G222" i="10" s="1"/>
  <c r="H222" i="10" s="1"/>
  <c r="F223" i="10" l="1"/>
  <c r="E223" i="10"/>
  <c r="G223" i="10" s="1"/>
  <c r="H223" i="10" l="1"/>
  <c r="C224" i="10" s="1"/>
  <c r="C225" i="10" l="1"/>
  <c r="F224" i="10"/>
  <c r="E224" i="10"/>
  <c r="G224" i="10" s="1"/>
  <c r="H224" i="10" s="1"/>
  <c r="E225" i="10" l="1"/>
  <c r="G225" i="10" s="1"/>
  <c r="F225" i="10"/>
  <c r="H225" i="10" l="1"/>
  <c r="C226" i="10" s="1"/>
  <c r="C227" i="10" l="1"/>
  <c r="F226" i="10"/>
  <c r="E226" i="10"/>
  <c r="G226" i="10" s="1"/>
  <c r="H226" i="10" s="1"/>
  <c r="E227" i="10" l="1"/>
  <c r="G227" i="10" s="1"/>
  <c r="F227" i="10"/>
  <c r="H227" i="10" l="1"/>
  <c r="C228" i="10" s="1"/>
  <c r="C229" i="10" l="1"/>
  <c r="F228" i="10"/>
  <c r="E228" i="10"/>
  <c r="G228" i="10" s="1"/>
  <c r="H228" i="10" s="1"/>
  <c r="F229" i="10" l="1"/>
  <c r="E229" i="10"/>
  <c r="G229" i="10" s="1"/>
  <c r="H229" i="10" l="1"/>
  <c r="C230" i="10" s="1"/>
  <c r="C231" i="10" l="1"/>
  <c r="F230" i="10"/>
  <c r="E230" i="10"/>
  <c r="G230" i="10" s="1"/>
  <c r="H230" i="10" s="1"/>
  <c r="F231" i="10" l="1"/>
  <c r="E231" i="10"/>
  <c r="G231" i="10" s="1"/>
  <c r="H231" i="10" l="1"/>
  <c r="C232" i="10" s="1"/>
  <c r="C233" i="10" l="1"/>
  <c r="F232" i="10"/>
  <c r="E232" i="10"/>
  <c r="G232" i="10" s="1"/>
  <c r="H232" i="10" s="1"/>
  <c r="E233" i="10" l="1"/>
  <c r="G233" i="10" s="1"/>
  <c r="F233" i="10"/>
  <c r="H233" i="10" l="1"/>
  <c r="C234" i="10" s="1"/>
  <c r="C235" i="10" l="1"/>
  <c r="F234" i="10"/>
  <c r="E234" i="10"/>
  <c r="G234" i="10" s="1"/>
  <c r="H234" i="10" s="1"/>
  <c r="F235" i="10" l="1"/>
  <c r="E235" i="10"/>
  <c r="G235" i="10" s="1"/>
  <c r="H235" i="10" l="1"/>
  <c r="C236" i="10" s="1"/>
  <c r="C237" i="10" l="1"/>
  <c r="F236" i="10"/>
  <c r="E236" i="10"/>
  <c r="G236" i="10" s="1"/>
  <c r="H236" i="10" s="1"/>
  <c r="F237" i="10" l="1"/>
  <c r="E237" i="10"/>
  <c r="G237" i="10" s="1"/>
  <c r="H237" i="10" l="1"/>
  <c r="C238" i="10" s="1"/>
  <c r="C239" i="10" l="1"/>
  <c r="F238" i="10"/>
  <c r="E238" i="10"/>
  <c r="G238" i="10" s="1"/>
  <c r="H238" i="10" s="1"/>
  <c r="F239" i="10" l="1"/>
  <c r="E239" i="10"/>
  <c r="G239" i="10" s="1"/>
  <c r="H239" i="10" l="1"/>
  <c r="C240" i="10" s="1"/>
  <c r="C241" i="10" l="1"/>
  <c r="F240" i="10"/>
  <c r="E240" i="10"/>
  <c r="G240" i="10" s="1"/>
  <c r="H240" i="10" s="1"/>
  <c r="E241" i="10" l="1"/>
  <c r="G241" i="10" s="1"/>
  <c r="F241" i="10"/>
  <c r="H241" i="10" l="1"/>
  <c r="C242" i="10" s="1"/>
  <c r="C243" i="10" l="1"/>
  <c r="F242" i="10"/>
  <c r="E242" i="10"/>
  <c r="G242" i="10" s="1"/>
  <c r="H242" i="10" s="1"/>
  <c r="E243" i="10" l="1"/>
  <c r="G243" i="10" s="1"/>
  <c r="F243" i="10"/>
  <c r="H243" i="10" l="1"/>
  <c r="C244" i="10" s="1"/>
  <c r="F244" i="10" l="1"/>
  <c r="E244" i="10"/>
  <c r="G244" i="10" s="1"/>
  <c r="H244" i="10" l="1"/>
  <c r="C245" i="10" s="1"/>
  <c r="E245" i="10" l="1"/>
  <c r="G245" i="10" s="1"/>
  <c r="F245" i="10"/>
  <c r="H245" i="10" l="1"/>
  <c r="C246" i="10" s="1"/>
  <c r="E246" i="10" l="1"/>
  <c r="G246" i="10" s="1"/>
  <c r="H246" i="10" s="1"/>
  <c r="C247" i="10" s="1"/>
  <c r="F246" i="10"/>
  <c r="E247" i="10" l="1"/>
  <c r="G247" i="10" s="1"/>
  <c r="H247" i="10" s="1"/>
  <c r="C248" i="10" s="1"/>
  <c r="F247" i="10"/>
  <c r="E248" i="10" l="1"/>
  <c r="G248" i="10" s="1"/>
  <c r="H248" i="10" s="1"/>
  <c r="C249" i="10" s="1"/>
  <c r="F248" i="10"/>
  <c r="F249" i="10" l="1"/>
  <c r="E249" i="10"/>
  <c r="G249" i="10" s="1"/>
  <c r="H249" i="10" l="1"/>
  <c r="C250" i="10" s="1"/>
  <c r="E250" i="10" l="1"/>
  <c r="G250" i="10" s="1"/>
  <c r="H250" i="10" s="1"/>
  <c r="C251" i="10" s="1"/>
  <c r="F250" i="10"/>
  <c r="F251" i="10" l="1"/>
  <c r="E251" i="10"/>
  <c r="G251" i="10" s="1"/>
  <c r="H251" i="10" l="1"/>
  <c r="C252" i="10" s="1"/>
  <c r="E252" i="10" l="1"/>
  <c r="G252" i="10" s="1"/>
  <c r="F252" i="10"/>
  <c r="H252" i="10" l="1"/>
  <c r="C253" i="10" s="1"/>
  <c r="E253" i="10" l="1"/>
  <c r="G253" i="10" s="1"/>
  <c r="F253" i="10"/>
  <c r="H253" i="10" l="1"/>
  <c r="C254" i="10" s="1"/>
  <c r="E254" i="10" l="1"/>
  <c r="G254" i="10" s="1"/>
  <c r="F254" i="10"/>
  <c r="H254" i="10" l="1"/>
  <c r="C255" i="10" s="1"/>
  <c r="F255" i="10" l="1"/>
  <c r="E255" i="10"/>
  <c r="G255" i="10" s="1"/>
  <c r="H255" i="10" s="1"/>
  <c r="C256" i="10"/>
  <c r="E256" i="10" l="1"/>
  <c r="G256" i="10" s="1"/>
  <c r="F256" i="10"/>
  <c r="H256" i="10" l="1"/>
  <c r="C257" i="10" s="1"/>
  <c r="F257" i="10" l="1"/>
  <c r="E257" i="10"/>
  <c r="G257" i="10" s="1"/>
  <c r="H257" i="10" l="1"/>
  <c r="C258" i="10" s="1"/>
  <c r="E258" i="10" l="1"/>
  <c r="G258" i="10" s="1"/>
  <c r="H258" i="10" s="1"/>
  <c r="C259" i="10" s="1"/>
  <c r="F258" i="10"/>
  <c r="F259" i="10" l="1"/>
  <c r="E259" i="10"/>
  <c r="G259" i="10" s="1"/>
  <c r="H259" i="10" l="1"/>
  <c r="C260" i="10" s="1"/>
  <c r="E260" i="10" l="1"/>
  <c r="G260" i="10" s="1"/>
  <c r="H260" i="10" s="1"/>
  <c r="C261" i="10" s="1"/>
  <c r="F260" i="10"/>
  <c r="E261" i="10" l="1"/>
  <c r="G261" i="10" s="1"/>
  <c r="F261" i="10"/>
  <c r="H261" i="10" l="1"/>
  <c r="C262" i="10" s="1"/>
  <c r="E262" i="10" l="1"/>
  <c r="G262" i="10" s="1"/>
  <c r="H262" i="10" s="1"/>
  <c r="C263" i="10" s="1"/>
  <c r="F262" i="10"/>
  <c r="F263" i="10" l="1"/>
  <c r="E263" i="10"/>
  <c r="G263" i="10" s="1"/>
  <c r="H263" i="10" s="1"/>
  <c r="C264" i="10" s="1"/>
  <c r="E264" i="10" l="1"/>
  <c r="G264" i="10" s="1"/>
  <c r="H264" i="10" s="1"/>
  <c r="C265" i="10" s="1"/>
  <c r="F264" i="10"/>
  <c r="C266" i="10" l="1"/>
  <c r="F265" i="10"/>
  <c r="E265" i="10"/>
  <c r="G265" i="10" s="1"/>
  <c r="H265" i="10" s="1"/>
  <c r="E266" i="10" l="1"/>
  <c r="G266" i="10" s="1"/>
  <c r="H266" i="10" s="1"/>
  <c r="C267" i="10" s="1"/>
  <c r="F266" i="10"/>
  <c r="F267" i="10" l="1"/>
  <c r="E267" i="10"/>
  <c r="G267" i="10" s="1"/>
  <c r="H267" i="10" l="1"/>
  <c r="C268" i="10" s="1"/>
  <c r="E268" i="10" l="1"/>
  <c r="G268" i="10" s="1"/>
  <c r="H268" i="10" s="1"/>
  <c r="C269" i="10" s="1"/>
  <c r="F268" i="10"/>
  <c r="E269" i="10" l="1"/>
  <c r="G269" i="10" s="1"/>
  <c r="F269" i="10"/>
  <c r="H269" i="10" l="1"/>
  <c r="C270" i="10" s="1"/>
  <c r="E270" i="10" l="1"/>
  <c r="G270" i="10" s="1"/>
  <c r="H270" i="10" s="1"/>
  <c r="C271" i="10" s="1"/>
  <c r="F270" i="10"/>
  <c r="E271" i="10" l="1"/>
  <c r="G271" i="10" s="1"/>
  <c r="F271" i="10"/>
  <c r="H271" i="10" l="1"/>
  <c r="C272" i="10" s="1"/>
  <c r="E272" i="10" l="1"/>
  <c r="G272" i="10" s="1"/>
  <c r="H272" i="10" s="1"/>
  <c r="C273" i="10" s="1"/>
  <c r="F272" i="10"/>
  <c r="E273" i="10" l="1"/>
  <c r="G273" i="10" s="1"/>
  <c r="H273" i="10" s="1"/>
  <c r="C274" i="10" s="1"/>
  <c r="F273" i="10"/>
  <c r="E274" i="10" l="1"/>
  <c r="G274" i="10" s="1"/>
  <c r="H274" i="10" s="1"/>
  <c r="C275" i="10" s="1"/>
  <c r="F274" i="10"/>
  <c r="F275" i="10" l="1"/>
  <c r="E275" i="10"/>
  <c r="G275" i="10" s="1"/>
  <c r="H275" i="10" l="1"/>
  <c r="C276" i="10" s="1"/>
  <c r="E276" i="10" l="1"/>
  <c r="G276" i="10" s="1"/>
  <c r="H276" i="10" s="1"/>
  <c r="C277" i="10" s="1"/>
  <c r="F276" i="10"/>
  <c r="E277" i="10" l="1"/>
  <c r="G277" i="10" s="1"/>
  <c r="F277" i="10"/>
  <c r="H277" i="10" l="1"/>
  <c r="C278" i="10" s="1"/>
  <c r="E278" i="10" l="1"/>
  <c r="G278" i="10" s="1"/>
  <c r="H278" i="10" s="1"/>
  <c r="C279" i="10" s="1"/>
  <c r="F278" i="10"/>
  <c r="E279" i="10" l="1"/>
  <c r="G279" i="10" s="1"/>
  <c r="H279" i="10" s="1"/>
  <c r="C280" i="10" s="1"/>
  <c r="F279" i="10"/>
  <c r="E280" i="10" l="1"/>
  <c r="G280" i="10" s="1"/>
  <c r="H280" i="10" s="1"/>
  <c r="C281" i="10" s="1"/>
  <c r="F280" i="10"/>
  <c r="F281" i="10" l="1"/>
  <c r="E281" i="10"/>
  <c r="G281" i="10" s="1"/>
  <c r="H281" i="10" l="1"/>
  <c r="C282" i="10" s="1"/>
  <c r="E282" i="10" l="1"/>
  <c r="G282" i="10" s="1"/>
  <c r="H282" i="10" s="1"/>
  <c r="C283" i="10" s="1"/>
  <c r="F282" i="10"/>
  <c r="F283" i="10" l="1"/>
  <c r="E283" i="10"/>
  <c r="G283" i="10" s="1"/>
  <c r="H283" i="10" l="1"/>
  <c r="C284" i="10" s="1"/>
  <c r="E284" i="10" l="1"/>
  <c r="G284" i="10" s="1"/>
  <c r="H284" i="10" s="1"/>
  <c r="C285" i="10" s="1"/>
  <c r="F284" i="10"/>
  <c r="E285" i="10" l="1"/>
  <c r="G285" i="10" s="1"/>
  <c r="F285" i="10"/>
  <c r="H285" i="10" l="1"/>
  <c r="C286" i="10" s="1"/>
  <c r="E286" i="10" l="1"/>
  <c r="G286" i="10" s="1"/>
  <c r="H286" i="10" s="1"/>
  <c r="C287" i="10" s="1"/>
  <c r="F286" i="10"/>
  <c r="F287" i="10" l="1"/>
  <c r="E287" i="10"/>
  <c r="G287" i="10" s="1"/>
  <c r="H287" i="10" s="1"/>
  <c r="C288" i="10" s="1"/>
  <c r="E288" i="10" l="1"/>
  <c r="G288" i="10" s="1"/>
  <c r="F288" i="10"/>
  <c r="H288" i="10" l="1"/>
  <c r="C289" i="10" s="1"/>
  <c r="F289" i="10" l="1"/>
  <c r="E289" i="10"/>
  <c r="G289" i="10" s="1"/>
  <c r="H289" i="10" s="1"/>
  <c r="C290" i="10"/>
  <c r="E290" i="10" l="1"/>
  <c r="G290" i="10" s="1"/>
  <c r="F290" i="10"/>
  <c r="H290" i="10" l="1"/>
  <c r="C291" i="10" s="1"/>
  <c r="F291" i="10" l="1"/>
  <c r="E291" i="10"/>
  <c r="G291" i="10" s="1"/>
  <c r="H291" i="10" s="1"/>
  <c r="C292" i="10" s="1"/>
  <c r="E292" i="10" l="1"/>
  <c r="G292" i="10" s="1"/>
  <c r="F292" i="10"/>
  <c r="H292" i="10" l="1"/>
  <c r="C293" i="10" s="1"/>
  <c r="E293" i="10" l="1"/>
  <c r="G293" i="10" s="1"/>
  <c r="F293" i="10"/>
  <c r="H293" i="10" l="1"/>
  <c r="C294" i="10" s="1"/>
  <c r="E294" i="10" l="1"/>
  <c r="G294" i="10" s="1"/>
  <c r="F294" i="10"/>
  <c r="H294" i="10" l="1"/>
  <c r="C295" i="10" s="1"/>
  <c r="F295" i="10" l="1"/>
  <c r="E295" i="10"/>
  <c r="G295" i="10" s="1"/>
  <c r="H295" i="10" s="1"/>
  <c r="C296" i="10" s="1"/>
  <c r="E296" i="10" l="1"/>
  <c r="G296" i="10" s="1"/>
  <c r="F296" i="10"/>
  <c r="H296" i="10" l="1"/>
  <c r="C297" i="10" s="1"/>
  <c r="C298" i="10" l="1"/>
  <c r="F297" i="10"/>
  <c r="E297" i="10"/>
  <c r="G297" i="10" s="1"/>
  <c r="H297" i="10" s="1"/>
  <c r="E298" i="10" l="1"/>
  <c r="G298" i="10" s="1"/>
  <c r="F298" i="10"/>
  <c r="H298" i="10" l="1"/>
  <c r="C299" i="10" s="1"/>
  <c r="F299" i="10" l="1"/>
  <c r="E299" i="10"/>
  <c r="G299" i="10" s="1"/>
  <c r="H299" i="10" s="1"/>
  <c r="C300" i="10"/>
  <c r="F300" i="10" l="1"/>
  <c r="E300" i="10"/>
  <c r="G300" i="10" s="1"/>
  <c r="H300" i="10" s="1"/>
  <c r="C301" i="10" s="1"/>
  <c r="E301" i="10" l="1"/>
  <c r="G301" i="10" s="1"/>
  <c r="F301" i="10"/>
  <c r="H301" i="10" l="1"/>
  <c r="C302" i="10" s="1"/>
  <c r="F302" i="10" l="1"/>
  <c r="E302" i="10"/>
  <c r="G302" i="10" s="1"/>
  <c r="H302" i="10" s="1"/>
  <c r="C303" i="10" s="1"/>
  <c r="E303" i="10" l="1"/>
  <c r="G303" i="10" s="1"/>
  <c r="F303" i="10"/>
  <c r="H303" i="10" l="1"/>
  <c r="C304" i="10" s="1"/>
  <c r="F304" i="10" l="1"/>
  <c r="E304" i="10"/>
  <c r="G304" i="10" s="1"/>
  <c r="H304" i="10" s="1"/>
  <c r="C305" i="10" s="1"/>
  <c r="E305" i="10" l="1"/>
  <c r="G305" i="10" s="1"/>
  <c r="F305" i="10"/>
  <c r="H305" i="10" l="1"/>
  <c r="C306" i="10" s="1"/>
  <c r="F306" i="10" l="1"/>
  <c r="E306" i="10"/>
  <c r="G306" i="10" s="1"/>
  <c r="H306" i="10" s="1"/>
  <c r="C307" i="10" s="1"/>
  <c r="F307" i="10" l="1"/>
  <c r="E307" i="10"/>
  <c r="G307" i="10" s="1"/>
  <c r="H307" i="10" s="1"/>
  <c r="C308" i="10" s="1"/>
  <c r="F308" i="10" l="1"/>
  <c r="E308" i="10"/>
  <c r="G308" i="10" s="1"/>
  <c r="H308" i="10" s="1"/>
  <c r="C309" i="10" s="1"/>
  <c r="E309" i="10" l="1"/>
  <c r="G309" i="10" s="1"/>
  <c r="F309" i="10"/>
  <c r="H309" i="10" l="1"/>
  <c r="C310" i="10" s="1"/>
  <c r="F310" i="10" l="1"/>
  <c r="E310" i="10"/>
  <c r="G310" i="10" s="1"/>
  <c r="H310" i="10" s="1"/>
  <c r="C311" i="10" s="1"/>
  <c r="F311" i="10" l="1"/>
  <c r="E311" i="10"/>
  <c r="G311" i="10" s="1"/>
  <c r="H311" i="10" s="1"/>
  <c r="C312" i="10" s="1"/>
  <c r="F312" i="10" l="1"/>
  <c r="E312" i="10"/>
  <c r="G312" i="10" s="1"/>
  <c r="H312" i="10" s="1"/>
  <c r="C313" i="10" s="1"/>
  <c r="E313" i="10" l="1"/>
  <c r="G313" i="10" s="1"/>
  <c r="H313" i="10" s="1"/>
  <c r="C314" i="10" s="1"/>
  <c r="F313" i="10"/>
  <c r="C315" i="10" l="1"/>
  <c r="F314" i="10"/>
  <c r="E314" i="10"/>
  <c r="G314" i="10" s="1"/>
  <c r="H314" i="10" s="1"/>
  <c r="E315" i="10" l="1"/>
  <c r="G315" i="10" s="1"/>
  <c r="H315" i="10" s="1"/>
  <c r="C316" i="10" s="1"/>
  <c r="F315" i="10"/>
  <c r="F316" i="10" l="1"/>
  <c r="E316" i="10"/>
  <c r="G316" i="10" s="1"/>
  <c r="H316" i="10" s="1"/>
  <c r="C317" i="10" s="1"/>
  <c r="F317" i="10" l="1"/>
  <c r="E317" i="10"/>
  <c r="G317" i="10" s="1"/>
  <c r="H317" i="10" s="1"/>
  <c r="C318" i="10" s="1"/>
  <c r="F318" i="10" l="1"/>
  <c r="E318" i="10"/>
  <c r="G318" i="10" s="1"/>
  <c r="H318" i="10" s="1"/>
  <c r="C319" i="10" s="1"/>
  <c r="F319" i="10" l="1"/>
  <c r="E319" i="10"/>
  <c r="G319" i="10" s="1"/>
  <c r="H319" i="10" s="1"/>
  <c r="C320" i="10" s="1"/>
  <c r="C321" i="10" l="1"/>
  <c r="F320" i="10"/>
  <c r="E320" i="10"/>
  <c r="G320" i="10" s="1"/>
  <c r="H320" i="10" s="1"/>
  <c r="E321" i="10" l="1"/>
  <c r="G321" i="10" s="1"/>
  <c r="F321" i="10"/>
  <c r="H321" i="10" l="1"/>
  <c r="C322" i="10" s="1"/>
  <c r="F322" i="10" l="1"/>
  <c r="E322" i="10"/>
  <c r="G322" i="10" s="1"/>
  <c r="H322" i="10" s="1"/>
  <c r="C323" i="10" s="1"/>
  <c r="F323" i="10" l="1"/>
  <c r="E323" i="10"/>
  <c r="G323" i="10" s="1"/>
  <c r="H323" i="10" s="1"/>
  <c r="C324" i="10" s="1"/>
  <c r="F324" i="10" l="1"/>
  <c r="E324" i="10"/>
  <c r="G324" i="10" s="1"/>
  <c r="H324" i="10" s="1"/>
  <c r="C325" i="10" s="1"/>
  <c r="F325" i="10" l="1"/>
  <c r="E325" i="10"/>
  <c r="G325" i="10" s="1"/>
  <c r="H325" i="10" l="1"/>
  <c r="C326" i="10" s="1"/>
  <c r="F326" i="10" l="1"/>
  <c r="E326" i="10"/>
  <c r="G326" i="10" s="1"/>
  <c r="H326" i="10" s="1"/>
  <c r="C327" i="10" s="1"/>
  <c r="F327" i="10" l="1"/>
  <c r="E327" i="10"/>
  <c r="G327" i="10" s="1"/>
  <c r="H327" i="10" l="1"/>
  <c r="C328" i="10" s="1"/>
  <c r="F328" i="10" l="1"/>
  <c r="E328" i="10"/>
  <c r="G328" i="10" s="1"/>
  <c r="H328" i="10" s="1"/>
  <c r="C329" i="10" s="1"/>
  <c r="E329" i="10" l="1"/>
  <c r="G329" i="10" s="1"/>
  <c r="F329" i="10"/>
  <c r="H329" i="10" l="1"/>
  <c r="C330" i="10" s="1"/>
  <c r="C331" i="10" l="1"/>
  <c r="F330" i="10"/>
  <c r="E330" i="10"/>
  <c r="G330" i="10" s="1"/>
  <c r="H330" i="10" s="1"/>
  <c r="E331" i="10" l="1"/>
  <c r="G331" i="10" s="1"/>
  <c r="H331" i="10" s="1"/>
  <c r="C332" i="10" s="1"/>
  <c r="F331" i="10"/>
  <c r="E332" i="10" l="1"/>
  <c r="G332" i="10" s="1"/>
  <c r="H332" i="10" s="1"/>
  <c r="C333" i="10" s="1"/>
  <c r="F332" i="10"/>
  <c r="F333" i="10" l="1"/>
  <c r="E333" i="10"/>
  <c r="G333" i="10" s="1"/>
  <c r="H333" i="10" l="1"/>
  <c r="C334" i="10" s="1"/>
  <c r="E334" i="10" l="1"/>
  <c r="G334" i="10" s="1"/>
  <c r="H334" i="10" s="1"/>
  <c r="C335" i="10" s="1"/>
  <c r="F334" i="10"/>
  <c r="E335" i="10" l="1"/>
  <c r="G335" i="10" s="1"/>
  <c r="F335" i="10"/>
  <c r="H335" i="10" l="1"/>
  <c r="C336" i="10" s="1"/>
  <c r="E336" i="10" l="1"/>
  <c r="G336" i="10" s="1"/>
  <c r="H336" i="10" s="1"/>
  <c r="C337" i="10" s="1"/>
  <c r="F336" i="10"/>
  <c r="F337" i="10" l="1"/>
  <c r="E337" i="10"/>
  <c r="G337" i="10" s="1"/>
  <c r="H337" i="10" l="1"/>
  <c r="C338" i="10" s="1"/>
  <c r="E338" i="10" l="1"/>
  <c r="G338" i="10" s="1"/>
  <c r="H338" i="10" s="1"/>
  <c r="C339" i="10" s="1"/>
  <c r="F338" i="10"/>
  <c r="C340" i="10" l="1"/>
  <c r="F339" i="10"/>
  <c r="E339" i="10"/>
  <c r="G339" i="10" s="1"/>
  <c r="H339" i="10" s="1"/>
  <c r="E340" i="10" l="1"/>
  <c r="G340" i="10" s="1"/>
  <c r="H340" i="10" s="1"/>
  <c r="C341" i="10" s="1"/>
  <c r="F340" i="10"/>
  <c r="F341" i="10" l="1"/>
  <c r="E341" i="10"/>
  <c r="G341" i="10" s="1"/>
  <c r="H341" i="10" l="1"/>
  <c r="C342" i="10" s="1"/>
  <c r="E342" i="10" l="1"/>
  <c r="G342" i="10" s="1"/>
  <c r="H342" i="10" s="1"/>
  <c r="C343" i="10" s="1"/>
  <c r="F342" i="10"/>
  <c r="E343" i="10" l="1"/>
  <c r="G343" i="10" s="1"/>
  <c r="F343" i="10"/>
  <c r="H343" i="10" l="1"/>
  <c r="C344" i="10" s="1"/>
  <c r="E344" i="10" l="1"/>
  <c r="G344" i="10" s="1"/>
  <c r="H344" i="10" s="1"/>
  <c r="C345" i="10" s="1"/>
  <c r="F344" i="10"/>
  <c r="C346" i="10" l="1"/>
  <c r="F345" i="10"/>
  <c r="E345" i="10"/>
  <c r="G345" i="10" s="1"/>
  <c r="H345" i="10" s="1"/>
  <c r="E346" i="10" l="1"/>
  <c r="G346" i="10" s="1"/>
  <c r="H346" i="10" s="1"/>
  <c r="C347" i="10" s="1"/>
  <c r="F346" i="10"/>
  <c r="E347" i="10" l="1"/>
  <c r="G347" i="10" s="1"/>
  <c r="H347" i="10" s="1"/>
  <c r="C348" i="10" s="1"/>
  <c r="F347" i="10"/>
  <c r="E348" i="10" l="1"/>
  <c r="G348" i="10" s="1"/>
  <c r="H348" i="10" s="1"/>
  <c r="C349" i="10" s="1"/>
  <c r="F348" i="10"/>
  <c r="F349" i="10" l="1"/>
  <c r="E349" i="10"/>
  <c r="G349" i="10" s="1"/>
  <c r="H349" i="10" s="1"/>
  <c r="C350" i="10" s="1"/>
  <c r="E350" i="10" l="1"/>
  <c r="G350" i="10" s="1"/>
  <c r="H350" i="10" s="1"/>
  <c r="C351" i="10" s="1"/>
  <c r="F350" i="10"/>
  <c r="E351" i="10" l="1"/>
  <c r="G351" i="10" s="1"/>
  <c r="F351" i="10"/>
  <c r="H351" i="10" l="1"/>
  <c r="C352" i="10" s="1"/>
  <c r="E352" i="10" l="1"/>
  <c r="G352" i="10" s="1"/>
  <c r="F352" i="10"/>
  <c r="H352" i="10" l="1"/>
  <c r="C353" i="10" s="1"/>
  <c r="E353" i="10" l="1"/>
  <c r="G353" i="10" s="1"/>
  <c r="H353" i="10" s="1"/>
  <c r="C354" i="10" s="1"/>
  <c r="F353" i="10"/>
  <c r="E354" i="10" l="1"/>
  <c r="G354" i="10" s="1"/>
  <c r="H354" i="10" s="1"/>
  <c r="C355" i="10" s="1"/>
  <c r="F354" i="10"/>
  <c r="F355" i="10" l="1"/>
  <c r="E355" i="10"/>
  <c r="G355" i="10" s="1"/>
  <c r="H355" i="10" l="1"/>
  <c r="C356" i="10" s="1"/>
  <c r="E356" i="10" l="1"/>
  <c r="G356" i="10" s="1"/>
  <c r="H356" i="10" s="1"/>
  <c r="C357" i="10" s="1"/>
  <c r="F356" i="10"/>
  <c r="F357" i="10" l="1"/>
  <c r="E357" i="10"/>
  <c r="G357" i="10" s="1"/>
  <c r="H357" i="10" l="1"/>
  <c r="C358" i="10" s="1"/>
  <c r="E358" i="10" l="1"/>
  <c r="G358" i="10" s="1"/>
  <c r="H358" i="10" s="1"/>
  <c r="C359" i="10" s="1"/>
  <c r="F358" i="10"/>
  <c r="E359" i="10" l="1"/>
  <c r="G359" i="10" s="1"/>
  <c r="F359" i="10"/>
  <c r="H359" i="10" l="1"/>
  <c r="C360" i="10" s="1"/>
  <c r="E360" i="10" l="1"/>
  <c r="G360" i="10" s="1"/>
  <c r="H360" i="10" s="1"/>
  <c r="C361" i="10" s="1"/>
  <c r="F360" i="10"/>
  <c r="F361" i="10" l="1"/>
  <c r="E361" i="10"/>
  <c r="G361" i="10" s="1"/>
  <c r="H361" i="10" l="1"/>
  <c r="C362" i="10" s="1"/>
  <c r="E362" i="10" l="1"/>
  <c r="G362" i="10" s="1"/>
  <c r="H362" i="10" s="1"/>
  <c r="C363" i="10" s="1"/>
  <c r="F362" i="10"/>
  <c r="F363" i="10" l="1"/>
  <c r="E363" i="10"/>
  <c r="G363" i="10" s="1"/>
  <c r="H363" i="10" l="1"/>
  <c r="C364" i="10" s="1"/>
  <c r="E364" i="10" l="1"/>
  <c r="G364" i="10" s="1"/>
  <c r="H364" i="10" s="1"/>
  <c r="C365" i="10" s="1"/>
  <c r="F364" i="10"/>
  <c r="F365" i="10" l="1"/>
  <c r="E365" i="10"/>
  <c r="G365" i="10" s="1"/>
  <c r="H365" i="10" s="1"/>
  <c r="C366" i="10" s="1"/>
  <c r="E366" i="10" l="1"/>
  <c r="G366" i="10" s="1"/>
  <c r="F366" i="10"/>
  <c r="H366" i="10" l="1"/>
  <c r="C367" i="10" s="1"/>
  <c r="E367" i="10" l="1"/>
  <c r="G367" i="10" s="1"/>
  <c r="F367" i="10"/>
  <c r="H367" i="10" l="1"/>
  <c r="C368" i="10" s="1"/>
  <c r="E368" i="10" l="1"/>
  <c r="G368" i="10" s="1"/>
  <c r="F368" i="10"/>
  <c r="H368" i="10" l="1"/>
  <c r="C369" i="10" s="1"/>
  <c r="E369" i="10" l="1"/>
  <c r="G369" i="10" s="1"/>
  <c r="H369" i="10" s="1"/>
  <c r="C370" i="10" s="1"/>
  <c r="F369" i="10"/>
  <c r="C371" i="10" l="1"/>
  <c r="F370" i="10"/>
  <c r="E370" i="10"/>
  <c r="G370" i="10" s="1"/>
  <c r="H370" i="10" s="1"/>
  <c r="C372" i="10" l="1"/>
  <c r="F371" i="10"/>
  <c r="E371" i="10"/>
  <c r="G371" i="10" s="1"/>
  <c r="H371" i="10" s="1"/>
  <c r="C373" i="10" l="1"/>
  <c r="F372" i="10"/>
  <c r="E372" i="10"/>
  <c r="G372" i="10" s="1"/>
  <c r="H372" i="10" s="1"/>
  <c r="E373" i="10" l="1"/>
  <c r="G373" i="10" s="1"/>
  <c r="H373" i="10" s="1"/>
  <c r="C374" i="10" s="1"/>
  <c r="F373" i="10"/>
  <c r="C375" i="10" l="1"/>
  <c r="F374" i="10"/>
  <c r="E374" i="10"/>
  <c r="G374" i="10" s="1"/>
  <c r="H374" i="10" s="1"/>
  <c r="F375" i="10" l="1"/>
  <c r="E375" i="10"/>
  <c r="G375" i="10" s="1"/>
  <c r="H375" i="10" l="1"/>
  <c r="C376" i="10" s="1"/>
  <c r="C377" i="10" l="1"/>
  <c r="F376" i="10"/>
  <c r="E376" i="10"/>
  <c r="G376" i="10" s="1"/>
  <c r="H376" i="10" s="1"/>
  <c r="E377" i="10" l="1"/>
  <c r="G377" i="10" s="1"/>
  <c r="H377" i="10" s="1"/>
  <c r="C378" i="10" s="1"/>
  <c r="F377" i="10"/>
  <c r="C379" i="10" l="1"/>
  <c r="F378" i="10"/>
  <c r="E378" i="10"/>
  <c r="G378" i="10" s="1"/>
  <c r="H378" i="10" s="1"/>
  <c r="E379" i="10" l="1"/>
  <c r="G379" i="10" s="1"/>
  <c r="H379" i="10" s="1"/>
  <c r="C380" i="10" s="1"/>
  <c r="F379" i="10"/>
  <c r="C381" i="10" l="1"/>
  <c r="F380" i="10"/>
  <c r="E380" i="10"/>
  <c r="G380" i="10" s="1"/>
  <c r="H380" i="10" s="1"/>
  <c r="E381" i="10" l="1"/>
  <c r="G381" i="10" s="1"/>
  <c r="F381" i="10"/>
  <c r="H381" i="10" l="1"/>
  <c r="C382" i="10" s="1"/>
  <c r="C383" i="10" l="1"/>
  <c r="F382" i="10"/>
  <c r="E382" i="10"/>
  <c r="G382" i="10" s="1"/>
  <c r="H382" i="10" s="1"/>
  <c r="F383" i="10" l="1"/>
  <c r="E383" i="10"/>
  <c r="G383" i="10" s="1"/>
  <c r="H383" i="10" s="1"/>
  <c r="C384" i="10" s="1"/>
  <c r="C385" i="10" l="1"/>
  <c r="F384" i="10"/>
  <c r="E384" i="10"/>
  <c r="G384" i="10" s="1"/>
  <c r="H384" i="10" s="1"/>
  <c r="E385" i="10" l="1"/>
  <c r="G385" i="10" s="1"/>
  <c r="F385" i="10"/>
  <c r="H385" i="10" l="1"/>
  <c r="C386" i="10" s="1"/>
  <c r="F386" i="10" l="1"/>
  <c r="E386" i="10"/>
  <c r="G386" i="10" s="1"/>
  <c r="H386" i="10" s="1"/>
  <c r="C387" i="10" s="1"/>
  <c r="F387" i="10" l="1"/>
  <c r="E387" i="10"/>
  <c r="G387" i="10" s="1"/>
  <c r="H387" i="10" s="1"/>
  <c r="C388" i="10" s="1"/>
  <c r="F388" i="10" l="1"/>
  <c r="E388" i="10"/>
  <c r="G388" i="10" s="1"/>
  <c r="H388" i="10" s="1"/>
  <c r="G57" i="8"/>
  <c r="G58" i="8"/>
  <c r="W9" i="6" s="1"/>
  <c r="P85" i="8"/>
  <c r="T85" i="8" s="1"/>
  <c r="W12" i="6" s="1"/>
  <c r="P142" i="8"/>
  <c r="W17" i="6" s="1"/>
  <c r="S142" i="8"/>
  <c r="Z17" i="6"/>
  <c r="AA17" i="6" s="1"/>
  <c r="C18" i="6" s="1"/>
  <c r="E18" i="6" s="1"/>
  <c r="H18" i="6" s="1"/>
  <c r="R586" i="8"/>
  <c r="Y53" i="6" s="1"/>
  <c r="Q778" i="8"/>
  <c r="X69" i="6"/>
  <c r="R874" i="8"/>
  <c r="Y77" i="6" s="1"/>
  <c r="H1074" i="8"/>
  <c r="H1075" i="8" s="1"/>
  <c r="H1038" i="8"/>
  <c r="I762" i="8"/>
  <c r="I763" i="8" s="1"/>
  <c r="I642" i="8"/>
  <c r="G150" i="8"/>
  <c r="G151" i="8" s="1"/>
  <c r="J150" i="8"/>
  <c r="J151" i="8" s="1"/>
  <c r="G105" i="8"/>
  <c r="G106" i="8" s="1"/>
  <c r="I643" i="8"/>
  <c r="H1039" i="8"/>
  <c r="J18" i="6" l="1"/>
  <c r="G18" i="6"/>
  <c r="I18" i="6" s="1"/>
  <c r="N18" i="6" s="1"/>
  <c r="AC18" i="6"/>
  <c r="K18" i="6" l="1"/>
  <c r="Q18" i="6"/>
  <c r="P154" i="8"/>
  <c r="W18" i="6" s="1"/>
  <c r="G163" i="8"/>
  <c r="G164" i="8" s="1"/>
  <c r="S154" i="8" l="1"/>
  <c r="Z18" i="6" s="1"/>
  <c r="AA18" i="6" s="1"/>
  <c r="C19" i="6" s="1"/>
  <c r="J163" i="8"/>
  <c r="J164" i="8" s="1"/>
  <c r="E19" i="6" l="1"/>
  <c r="H19" i="6" s="1"/>
  <c r="G19" i="6"/>
  <c r="AC19" i="6"/>
  <c r="I19" i="6" l="1"/>
  <c r="N19" i="6" s="1"/>
  <c r="P167" i="8" s="1"/>
  <c r="W19" i="6" s="1"/>
  <c r="Q19" i="6"/>
  <c r="J19" i="6"/>
  <c r="G176" i="8" l="1"/>
  <c r="G177" i="8" s="1"/>
  <c r="K19" i="6"/>
  <c r="S167" i="8"/>
  <c r="Z19" i="6" s="1"/>
  <c r="AA19" i="6" s="1"/>
  <c r="C20" i="6" s="1"/>
  <c r="J176" i="8"/>
  <c r="J177" i="8" s="1"/>
  <c r="E20" i="6" l="1"/>
  <c r="H20" i="6" s="1"/>
  <c r="G20" i="6"/>
  <c r="AC20" i="6"/>
  <c r="I20" i="6" l="1"/>
  <c r="N20" i="6" s="1"/>
  <c r="K20" i="6" s="1"/>
  <c r="G188" i="8"/>
  <c r="G189" i="8" s="1"/>
  <c r="J20" i="6"/>
  <c r="P180" i="8" l="1"/>
  <c r="W20" i="6" s="1"/>
  <c r="Q20" i="6"/>
  <c r="S180" i="8"/>
  <c r="Z20" i="6" s="1"/>
  <c r="AA20" i="6" s="1"/>
  <c r="C21" i="6" s="1"/>
  <c r="J188" i="8"/>
  <c r="J189" i="8" s="1"/>
  <c r="E21" i="6" l="1"/>
  <c r="H21" i="6" s="1"/>
  <c r="G21" i="6"/>
  <c r="AC21" i="6"/>
  <c r="I21" i="6" l="1"/>
  <c r="N21" i="6" s="1"/>
  <c r="P192" i="8" s="1"/>
  <c r="W21" i="6" s="1"/>
  <c r="J21" i="6"/>
  <c r="G200" i="8" l="1"/>
  <c r="G201" i="8" s="1"/>
  <c r="K21" i="6"/>
  <c r="Q21" i="6"/>
  <c r="S192" i="8"/>
  <c r="Z21" i="6" s="1"/>
  <c r="AA21" i="6" s="1"/>
  <c r="C22" i="6" s="1"/>
  <c r="J200" i="8"/>
  <c r="J201" i="8" s="1"/>
  <c r="G22" i="6" l="1"/>
  <c r="E22" i="6"/>
  <c r="H22" i="6" s="1"/>
  <c r="AC22" i="6"/>
  <c r="I22" i="6" l="1"/>
  <c r="N22" i="6" s="1"/>
  <c r="Q22" i="6" s="1"/>
  <c r="J22" i="6"/>
  <c r="K22" i="6"/>
  <c r="G215" i="8"/>
  <c r="G216" i="8" s="1"/>
  <c r="P204" i="8"/>
  <c r="W22" i="6" s="1"/>
  <c r="S204" i="8" l="1"/>
  <c r="Z22" i="6" s="1"/>
  <c r="AA22" i="6" s="1"/>
  <c r="C23" i="6" s="1"/>
  <c r="J215" i="8"/>
  <c r="J216" i="8" s="1"/>
  <c r="E23" i="6" l="1"/>
  <c r="H23" i="6" s="1"/>
  <c r="G23" i="6"/>
  <c r="AC23" i="6"/>
  <c r="I23" i="6" l="1"/>
  <c r="N23" i="6" s="1"/>
  <c r="J23" i="6"/>
  <c r="P219" i="8" l="1"/>
  <c r="W23" i="6" s="1"/>
  <c r="Q23" i="6"/>
  <c r="K23" i="6"/>
  <c r="G230" i="8"/>
  <c r="G231" i="8" s="1"/>
  <c r="S219" i="8" l="1"/>
  <c r="Z23" i="6" s="1"/>
  <c r="AA23" i="6" s="1"/>
  <c r="C24" i="6" s="1"/>
  <c r="J230" i="8"/>
  <c r="J231" i="8" s="1"/>
  <c r="E24" i="6" l="1"/>
  <c r="H24" i="6" s="1"/>
  <c r="G24" i="6"/>
  <c r="I24" i="6" l="1"/>
  <c r="N24" i="6" s="1"/>
  <c r="K24" i="6" s="1"/>
  <c r="J24" i="6"/>
  <c r="G242" i="8" l="1"/>
  <c r="G243" i="8" s="1"/>
  <c r="P234" i="8"/>
  <c r="W24" i="6" s="1"/>
  <c r="Q24" i="6"/>
  <c r="S234" i="8"/>
  <c r="Z24" i="6" s="1"/>
  <c r="AA24" i="6" s="1"/>
  <c r="C25" i="6" s="1"/>
  <c r="J242" i="8"/>
  <c r="J243" i="8" s="1"/>
  <c r="E25" i="6" l="1"/>
  <c r="H25" i="6" s="1"/>
  <c r="G25" i="6"/>
  <c r="I25" i="6" l="1"/>
  <c r="N25" i="6" s="1"/>
  <c r="P246" i="8" s="1"/>
  <c r="W25" i="6" s="1"/>
  <c r="J25" i="6"/>
  <c r="G254" i="8" l="1"/>
  <c r="G255" i="8" s="1"/>
  <c r="K25" i="6"/>
  <c r="Q25" i="6"/>
  <c r="J254" i="8"/>
  <c r="J255" i="8" s="1"/>
  <c r="S246" i="8"/>
  <c r="Z25" i="6" s="1"/>
  <c r="AA25" i="6" s="1"/>
  <c r="C26" i="6" s="1"/>
  <c r="G26" i="6" l="1"/>
  <c r="E26" i="6"/>
  <c r="H26" i="6" s="1"/>
  <c r="J26" i="6" l="1"/>
  <c r="I26" i="6"/>
  <c r="N26" i="6" s="1"/>
  <c r="K26" i="6" l="1"/>
  <c r="Q26" i="6"/>
  <c r="P258" i="8"/>
  <c r="W26" i="6" s="1"/>
  <c r="G266" i="8"/>
  <c r="G267" i="8" s="1"/>
  <c r="S258" i="8" l="1"/>
  <c r="Z26" i="6" s="1"/>
  <c r="AA26" i="6" s="1"/>
  <c r="C27" i="6" s="1"/>
  <c r="J266" i="8"/>
  <c r="J267" i="8" s="1"/>
  <c r="E27" i="6" l="1"/>
  <c r="H27" i="6" s="1"/>
  <c r="G27" i="6"/>
  <c r="I27" i="6" l="1"/>
  <c r="N27" i="6" s="1"/>
  <c r="J27" i="6"/>
  <c r="P270" i="8" l="1"/>
  <c r="W27" i="6" s="1"/>
  <c r="K27" i="6"/>
  <c r="Q27" i="6"/>
  <c r="G278" i="8"/>
  <c r="G279" i="8" s="1"/>
  <c r="S270" i="8" l="1"/>
  <c r="Z27" i="6" s="1"/>
  <c r="AA27" i="6" s="1"/>
  <c r="C28" i="6" s="1"/>
  <c r="J278" i="8"/>
  <c r="J279" i="8" s="1"/>
  <c r="E28" i="6" l="1"/>
  <c r="H28" i="6" s="1"/>
  <c r="G28" i="6"/>
  <c r="I28" i="6" s="1"/>
  <c r="N28" i="6" s="1"/>
  <c r="K28" i="6" l="1"/>
  <c r="P282" i="8"/>
  <c r="W28" i="6" s="1"/>
  <c r="Q28" i="6"/>
  <c r="G290" i="8"/>
  <c r="G291" i="8" s="1"/>
  <c r="J28" i="6"/>
  <c r="S282" i="8" l="1"/>
  <c r="Z28" i="6" s="1"/>
  <c r="AA28" i="6" s="1"/>
  <c r="C29" i="6" s="1"/>
  <c r="J290" i="8"/>
  <c r="J291" i="8" s="1"/>
  <c r="E29" i="6" l="1"/>
  <c r="H29" i="6" s="1"/>
  <c r="G29" i="6"/>
  <c r="I29" i="6" l="1"/>
  <c r="N29" i="6" s="1"/>
  <c r="J29" i="6"/>
  <c r="P294" i="8" l="1"/>
  <c r="W29" i="6" s="1"/>
  <c r="Q29" i="6"/>
  <c r="G302" i="8"/>
  <c r="G303" i="8" s="1"/>
  <c r="K29" i="6"/>
  <c r="S294" i="8" l="1"/>
  <c r="Z29" i="6" s="1"/>
  <c r="AA29" i="6" s="1"/>
  <c r="C30" i="6" s="1"/>
  <c r="J302" i="8"/>
  <c r="J303" i="8" s="1"/>
  <c r="G30" i="6" l="1"/>
  <c r="E30" i="6"/>
  <c r="H30" i="6" s="1"/>
  <c r="I30" i="6" l="1"/>
  <c r="N30" i="6" s="1"/>
  <c r="Q30" i="6" s="1"/>
  <c r="J30" i="6"/>
  <c r="K30" i="6"/>
  <c r="P306" i="8"/>
  <c r="W30" i="6" s="1"/>
  <c r="G316" i="8"/>
  <c r="G317" i="8" s="1"/>
  <c r="S306" i="8" l="1"/>
  <c r="Z30" i="6" s="1"/>
  <c r="AA30" i="6" s="1"/>
  <c r="C31" i="6" s="1"/>
  <c r="J316" i="8"/>
  <c r="J317" i="8" s="1"/>
  <c r="E31" i="6" l="1"/>
  <c r="H31" i="6" s="1"/>
  <c r="G31" i="6"/>
  <c r="I31" i="6" l="1"/>
  <c r="N31" i="6" s="1"/>
  <c r="J31" i="6"/>
  <c r="P320" i="8" l="1"/>
  <c r="W31" i="6" s="1"/>
  <c r="Q31" i="6"/>
  <c r="G329" i="8"/>
  <c r="G330" i="8" s="1"/>
  <c r="K31" i="6"/>
  <c r="S320" i="8" l="1"/>
  <c r="Z31" i="6" s="1"/>
  <c r="AA31" i="6" s="1"/>
  <c r="C32" i="6" s="1"/>
  <c r="J329" i="8"/>
  <c r="J330" i="8" s="1"/>
  <c r="E32" i="6" l="1"/>
  <c r="H32" i="6" s="1"/>
  <c r="G32" i="6"/>
  <c r="I32" i="6" l="1"/>
  <c r="N32" i="6" s="1"/>
  <c r="J32" i="6"/>
  <c r="K32" i="6" l="1"/>
  <c r="P333" i="8"/>
  <c r="W32" i="6" s="1"/>
  <c r="Q32" i="6"/>
  <c r="G341" i="8"/>
  <c r="G342" i="8" s="1"/>
  <c r="S333" i="8" l="1"/>
  <c r="Z32" i="6" s="1"/>
  <c r="AA32" i="6" s="1"/>
  <c r="C33" i="6" s="1"/>
  <c r="J341" i="8"/>
  <c r="J342" i="8" s="1"/>
  <c r="E33" i="6" l="1"/>
  <c r="H33" i="6" s="1"/>
  <c r="G33" i="6"/>
  <c r="I33" i="6" s="1"/>
  <c r="N33" i="6" s="1"/>
  <c r="P345" i="8" l="1"/>
  <c r="W33" i="6" s="1"/>
  <c r="Q33" i="6"/>
  <c r="G353" i="8"/>
  <c r="G354" i="8" s="1"/>
  <c r="K33" i="6"/>
  <c r="J33" i="6"/>
  <c r="S345" i="8" l="1"/>
  <c r="Z33" i="6" s="1"/>
  <c r="AA33" i="6" s="1"/>
  <c r="C34" i="6" s="1"/>
  <c r="J353" i="8"/>
  <c r="J354" i="8" s="1"/>
  <c r="G34" i="6" l="1"/>
  <c r="E34" i="6"/>
  <c r="H34" i="6" s="1"/>
  <c r="J34" i="6" l="1"/>
  <c r="I34" i="6"/>
  <c r="N34" i="6" s="1"/>
  <c r="K34" i="6" l="1"/>
  <c r="P357" i="8"/>
  <c r="W34" i="6" s="1"/>
  <c r="Q34" i="6"/>
  <c r="G366" i="8"/>
  <c r="G367" i="8" l="1"/>
  <c r="D366" i="8"/>
  <c r="S357" i="8"/>
  <c r="Z34" i="6" s="1"/>
  <c r="AA34" i="6" s="1"/>
  <c r="C35" i="6" s="1"/>
  <c r="J366" i="8"/>
  <c r="J367" i="8" s="1"/>
  <c r="E35" i="6" l="1"/>
  <c r="H35" i="6" s="1"/>
  <c r="G35" i="6"/>
  <c r="I35" i="6" s="1"/>
  <c r="N35" i="6" s="1"/>
  <c r="P370" i="8" l="1"/>
  <c r="W35" i="6" s="1"/>
  <c r="K35" i="6"/>
  <c r="G378" i="8"/>
  <c r="G379" i="8" s="1"/>
  <c r="Q35" i="6"/>
  <c r="J35" i="6"/>
  <c r="S370" i="8" l="1"/>
  <c r="Z35" i="6" s="1"/>
  <c r="AA35" i="6" s="1"/>
  <c r="C36" i="6" s="1"/>
  <c r="J378" i="8"/>
  <c r="J379" i="8" s="1"/>
  <c r="G36" i="6" l="1"/>
  <c r="E36" i="6"/>
  <c r="H36" i="6" s="1"/>
  <c r="I36" i="6" l="1"/>
  <c r="N36" i="6" s="1"/>
  <c r="J36" i="6"/>
  <c r="K36" i="6" l="1"/>
  <c r="P382" i="8"/>
  <c r="W36" i="6" s="1"/>
  <c r="Q36" i="6"/>
  <c r="G390" i="8"/>
  <c r="G391" i="8" s="1"/>
  <c r="S382" i="8" l="1"/>
  <c r="Z36" i="6" s="1"/>
  <c r="AA36" i="6" s="1"/>
  <c r="C37" i="6" s="1"/>
  <c r="J390" i="8"/>
  <c r="J391" i="8" s="1"/>
  <c r="E37" i="6" l="1"/>
  <c r="H37" i="6" s="1"/>
  <c r="G37" i="6"/>
  <c r="I37" i="6" l="1"/>
  <c r="N37" i="6" s="1"/>
  <c r="J37" i="6"/>
  <c r="P394" i="8" l="1"/>
  <c r="W37" i="6" s="1"/>
  <c r="G402" i="8"/>
  <c r="G403" i="8" s="1"/>
  <c r="Q37" i="6"/>
  <c r="K37" i="6"/>
  <c r="S394" i="8" l="1"/>
  <c r="Z37" i="6" s="1"/>
  <c r="AA37" i="6" s="1"/>
  <c r="C38" i="6" s="1"/>
  <c r="J402" i="8"/>
  <c r="J403" i="8" s="1"/>
  <c r="G38" i="6" l="1"/>
  <c r="E38" i="6"/>
  <c r="H38" i="6" s="1"/>
  <c r="I38" i="6" l="1"/>
  <c r="N38" i="6" s="1"/>
  <c r="Q38" i="6" s="1"/>
  <c r="J38" i="6"/>
  <c r="K38" i="6"/>
  <c r="P406" i="8"/>
  <c r="W38" i="6" s="1"/>
  <c r="G414" i="8"/>
  <c r="G415" i="8" s="1"/>
  <c r="S406" i="8" l="1"/>
  <c r="Z38" i="6" s="1"/>
  <c r="AA38" i="6" s="1"/>
  <c r="C39" i="6" s="1"/>
  <c r="J414" i="8"/>
  <c r="J415" i="8" s="1"/>
  <c r="E39" i="6" l="1"/>
  <c r="H39" i="6" s="1"/>
  <c r="G39" i="6"/>
  <c r="I39" i="6" s="1"/>
  <c r="N39" i="6" s="1"/>
  <c r="P418" i="8" l="1"/>
  <c r="W39" i="6" s="1"/>
  <c r="G426" i="8"/>
  <c r="G427" i="8" s="1"/>
  <c r="K39" i="6"/>
  <c r="Q39" i="6"/>
  <c r="J39" i="6"/>
  <c r="S418" i="8" l="1"/>
  <c r="Z39" i="6" s="1"/>
  <c r="AA39" i="6" s="1"/>
  <c r="C40" i="6" s="1"/>
  <c r="J426" i="8"/>
  <c r="J427" i="8" s="1"/>
  <c r="E40" i="6" l="1"/>
  <c r="H40" i="6" s="1"/>
  <c r="G40" i="6"/>
  <c r="I40" i="6" l="1"/>
  <c r="N40" i="6" s="1"/>
  <c r="K40" i="6" s="1"/>
  <c r="Q40" i="6"/>
  <c r="G438" i="8"/>
  <c r="G439" i="8" s="1"/>
  <c r="P430" i="8"/>
  <c r="W40" i="6" s="1"/>
  <c r="J40" i="6"/>
  <c r="S430" i="8" l="1"/>
  <c r="Z40" i="6" s="1"/>
  <c r="AA40" i="6" s="1"/>
  <c r="C41" i="6" s="1"/>
  <c r="J438" i="8"/>
  <c r="J439" i="8" s="1"/>
  <c r="E41" i="6" l="1"/>
  <c r="H41" i="6" s="1"/>
  <c r="G41" i="6"/>
  <c r="I41" i="6" s="1"/>
  <c r="N41" i="6" s="1"/>
  <c r="P442" i="8" l="1"/>
  <c r="W41" i="6" s="1"/>
  <c r="Q41" i="6"/>
  <c r="G450" i="8"/>
  <c r="G451" i="8" s="1"/>
  <c r="K41" i="6"/>
  <c r="J41" i="6"/>
  <c r="S442" i="8" l="1"/>
  <c r="Z41" i="6" s="1"/>
  <c r="AA41" i="6" s="1"/>
  <c r="C42" i="6" s="1"/>
  <c r="J450" i="8"/>
  <c r="J451" i="8" s="1"/>
  <c r="G42" i="6" l="1"/>
  <c r="E42" i="6"/>
  <c r="H42" i="6" s="1"/>
  <c r="I42" i="6" l="1"/>
  <c r="N42" i="6" s="1"/>
  <c r="Q42" i="6" s="1"/>
  <c r="J42" i="6"/>
  <c r="K42" i="6"/>
  <c r="P454" i="8"/>
  <c r="W42" i="6" s="1"/>
  <c r="G462" i="8"/>
  <c r="G463" i="8" s="1"/>
  <c r="S454" i="8" l="1"/>
  <c r="Z42" i="6" s="1"/>
  <c r="AA42" i="6" s="1"/>
  <c r="C43" i="6" s="1"/>
  <c r="J462" i="8"/>
  <c r="J463" i="8" s="1"/>
  <c r="E43" i="6" l="1"/>
  <c r="H43" i="6" s="1"/>
  <c r="G43" i="6"/>
  <c r="I43" i="6" l="1"/>
  <c r="N43" i="6" s="1"/>
  <c r="P466" i="8" s="1"/>
  <c r="W43" i="6" s="1"/>
  <c r="G474" i="8"/>
  <c r="G475" i="8" s="1"/>
  <c r="J43" i="6"/>
  <c r="Q43" i="6" l="1"/>
  <c r="K43" i="6"/>
  <c r="S466" i="8"/>
  <c r="Z43" i="6" s="1"/>
  <c r="AA43" i="6" s="1"/>
  <c r="C44" i="6" s="1"/>
  <c r="J474" i="8"/>
  <c r="J475" i="8" s="1"/>
  <c r="E44" i="6" l="1"/>
  <c r="H44" i="6" s="1"/>
  <c r="G44" i="6"/>
  <c r="I44" i="6" s="1"/>
  <c r="N44" i="6" s="1"/>
  <c r="K44" i="6" l="1"/>
  <c r="Q44" i="6"/>
  <c r="G486" i="8"/>
  <c r="G487" i="8" s="1"/>
  <c r="P478" i="8"/>
  <c r="W44" i="6" s="1"/>
  <c r="J44" i="6"/>
  <c r="S478" i="8" l="1"/>
  <c r="Z44" i="6" s="1"/>
  <c r="AA44" i="6" s="1"/>
  <c r="C45" i="6" s="1"/>
  <c r="J486" i="8"/>
  <c r="J487" i="8" s="1"/>
  <c r="E45" i="6" l="1"/>
  <c r="H45" i="6" s="1"/>
  <c r="G45" i="6"/>
  <c r="I45" i="6" l="1"/>
  <c r="N45" i="6" s="1"/>
  <c r="K45" i="6" s="1"/>
  <c r="P490" i="8"/>
  <c r="W45" i="6" s="1"/>
  <c r="Q45" i="6"/>
  <c r="G498" i="8"/>
  <c r="G499" i="8" s="1"/>
  <c r="J45" i="6"/>
  <c r="S490" i="8" l="1"/>
  <c r="Z45" i="6" s="1"/>
  <c r="AA45" i="6" s="1"/>
  <c r="C46" i="6" s="1"/>
  <c r="J498" i="8"/>
  <c r="J499" i="8" s="1"/>
  <c r="E46" i="6" l="1"/>
  <c r="H46" i="6" s="1"/>
  <c r="G46" i="6"/>
  <c r="I46" i="6" l="1"/>
  <c r="N46" i="6" s="1"/>
  <c r="K46" i="6" s="1"/>
  <c r="G510" i="8"/>
  <c r="G511" i="8" s="1"/>
  <c r="J46" i="6"/>
  <c r="P502" i="8" l="1"/>
  <c r="W46" i="6" s="1"/>
  <c r="Q46" i="6"/>
  <c r="S502" i="8"/>
  <c r="Z46" i="6" s="1"/>
  <c r="AA46" i="6" s="1"/>
  <c r="C47" i="6" s="1"/>
  <c r="J510" i="8"/>
  <c r="J511" i="8" s="1"/>
  <c r="E47" i="6" l="1"/>
  <c r="H47" i="6" s="1"/>
  <c r="G47" i="6"/>
  <c r="I47" i="6" l="1"/>
  <c r="N47" i="6" s="1"/>
  <c r="J47" i="6"/>
  <c r="P514" i="8" l="1"/>
  <c r="W47" i="6" s="1"/>
  <c r="K47" i="6"/>
  <c r="Q47" i="6"/>
  <c r="G522" i="8"/>
  <c r="G523" i="8" s="1"/>
  <c r="J522" i="8" l="1"/>
  <c r="J523" i="8" s="1"/>
  <c r="S514" i="8"/>
  <c r="Z47" i="6" s="1"/>
  <c r="AA47" i="6" s="1"/>
  <c r="C48" i="6" s="1"/>
  <c r="E48" i="6" l="1"/>
  <c r="H48" i="6" s="1"/>
  <c r="G48" i="6"/>
  <c r="I48" i="6" l="1"/>
  <c r="N48" i="6" s="1"/>
  <c r="K48" i="6" s="1"/>
  <c r="G534" i="8"/>
  <c r="G535" i="8" s="1"/>
  <c r="J48" i="6"/>
  <c r="Q48" i="6" l="1"/>
  <c r="P526" i="8"/>
  <c r="W48" i="6" s="1"/>
  <c r="S526" i="8"/>
  <c r="Z48" i="6" s="1"/>
  <c r="AA48" i="6" s="1"/>
  <c r="C49" i="6" s="1"/>
  <c r="J534" i="8"/>
  <c r="J535" i="8" s="1"/>
  <c r="E49" i="6" l="1"/>
  <c r="H49" i="6" s="1"/>
  <c r="G49" i="6"/>
  <c r="I49" i="6" l="1"/>
  <c r="N49" i="6" s="1"/>
  <c r="J49" i="6"/>
  <c r="P538" i="8" l="1"/>
  <c r="W49" i="6" s="1"/>
  <c r="K49" i="6"/>
  <c r="Q49" i="6"/>
  <c r="G546" i="8"/>
  <c r="G547" i="8" s="1"/>
  <c r="S538" i="8" l="1"/>
  <c r="Z49" i="6" s="1"/>
  <c r="AA49" i="6" s="1"/>
  <c r="C50" i="6" s="1"/>
  <c r="J546" i="8"/>
  <c r="J547" i="8" s="1"/>
  <c r="G50" i="6" l="1"/>
  <c r="E50" i="6"/>
  <c r="H50" i="6" s="1"/>
  <c r="J50" i="6" l="1"/>
  <c r="I50" i="6"/>
  <c r="N50" i="6" s="1"/>
  <c r="K50" i="6" l="1"/>
  <c r="Q50" i="6"/>
  <c r="P550" i="8"/>
  <c r="W50" i="6" s="1"/>
  <c r="G558" i="8"/>
  <c r="G559" i="8" s="1"/>
  <c r="S550" i="8" l="1"/>
  <c r="Z50" i="6" s="1"/>
  <c r="AA50" i="6" s="1"/>
  <c r="C51" i="6" s="1"/>
  <c r="J558" i="8"/>
  <c r="J559" i="8" s="1"/>
  <c r="E51" i="6" l="1"/>
  <c r="H51" i="6" s="1"/>
  <c r="G51" i="6"/>
  <c r="I51" i="6" l="1"/>
  <c r="N51" i="6" s="1"/>
  <c r="Q51" i="6" s="1"/>
  <c r="P562" i="8"/>
  <c r="W51" i="6" s="1"/>
  <c r="K51" i="6"/>
  <c r="G570" i="8"/>
  <c r="G571" i="8" s="1"/>
  <c r="J51" i="6"/>
  <c r="S562" i="8" l="1"/>
  <c r="Z51" i="6" s="1"/>
  <c r="AA51" i="6" s="1"/>
  <c r="C52" i="6" s="1"/>
  <c r="J570" i="8"/>
  <c r="J571" i="8" s="1"/>
  <c r="E52" i="6" l="1"/>
  <c r="H52" i="6" s="1"/>
  <c r="G52" i="6"/>
  <c r="I52" i="6" l="1"/>
  <c r="N52" i="6" s="1"/>
  <c r="K52" i="6" s="1"/>
  <c r="J52" i="6"/>
  <c r="G582" i="8" l="1"/>
  <c r="G583" i="8" s="1"/>
  <c r="P574" i="8"/>
  <c r="W52" i="6" s="1"/>
  <c r="Q52" i="6"/>
  <c r="J582" i="8" s="1"/>
  <c r="J583" i="8" s="1"/>
  <c r="S574" i="8"/>
  <c r="Z52" i="6" s="1"/>
  <c r="AA52" i="6" s="1"/>
  <c r="C53" i="6" s="1"/>
  <c r="E53" i="6" l="1"/>
  <c r="H53" i="6" s="1"/>
  <c r="G53" i="6"/>
  <c r="I53" i="6" l="1"/>
  <c r="N53" i="6" s="1"/>
  <c r="J53" i="6"/>
  <c r="P586" i="8" l="1"/>
  <c r="W53" i="6" s="1"/>
  <c r="Q53" i="6"/>
  <c r="K53" i="6"/>
  <c r="G594" i="8"/>
  <c r="G595" i="8" s="1"/>
  <c r="S586" i="8" l="1"/>
  <c r="Z53" i="6" s="1"/>
  <c r="AA53" i="6" s="1"/>
  <c r="C54" i="6" s="1"/>
  <c r="J594" i="8"/>
  <c r="J595" i="8" s="1"/>
  <c r="E54" i="6" l="1"/>
  <c r="H54" i="6" s="1"/>
  <c r="G54" i="6"/>
  <c r="I54" i="6" l="1"/>
  <c r="N54" i="6" s="1"/>
  <c r="P598" i="8" s="1"/>
  <c r="W54" i="6" s="1"/>
  <c r="J54" i="6"/>
  <c r="G606" i="8" l="1"/>
  <c r="G607" i="8" s="1"/>
  <c r="K54" i="6"/>
  <c r="Q54" i="6"/>
  <c r="S598" i="8" s="1"/>
  <c r="Z54" i="6" s="1"/>
  <c r="AA54" i="6" s="1"/>
  <c r="C55" i="6" s="1"/>
  <c r="J606" i="8"/>
  <c r="J607" i="8" s="1"/>
  <c r="E55" i="6" l="1"/>
  <c r="H55" i="6" s="1"/>
  <c r="G55" i="6"/>
  <c r="I55" i="6" s="1"/>
  <c r="N55" i="6" s="1"/>
  <c r="K55" i="6" l="1"/>
  <c r="Q55" i="6"/>
  <c r="P610" i="8"/>
  <c r="W55" i="6" s="1"/>
  <c r="G618" i="8"/>
  <c r="G619" i="8" s="1"/>
  <c r="J55" i="6"/>
  <c r="S610" i="8" l="1"/>
  <c r="Z55" i="6" s="1"/>
  <c r="AA55" i="6" s="1"/>
  <c r="C56" i="6" s="1"/>
  <c r="J618" i="8"/>
  <c r="J619" i="8" s="1"/>
  <c r="E56" i="6" l="1"/>
  <c r="H56" i="6" s="1"/>
  <c r="G56" i="6"/>
  <c r="I56" i="6" l="1"/>
  <c r="N56" i="6" s="1"/>
  <c r="J56" i="6"/>
  <c r="P622" i="8" l="1"/>
  <c r="W56" i="6" s="1"/>
  <c r="K56" i="6"/>
  <c r="Q56" i="6"/>
  <c r="G630" i="8"/>
  <c r="G631" i="8" s="1"/>
  <c r="J630" i="8" l="1"/>
  <c r="J631" i="8" s="1"/>
  <c r="S622" i="8"/>
  <c r="Z56" i="6" s="1"/>
  <c r="AA56" i="6" s="1"/>
  <c r="C57" i="6" s="1"/>
  <c r="E57" i="6" l="1"/>
  <c r="H57" i="6" s="1"/>
  <c r="G57" i="6"/>
  <c r="I57" i="6" l="1"/>
  <c r="N57" i="6" s="1"/>
  <c r="K57" i="6" s="1"/>
  <c r="J57" i="6"/>
  <c r="G642" i="8" l="1"/>
  <c r="G643" i="8" s="1"/>
  <c r="Q57" i="6"/>
  <c r="P634" i="8"/>
  <c r="W57" i="6" s="1"/>
  <c r="S634" i="8"/>
  <c r="Z57" i="6" s="1"/>
  <c r="AA57" i="6" s="1"/>
  <c r="C58" i="6" s="1"/>
  <c r="J642" i="8"/>
  <c r="J643" i="8" s="1"/>
  <c r="E58" i="6" l="1"/>
  <c r="H58" i="6" s="1"/>
  <c r="G58" i="6"/>
  <c r="I58" i="6" l="1"/>
  <c r="N58" i="6" s="1"/>
  <c r="P646" i="8" s="1"/>
  <c r="W58" i="6" s="1"/>
  <c r="J58" i="6"/>
  <c r="G654" i="8" l="1"/>
  <c r="G655" i="8" s="1"/>
  <c r="Q58" i="6"/>
  <c r="S646" i="8" s="1"/>
  <c r="Z58" i="6" s="1"/>
  <c r="AA58" i="6" s="1"/>
  <c r="C59" i="6" s="1"/>
  <c r="K58" i="6"/>
  <c r="J654" i="8" l="1"/>
  <c r="J655" i="8" s="1"/>
  <c r="G59" i="6"/>
  <c r="E59" i="6"/>
  <c r="H59" i="6" s="1"/>
  <c r="J59" i="6" l="1"/>
  <c r="I59" i="6"/>
  <c r="N59" i="6" s="1"/>
  <c r="K59" i="6" l="1"/>
  <c r="Q59" i="6"/>
  <c r="P658" i="8"/>
  <c r="W59" i="6" s="1"/>
  <c r="G666" i="8"/>
  <c r="G667" i="8" s="1"/>
  <c r="S658" i="8" l="1"/>
  <c r="Z59" i="6" s="1"/>
  <c r="AA59" i="6" s="1"/>
  <c r="C60" i="6" s="1"/>
  <c r="J666" i="8"/>
  <c r="J667" i="8" s="1"/>
  <c r="E60" i="6" l="1"/>
  <c r="H60" i="6" s="1"/>
  <c r="G60" i="6"/>
  <c r="I60" i="6" l="1"/>
  <c r="N60" i="6" s="1"/>
  <c r="J60" i="6"/>
  <c r="P670" i="8" l="1"/>
  <c r="W60" i="6" s="1"/>
  <c r="Q60" i="6"/>
  <c r="G678" i="8"/>
  <c r="G679" i="8" s="1"/>
  <c r="K60" i="6"/>
  <c r="S670" i="8" l="1"/>
  <c r="Z60" i="6" s="1"/>
  <c r="AA60" i="6" s="1"/>
  <c r="C61" i="6" s="1"/>
  <c r="J678" i="8"/>
  <c r="J679" i="8" s="1"/>
  <c r="E61" i="6" l="1"/>
  <c r="H61" i="6" s="1"/>
  <c r="G61" i="6"/>
  <c r="J61" i="6" l="1"/>
  <c r="I61" i="6"/>
  <c r="N61" i="6" s="1"/>
  <c r="K61" i="6" l="1"/>
  <c r="P682" i="8"/>
  <c r="W61" i="6" s="1"/>
  <c r="Q61" i="6"/>
  <c r="G690" i="8"/>
  <c r="G691" i="8" s="1"/>
  <c r="S682" i="8" l="1"/>
  <c r="Z61" i="6" s="1"/>
  <c r="AA61" i="6" s="1"/>
  <c r="C62" i="6" s="1"/>
  <c r="J690" i="8"/>
  <c r="J691" i="8" s="1"/>
  <c r="E62" i="6" l="1"/>
  <c r="H62" i="6" s="1"/>
  <c r="G62" i="6"/>
  <c r="I62" i="6" l="1"/>
  <c r="N62" i="6" s="1"/>
  <c r="P694" i="8" s="1"/>
  <c r="W62" i="6" s="1"/>
  <c r="G702" i="8"/>
  <c r="G703" i="8" s="1"/>
  <c r="J62" i="6"/>
  <c r="K62" i="6" l="1"/>
  <c r="Q62" i="6"/>
  <c r="J702" i="8"/>
  <c r="J703" i="8" s="1"/>
  <c r="S694" i="8"/>
  <c r="Z62" i="6" s="1"/>
  <c r="AA62" i="6" s="1"/>
  <c r="C63" i="6" s="1"/>
  <c r="G63" i="6" l="1"/>
  <c r="E63" i="6"/>
  <c r="H63" i="6" s="1"/>
  <c r="I63" i="6" l="1"/>
  <c r="N63" i="6" s="1"/>
  <c r="G714" i="8" s="1"/>
  <c r="G715" i="8" s="1"/>
  <c r="J63" i="6"/>
  <c r="Q63" i="6" l="1"/>
  <c r="P706" i="8"/>
  <c r="W63" i="6" s="1"/>
  <c r="K63" i="6"/>
  <c r="S706" i="8"/>
  <c r="Z63" i="6" s="1"/>
  <c r="AA63" i="6" s="1"/>
  <c r="C64" i="6" s="1"/>
  <c r="J714" i="8"/>
  <c r="J715" i="8" s="1"/>
  <c r="E64" i="6" l="1"/>
  <c r="H64" i="6" s="1"/>
  <c r="G64" i="6"/>
  <c r="I64" i="6" l="1"/>
  <c r="N64" i="6" s="1"/>
  <c r="J64" i="6"/>
  <c r="P718" i="8" l="1"/>
  <c r="W64" i="6" s="1"/>
  <c r="K64" i="6"/>
  <c r="G726" i="8"/>
  <c r="G727" i="8" s="1"/>
  <c r="Q64" i="6"/>
  <c r="J726" i="8" l="1"/>
  <c r="J727" i="8" s="1"/>
  <c r="S718" i="8"/>
  <c r="Z64" i="6" s="1"/>
  <c r="AA64" i="6" s="1"/>
  <c r="C65" i="6" s="1"/>
  <c r="G65" i="6" l="1"/>
  <c r="E65" i="6"/>
  <c r="H65" i="6" s="1"/>
  <c r="I65" i="6" l="1"/>
  <c r="N65" i="6" s="1"/>
  <c r="J65" i="6"/>
  <c r="K65" i="6" l="1"/>
  <c r="P730" i="8"/>
  <c r="W65" i="6" s="1"/>
  <c r="Q65" i="6"/>
  <c r="G738" i="8"/>
  <c r="G739" i="8" s="1"/>
  <c r="S730" i="8" l="1"/>
  <c r="Z65" i="6" s="1"/>
  <c r="AA65" i="6" s="1"/>
  <c r="C66" i="6" s="1"/>
  <c r="J738" i="8"/>
  <c r="J739" i="8" s="1"/>
  <c r="E66" i="6" l="1"/>
  <c r="H66" i="6" s="1"/>
  <c r="G66" i="6"/>
  <c r="I66" i="6" s="1"/>
  <c r="N66" i="6" s="1"/>
  <c r="P742" i="8" l="1"/>
  <c r="W66" i="6" s="1"/>
  <c r="K66" i="6"/>
  <c r="Q66" i="6"/>
  <c r="G750" i="8"/>
  <c r="G751" i="8" s="1"/>
  <c r="J66" i="6"/>
  <c r="S742" i="8" l="1"/>
  <c r="Z66" i="6" s="1"/>
  <c r="AA66" i="6" s="1"/>
  <c r="C67" i="6" s="1"/>
  <c r="J750" i="8"/>
  <c r="J751" i="8" s="1"/>
  <c r="G67" i="6" l="1"/>
  <c r="E67" i="6"/>
  <c r="H67" i="6" s="1"/>
  <c r="J67" i="6" l="1"/>
  <c r="I67" i="6"/>
  <c r="N67" i="6" s="1"/>
  <c r="K67" i="6" l="1"/>
  <c r="Q67" i="6"/>
  <c r="G762" i="8"/>
  <c r="G763" i="8" s="1"/>
  <c r="P754" i="8"/>
  <c r="W67" i="6" s="1"/>
  <c r="S754" i="8" l="1"/>
  <c r="Z67" i="6" s="1"/>
  <c r="AA67" i="6" s="1"/>
  <c r="C68" i="6" s="1"/>
  <c r="J762" i="8"/>
  <c r="J763" i="8" s="1"/>
  <c r="E68" i="6" l="1"/>
  <c r="H68" i="6" s="1"/>
  <c r="G68" i="6"/>
  <c r="I68" i="6" s="1"/>
  <c r="N68" i="6" s="1"/>
  <c r="P766" i="8" l="1"/>
  <c r="W68" i="6" s="1"/>
  <c r="G774" i="8"/>
  <c r="G775" i="8" s="1"/>
  <c r="K68" i="6"/>
  <c r="Q68" i="6"/>
  <c r="J68" i="6"/>
  <c r="S766" i="8" l="1"/>
  <c r="Z68" i="6" s="1"/>
  <c r="AA68" i="6" s="1"/>
  <c r="C69" i="6" s="1"/>
  <c r="J774" i="8"/>
  <c r="J775" i="8" s="1"/>
  <c r="E69" i="6" l="1"/>
  <c r="H69" i="6" s="1"/>
  <c r="G69" i="6"/>
  <c r="I69" i="6" s="1"/>
  <c r="N69" i="6" s="1"/>
  <c r="K69" i="6" l="1"/>
  <c r="Q69" i="6"/>
  <c r="G786" i="8"/>
  <c r="G787" i="8" s="1"/>
  <c r="P778" i="8"/>
  <c r="W69" i="6" s="1"/>
  <c r="J69" i="6"/>
  <c r="J786" i="8" l="1"/>
  <c r="J787" i="8" s="1"/>
  <c r="S778" i="8"/>
  <c r="Z69" i="6" s="1"/>
  <c r="AA69" i="6" s="1"/>
  <c r="C70" i="6" s="1"/>
  <c r="G70" i="6" l="1"/>
  <c r="E70" i="6"/>
  <c r="H70" i="6" s="1"/>
  <c r="J70" i="6" l="1"/>
  <c r="I70" i="6"/>
  <c r="N70" i="6" s="1"/>
  <c r="K70" i="6" l="1"/>
  <c r="G798" i="8"/>
  <c r="G799" i="8" s="1"/>
  <c r="P790" i="8"/>
  <c r="W70" i="6" s="1"/>
  <c r="Q70" i="6"/>
  <c r="S790" i="8" l="1"/>
  <c r="Z70" i="6" s="1"/>
  <c r="AA70" i="6" s="1"/>
  <c r="C71" i="6" s="1"/>
  <c r="J798" i="8"/>
  <c r="J799" i="8" s="1"/>
  <c r="E71" i="6" l="1"/>
  <c r="H71" i="6" s="1"/>
  <c r="G71" i="6"/>
  <c r="I71" i="6" l="1"/>
  <c r="N71" i="6" s="1"/>
  <c r="J71" i="6"/>
  <c r="P802" i="8" l="1"/>
  <c r="W71" i="6" s="1"/>
  <c r="K71" i="6"/>
  <c r="G810" i="8"/>
  <c r="G811" i="8" s="1"/>
  <c r="Q71" i="6"/>
  <c r="J810" i="8" l="1"/>
  <c r="J811" i="8" s="1"/>
  <c r="S802" i="8"/>
  <c r="Z71" i="6" s="1"/>
  <c r="AA71" i="6" s="1"/>
  <c r="C72" i="6" s="1"/>
  <c r="G72" i="6" l="1"/>
  <c r="E72" i="6"/>
  <c r="H72" i="6" s="1"/>
  <c r="J72" i="6" l="1"/>
  <c r="I72" i="6"/>
  <c r="N72" i="6" s="1"/>
  <c r="K72" i="6" l="1"/>
  <c r="P814" i="8"/>
  <c r="W72" i="6" s="1"/>
  <c r="G822" i="8"/>
  <c r="G823" i="8" s="1"/>
  <c r="Q72" i="6"/>
  <c r="S814" i="8" l="1"/>
  <c r="Z72" i="6" s="1"/>
  <c r="AA72" i="6" s="1"/>
  <c r="C73" i="6" s="1"/>
  <c r="J822" i="8"/>
  <c r="J823" i="8" s="1"/>
  <c r="E73" i="6" l="1"/>
  <c r="H73" i="6" s="1"/>
  <c r="G73" i="6"/>
  <c r="I73" i="6" s="1"/>
  <c r="N73" i="6" s="1"/>
  <c r="P826" i="8" l="1"/>
  <c r="W73" i="6" s="1"/>
  <c r="G834" i="8"/>
  <c r="G835" i="8" s="1"/>
  <c r="K73" i="6"/>
  <c r="Q73" i="6"/>
  <c r="J73" i="6"/>
  <c r="S826" i="8" l="1"/>
  <c r="Z73" i="6" s="1"/>
  <c r="AA73" i="6" s="1"/>
  <c r="C74" i="6" s="1"/>
  <c r="J834" i="8"/>
  <c r="J835" i="8" s="1"/>
  <c r="G74" i="6" l="1"/>
  <c r="E74" i="6"/>
  <c r="H74" i="6" s="1"/>
  <c r="I74" i="6" l="1"/>
  <c r="N74" i="6" s="1"/>
  <c r="J74" i="6"/>
  <c r="K74" i="6"/>
  <c r="Q74" i="6"/>
  <c r="G846" i="8"/>
  <c r="G847" i="8" s="1"/>
  <c r="P838" i="8"/>
  <c r="W74" i="6" s="1"/>
  <c r="S838" i="8" l="1"/>
  <c r="Z74" i="6" s="1"/>
  <c r="AA74" i="6" s="1"/>
  <c r="C75" i="6" s="1"/>
  <c r="J846" i="8"/>
  <c r="J847" i="8" s="1"/>
  <c r="G75" i="6" l="1"/>
  <c r="E75" i="6"/>
  <c r="H75" i="6" s="1"/>
  <c r="J75" i="6" l="1"/>
  <c r="I75" i="6"/>
  <c r="N75" i="6" s="1"/>
  <c r="K75" i="6" l="1"/>
  <c r="Q75" i="6"/>
  <c r="P850" i="8"/>
  <c r="W75" i="6" s="1"/>
  <c r="G858" i="8"/>
  <c r="G859" i="8" s="1"/>
  <c r="S850" i="8" l="1"/>
  <c r="Z75" i="6" s="1"/>
  <c r="AA75" i="6" s="1"/>
  <c r="C76" i="6" s="1"/>
  <c r="J858" i="8"/>
  <c r="J859" i="8" s="1"/>
  <c r="E76" i="6" l="1"/>
  <c r="H76" i="6" s="1"/>
  <c r="G76" i="6"/>
  <c r="I76" i="6" s="1"/>
  <c r="N76" i="6" s="1"/>
  <c r="P862" i="8" l="1"/>
  <c r="W76" i="6" s="1"/>
  <c r="K76" i="6"/>
  <c r="Q76" i="6"/>
  <c r="G870" i="8"/>
  <c r="G871" i="8" s="1"/>
  <c r="J76" i="6"/>
  <c r="J870" i="8" l="1"/>
  <c r="J871" i="8" s="1"/>
  <c r="S862" i="8"/>
  <c r="Z76" i="6" s="1"/>
  <c r="AA76" i="6" s="1"/>
  <c r="C77" i="6" s="1"/>
  <c r="E77" i="6" l="1"/>
  <c r="H77" i="6" s="1"/>
  <c r="G77" i="6"/>
  <c r="I77" i="6" l="1"/>
  <c r="N77" i="6" s="1"/>
  <c r="J77" i="6"/>
  <c r="K77" i="6" l="1"/>
  <c r="G882" i="8"/>
  <c r="G883" i="8" s="1"/>
  <c r="Q77" i="6"/>
  <c r="P874" i="8"/>
  <c r="W77" i="6" s="1"/>
  <c r="S874" i="8" l="1"/>
  <c r="Z77" i="6" s="1"/>
  <c r="AA77" i="6" s="1"/>
  <c r="C78" i="6" s="1"/>
  <c r="J882" i="8"/>
  <c r="J883" i="8" s="1"/>
  <c r="E78" i="6" l="1"/>
  <c r="H78" i="6" s="1"/>
  <c r="G78" i="6"/>
  <c r="I78" i="6" s="1"/>
  <c r="N78" i="6" s="1"/>
  <c r="K78" i="6" l="1"/>
  <c r="G894" i="8"/>
  <c r="G895" i="8" s="1"/>
  <c r="Q78" i="6"/>
  <c r="P886" i="8"/>
  <c r="W78" i="6" s="1"/>
  <c r="J78" i="6"/>
  <c r="S886" i="8" l="1"/>
  <c r="Z78" i="6" s="1"/>
  <c r="AA78" i="6" s="1"/>
  <c r="C79" i="6" s="1"/>
  <c r="J894" i="8"/>
  <c r="J895" i="8" s="1"/>
  <c r="E79" i="6" l="1"/>
  <c r="H79" i="6" s="1"/>
  <c r="G79" i="6"/>
  <c r="I79" i="6" l="1"/>
  <c r="N79" i="6" s="1"/>
  <c r="J79" i="6"/>
  <c r="P898" i="8" l="1"/>
  <c r="W79" i="6" s="1"/>
  <c r="K79" i="6"/>
  <c r="Q79" i="6"/>
  <c r="G906" i="8"/>
  <c r="G907" i="8" s="1"/>
  <c r="S898" i="8" l="1"/>
  <c r="Z79" i="6" s="1"/>
  <c r="AA79" i="6" s="1"/>
  <c r="C80" i="6" s="1"/>
  <c r="J906" i="8"/>
  <c r="J907" i="8" s="1"/>
  <c r="E80" i="6" l="1"/>
  <c r="H80" i="6" s="1"/>
  <c r="G80" i="6"/>
  <c r="I80" i="6" l="1"/>
  <c r="N80" i="6" s="1"/>
  <c r="K80" i="6" s="1"/>
  <c r="P910" i="8"/>
  <c r="W80" i="6" s="1"/>
  <c r="G918" i="8"/>
  <c r="G919" i="8" s="1"/>
  <c r="Q80" i="6"/>
  <c r="J80" i="6"/>
  <c r="S910" i="8" l="1"/>
  <c r="Z80" i="6" s="1"/>
  <c r="AA80" i="6" s="1"/>
  <c r="C81" i="6" s="1"/>
  <c r="J918" i="8"/>
  <c r="J919" i="8" s="1"/>
  <c r="E81" i="6" l="1"/>
  <c r="H81" i="6" s="1"/>
  <c r="G81" i="6"/>
  <c r="I81" i="6" s="1"/>
  <c r="N81" i="6" s="1"/>
  <c r="P922" i="8" l="1"/>
  <c r="W81" i="6" s="1"/>
  <c r="G930" i="8"/>
  <c r="G931" i="8" s="1"/>
  <c r="K81" i="6"/>
  <c r="Q81" i="6"/>
  <c r="J81" i="6"/>
  <c r="J930" i="8" l="1"/>
  <c r="J931" i="8" s="1"/>
  <c r="S922" i="8"/>
  <c r="Z81" i="6" s="1"/>
  <c r="AA81" i="6" s="1"/>
  <c r="C82" i="6" s="1"/>
  <c r="G82" i="6" l="1"/>
  <c r="E82" i="6"/>
  <c r="H82" i="6" s="1"/>
  <c r="J82" i="6" l="1"/>
  <c r="I82" i="6"/>
  <c r="N82" i="6" s="1"/>
  <c r="K82" i="6" l="1"/>
  <c r="Q82" i="6"/>
  <c r="G942" i="8"/>
  <c r="G943" i="8" s="1"/>
  <c r="P934" i="8"/>
  <c r="W82" i="6" s="1"/>
  <c r="S934" i="8" l="1"/>
  <c r="Z82" i="6" s="1"/>
  <c r="AA82" i="6" s="1"/>
  <c r="C83" i="6" s="1"/>
  <c r="J942" i="8"/>
  <c r="J943" i="8" s="1"/>
  <c r="E83" i="6" l="1"/>
  <c r="H83" i="6" s="1"/>
  <c r="G83" i="6"/>
  <c r="I83" i="6" l="1"/>
  <c r="N83" i="6" s="1"/>
  <c r="P946" i="8"/>
  <c r="W83" i="6" s="1"/>
  <c r="G954" i="8"/>
  <c r="G955" i="8" s="1"/>
  <c r="K83" i="6"/>
  <c r="Q83" i="6"/>
  <c r="J83" i="6"/>
  <c r="S946" i="8" l="1"/>
  <c r="Z83" i="6" s="1"/>
  <c r="AA83" i="6" s="1"/>
  <c r="C84" i="6" s="1"/>
  <c r="J954" i="8"/>
  <c r="J955" i="8" s="1"/>
  <c r="E84" i="6" l="1"/>
  <c r="H84" i="6" s="1"/>
  <c r="G84" i="6"/>
  <c r="I84" i="6" l="1"/>
  <c r="N84" i="6" s="1"/>
  <c r="K84" i="6" s="1"/>
  <c r="G966" i="8"/>
  <c r="G967" i="8" s="1"/>
  <c r="P958" i="8"/>
  <c r="W84" i="6" s="1"/>
  <c r="J84" i="6"/>
  <c r="Q84" i="6" l="1"/>
  <c r="S958" i="8" s="1"/>
  <c r="Z84" i="6" s="1"/>
  <c r="AA84" i="6" s="1"/>
  <c r="C85" i="6" s="1"/>
  <c r="J966" i="8" l="1"/>
  <c r="J967" i="8" s="1"/>
  <c r="E85" i="6"/>
  <c r="H85" i="6" s="1"/>
  <c r="G85" i="6"/>
  <c r="I85" i="6" s="1"/>
  <c r="N85" i="6" s="1"/>
  <c r="P970" i="8" l="1"/>
  <c r="W85" i="6" s="1"/>
  <c r="Q85" i="6"/>
  <c r="G978" i="8"/>
  <c r="G979" i="8" s="1"/>
  <c r="K85" i="6"/>
  <c r="J85" i="6"/>
  <c r="J978" i="8" l="1"/>
  <c r="J979" i="8" s="1"/>
  <c r="S970" i="8"/>
  <c r="Z85" i="6" s="1"/>
  <c r="AA85" i="6" s="1"/>
  <c r="C86" i="6" s="1"/>
  <c r="E86" i="6" l="1"/>
  <c r="H86" i="6" s="1"/>
  <c r="G86" i="6"/>
  <c r="I86" i="6" l="1"/>
  <c r="N86" i="6" s="1"/>
  <c r="J86" i="6"/>
  <c r="K86" i="6" l="1"/>
  <c r="G990" i="8"/>
  <c r="G991" i="8" s="1"/>
  <c r="Q86" i="6"/>
  <c r="P982" i="8"/>
  <c r="W86" i="6" s="1"/>
  <c r="S982" i="8" l="1"/>
  <c r="Z86" i="6" s="1"/>
  <c r="AA86" i="6" s="1"/>
  <c r="C87" i="6" s="1"/>
  <c r="J990" i="8"/>
  <c r="J991" i="8" s="1"/>
  <c r="E87" i="6" l="1"/>
  <c r="H87" i="6" s="1"/>
  <c r="G87" i="6"/>
  <c r="I87" i="6" l="1"/>
  <c r="N87" i="6" s="1"/>
  <c r="J87" i="6"/>
  <c r="P994" i="8" l="1"/>
  <c r="W87" i="6" s="1"/>
  <c r="G1002" i="8"/>
  <c r="G1003" i="8" s="1"/>
  <c r="K87" i="6"/>
  <c r="Q87" i="6"/>
  <c r="J1002" i="8" l="1"/>
  <c r="J1003" i="8" s="1"/>
  <c r="S994" i="8"/>
  <c r="Z87" i="6" s="1"/>
  <c r="AA87" i="6" s="1"/>
  <c r="C88" i="6" s="1"/>
  <c r="E88" i="6" l="1"/>
  <c r="H88" i="6" s="1"/>
  <c r="G88" i="6"/>
  <c r="I88" i="6" l="1"/>
  <c r="N88" i="6" s="1"/>
  <c r="K88" i="6" s="1"/>
  <c r="Q88" i="6"/>
  <c r="J88" i="6"/>
  <c r="G1014" i="8" l="1"/>
  <c r="G1015" i="8" s="1"/>
  <c r="P1006" i="8"/>
  <c r="W88" i="6" s="1"/>
  <c r="S1006" i="8"/>
  <c r="Z88" i="6" s="1"/>
  <c r="AA88" i="6" s="1"/>
  <c r="C89" i="6" s="1"/>
  <c r="J1014" i="8"/>
  <c r="J1015" i="8" s="1"/>
  <c r="E89" i="6" l="1"/>
  <c r="H89" i="6" s="1"/>
  <c r="G89" i="6"/>
  <c r="I89" i="6" l="1"/>
  <c r="N89" i="6" s="1"/>
  <c r="J89" i="6"/>
  <c r="P1018" i="8" l="1"/>
  <c r="W89" i="6" s="1"/>
  <c r="G1026" i="8"/>
  <c r="G1027" i="8" s="1"/>
  <c r="K89" i="6"/>
  <c r="Q89" i="6"/>
  <c r="S1018" i="8" l="1"/>
  <c r="Z89" i="6" s="1"/>
  <c r="AA89" i="6" s="1"/>
  <c r="C90" i="6" s="1"/>
  <c r="J1026" i="8"/>
  <c r="J1027" i="8" s="1"/>
  <c r="G90" i="6" l="1"/>
  <c r="E90" i="6"/>
  <c r="H90" i="6" s="1"/>
  <c r="J90" i="6" l="1"/>
  <c r="I90" i="6"/>
  <c r="N90" i="6" s="1"/>
  <c r="K90" i="6" l="1"/>
  <c r="Q90" i="6"/>
  <c r="P1030" i="8"/>
  <c r="W90" i="6" s="1"/>
  <c r="G1038" i="8"/>
  <c r="G1039" i="8" s="1"/>
  <c r="S1030" i="8" l="1"/>
  <c r="Z90" i="6" s="1"/>
  <c r="AA90" i="6" s="1"/>
  <c r="C91" i="6" s="1"/>
  <c r="J1038" i="8"/>
  <c r="J1039" i="8" s="1"/>
  <c r="E91" i="6" l="1"/>
  <c r="H91" i="6" s="1"/>
  <c r="G91" i="6"/>
  <c r="I91" i="6" s="1"/>
  <c r="N91" i="6" s="1"/>
  <c r="P1042" i="8" l="1"/>
  <c r="W91" i="6" s="1"/>
  <c r="G1050" i="8"/>
  <c r="G1051" i="8" s="1"/>
  <c r="K91" i="6"/>
  <c r="Q91" i="6"/>
  <c r="J91" i="6"/>
  <c r="S1042" i="8" l="1"/>
  <c r="Z91" i="6" s="1"/>
  <c r="AA91" i="6" s="1"/>
  <c r="C92" i="6" s="1"/>
  <c r="J1050" i="8"/>
  <c r="J1051" i="8" s="1"/>
  <c r="E92" i="6" l="1"/>
  <c r="H92" i="6" s="1"/>
  <c r="G92" i="6"/>
  <c r="I92" i="6" l="1"/>
  <c r="N92" i="6" s="1"/>
  <c r="J92" i="6"/>
  <c r="K92" i="6" l="1"/>
  <c r="G1062" i="8"/>
  <c r="G1063" i="8" s="1"/>
  <c r="Q92" i="6"/>
  <c r="P1054" i="8"/>
  <c r="W92" i="6" s="1"/>
  <c r="S1054" i="8" l="1"/>
  <c r="Z92" i="6" s="1"/>
  <c r="AA92" i="6" s="1"/>
  <c r="C93" i="6" s="1"/>
  <c r="J1062" i="8"/>
  <c r="J1063" i="8" s="1"/>
  <c r="E93" i="6" l="1"/>
  <c r="H93" i="6" s="1"/>
  <c r="G93" i="6"/>
  <c r="I93" i="6" l="1"/>
  <c r="N93" i="6" s="1"/>
  <c r="P1066" i="8"/>
  <c r="W93" i="6" s="1"/>
  <c r="Q93" i="6"/>
  <c r="G1074" i="8"/>
  <c r="G1075" i="8" s="1"/>
  <c r="K93" i="6"/>
  <c r="J93" i="6"/>
  <c r="J1074" i="8" l="1"/>
  <c r="J1075" i="8" s="1"/>
  <c r="S1066" i="8"/>
  <c r="Z93" i="6" s="1"/>
  <c r="AA93" i="6" s="1"/>
  <c r="C94" i="6" s="1"/>
  <c r="E94" i="6" l="1"/>
  <c r="H94" i="6" s="1"/>
  <c r="G94" i="6"/>
  <c r="I94" i="6" l="1"/>
  <c r="N94" i="6" s="1"/>
  <c r="J94" i="6"/>
  <c r="K94" i="6" l="1"/>
  <c r="G1086" i="8"/>
  <c r="G1087" i="8" s="1"/>
  <c r="Q94" i="6"/>
  <c r="P1078" i="8"/>
  <c r="W94" i="6" s="1"/>
  <c r="S1078" i="8" l="1"/>
  <c r="Z94" i="6" s="1"/>
  <c r="AA94" i="6" s="1"/>
  <c r="C95" i="6" s="1"/>
  <c r="J1086" i="8"/>
  <c r="J1087" i="8" s="1"/>
  <c r="E95" i="6" l="1"/>
  <c r="H95" i="6" s="1"/>
  <c r="G95" i="6"/>
  <c r="I95" i="6" l="1"/>
  <c r="N95" i="6" s="1"/>
  <c r="J95" i="6"/>
  <c r="P1090" i="8" l="1"/>
  <c r="W95" i="6" s="1"/>
  <c r="K95" i="6"/>
  <c r="G1098" i="8"/>
  <c r="G1099" i="8" s="1"/>
  <c r="Q95" i="6"/>
  <c r="J1098" i="8" l="1"/>
  <c r="J1099" i="8" s="1"/>
  <c r="S1090" i="8"/>
  <c r="Z95" i="6" s="1"/>
  <c r="AA95" i="6" s="1"/>
  <c r="C96" i="6" s="1"/>
  <c r="E96" i="6" l="1"/>
  <c r="H96" i="6" s="1"/>
  <c r="G96" i="6"/>
  <c r="I96" i="6" l="1"/>
  <c r="N96" i="6" s="1"/>
  <c r="K96" i="6" s="1"/>
  <c r="G1110" i="8"/>
  <c r="G1111" i="8" s="1"/>
  <c r="P1102" i="8"/>
  <c r="W96" i="6" s="1"/>
  <c r="Q96" i="6"/>
  <c r="J96" i="6"/>
  <c r="S1102" i="8" l="1"/>
  <c r="Z96" i="6" s="1"/>
  <c r="AA96" i="6" s="1"/>
  <c r="C97" i="6" s="1"/>
  <c r="J1110" i="8"/>
  <c r="J1111" i="8" s="1"/>
  <c r="E97" i="6" l="1"/>
  <c r="H97" i="6" s="1"/>
  <c r="G97" i="6"/>
  <c r="I97" i="6" s="1"/>
  <c r="N97" i="6" s="1"/>
  <c r="P1114" i="8" l="1"/>
  <c r="W97" i="6" s="1"/>
  <c r="K97" i="6"/>
  <c r="G1122" i="8"/>
  <c r="G1123" i="8" s="1"/>
  <c r="Q97" i="6"/>
  <c r="J97" i="6"/>
  <c r="S1114" i="8" l="1"/>
  <c r="Z97" i="6" s="1"/>
  <c r="AA97" i="6" s="1"/>
  <c r="C98" i="6" s="1"/>
  <c r="J1122" i="8"/>
  <c r="J1123" i="8" s="1"/>
  <c r="G98" i="6" l="1"/>
  <c r="E98" i="6"/>
  <c r="H98" i="6" s="1"/>
  <c r="J98" i="6" l="1"/>
  <c r="I98" i="6"/>
  <c r="N98" i="6" s="1"/>
  <c r="K98" i="6" l="1"/>
  <c r="G1134" i="8"/>
  <c r="G1135" i="8" s="1"/>
  <c r="Q98" i="6"/>
  <c r="P1126" i="8"/>
  <c r="W98" i="6" s="1"/>
  <c r="S1126" i="8" l="1"/>
  <c r="Z98" i="6" s="1"/>
  <c r="AA98" i="6" s="1"/>
  <c r="C99" i="6" s="1"/>
  <c r="J1134" i="8"/>
  <c r="J1135" i="8" s="1"/>
  <c r="E99" i="6" l="1"/>
  <c r="H99" i="6" s="1"/>
  <c r="G99" i="6"/>
  <c r="I99" i="6" l="1"/>
  <c r="N99" i="6" s="1"/>
  <c r="J99" i="6"/>
  <c r="P1138" i="8" l="1"/>
  <c r="W99" i="6" s="1"/>
  <c r="G1146" i="8"/>
  <c r="G1147" i="8" s="1"/>
  <c r="K99" i="6"/>
  <c r="Q99" i="6"/>
  <c r="S1138" i="8" l="1"/>
  <c r="Z99" i="6" s="1"/>
  <c r="AA99" i="6" s="1"/>
  <c r="C100" i="6" s="1"/>
  <c r="J1146" i="8"/>
  <c r="J1147" i="8" s="1"/>
  <c r="E100" i="6" l="1"/>
  <c r="H100" i="6" s="1"/>
  <c r="G100" i="6"/>
  <c r="I100" i="6" l="1"/>
  <c r="N100" i="6" s="1"/>
  <c r="K100" i="6" s="1"/>
  <c r="G1158" i="8"/>
  <c r="G1159" i="8" s="1"/>
  <c r="J100" i="6"/>
  <c r="P1150" i="8" l="1"/>
  <c r="W100" i="6" s="1"/>
  <c r="Q100" i="6"/>
  <c r="S1150" i="8"/>
  <c r="Z100" i="6" s="1"/>
  <c r="AA100" i="6" s="1"/>
  <c r="C101" i="6" s="1"/>
  <c r="J1158" i="8"/>
  <c r="J1159" i="8" s="1"/>
  <c r="E101" i="6" l="1"/>
  <c r="H101" i="6" s="1"/>
  <c r="G101" i="6"/>
  <c r="I101" i="6" s="1"/>
  <c r="N101" i="6" s="1"/>
  <c r="P1162" i="8" l="1"/>
  <c r="W101" i="6" s="1"/>
  <c r="Q101" i="6"/>
  <c r="G1170" i="8"/>
  <c r="G1171" i="8" s="1"/>
  <c r="K101" i="6"/>
  <c r="J101" i="6"/>
  <c r="J1170" i="8" l="1"/>
  <c r="J1171" i="8" s="1"/>
  <c r="S1162" i="8"/>
  <c r="Z101" i="6" s="1"/>
  <c r="AA101" i="6" s="1"/>
  <c r="C102" i="6" s="1"/>
  <c r="E102" i="6" l="1"/>
  <c r="H102" i="6" s="1"/>
  <c r="G102" i="6"/>
  <c r="I102" i="6" s="1"/>
  <c r="N102" i="6" s="1"/>
  <c r="K102" i="6" l="1"/>
  <c r="G1182" i="8"/>
  <c r="G1183" i="8" s="1"/>
  <c r="Q102" i="6"/>
  <c r="P1174" i="8"/>
  <c r="W102" i="6" s="1"/>
  <c r="J102" i="6"/>
  <c r="S1174" i="8" l="1"/>
  <c r="Z102" i="6" s="1"/>
  <c r="AA102" i="6" s="1"/>
  <c r="C103" i="6" s="1"/>
  <c r="J1182" i="8"/>
  <c r="J1183" i="8" s="1"/>
  <c r="E103" i="6" l="1"/>
  <c r="H103" i="6" s="1"/>
  <c r="G103" i="6"/>
  <c r="I103" i="6" l="1"/>
  <c r="N103" i="6" s="1"/>
  <c r="J103" i="6"/>
  <c r="P1186" i="8" l="1"/>
  <c r="W103" i="6" s="1"/>
  <c r="K103" i="6"/>
  <c r="Q103" i="6"/>
  <c r="G1194" i="8"/>
  <c r="G1195" i="8" s="1"/>
  <c r="S1186" i="8" l="1"/>
  <c r="Z103" i="6" s="1"/>
  <c r="AA103" i="6" s="1"/>
  <c r="C104" i="6" s="1"/>
  <c r="J1194" i="8"/>
  <c r="J1195" i="8" s="1"/>
  <c r="E104" i="6" l="1"/>
  <c r="H104" i="6" s="1"/>
  <c r="G104" i="6"/>
  <c r="I104" i="6" l="1"/>
  <c r="N104" i="6" s="1"/>
  <c r="K104" i="6" s="1"/>
  <c r="Q104" i="6"/>
  <c r="J104" i="6"/>
  <c r="P1198" i="8" l="1"/>
  <c r="W104" i="6" s="1"/>
  <c r="G1206" i="8"/>
  <c r="G1207" i="8" s="1"/>
  <c r="S1198" i="8"/>
  <c r="Z104" i="6" s="1"/>
  <c r="AA104" i="6" s="1"/>
  <c r="C105" i="6" s="1"/>
  <c r="J1206" i="8"/>
  <c r="J1207" i="8" s="1"/>
  <c r="E105" i="6" l="1"/>
  <c r="H105" i="6" s="1"/>
  <c r="G105" i="6"/>
  <c r="I105" i="6" l="1"/>
  <c r="N105" i="6" s="1"/>
  <c r="J105" i="6"/>
  <c r="P1210" i="8" l="1"/>
  <c r="W105" i="6" s="1"/>
  <c r="K105" i="6"/>
  <c r="Q105" i="6"/>
  <c r="G1218" i="8"/>
  <c r="G1219" i="8" s="1"/>
  <c r="S1210" i="8" l="1"/>
  <c r="Z105" i="6" s="1"/>
  <c r="AA105" i="6" s="1"/>
  <c r="C106" i="6" s="1"/>
  <c r="J1218" i="8"/>
  <c r="J1219" i="8" s="1"/>
  <c r="G106" i="6" l="1"/>
  <c r="E106" i="6"/>
  <c r="H106" i="6" s="1"/>
  <c r="I106" i="6" l="1"/>
  <c r="N106" i="6" s="1"/>
  <c r="J106" i="6"/>
  <c r="K106" i="6"/>
  <c r="Q106" i="6"/>
  <c r="S1222" i="8" s="1"/>
  <c r="Z106" i="6" s="1"/>
  <c r="AA106" i="6" s="1"/>
  <c r="C107" i="6" s="1"/>
  <c r="P1222" i="8"/>
  <c r="W106" i="6" s="1"/>
  <c r="E107" i="6" l="1"/>
  <c r="H107" i="6" s="1"/>
  <c r="G107" i="6"/>
  <c r="I107" i="6" l="1"/>
  <c r="N107" i="6" s="1"/>
  <c r="P1234" i="8" s="1"/>
  <c r="W107" i="6" s="1"/>
  <c r="J107" i="6"/>
  <c r="Q107" i="6" l="1"/>
  <c r="S1234" i="8" s="1"/>
  <c r="Z107" i="6" s="1"/>
  <c r="AA107" i="6" s="1"/>
  <c r="C108" i="6" s="1"/>
  <c r="E108" i="6" s="1"/>
  <c r="H108" i="6" s="1"/>
  <c r="K107" i="6"/>
  <c r="G108" i="6" l="1"/>
  <c r="I108" i="6" s="1"/>
  <c r="N108" i="6" s="1"/>
  <c r="K108" i="6" s="1"/>
  <c r="J108" i="6"/>
  <c r="P1246" i="8" l="1"/>
  <c r="W108" i="6" s="1"/>
  <c r="Q108" i="6"/>
  <c r="S1246" i="8" s="1"/>
  <c r="Z108" i="6" s="1"/>
  <c r="AA108" i="6" s="1"/>
  <c r="C109" i="6" s="1"/>
  <c r="E109" i="6" s="1"/>
  <c r="H109" i="6" s="1"/>
  <c r="G109" i="6" l="1"/>
  <c r="I109" i="6" s="1"/>
  <c r="N109" i="6" s="1"/>
  <c r="P1258" i="8"/>
  <c r="W109" i="6" s="1"/>
  <c r="Q109" i="6"/>
  <c r="S1258" i="8" s="1"/>
  <c r="Z109" i="6" s="1"/>
  <c r="AA109" i="6" s="1"/>
  <c r="C110" i="6" s="1"/>
  <c r="K109" i="6"/>
  <c r="J109" i="6"/>
  <c r="E110" i="6" l="1"/>
  <c r="H110" i="6" s="1"/>
  <c r="G110" i="6"/>
  <c r="I110" i="6" l="1"/>
  <c r="N110" i="6" s="1"/>
  <c r="K110" i="6" s="1"/>
  <c r="J110" i="6"/>
  <c r="P1270" i="8" l="1"/>
  <c r="W110" i="6" s="1"/>
  <c r="Q110" i="6"/>
  <c r="S1270" i="8" s="1"/>
  <c r="Z110" i="6" s="1"/>
  <c r="AA110" i="6" s="1"/>
  <c r="C111" i="6" s="1"/>
  <c r="E111" i="6" s="1"/>
  <c r="H111" i="6" s="1"/>
  <c r="G111" i="6"/>
  <c r="I111" i="6" l="1"/>
  <c r="N111" i="6" s="1"/>
  <c r="J111" i="6"/>
  <c r="K111" i="6" l="1"/>
  <c r="P1282" i="8"/>
  <c r="W111" i="6" s="1"/>
  <c r="Q111" i="6"/>
  <c r="S1282" i="8" s="1"/>
  <c r="Z111" i="6" s="1"/>
  <c r="AA111" i="6" s="1"/>
</calcChain>
</file>

<file path=xl/sharedStrings.xml><?xml version="1.0" encoding="utf-8"?>
<sst xmlns="http://schemas.openxmlformats.org/spreadsheetml/2006/main" count="2544" uniqueCount="177">
  <si>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</si>
  <si>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</si>
  <si>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</si>
  <si>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</si>
  <si>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</si>
  <si>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</si>
  <si>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</si>
  <si>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</si>
  <si>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</si>
  <si>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</si>
  <si>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</si>
  <si>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</si>
  <si>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</si>
  <si>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</si>
  <si>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</si>
  <si>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</si>
  <si>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</si>
  <si>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</si>
  <si>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</si>
  <si>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</si>
  <si>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</si>
  <si>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</si>
  <si>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</si>
  <si>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</si>
  <si>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</si>
  <si>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</si>
  <si>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</si>
  <si>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</si>
  <si>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</si>
  <si>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</si>
  <si>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</si>
  <si>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</si>
  <si>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</si>
  <si>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</si>
  <si>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</si>
  <si>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</si>
  <si>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</si>
  <si>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</si>
  <si>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</si>
  <si>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</si>
  <si>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</si>
  <si>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</si>
  <si>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</si>
  <si>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</si>
  <si>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</si>
  <si>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</si>
  <si>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</si>
  <si>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</si>
  <si>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</si>
  <si>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</si>
  <si>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</si>
  <si>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</si>
  <si>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</si>
  <si>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</si>
  <si>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</si>
  <si>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</si>
  <si>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</si>
  <si>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</si>
  <si>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</si>
  <si>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Daily Macro Needs</t>
  </si>
  <si>
    <t>Food Calories (FoodLog Actuals)</t>
  </si>
  <si>
    <t>Net (Calc – actual)</t>
  </si>
  <si>
    <t>Scale</t>
  </si>
  <si>
    <t>Date</t>
  </si>
  <si>
    <t>Day</t>
  </si>
  <si>
    <t>Target
Weight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</si>
  <si>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</si>
  <si>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</si>
  <si>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</si>
  <si>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</si>
  <si>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</si>
  <si>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</si>
  <si>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</si>
  <si>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</si>
  <si>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</si>
  <si>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</si>
  <si>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</si>
  <si>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</si>
  <si>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</si>
  <si>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Delta to Weight Goal</t>
  </si>
  <si>
    <t>Scale Measurements</t>
  </si>
  <si>
    <t>BMI</t>
  </si>
  <si>
    <t>Fat%</t>
  </si>
  <si>
    <t>H2O%</t>
  </si>
  <si>
    <t>Muscle
%</t>
  </si>
  <si>
    <t>Maint.
Cals</t>
  </si>
  <si>
    <t>Weight Loss</t>
  </si>
  <si>
    <t>Fat lbs</t>
  </si>
  <si>
    <t>H2O lbs</t>
  </si>
  <si>
    <t>Muscle
lbs</t>
  </si>
  <si>
    <t>Delta Fat Lbs</t>
  </si>
  <si>
    <t>Delta H2O lbs</t>
  </si>
  <si>
    <t>Delta Muscle Lbs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</si>
  <si>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</si>
  <si>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</si>
  <si>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</si>
  <si>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</si>
  <si>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</si>
  <si>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</si>
  <si>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</si>
  <si>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</si>
  <si>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</si>
  <si>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</si>
  <si>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</si>
  <si>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</si>
  <si>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</si>
  <si>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</si>
  <si>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Fish Oil</t>
  </si>
  <si>
    <t>Air</t>
  </si>
  <si>
    <t>Butter</t>
  </si>
  <si>
    <t>Sum Fat (Cals)</t>
  </si>
  <si>
    <t>Sum Carb (Cals)</t>
  </si>
  <si>
    <t>Sum Prot (Cal)</t>
  </si>
  <si>
    <t>Sum Cals</t>
  </si>
  <si>
    <t>Goal Fat (Cals)</t>
  </si>
  <si>
    <t>Goal Carb (Cals)</t>
  </si>
  <si>
    <t>Goal Protein (Cals)</t>
  </si>
  <si>
    <t>Goal Total (Cals)</t>
  </si>
  <si>
    <t>Remain Fat (Cals)</t>
  </si>
  <si>
    <t>Remain Carb (Cals)</t>
  </si>
  <si>
    <t>Remain Protein (Cals)</t>
  </si>
  <si>
    <t>Remain Total (Cals)</t>
  </si>
  <si>
    <t>Hamburger</t>
  </si>
  <si>
    <t>Pork Rinds</t>
  </si>
  <si>
    <t>Turkey Breast (5 slices)</t>
  </si>
  <si>
    <t>Dymatize Elite Casein</t>
  </si>
  <si>
    <t>Chicken Breast</t>
  </si>
  <si>
    <t>Almond Flour</t>
  </si>
  <si>
    <t>Tomato (Small)</t>
  </si>
  <si>
    <t>Zuccini</t>
  </si>
  <si>
    <t>Banana Pepper</t>
  </si>
  <si>
    <t>Rao’s Marinara Sauce</t>
  </si>
  <si>
    <t>Tuna, seasoned in H2O</t>
  </si>
  <si>
    <t>Creatine</t>
  </si>
  <si>
    <t>Peanuts</t>
  </si>
  <si>
    <t>Cauliflower</t>
  </si>
  <si>
    <t>Sardines in Sriracha</t>
  </si>
  <si>
    <t>Tuna, White in H2O can</t>
  </si>
  <si>
    <t>Size</t>
  </si>
  <si>
    <t xml:space="preserve"> Carbs
(g)</t>
  </si>
  <si>
    <t>Fat
(Cal)</t>
  </si>
  <si>
    <t>Carb
(Cal)</t>
  </si>
  <si>
    <t>Protein
(Cal)</t>
  </si>
  <si>
    <t>Total
Calories</t>
  </si>
  <si>
    <t>¼ cup</t>
  </si>
  <si>
    <t>100g</t>
  </si>
  <si>
    <t>1 oz</t>
  </si>
  <si>
    <t>1T</t>
  </si>
  <si>
    <t>1 med head</t>
  </si>
  <si>
    <t>Chicken Thigh</t>
  </si>
  <si>
    <t>116g</t>
  </si>
  <si>
    <t>Chicken Wing (Large)</t>
  </si>
  <si>
    <t>Chicken Wing (Small)</t>
  </si>
  <si>
    <t>1 Scoop</t>
  </si>
  <si>
    <t>2 Scoops</t>
  </si>
  <si>
    <t>Jack Daniels</t>
  </si>
  <si>
    <t>1 Shot</t>
  </si>
  <si>
    <t>2 oz</t>
  </si>
  <si>
    <t>MCT Oil</t>
  </si>
  <si>
    <t>0.5oz</t>
  </si>
  <si>
    <t>½ cup</t>
  </si>
  <si>
    <t>Sardines</t>
  </si>
  <si>
    <t>3.75oz</t>
  </si>
  <si>
    <t>small</t>
  </si>
  <si>
    <t>Tomato (Medium)</t>
  </si>
  <si>
    <t>medium</t>
  </si>
  <si>
    <t>Tomato (Large)</t>
  </si>
  <si>
    <t>large</t>
  </si>
  <si>
    <t>2.5oz</t>
  </si>
  <si>
    <t>5oz</t>
  </si>
  <si>
    <t>Tuna, White in H2O</t>
  </si>
  <si>
    <t>3oz</t>
  </si>
  <si>
    <t>4 oz</t>
  </si>
  <si>
    <t>5 slices</t>
  </si>
  <si>
    <t>1 Medium</t>
  </si>
  <si>
    <t>Max Body Fat
(Cals Avail)</t>
  </si>
  <si>
    <t>Wt loss
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</si>
</sst>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0.0%"/>
    <numFmt numFmtId="169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120">
    <xf numFmtId="0" fontId="0" fillId="0" borderId="0" xfId="0"/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wrapText="1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/>
    </xf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164" fontId="0" fillId="0" borderId="17" xfId="0" applyNumberFormat="1" applyFont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9" xfId="0" applyNumberFormat="1" applyFont="1" applyBorder="1" applyProtection="1">
      <protection locked="0"/>
    </xf>
    <xf numFmtId="2" fontId="0" fillId="0" borderId="17" xfId="0" applyNumberFormat="1" applyBorder="1"/>
    <xf numFmtId="0" fontId="0" fillId="0" borderId="18" xfId="0" applyBorder="1" applyProtection="1">
      <protection locked="0"/>
    </xf>
    <xf numFmtId="164" fontId="0" fillId="0" borderId="18" xfId="0" applyNumberFormat="1" applyBorder="1" applyProtection="1">
      <protection locked="0"/>
    </xf>
    <xf numFmtId="167" fontId="0" fillId="0" borderId="20" xfId="0" applyNumberFormat="1" applyBorder="1"/>
    <xf numFmtId="0" fontId="0" fillId="0" borderId="21" xfId="0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0" xfId="0" applyNumberFormat="1" applyBorder="1"/>
    <xf numFmtId="164" fontId="0" fillId="0" borderId="20" xfId="0" applyNumberFormat="1" applyBorder="1" applyProtection="1">
      <protection locked="0"/>
    </xf>
    <xf numFmtId="164" fontId="0" fillId="0" borderId="21" xfId="0" applyNumberFormat="1" applyBorder="1" applyProtection="1">
      <protection locked="0"/>
    </xf>
    <xf numFmtId="164" fontId="0" fillId="0" borderId="21" xfId="0" applyNumberFormat="1" applyFont="1" applyBorder="1" applyProtection="1">
      <protection locked="0"/>
    </xf>
    <xf numFmtId="164" fontId="0" fillId="0" borderId="23" xfId="0" applyNumberFormat="1" applyFont="1" applyBorder="1" applyProtection="1">
      <protection locked="0"/>
    </xf>
    <xf numFmtId="164" fontId="0" fillId="0" borderId="23" xfId="0" applyNumberFormat="1" applyBorder="1" applyProtection="1">
      <protection locked="0"/>
    </xf>
    <xf numFmtId="164" fontId="0" fillId="0" borderId="21" xfId="0" applyNumberFormat="1" applyFont="1" applyBorder="1"/>
    <xf numFmtId="164" fontId="0" fillId="0" borderId="22" xfId="0" applyNumberFormat="1" applyFont="1" applyBorder="1"/>
    <xf numFmtId="164" fontId="0" fillId="0" borderId="0" xfId="0" applyNumberFormat="1" applyFont="1" applyBorder="1"/>
    <xf numFmtId="164" fontId="0" fillId="0" borderId="20" xfId="0" applyNumberFormat="1" applyFont="1" applyBorder="1"/>
    <xf numFmtId="0" fontId="0" fillId="0" borderId="24" xfId="0" applyBorder="1"/>
    <xf numFmtId="164" fontId="0" fillId="0" borderId="24" xfId="0" applyNumberFormat="1" applyBorder="1"/>
    <xf numFmtId="164" fontId="0" fillId="0" borderId="24" xfId="0" applyNumberFormat="1" applyFon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0" fillId="0" borderId="25" xfId="0" applyNumberFormat="1" applyBorder="1"/>
    <xf numFmtId="0" fontId="0" fillId="0" borderId="0" xfId="0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wrapText="1"/>
    </xf>
    <xf numFmtId="0" fontId="0" fillId="0" borderId="0" xfId="0" applyBorder="1" applyAlignment="1" applyProtection="1">
      <alignment wrapText="1"/>
      <protection locked="0"/>
    </xf>
    <xf numFmtId="164" fontId="0" fillId="0" borderId="0" xfId="0" applyNumberFormat="1" applyAlignment="1">
      <alignment wrapText="1"/>
    </xf>
    <xf numFmtId="164" fontId="0" fillId="0" borderId="0" xfId="0" applyNumberFormat="1" applyBorder="1" applyAlignment="1" applyProtection="1">
      <alignment wrapText="1"/>
      <protection locked="0"/>
    </xf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0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9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9" fontId="0" fillId="0" borderId="0" xfId="0" applyNumberFormat="1" applyFo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164" fontId="0" fillId="0" borderId="0" xfId="0" applyNumberFormat="1" applyFont="1" applyProtection="1"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167" fontId="0" fillId="0" borderId="26" xfId="0" applyNumberFormat="1" applyBorder="1"/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50" zoomScaleNormal="150" workbookViewId="0">
      <selection activeCell="C13" sqref="C13"/>
    </sheetView>
  </sheetViews>
  <sheetFormatPr defaultRowHeight="15" x14ac:dyDescent="0.25"/>
  <cols>
    <col min="1" max="1" width="13.5703125" style="6" customWidth="1"/>
    <col min="2" max="2" width="12.140625" style="6" customWidth="1"/>
    <col min="3" max="3" width="6.7109375" style="6" customWidth="1"/>
    <col min="4" max="4" width="1.7109375" style="6" customWidth="1"/>
    <col min="5" max="5" width="9.7109375" style="6" customWidth="1"/>
    <col min="6" max="6" width="3.42578125" style="6" customWidth="1"/>
    <col min="7" max="1025" width="8.7109375" style="6" customWidth="1"/>
  </cols>
  <sheetData>
    <row r="1" spans="1:3" ht="18.75" x14ac:dyDescent="0.3">
      <c r="A1" s="7" t="s">
        <v>0</v>
      </c>
    </row>
    <row r="3" spans="1:3" x14ac:dyDescent="0.25">
      <c r="A3" s="6" t="s">
        <v>1</v>
      </c>
      <c r="B3" s="8" t="s">
        <v>2</v>
      </c>
    </row>
    <row r="4" spans="1:3" x14ac:dyDescent="0.25">
      <c r="A4" s="6" t="s">
        <v>3</v>
      </c>
      <c r="B4" s="9">
        <v>57</v>
      </c>
      <c r="C4" s="6" t="s">
        <v>4</v>
      </c>
    </row>
    <row r="5" spans="1:3" x14ac:dyDescent="0.25">
      <c r="A5" s="6" t="s">
        <v>5</v>
      </c>
      <c r="B5" s="9">
        <v>203.3</v>
      </c>
      <c r="C5" s="6" t="s">
        <v>6</v>
      </c>
    </row>
    <row r="6" spans="1:3" x14ac:dyDescent="0.25">
      <c r="A6" s="6" t="s">
        <v>7</v>
      </c>
      <c r="B6" s="9">
        <v>70.5</v>
      </c>
      <c r="C6" s="6" t="s">
        <v>8</v>
      </c>
    </row>
    <row r="7" spans="1:3" x14ac:dyDescent="0.25">
      <c r="A7" s="6" t="s">
        <v>9</v>
      </c>
      <c r="B7" s="9">
        <v>15</v>
      </c>
      <c r="C7" s="10" t="s">
        <v>8</v>
      </c>
    </row>
    <row r="8" spans="1:3" x14ac:dyDescent="0.25">
      <c r="A8" s="6" t="s">
        <v>10</v>
      </c>
      <c r="B8" s="9">
        <v>38.75</v>
      </c>
      <c r="C8" s="10" t="s">
        <v>8</v>
      </c>
    </row>
    <row r="9" spans="1:3" x14ac:dyDescent="0.25">
      <c r="A9" s="6" t="s">
        <v>11</v>
      </c>
      <c r="B9" s="9">
        <v>9</v>
      </c>
      <c r="C9" s="10" t="s">
        <v>8</v>
      </c>
    </row>
    <row r="10" spans="1:3" x14ac:dyDescent="0.25">
      <c r="A10" s="6" t="s">
        <v>12</v>
      </c>
      <c r="B10" s="9">
        <v>7</v>
      </c>
      <c r="C10" s="10" t="s">
        <v>8</v>
      </c>
    </row>
    <row r="11" spans="1:3" x14ac:dyDescent="0.25">
      <c r="A11" s="6" t="s">
        <v>13</v>
      </c>
      <c r="B11" s="9">
        <v>50</v>
      </c>
      <c r="C11" s="10" t="s">
        <v>8</v>
      </c>
    </row>
    <row r="12" spans="1:3" x14ac:dyDescent="0.25">
      <c r="A12" s="6" t="s">
        <v>14</v>
      </c>
      <c r="B12" s="8" t="s">
        <v>15</v>
      </c>
    </row>
    <row r="14" spans="1:3" ht="18.75" x14ac:dyDescent="0.3">
      <c r="A14" s="7" t="s">
        <v>16</v>
      </c>
    </row>
    <row r="16" spans="1:3" x14ac:dyDescent="0.25">
      <c r="A16" s="6" t="s">
        <v>17</v>
      </c>
      <c r="B16" s="9">
        <v>15</v>
      </c>
      <c r="C16" s="6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50" zoomScaleNormal="150" workbookViewId="0">
      <selection activeCell="D3" sqref="D3"/>
    </sheetView>
  </sheetViews>
  <sheetFormatPr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38" customWidth="1"/>
    <col min="11" max="11" width="10.28515625" style="38" customWidth="1"/>
    <col min="12" max="12" width="12.85546875" style="38" customWidth="1"/>
    <col min="13" max="13" width="13.85546875" style="38" customWidth="1"/>
    <col min="14" max="14" width="9" style="38" customWidth="1"/>
    <col min="15" max="15" width="10.28515625" style="38" customWidth="1"/>
    <col min="16" max="16" width="12.85546875" style="38" customWidth="1"/>
    <col min="17" max="17" width="13.85546875" style="38" customWidth="1"/>
    <col min="18" max="18" width="8.7109375" customWidth="1"/>
    <col min="19" max="19" width="7.42578125" style="38" customWidth="1"/>
    <col min="20" max="20" width="5" style="38" customWidth="1"/>
    <col min="21" max="21" width="5.42578125" style="38" customWidth="1"/>
    <col min="22" max="22" width="6.5703125" style="38" customWidth="1"/>
    <col min="23" max="23" width="8.85546875" style="38" customWidth="1"/>
    <col min="24" max="24" width="8" style="38" customWidth="1"/>
    <col min="25" max="1025" width="8.7109375" customWidth="1"/>
  </cols>
  <sheetData>
    <row r="1" spans="1:24" ht="12" customHeight="1" x14ac:dyDescent="0.25">
      <c r="A1" s="26"/>
      <c r="B1" s="28"/>
      <c r="C1" s="39"/>
      <c r="D1" s="39"/>
      <c r="E1" s="39"/>
      <c r="F1" s="113"/>
      <c r="G1" s="113"/>
      <c r="H1" s="113"/>
      <c r="J1" s="1"/>
      <c r="K1" s="1"/>
      <c r="L1" s="1"/>
      <c r="M1" s="1"/>
      <c r="N1" s="1"/>
      <c r="O1" s="1"/>
      <c r="P1" s="1"/>
      <c r="Q1" s="1"/>
      <c r="S1" s="1"/>
      <c r="T1" s="1"/>
      <c r="U1" s="1"/>
      <c r="V1" s="1"/>
      <c r="W1" s="1"/>
      <c r="X1" s="1"/>
    </row>
    <row r="2" spans="1:24" ht="29.25" customHeight="1" x14ac:dyDescent="0.25">
      <c r="A2" s="41" t="s">
        <v>63</v>
      </c>
      <c r="B2" s="42" t="s">
        <v>64</v>
      </c>
      <c r="C2" s="42" t="s">
        <v>5</v>
      </c>
      <c r="D2" s="42" t="s">
        <v>48</v>
      </c>
      <c r="E2" s="42" t="s">
        <v>66</v>
      </c>
      <c r="F2" s="43" t="s">
        <v>67</v>
      </c>
      <c r="G2" s="43" t="s">
        <v>175</v>
      </c>
      <c r="H2" s="47" t="s">
        <v>176</v>
      </c>
      <c r="I2" s="91"/>
      <c r="J2" s="114"/>
      <c r="K2" s="114"/>
      <c r="L2" s="114"/>
      <c r="M2" s="114"/>
      <c r="N2" s="114"/>
      <c r="O2" s="114"/>
      <c r="P2" s="114"/>
      <c r="Q2" s="114"/>
      <c r="S2" s="115"/>
      <c r="T2" s="115"/>
      <c r="U2" s="115"/>
      <c r="V2" s="115"/>
      <c r="W2" s="115"/>
      <c r="X2" s="115"/>
    </row>
    <row r="3" spans="1:24" x14ac:dyDescent="0.25">
      <c r="A3" s="57">
        <v>42992</v>
      </c>
      <c r="B3" s="58">
        <v>1</v>
      </c>
      <c r="C3" s="59">
        <f>Measured!B5</f>
        <v>203.3</v>
      </c>
      <c r="D3" s="59">
        <v>160</v>
      </c>
      <c r="E3" s="59">
        <f t="shared" ref="E3:E66" si="0">C3-D3</f>
        <v>43.300000000000011</v>
      </c>
      <c r="F3" s="59">
        <f t="shared" ref="F3:F66" si="1">13*C3</f>
        <v>2642.9</v>
      </c>
      <c r="G3" s="59">
        <f t="shared" ref="G3:G66" si="2">E3*31</f>
        <v>1342.3000000000004</v>
      </c>
      <c r="H3" s="60">
        <f t="shared" ref="H3:H66" si="3">MIN($G3/3500,$F3/3500)</f>
        <v>0.38351428571428581</v>
      </c>
      <c r="I3" s="61"/>
      <c r="J3" s="116"/>
      <c r="K3" s="116"/>
      <c r="L3" s="116"/>
      <c r="M3" s="116"/>
      <c r="N3" s="117"/>
      <c r="O3" s="117"/>
      <c r="P3" s="117"/>
      <c r="Q3" s="117"/>
    </row>
    <row r="4" spans="1:24" x14ac:dyDescent="0.25">
      <c r="A4" s="70">
        <v>42993</v>
      </c>
      <c r="B4" s="71">
        <f t="shared" ref="B4:B67" si="4">B3+1</f>
        <v>2</v>
      </c>
      <c r="C4" s="72">
        <f t="shared" ref="C4:C67" si="5">C3-H3</f>
        <v>202.91648571428573</v>
      </c>
      <c r="D4" s="72">
        <v>160</v>
      </c>
      <c r="E4" s="72">
        <f t="shared" si="0"/>
        <v>42.916485714285727</v>
      </c>
      <c r="F4" s="72">
        <f t="shared" si="1"/>
        <v>2637.9143142857147</v>
      </c>
      <c r="G4" s="72">
        <f t="shared" si="2"/>
        <v>1330.4110571428575</v>
      </c>
      <c r="H4" s="73">
        <f t="shared" si="3"/>
        <v>0.38011744489795929</v>
      </c>
      <c r="I4" s="61"/>
      <c r="J4" s="118"/>
      <c r="K4" s="118"/>
      <c r="L4" s="118"/>
      <c r="M4" s="118"/>
      <c r="N4" s="117"/>
      <c r="O4" s="117"/>
      <c r="P4" s="117"/>
      <c r="Q4" s="117"/>
    </row>
    <row r="5" spans="1:24" x14ac:dyDescent="0.25">
      <c r="A5" s="70">
        <v>42994</v>
      </c>
      <c r="B5" s="71">
        <f t="shared" si="4"/>
        <v>3</v>
      </c>
      <c r="C5" s="72">
        <f t="shared" si="5"/>
        <v>202.53636826938776</v>
      </c>
      <c r="D5" s="72">
        <v>160</v>
      </c>
      <c r="E5" s="72">
        <f t="shared" si="0"/>
        <v>42.536368269387765</v>
      </c>
      <c r="F5" s="72">
        <f t="shared" si="1"/>
        <v>2632.9727875020408</v>
      </c>
      <c r="G5" s="72">
        <f t="shared" si="2"/>
        <v>1318.6274163510207</v>
      </c>
      <c r="H5" s="73">
        <f t="shared" si="3"/>
        <v>0.37675069038600589</v>
      </c>
      <c r="I5" s="61"/>
      <c r="J5" s="118"/>
      <c r="K5" s="118"/>
      <c r="L5" s="118"/>
      <c r="M5" s="118"/>
      <c r="N5" s="117"/>
      <c r="O5" s="117"/>
      <c r="P5" s="117"/>
      <c r="Q5" s="117"/>
    </row>
    <row r="6" spans="1:24" x14ac:dyDescent="0.25">
      <c r="A6" s="70">
        <v>42995</v>
      </c>
      <c r="B6" s="71">
        <f t="shared" si="4"/>
        <v>4</v>
      </c>
      <c r="C6" s="72">
        <f t="shared" si="5"/>
        <v>202.15961757900175</v>
      </c>
      <c r="D6" s="72">
        <v>160</v>
      </c>
      <c r="E6" s="72">
        <f t="shared" si="0"/>
        <v>42.159617579001747</v>
      </c>
      <c r="F6" s="72">
        <f t="shared" si="1"/>
        <v>2628.0750285270228</v>
      </c>
      <c r="G6" s="72">
        <f t="shared" si="2"/>
        <v>1306.948144949054</v>
      </c>
      <c r="H6" s="73">
        <f t="shared" si="3"/>
        <v>0.37341375569972973</v>
      </c>
      <c r="I6" s="61"/>
      <c r="J6" s="118"/>
      <c r="K6" s="118"/>
      <c r="L6" s="118"/>
      <c r="M6" s="118"/>
      <c r="N6" s="117"/>
      <c r="O6" s="117"/>
      <c r="P6" s="117"/>
      <c r="Q6" s="117"/>
    </row>
    <row r="7" spans="1:24" x14ac:dyDescent="0.25">
      <c r="A7" s="70">
        <v>42996</v>
      </c>
      <c r="B7" s="71">
        <f t="shared" si="4"/>
        <v>5</v>
      </c>
      <c r="C7" s="72">
        <f t="shared" si="5"/>
        <v>201.786203823302</v>
      </c>
      <c r="D7" s="72">
        <v>160</v>
      </c>
      <c r="E7" s="72">
        <f t="shared" si="0"/>
        <v>41.786203823302003</v>
      </c>
      <c r="F7" s="72">
        <f t="shared" si="1"/>
        <v>2623.220649702926</v>
      </c>
      <c r="G7" s="72">
        <f t="shared" si="2"/>
        <v>1295.3723185223621</v>
      </c>
      <c r="H7" s="73">
        <f t="shared" si="3"/>
        <v>0.37010637672067487</v>
      </c>
      <c r="I7" s="61"/>
    </row>
    <row r="8" spans="1:24" x14ac:dyDescent="0.25">
      <c r="A8" s="70">
        <v>42997</v>
      </c>
      <c r="B8" s="71">
        <f t="shared" si="4"/>
        <v>6</v>
      </c>
      <c r="C8" s="72">
        <f t="shared" si="5"/>
        <v>201.41609744658132</v>
      </c>
      <c r="D8" s="72">
        <v>160</v>
      </c>
      <c r="E8" s="72">
        <f t="shared" si="0"/>
        <v>41.416097446581318</v>
      </c>
      <c r="F8" s="72">
        <f t="shared" si="1"/>
        <v>2618.4092668055573</v>
      </c>
      <c r="G8" s="72">
        <f t="shared" si="2"/>
        <v>1283.8990208440209</v>
      </c>
      <c r="H8" s="73">
        <f t="shared" si="3"/>
        <v>0.36682829166972025</v>
      </c>
      <c r="I8" s="61"/>
    </row>
    <row r="9" spans="1:24" x14ac:dyDescent="0.25">
      <c r="A9" s="70">
        <v>42998</v>
      </c>
      <c r="B9" s="71">
        <f t="shared" si="4"/>
        <v>7</v>
      </c>
      <c r="C9" s="72">
        <f t="shared" si="5"/>
        <v>201.0492691549116</v>
      </c>
      <c r="D9" s="72">
        <v>160</v>
      </c>
      <c r="E9" s="72">
        <f t="shared" si="0"/>
        <v>41.049269154911599</v>
      </c>
      <c r="F9" s="72">
        <f t="shared" si="1"/>
        <v>2613.6404990138508</v>
      </c>
      <c r="G9" s="72">
        <f t="shared" si="2"/>
        <v>1272.5273438022596</v>
      </c>
      <c r="H9" s="73">
        <f t="shared" si="3"/>
        <v>0.36357924108635986</v>
      </c>
      <c r="I9" s="61"/>
    </row>
    <row r="10" spans="1:24" x14ac:dyDescent="0.25">
      <c r="A10" s="70">
        <v>42999</v>
      </c>
      <c r="B10" s="71">
        <f t="shared" si="4"/>
        <v>8</v>
      </c>
      <c r="C10" s="72">
        <f t="shared" si="5"/>
        <v>200.68568991382523</v>
      </c>
      <c r="D10" s="72">
        <v>160</v>
      </c>
      <c r="E10" s="72">
        <f t="shared" si="0"/>
        <v>40.685689913825229</v>
      </c>
      <c r="F10" s="72">
        <f t="shared" si="1"/>
        <v>2608.9139688797281</v>
      </c>
      <c r="G10" s="72">
        <f t="shared" si="2"/>
        <v>1261.2563873285822</v>
      </c>
      <c r="H10" s="73">
        <f t="shared" si="3"/>
        <v>0.36035896780816634</v>
      </c>
      <c r="I10" s="61"/>
    </row>
    <row r="11" spans="1:24" x14ac:dyDescent="0.25">
      <c r="A11" s="70">
        <v>43000</v>
      </c>
      <c r="B11" s="71">
        <f t="shared" si="4"/>
        <v>9</v>
      </c>
      <c r="C11" s="72">
        <f t="shared" si="5"/>
        <v>200.32533094601706</v>
      </c>
      <c r="D11" s="72">
        <v>160</v>
      </c>
      <c r="E11" s="72">
        <f t="shared" si="0"/>
        <v>40.325330946017061</v>
      </c>
      <c r="F11" s="72">
        <f t="shared" si="1"/>
        <v>2604.2293022982217</v>
      </c>
      <c r="G11" s="72">
        <f t="shared" si="2"/>
        <v>1250.085259326529</v>
      </c>
      <c r="H11" s="73">
        <f t="shared" si="3"/>
        <v>0.35716721695043685</v>
      </c>
      <c r="I11" s="61"/>
    </row>
    <row r="12" spans="1:24" x14ac:dyDescent="0.25">
      <c r="A12" s="70">
        <v>43001</v>
      </c>
      <c r="B12" s="71">
        <f t="shared" si="4"/>
        <v>10</v>
      </c>
      <c r="C12" s="72">
        <f t="shared" si="5"/>
        <v>199.96816372906662</v>
      </c>
      <c r="D12" s="72">
        <v>160</v>
      </c>
      <c r="E12" s="72">
        <f t="shared" si="0"/>
        <v>39.968163729066617</v>
      </c>
      <c r="F12" s="72">
        <f t="shared" si="1"/>
        <v>2599.5861284778662</v>
      </c>
      <c r="G12" s="72">
        <f t="shared" si="2"/>
        <v>1239.0130756010651</v>
      </c>
      <c r="H12" s="73">
        <f t="shared" si="3"/>
        <v>0.35400373588601858</v>
      </c>
      <c r="I12" s="61"/>
    </row>
    <row r="13" spans="1:24" x14ac:dyDescent="0.25">
      <c r="A13" s="70">
        <v>43002</v>
      </c>
      <c r="B13" s="71">
        <f t="shared" si="4"/>
        <v>11</v>
      </c>
      <c r="C13" s="72">
        <f t="shared" si="5"/>
        <v>199.61415999318061</v>
      </c>
      <c r="D13" s="72">
        <v>160</v>
      </c>
      <c r="E13" s="72">
        <f t="shared" si="0"/>
        <v>39.614159993180607</v>
      </c>
      <c r="F13" s="72">
        <f t="shared" si="1"/>
        <v>2594.9840799113481</v>
      </c>
      <c r="G13" s="72">
        <f t="shared" si="2"/>
        <v>1228.0389597885987</v>
      </c>
      <c r="H13" s="73">
        <f t="shared" si="3"/>
        <v>0.35086827422531391</v>
      </c>
      <c r="I13" s="61"/>
    </row>
    <row r="14" spans="1:24" x14ac:dyDescent="0.25">
      <c r="A14" s="70">
        <v>43003</v>
      </c>
      <c r="B14" s="71">
        <f t="shared" si="4"/>
        <v>12</v>
      </c>
      <c r="C14" s="72">
        <f t="shared" si="5"/>
        <v>199.26329171895529</v>
      </c>
      <c r="D14" s="72">
        <v>160</v>
      </c>
      <c r="E14" s="72">
        <f t="shared" si="0"/>
        <v>39.263291718955287</v>
      </c>
      <c r="F14" s="72">
        <f t="shared" si="1"/>
        <v>2590.4227923464186</v>
      </c>
      <c r="G14" s="72">
        <f t="shared" si="2"/>
        <v>1217.1620432876139</v>
      </c>
      <c r="H14" s="73">
        <f t="shared" si="3"/>
        <v>0.34776058379646113</v>
      </c>
      <c r="I14" s="61"/>
    </row>
    <row r="15" spans="1:24" x14ac:dyDescent="0.25">
      <c r="A15" s="70">
        <v>43004</v>
      </c>
      <c r="B15" s="71">
        <f t="shared" si="4"/>
        <v>13</v>
      </c>
      <c r="C15" s="72">
        <f t="shared" si="5"/>
        <v>198.91553113515883</v>
      </c>
      <c r="D15" s="72">
        <v>160</v>
      </c>
      <c r="E15" s="72">
        <f t="shared" si="0"/>
        <v>38.91553113515883</v>
      </c>
      <c r="F15" s="72">
        <f t="shared" si="1"/>
        <v>2585.9019047570646</v>
      </c>
      <c r="G15" s="72">
        <f t="shared" si="2"/>
        <v>1206.3814651899238</v>
      </c>
      <c r="H15" s="73">
        <f t="shared" si="3"/>
        <v>0.34468041862569254</v>
      </c>
      <c r="I15" s="61"/>
    </row>
    <row r="16" spans="1:24" x14ac:dyDescent="0.25">
      <c r="A16" s="70">
        <v>43005</v>
      </c>
      <c r="B16" s="71">
        <f t="shared" si="4"/>
        <v>14</v>
      </c>
      <c r="C16" s="72">
        <f t="shared" si="5"/>
        <v>198.57085071653313</v>
      </c>
      <c r="D16" s="72">
        <v>160</v>
      </c>
      <c r="E16" s="72">
        <f t="shared" si="0"/>
        <v>38.57085071653313</v>
      </c>
      <c r="F16" s="72">
        <f t="shared" si="1"/>
        <v>2581.4210593149305</v>
      </c>
      <c r="G16" s="72">
        <f t="shared" si="2"/>
        <v>1195.696372212527</v>
      </c>
      <c r="H16" s="73">
        <f t="shared" si="3"/>
        <v>0.34162753491786485</v>
      </c>
      <c r="I16" s="61"/>
    </row>
    <row r="17" spans="1:9" x14ac:dyDescent="0.25">
      <c r="A17" s="70">
        <v>43006</v>
      </c>
      <c r="B17" s="71">
        <f t="shared" si="4"/>
        <v>15</v>
      </c>
      <c r="C17" s="72">
        <f t="shared" si="5"/>
        <v>198.22922318161525</v>
      </c>
      <c r="D17" s="72">
        <v>160</v>
      </c>
      <c r="E17" s="72">
        <f t="shared" si="0"/>
        <v>38.229223181615254</v>
      </c>
      <c r="F17" s="72">
        <f t="shared" si="1"/>
        <v>2576.9799013609982</v>
      </c>
      <c r="G17" s="72">
        <f t="shared" si="2"/>
        <v>1185.1059186300729</v>
      </c>
      <c r="H17" s="73">
        <f t="shared" si="3"/>
        <v>0.3386016910371637</v>
      </c>
      <c r="I17" s="61"/>
    </row>
    <row r="18" spans="1:9" x14ac:dyDescent="0.25">
      <c r="A18" s="70">
        <v>43007</v>
      </c>
      <c r="B18" s="71">
        <f t="shared" si="4"/>
        <v>16</v>
      </c>
      <c r="C18" s="72">
        <f t="shared" si="5"/>
        <v>197.8906214905781</v>
      </c>
      <c r="D18" s="72">
        <v>160</v>
      </c>
      <c r="E18" s="72">
        <f t="shared" si="0"/>
        <v>37.890621490578098</v>
      </c>
      <c r="F18" s="72">
        <f t="shared" si="1"/>
        <v>2572.5780793775152</v>
      </c>
      <c r="G18" s="72">
        <f t="shared" si="2"/>
        <v>1174.6092662079211</v>
      </c>
      <c r="H18" s="73">
        <f t="shared" si="3"/>
        <v>0.33560264748797747</v>
      </c>
      <c r="I18" s="61"/>
    </row>
    <row r="19" spans="1:9" x14ac:dyDescent="0.25">
      <c r="A19" s="70">
        <v>43008</v>
      </c>
      <c r="B19" s="71">
        <f t="shared" si="4"/>
        <v>17</v>
      </c>
      <c r="C19" s="72">
        <f t="shared" si="5"/>
        <v>197.55501884309012</v>
      </c>
      <c r="D19" s="72">
        <v>160</v>
      </c>
      <c r="E19" s="72">
        <f t="shared" si="0"/>
        <v>37.555018843090124</v>
      </c>
      <c r="F19" s="72">
        <f t="shared" si="1"/>
        <v>2568.2152449601717</v>
      </c>
      <c r="G19" s="72">
        <f t="shared" si="2"/>
        <v>1164.2055841357937</v>
      </c>
      <c r="H19" s="73">
        <f t="shared" si="3"/>
        <v>0.33263016689594105</v>
      </c>
      <c r="I19" s="61"/>
    </row>
    <row r="20" spans="1:9" x14ac:dyDescent="0.25">
      <c r="A20" s="70">
        <v>43009</v>
      </c>
      <c r="B20" s="71">
        <f t="shared" si="4"/>
        <v>18</v>
      </c>
      <c r="C20" s="72">
        <f t="shared" si="5"/>
        <v>197.22238867619419</v>
      </c>
      <c r="D20" s="72">
        <v>160</v>
      </c>
      <c r="E20" s="72">
        <f t="shared" si="0"/>
        <v>37.222388676194186</v>
      </c>
      <c r="F20" s="72">
        <f t="shared" si="1"/>
        <v>2563.8910527905246</v>
      </c>
      <c r="G20" s="72">
        <f t="shared" si="2"/>
        <v>1153.8940489620197</v>
      </c>
      <c r="H20" s="73">
        <f t="shared" si="3"/>
        <v>0.32968401398914848</v>
      </c>
      <c r="I20" s="61"/>
    </row>
    <row r="21" spans="1:9" x14ac:dyDescent="0.25">
      <c r="A21" s="70">
        <v>43010</v>
      </c>
      <c r="B21" s="71">
        <f t="shared" si="4"/>
        <v>19</v>
      </c>
      <c r="C21" s="72">
        <f t="shared" si="5"/>
        <v>196.89270466220503</v>
      </c>
      <c r="D21" s="72">
        <v>160</v>
      </c>
      <c r="E21" s="72">
        <f t="shared" si="0"/>
        <v>36.892704662205034</v>
      </c>
      <c r="F21" s="72">
        <f t="shared" si="1"/>
        <v>2559.6051606086653</v>
      </c>
      <c r="G21" s="72">
        <f t="shared" si="2"/>
        <v>1143.6738445283561</v>
      </c>
      <c r="H21" s="73">
        <f t="shared" si="3"/>
        <v>0.32676395557953031</v>
      </c>
      <c r="I21" s="61"/>
    </row>
    <row r="22" spans="1:9" x14ac:dyDescent="0.25">
      <c r="A22" s="70">
        <v>43011</v>
      </c>
      <c r="B22" s="71">
        <f t="shared" si="4"/>
        <v>20</v>
      </c>
      <c r="C22" s="72">
        <f t="shared" si="5"/>
        <v>196.5659407066255</v>
      </c>
      <c r="D22" s="72">
        <v>160</v>
      </c>
      <c r="E22" s="72">
        <f t="shared" si="0"/>
        <v>36.565940706625497</v>
      </c>
      <c r="F22" s="72">
        <f t="shared" si="1"/>
        <v>2555.3572291861315</v>
      </c>
      <c r="G22" s="72">
        <f t="shared" si="2"/>
        <v>1133.5441619053904</v>
      </c>
      <c r="H22" s="73">
        <f t="shared" si="3"/>
        <v>0.32386976054439726</v>
      </c>
      <c r="I22" s="61"/>
    </row>
    <row r="23" spans="1:9" x14ac:dyDescent="0.25">
      <c r="A23" s="70">
        <v>43012</v>
      </c>
      <c r="B23" s="71">
        <f t="shared" si="4"/>
        <v>21</v>
      </c>
      <c r="C23" s="72">
        <f t="shared" si="5"/>
        <v>196.2420709460811</v>
      </c>
      <c r="D23" s="72">
        <v>160</v>
      </c>
      <c r="E23" s="72">
        <f t="shared" si="0"/>
        <v>36.2420709460811</v>
      </c>
      <c r="F23" s="72">
        <f t="shared" si="1"/>
        <v>2551.1469222990545</v>
      </c>
      <c r="G23" s="72">
        <f t="shared" si="2"/>
        <v>1123.504199328514</v>
      </c>
      <c r="H23" s="73">
        <f t="shared" si="3"/>
        <v>0.32100119980814684</v>
      </c>
      <c r="I23" s="61"/>
    </row>
    <row r="24" spans="1:9" x14ac:dyDescent="0.25">
      <c r="A24" s="70">
        <v>43013</v>
      </c>
      <c r="B24" s="71">
        <f t="shared" si="4"/>
        <v>22</v>
      </c>
      <c r="C24" s="72">
        <f t="shared" si="5"/>
        <v>195.92106974627296</v>
      </c>
      <c r="D24" s="72">
        <v>160</v>
      </c>
      <c r="E24" s="72">
        <f t="shared" si="0"/>
        <v>35.921069746272963</v>
      </c>
      <c r="F24" s="72">
        <f t="shared" si="1"/>
        <v>2546.9739067015485</v>
      </c>
      <c r="G24" s="72">
        <f t="shared" si="2"/>
        <v>1113.5531621344619</v>
      </c>
      <c r="H24" s="73">
        <f t="shared" si="3"/>
        <v>0.31815804632413197</v>
      </c>
      <c r="I24" s="61"/>
    </row>
    <row r="25" spans="1:9" x14ac:dyDescent="0.25">
      <c r="A25" s="70">
        <v>43014</v>
      </c>
      <c r="B25" s="71">
        <f t="shared" si="4"/>
        <v>23</v>
      </c>
      <c r="C25" s="72">
        <f t="shared" si="5"/>
        <v>195.60291169994883</v>
      </c>
      <c r="D25" s="72">
        <v>160</v>
      </c>
      <c r="E25" s="72">
        <f t="shared" si="0"/>
        <v>35.602911699948834</v>
      </c>
      <c r="F25" s="72">
        <f t="shared" si="1"/>
        <v>2542.8378520993347</v>
      </c>
      <c r="G25" s="72">
        <f t="shared" si="2"/>
        <v>1103.6902626984138</v>
      </c>
      <c r="H25" s="73">
        <f t="shared" si="3"/>
        <v>0.31534007505668965</v>
      </c>
      <c r="I25" s="61"/>
    </row>
    <row r="26" spans="1:9" x14ac:dyDescent="0.25">
      <c r="A26" s="70">
        <v>43015</v>
      </c>
      <c r="B26" s="71">
        <f t="shared" si="4"/>
        <v>24</v>
      </c>
      <c r="C26" s="72">
        <f t="shared" si="5"/>
        <v>195.28757162489214</v>
      </c>
      <c r="D26" s="72">
        <v>160</v>
      </c>
      <c r="E26" s="72">
        <f t="shared" si="0"/>
        <v>35.287571624892138</v>
      </c>
      <c r="F26" s="72">
        <f t="shared" si="1"/>
        <v>2538.7384311235978</v>
      </c>
      <c r="G26" s="72">
        <f t="shared" si="2"/>
        <v>1093.9147203716564</v>
      </c>
      <c r="H26" s="73">
        <f t="shared" si="3"/>
        <v>0.3125470629633304</v>
      </c>
      <c r="I26" s="61"/>
    </row>
    <row r="27" spans="1:9" x14ac:dyDescent="0.25">
      <c r="A27" s="70">
        <v>43016</v>
      </c>
      <c r="B27" s="71">
        <f t="shared" si="4"/>
        <v>25</v>
      </c>
      <c r="C27" s="72">
        <f t="shared" si="5"/>
        <v>194.97502456192882</v>
      </c>
      <c r="D27" s="72">
        <v>160</v>
      </c>
      <c r="E27" s="72">
        <f t="shared" si="0"/>
        <v>34.975024561928819</v>
      </c>
      <c r="F27" s="72">
        <f t="shared" si="1"/>
        <v>2534.6753193050745</v>
      </c>
      <c r="G27" s="72">
        <f t="shared" si="2"/>
        <v>1084.2257614197933</v>
      </c>
      <c r="H27" s="73">
        <f t="shared" si="3"/>
        <v>0.30977878897708383</v>
      </c>
      <c r="I27" s="61"/>
    </row>
    <row r="28" spans="1:9" x14ac:dyDescent="0.25">
      <c r="A28" s="70">
        <v>43017</v>
      </c>
      <c r="B28" s="71">
        <f t="shared" si="4"/>
        <v>26</v>
      </c>
      <c r="C28" s="72">
        <f t="shared" si="5"/>
        <v>194.66524577295175</v>
      </c>
      <c r="D28" s="72">
        <v>160</v>
      </c>
      <c r="E28" s="72">
        <f t="shared" si="0"/>
        <v>34.665245772951749</v>
      </c>
      <c r="F28" s="72">
        <f t="shared" si="1"/>
        <v>2530.6481950483726</v>
      </c>
      <c r="G28" s="72">
        <f t="shared" si="2"/>
        <v>1074.6226189615043</v>
      </c>
      <c r="H28" s="73">
        <f t="shared" si="3"/>
        <v>0.30703503398900123</v>
      </c>
      <c r="I28" s="61"/>
    </row>
    <row r="29" spans="1:9" x14ac:dyDescent="0.25">
      <c r="A29" s="70">
        <v>43018</v>
      </c>
      <c r="B29" s="71">
        <f t="shared" si="4"/>
        <v>27</v>
      </c>
      <c r="C29" s="72">
        <f t="shared" si="5"/>
        <v>194.35821073896275</v>
      </c>
      <c r="D29" s="72">
        <v>160</v>
      </c>
      <c r="E29" s="72">
        <f t="shared" si="0"/>
        <v>34.358210738962754</v>
      </c>
      <c r="F29" s="72">
        <f t="shared" si="1"/>
        <v>2526.6567396065157</v>
      </c>
      <c r="G29" s="72">
        <f t="shared" si="2"/>
        <v>1065.1045329078454</v>
      </c>
      <c r="H29" s="73">
        <f t="shared" si="3"/>
        <v>0.30431558083081295</v>
      </c>
      <c r="I29" s="61"/>
    </row>
    <row r="30" spans="1:9" x14ac:dyDescent="0.25">
      <c r="A30" s="70">
        <v>43019</v>
      </c>
      <c r="B30" s="71">
        <f t="shared" si="4"/>
        <v>28</v>
      </c>
      <c r="C30" s="72">
        <f t="shared" si="5"/>
        <v>194.05389515813195</v>
      </c>
      <c r="D30" s="72">
        <v>160</v>
      </c>
      <c r="E30" s="72">
        <f t="shared" si="0"/>
        <v>34.053895158131951</v>
      </c>
      <c r="F30" s="72">
        <f t="shared" si="1"/>
        <v>2522.7006370557156</v>
      </c>
      <c r="G30" s="72">
        <f t="shared" si="2"/>
        <v>1055.6707499020904</v>
      </c>
      <c r="H30" s="73">
        <f t="shared" si="3"/>
        <v>0.3016202142577401</v>
      </c>
      <c r="I30" s="61"/>
    </row>
    <row r="31" spans="1:9" x14ac:dyDescent="0.25">
      <c r="A31" s="70">
        <v>43020</v>
      </c>
      <c r="B31" s="71">
        <f t="shared" si="4"/>
        <v>29</v>
      </c>
      <c r="C31" s="72">
        <f t="shared" si="5"/>
        <v>193.7522749438742</v>
      </c>
      <c r="D31" s="72">
        <v>160</v>
      </c>
      <c r="E31" s="72">
        <f t="shared" si="0"/>
        <v>33.752274943874198</v>
      </c>
      <c r="F31" s="72">
        <f t="shared" si="1"/>
        <v>2518.7795742703647</v>
      </c>
      <c r="G31" s="72">
        <f t="shared" si="2"/>
        <v>1046.3205232601001</v>
      </c>
      <c r="H31" s="73">
        <f t="shared" si="3"/>
        <v>0.29894872093145719</v>
      </c>
      <c r="I31" s="61"/>
    </row>
    <row r="32" spans="1:9" x14ac:dyDescent="0.25">
      <c r="A32" s="70">
        <v>43021</v>
      </c>
      <c r="B32" s="71">
        <f t="shared" si="4"/>
        <v>30</v>
      </c>
      <c r="C32" s="72">
        <f t="shared" si="5"/>
        <v>193.45332622294274</v>
      </c>
      <c r="D32" s="72">
        <v>160</v>
      </c>
      <c r="E32" s="72">
        <f t="shared" si="0"/>
        <v>33.453326222942735</v>
      </c>
      <c r="F32" s="72">
        <f t="shared" si="1"/>
        <v>2514.8932408982555</v>
      </c>
      <c r="G32" s="72">
        <f t="shared" si="2"/>
        <v>1037.0531129112248</v>
      </c>
      <c r="H32" s="73">
        <f t="shared" si="3"/>
        <v>0.29630088940320709</v>
      </c>
      <c r="I32" s="61"/>
    </row>
    <row r="33" spans="1:9" x14ac:dyDescent="0.25">
      <c r="A33" s="70">
        <v>43022</v>
      </c>
      <c r="B33" s="71">
        <f t="shared" si="4"/>
        <v>31</v>
      </c>
      <c r="C33" s="72">
        <f t="shared" si="5"/>
        <v>193.15702533353954</v>
      </c>
      <c r="D33" s="72">
        <v>160</v>
      </c>
      <c r="E33" s="72">
        <f t="shared" si="0"/>
        <v>33.157025333539536</v>
      </c>
      <c r="F33" s="72">
        <f t="shared" si="1"/>
        <v>2511.0413293360139</v>
      </c>
      <c r="G33" s="72">
        <f t="shared" si="2"/>
        <v>1027.8677853397257</v>
      </c>
      <c r="H33" s="73">
        <f t="shared" si="3"/>
        <v>0.29367651009706452</v>
      </c>
      <c r="I33" s="61"/>
    </row>
    <row r="34" spans="1:9" x14ac:dyDescent="0.25">
      <c r="A34" s="70">
        <v>43023</v>
      </c>
      <c r="B34" s="71">
        <f t="shared" si="4"/>
        <v>32</v>
      </c>
      <c r="C34" s="72">
        <f t="shared" si="5"/>
        <v>192.86334882344246</v>
      </c>
      <c r="D34" s="72">
        <v>160</v>
      </c>
      <c r="E34" s="72">
        <f t="shared" si="0"/>
        <v>32.863348823442465</v>
      </c>
      <c r="F34" s="72">
        <f t="shared" si="1"/>
        <v>2507.2235347047522</v>
      </c>
      <c r="G34" s="72">
        <f t="shared" si="2"/>
        <v>1018.7638135267164</v>
      </c>
      <c r="H34" s="73">
        <f t="shared" si="3"/>
        <v>0.29107537529334754</v>
      </c>
      <c r="I34" s="61"/>
    </row>
    <row r="35" spans="1:9" x14ac:dyDescent="0.25">
      <c r="A35" s="70">
        <v>43024</v>
      </c>
      <c r="B35" s="71">
        <f t="shared" si="4"/>
        <v>33</v>
      </c>
      <c r="C35" s="72">
        <f t="shared" si="5"/>
        <v>192.5722734481491</v>
      </c>
      <c r="D35" s="72">
        <v>160</v>
      </c>
      <c r="E35" s="72">
        <f t="shared" si="0"/>
        <v>32.572273448149105</v>
      </c>
      <c r="F35" s="72">
        <f t="shared" si="1"/>
        <v>2503.4395548259386</v>
      </c>
      <c r="G35" s="72">
        <f t="shared" si="2"/>
        <v>1009.7404768926223</v>
      </c>
      <c r="H35" s="73">
        <f t="shared" si="3"/>
        <v>0.28849727911217782</v>
      </c>
      <c r="I35" s="61"/>
    </row>
    <row r="36" spans="1:9" x14ac:dyDescent="0.25">
      <c r="A36" s="70">
        <v>43025</v>
      </c>
      <c r="B36" s="71">
        <f t="shared" si="4"/>
        <v>34</v>
      </c>
      <c r="C36" s="72">
        <f t="shared" si="5"/>
        <v>192.28377616903694</v>
      </c>
      <c r="D36" s="72">
        <v>160</v>
      </c>
      <c r="E36" s="72">
        <f t="shared" si="0"/>
        <v>32.28377616903694</v>
      </c>
      <c r="F36" s="72">
        <f t="shared" si="1"/>
        <v>2499.6890901974803</v>
      </c>
      <c r="G36" s="72">
        <f t="shared" si="2"/>
        <v>1000.7970612401451</v>
      </c>
      <c r="H36" s="73">
        <f t="shared" si="3"/>
        <v>0.28594201749718434</v>
      </c>
      <c r="I36" s="61"/>
    </row>
    <row r="37" spans="1:9" x14ac:dyDescent="0.25">
      <c r="A37" s="70">
        <v>43026</v>
      </c>
      <c r="B37" s="71">
        <f t="shared" si="4"/>
        <v>35</v>
      </c>
      <c r="C37" s="72">
        <f t="shared" si="5"/>
        <v>191.99783415153976</v>
      </c>
      <c r="D37" s="72">
        <v>160</v>
      </c>
      <c r="E37" s="72">
        <f t="shared" si="0"/>
        <v>31.997834151539763</v>
      </c>
      <c r="F37" s="72">
        <f t="shared" si="1"/>
        <v>2495.9718439700168</v>
      </c>
      <c r="G37" s="72">
        <f t="shared" si="2"/>
        <v>991.93285869773263</v>
      </c>
      <c r="H37" s="73">
        <f t="shared" si="3"/>
        <v>0.28340938819935219</v>
      </c>
      <c r="I37" s="61"/>
    </row>
    <row r="38" spans="1:9" x14ac:dyDescent="0.25">
      <c r="A38" s="70">
        <v>43027</v>
      </c>
      <c r="B38" s="71">
        <f t="shared" si="4"/>
        <v>36</v>
      </c>
      <c r="C38" s="72">
        <f t="shared" si="5"/>
        <v>191.71442476334042</v>
      </c>
      <c r="D38" s="72">
        <v>160</v>
      </c>
      <c r="E38" s="72">
        <f t="shared" si="0"/>
        <v>31.714424763340418</v>
      </c>
      <c r="F38" s="72">
        <f t="shared" si="1"/>
        <v>2492.2875219234256</v>
      </c>
      <c r="G38" s="72">
        <f t="shared" si="2"/>
        <v>983.14716766355298</v>
      </c>
      <c r="H38" s="73">
        <f t="shared" si="3"/>
        <v>0.28089919076101516</v>
      </c>
      <c r="I38" s="61"/>
    </row>
    <row r="39" spans="1:9" x14ac:dyDescent="0.25">
      <c r="A39" s="70">
        <v>43028</v>
      </c>
      <c r="B39" s="71">
        <f t="shared" si="4"/>
        <v>37</v>
      </c>
      <c r="C39" s="72">
        <f t="shared" si="5"/>
        <v>191.43352557257941</v>
      </c>
      <c r="D39" s="72">
        <v>160</v>
      </c>
      <c r="E39" s="72">
        <f t="shared" si="0"/>
        <v>31.433525572579413</v>
      </c>
      <c r="F39" s="72">
        <f t="shared" si="1"/>
        <v>2488.6358324435323</v>
      </c>
      <c r="G39" s="72">
        <f t="shared" si="2"/>
        <v>974.43929274996185</v>
      </c>
      <c r="H39" s="73">
        <f t="shared" si="3"/>
        <v>0.27841122649998912</v>
      </c>
      <c r="I39" s="61"/>
    </row>
    <row r="40" spans="1:9" x14ac:dyDescent="0.25">
      <c r="A40" s="70">
        <v>43029</v>
      </c>
      <c r="B40" s="71">
        <f t="shared" si="4"/>
        <v>38</v>
      </c>
      <c r="C40" s="72">
        <f t="shared" si="5"/>
        <v>191.15511434607942</v>
      </c>
      <c r="D40" s="72">
        <v>160</v>
      </c>
      <c r="E40" s="72">
        <f t="shared" si="0"/>
        <v>31.155114346079415</v>
      </c>
      <c r="F40" s="72">
        <f t="shared" si="1"/>
        <v>2485.0164864990325</v>
      </c>
      <c r="G40" s="72">
        <f t="shared" si="2"/>
        <v>965.80854472846181</v>
      </c>
      <c r="H40" s="73">
        <f t="shared" si="3"/>
        <v>0.27594529849384625</v>
      </c>
      <c r="I40" s="61"/>
    </row>
    <row r="41" spans="1:9" x14ac:dyDescent="0.25">
      <c r="A41" s="70">
        <v>43030</v>
      </c>
      <c r="B41" s="71">
        <f t="shared" si="4"/>
        <v>39</v>
      </c>
      <c r="C41" s="72">
        <f t="shared" si="5"/>
        <v>190.87916904758558</v>
      </c>
      <c r="D41" s="72">
        <v>160</v>
      </c>
      <c r="E41" s="72">
        <f t="shared" si="0"/>
        <v>30.879169047585577</v>
      </c>
      <c r="F41" s="72">
        <f t="shared" si="1"/>
        <v>2481.4291976186123</v>
      </c>
      <c r="G41" s="72">
        <f t="shared" si="2"/>
        <v>957.25424047515287</v>
      </c>
      <c r="H41" s="73">
        <f t="shared" si="3"/>
        <v>0.27350121156432938</v>
      </c>
      <c r="I41" s="61"/>
    </row>
    <row r="42" spans="1:9" x14ac:dyDescent="0.25">
      <c r="A42" s="70">
        <v>43031</v>
      </c>
      <c r="B42" s="71">
        <f t="shared" si="4"/>
        <v>40</v>
      </c>
      <c r="C42" s="72">
        <f t="shared" si="5"/>
        <v>190.60566783602124</v>
      </c>
      <c r="D42" s="72">
        <v>160</v>
      </c>
      <c r="E42" s="72">
        <f t="shared" si="0"/>
        <v>30.60566783602124</v>
      </c>
      <c r="F42" s="72">
        <f t="shared" si="1"/>
        <v>2477.873681868276</v>
      </c>
      <c r="G42" s="72">
        <f t="shared" si="2"/>
        <v>948.77570291665847</v>
      </c>
      <c r="H42" s="73">
        <f t="shared" si="3"/>
        <v>0.27107877226190241</v>
      </c>
      <c r="I42" s="61"/>
    </row>
    <row r="43" spans="1:9" x14ac:dyDescent="0.25">
      <c r="A43" s="70">
        <v>43032</v>
      </c>
      <c r="B43" s="71">
        <f t="shared" si="4"/>
        <v>41</v>
      </c>
      <c r="C43" s="72">
        <f t="shared" si="5"/>
        <v>190.33458906375932</v>
      </c>
      <c r="D43" s="72">
        <v>160</v>
      </c>
      <c r="E43" s="72">
        <f t="shared" si="0"/>
        <v>30.334589063759324</v>
      </c>
      <c r="F43" s="72">
        <f t="shared" si="1"/>
        <v>2474.3496578288714</v>
      </c>
      <c r="G43" s="72">
        <f t="shared" si="2"/>
        <v>940.37226097653911</v>
      </c>
      <c r="H43" s="73">
        <f t="shared" si="3"/>
        <v>0.26867778885043975</v>
      </c>
      <c r="I43" s="61"/>
    </row>
    <row r="44" spans="1:9" x14ac:dyDescent="0.25">
      <c r="A44" s="70">
        <v>43033</v>
      </c>
      <c r="B44" s="71">
        <f t="shared" si="4"/>
        <v>42</v>
      </c>
      <c r="C44" s="72">
        <f t="shared" si="5"/>
        <v>190.06591127490887</v>
      </c>
      <c r="D44" s="72">
        <v>160</v>
      </c>
      <c r="E44" s="72">
        <f t="shared" si="0"/>
        <v>30.065911274908871</v>
      </c>
      <c r="F44" s="72">
        <f t="shared" si="1"/>
        <v>2470.8568465738153</v>
      </c>
      <c r="G44" s="72">
        <f t="shared" si="2"/>
        <v>932.04324952217496</v>
      </c>
      <c r="H44" s="73">
        <f t="shared" si="3"/>
        <v>0.26629807129204996</v>
      </c>
      <c r="I44" s="61"/>
    </row>
    <row r="45" spans="1:9" x14ac:dyDescent="0.25">
      <c r="A45" s="70">
        <v>43034</v>
      </c>
      <c r="B45" s="71">
        <f t="shared" si="4"/>
        <v>43</v>
      </c>
      <c r="C45" s="72">
        <f t="shared" si="5"/>
        <v>189.79961320361681</v>
      </c>
      <c r="D45" s="72">
        <v>160</v>
      </c>
      <c r="E45" s="72">
        <f t="shared" si="0"/>
        <v>29.799613203616815</v>
      </c>
      <c r="F45" s="72">
        <f t="shared" si="1"/>
        <v>2467.3949716470188</v>
      </c>
      <c r="G45" s="72">
        <f t="shared" si="2"/>
        <v>923.78800931212129</v>
      </c>
      <c r="H45" s="73">
        <f t="shared" si="3"/>
        <v>0.26393943123203467</v>
      </c>
      <c r="I45" s="61"/>
    </row>
    <row r="46" spans="1:9" x14ac:dyDescent="0.25">
      <c r="A46" s="70">
        <v>43035</v>
      </c>
      <c r="B46" s="71">
        <f t="shared" si="4"/>
        <v>44</v>
      </c>
      <c r="C46" s="72">
        <f t="shared" si="5"/>
        <v>189.53567377238477</v>
      </c>
      <c r="D46" s="72">
        <v>160</v>
      </c>
      <c r="E46" s="72">
        <f t="shared" si="0"/>
        <v>29.535673772384769</v>
      </c>
      <c r="F46" s="72">
        <f t="shared" si="1"/>
        <v>2463.963759041002</v>
      </c>
      <c r="G46" s="72">
        <f t="shared" si="2"/>
        <v>915.60588694392777</v>
      </c>
      <c r="H46" s="73">
        <f t="shared" si="3"/>
        <v>0.26160168198397937</v>
      </c>
      <c r="I46" s="61"/>
    </row>
    <row r="47" spans="1:9" x14ac:dyDescent="0.25">
      <c r="A47" s="70">
        <v>43036</v>
      </c>
      <c r="B47" s="71">
        <f t="shared" si="4"/>
        <v>45</v>
      </c>
      <c r="C47" s="72">
        <f t="shared" si="5"/>
        <v>189.27407209040078</v>
      </c>
      <c r="D47" s="72">
        <v>160</v>
      </c>
      <c r="E47" s="72">
        <f t="shared" si="0"/>
        <v>29.274072090400779</v>
      </c>
      <c r="F47" s="72">
        <f t="shared" si="1"/>
        <v>2460.5629371752102</v>
      </c>
      <c r="G47" s="72">
        <f t="shared" si="2"/>
        <v>907.49623480242417</v>
      </c>
      <c r="H47" s="73">
        <f t="shared" si="3"/>
        <v>0.25928463851497835</v>
      </c>
      <c r="I47" s="61"/>
    </row>
    <row r="48" spans="1:9" x14ac:dyDescent="0.25">
      <c r="A48" s="70">
        <v>43037</v>
      </c>
      <c r="B48" s="71">
        <f t="shared" si="4"/>
        <v>46</v>
      </c>
      <c r="C48" s="72">
        <f t="shared" si="5"/>
        <v>189.01478745188581</v>
      </c>
      <c r="D48" s="72">
        <v>160</v>
      </c>
      <c r="E48" s="72">
        <f t="shared" si="0"/>
        <v>29.014787451885809</v>
      </c>
      <c r="F48" s="72">
        <f t="shared" si="1"/>
        <v>2457.1922368745154</v>
      </c>
      <c r="G48" s="72">
        <f t="shared" si="2"/>
        <v>899.45841100846008</v>
      </c>
      <c r="H48" s="73">
        <f t="shared" si="3"/>
        <v>0.25698811743098859</v>
      </c>
      <c r="I48" s="61"/>
    </row>
    <row r="49" spans="1:9" x14ac:dyDescent="0.25">
      <c r="A49" s="70">
        <v>43038</v>
      </c>
      <c r="B49" s="71">
        <f t="shared" si="4"/>
        <v>47</v>
      </c>
      <c r="C49" s="72">
        <f t="shared" si="5"/>
        <v>188.75779933445483</v>
      </c>
      <c r="D49" s="72">
        <v>160</v>
      </c>
      <c r="E49" s="72">
        <f t="shared" si="0"/>
        <v>28.75779933445483</v>
      </c>
      <c r="F49" s="72">
        <f t="shared" si="1"/>
        <v>2453.8513913479128</v>
      </c>
      <c r="G49" s="72">
        <f t="shared" si="2"/>
        <v>891.49177936809974</v>
      </c>
      <c r="H49" s="73">
        <f t="shared" si="3"/>
        <v>0.2547119369623142</v>
      </c>
      <c r="I49" s="61"/>
    </row>
    <row r="50" spans="1:9" x14ac:dyDescent="0.25">
      <c r="A50" s="70">
        <v>43039</v>
      </c>
      <c r="B50" s="71">
        <f t="shared" si="4"/>
        <v>48</v>
      </c>
      <c r="C50" s="72">
        <f t="shared" si="5"/>
        <v>188.50308739749252</v>
      </c>
      <c r="D50" s="72">
        <v>160</v>
      </c>
      <c r="E50" s="72">
        <f t="shared" si="0"/>
        <v>28.503087397492521</v>
      </c>
      <c r="F50" s="72">
        <f t="shared" si="1"/>
        <v>2450.5401361674026</v>
      </c>
      <c r="G50" s="72">
        <f t="shared" si="2"/>
        <v>883.59570932226814</v>
      </c>
      <c r="H50" s="73">
        <f t="shared" si="3"/>
        <v>0.25245591694921948</v>
      </c>
      <c r="I50" s="61"/>
    </row>
    <row r="51" spans="1:9" x14ac:dyDescent="0.25">
      <c r="A51" s="70">
        <v>43040</v>
      </c>
      <c r="B51" s="71">
        <f t="shared" si="4"/>
        <v>49</v>
      </c>
      <c r="C51" s="72">
        <f t="shared" si="5"/>
        <v>188.25063148054329</v>
      </c>
      <c r="D51" s="72">
        <v>160</v>
      </c>
      <c r="E51" s="72">
        <f t="shared" si="0"/>
        <v>28.250631480543291</v>
      </c>
      <c r="F51" s="72">
        <f t="shared" si="1"/>
        <v>2447.258209247063</v>
      </c>
      <c r="G51" s="72">
        <f t="shared" si="2"/>
        <v>875.76957589684207</v>
      </c>
      <c r="H51" s="73">
        <f t="shared" si="3"/>
        <v>0.25021987882766916</v>
      </c>
      <c r="I51" s="61"/>
    </row>
    <row r="52" spans="1:9" x14ac:dyDescent="0.25">
      <c r="A52" s="70">
        <v>43041</v>
      </c>
      <c r="B52" s="71">
        <f t="shared" si="4"/>
        <v>50</v>
      </c>
      <c r="C52" s="72">
        <f t="shared" si="5"/>
        <v>188.00041160171563</v>
      </c>
      <c r="D52" s="72">
        <v>160</v>
      </c>
      <c r="E52" s="72">
        <f t="shared" si="0"/>
        <v>28.000411601715626</v>
      </c>
      <c r="F52" s="72">
        <f t="shared" si="1"/>
        <v>2444.0053508223032</v>
      </c>
      <c r="G52" s="72">
        <f t="shared" si="2"/>
        <v>868.01275965318439</v>
      </c>
      <c r="H52" s="73">
        <f t="shared" si="3"/>
        <v>0.24800364561519553</v>
      </c>
      <c r="I52" s="61"/>
    </row>
    <row r="53" spans="1:9" x14ac:dyDescent="0.25">
      <c r="A53" s="70">
        <v>43042</v>
      </c>
      <c r="B53" s="71">
        <f t="shared" si="4"/>
        <v>51</v>
      </c>
      <c r="C53" s="72">
        <f t="shared" si="5"/>
        <v>187.75240795610043</v>
      </c>
      <c r="D53" s="72">
        <v>160</v>
      </c>
      <c r="E53" s="72">
        <f t="shared" si="0"/>
        <v>27.752407956100427</v>
      </c>
      <c r="F53" s="72">
        <f t="shared" si="1"/>
        <v>2440.7813034293054</v>
      </c>
      <c r="G53" s="72">
        <f t="shared" si="2"/>
        <v>860.32464663911321</v>
      </c>
      <c r="H53" s="73">
        <f t="shared" si="3"/>
        <v>0.24580704189688948</v>
      </c>
      <c r="I53" s="61"/>
    </row>
    <row r="54" spans="1:9" x14ac:dyDescent="0.25">
      <c r="A54" s="70">
        <v>43043</v>
      </c>
      <c r="B54" s="71">
        <f t="shared" si="4"/>
        <v>52</v>
      </c>
      <c r="C54" s="72">
        <f t="shared" si="5"/>
        <v>187.50660091420355</v>
      </c>
      <c r="D54" s="72">
        <v>160</v>
      </c>
      <c r="E54" s="72">
        <f t="shared" si="0"/>
        <v>27.506600914203545</v>
      </c>
      <c r="F54" s="72">
        <f t="shared" si="1"/>
        <v>2437.5858118846463</v>
      </c>
      <c r="G54" s="72">
        <f t="shared" si="2"/>
        <v>852.70462834030991</v>
      </c>
      <c r="H54" s="73">
        <f t="shared" si="3"/>
        <v>0.24362989381151712</v>
      </c>
      <c r="I54" s="61"/>
    </row>
    <row r="55" spans="1:9" x14ac:dyDescent="0.25">
      <c r="A55" s="70">
        <v>43044</v>
      </c>
      <c r="B55" s="71">
        <f t="shared" si="4"/>
        <v>53</v>
      </c>
      <c r="C55" s="72">
        <f t="shared" si="5"/>
        <v>187.26297102039203</v>
      </c>
      <c r="D55" s="72">
        <v>160</v>
      </c>
      <c r="E55" s="72">
        <f t="shared" si="0"/>
        <v>27.26297102039203</v>
      </c>
      <c r="F55" s="72">
        <f t="shared" si="1"/>
        <v>2434.4186232650964</v>
      </c>
      <c r="G55" s="72">
        <f t="shared" si="2"/>
        <v>845.15210163215295</v>
      </c>
      <c r="H55" s="73">
        <f t="shared" si="3"/>
        <v>0.241472029037758</v>
      </c>
      <c r="I55" s="61"/>
    </row>
    <row r="56" spans="1:9" x14ac:dyDescent="0.25">
      <c r="A56" s="70">
        <v>43045</v>
      </c>
      <c r="B56" s="71">
        <f t="shared" si="4"/>
        <v>54</v>
      </c>
      <c r="C56" s="72">
        <f t="shared" si="5"/>
        <v>187.02149899135426</v>
      </c>
      <c r="D56" s="72">
        <v>160</v>
      </c>
      <c r="E56" s="72">
        <f t="shared" si="0"/>
        <v>27.021498991354264</v>
      </c>
      <c r="F56" s="72">
        <f t="shared" si="1"/>
        <v>2431.2794868876053</v>
      </c>
      <c r="G56" s="72">
        <f t="shared" si="2"/>
        <v>837.66646873198215</v>
      </c>
      <c r="H56" s="73">
        <f t="shared" si="3"/>
        <v>0.23933327678056632</v>
      </c>
      <c r="I56" s="61"/>
    </row>
    <row r="57" spans="1:9" x14ac:dyDescent="0.25">
      <c r="A57" s="70">
        <v>43046</v>
      </c>
      <c r="B57" s="71">
        <f t="shared" si="4"/>
        <v>55</v>
      </c>
      <c r="C57" s="72">
        <f t="shared" si="5"/>
        <v>186.78216571457369</v>
      </c>
      <c r="D57" s="72">
        <v>160</v>
      </c>
      <c r="E57" s="72">
        <f t="shared" si="0"/>
        <v>26.782165714573694</v>
      </c>
      <c r="F57" s="72">
        <f t="shared" si="1"/>
        <v>2428.168154289458</v>
      </c>
      <c r="G57" s="72">
        <f t="shared" si="2"/>
        <v>830.2471371517845</v>
      </c>
      <c r="H57" s="73">
        <f t="shared" si="3"/>
        <v>0.2372134677576527</v>
      </c>
      <c r="I57" s="61"/>
    </row>
    <row r="58" spans="1:9" x14ac:dyDescent="0.25">
      <c r="A58" s="70">
        <v>43047</v>
      </c>
      <c r="B58" s="71">
        <f t="shared" si="4"/>
        <v>56</v>
      </c>
      <c r="C58" s="72">
        <f t="shared" si="5"/>
        <v>186.54495224681605</v>
      </c>
      <c r="D58" s="72">
        <v>160</v>
      </c>
      <c r="E58" s="72">
        <f t="shared" si="0"/>
        <v>26.544952246816052</v>
      </c>
      <c r="F58" s="72">
        <f t="shared" si="1"/>
        <v>2425.0843792086089</v>
      </c>
      <c r="G58" s="72">
        <f t="shared" si="2"/>
        <v>822.89351965129765</v>
      </c>
      <c r="H58" s="73">
        <f t="shared" si="3"/>
        <v>0.23511243418608505</v>
      </c>
      <c r="I58" s="61"/>
    </row>
    <row r="59" spans="1:9" x14ac:dyDescent="0.25">
      <c r="A59" s="70">
        <v>43048</v>
      </c>
      <c r="B59" s="71">
        <f t="shared" si="4"/>
        <v>57</v>
      </c>
      <c r="C59" s="72">
        <f t="shared" si="5"/>
        <v>186.30983981262997</v>
      </c>
      <c r="D59" s="72">
        <v>160</v>
      </c>
      <c r="E59" s="72">
        <f t="shared" si="0"/>
        <v>26.309839812629974</v>
      </c>
      <c r="F59" s="72">
        <f t="shared" si="1"/>
        <v>2422.0279175641895</v>
      </c>
      <c r="G59" s="72">
        <f t="shared" si="2"/>
        <v>815.60503419152917</v>
      </c>
      <c r="H59" s="73">
        <f t="shared" si="3"/>
        <v>0.23303000976900834</v>
      </c>
      <c r="I59" s="61"/>
    </row>
    <row r="60" spans="1:9" x14ac:dyDescent="0.25">
      <c r="A60" s="70">
        <v>43049</v>
      </c>
      <c r="B60" s="71">
        <f t="shared" si="4"/>
        <v>58</v>
      </c>
      <c r="C60" s="72">
        <f t="shared" si="5"/>
        <v>186.07680980286096</v>
      </c>
      <c r="D60" s="72">
        <v>160</v>
      </c>
      <c r="E60" s="72">
        <f t="shared" si="0"/>
        <v>26.076809802860964</v>
      </c>
      <c r="F60" s="72">
        <f t="shared" si="1"/>
        <v>2418.9985274371925</v>
      </c>
      <c r="G60" s="72">
        <f t="shared" si="2"/>
        <v>808.38110388868995</v>
      </c>
      <c r="H60" s="73">
        <f t="shared" si="3"/>
        <v>0.23096602968248284</v>
      </c>
      <c r="I60" s="61"/>
    </row>
    <row r="61" spans="1:9" x14ac:dyDescent="0.25">
      <c r="A61" s="70">
        <v>43050</v>
      </c>
      <c r="B61" s="71">
        <f t="shared" si="4"/>
        <v>59</v>
      </c>
      <c r="C61" s="72">
        <f t="shared" si="5"/>
        <v>185.84584377317847</v>
      </c>
      <c r="D61" s="72">
        <v>160</v>
      </c>
      <c r="E61" s="72">
        <f t="shared" si="0"/>
        <v>25.845843773178473</v>
      </c>
      <c r="F61" s="72">
        <f t="shared" si="1"/>
        <v>2415.9959690513201</v>
      </c>
      <c r="G61" s="72">
        <f t="shared" si="2"/>
        <v>801.22115696853268</v>
      </c>
      <c r="H61" s="73">
        <f t="shared" si="3"/>
        <v>0.22892033056243791</v>
      </c>
      <c r="I61" s="61"/>
    </row>
    <row r="62" spans="1:9" x14ac:dyDescent="0.25">
      <c r="A62" s="70">
        <v>43051</v>
      </c>
      <c r="B62" s="71">
        <f t="shared" si="4"/>
        <v>60</v>
      </c>
      <c r="C62" s="72">
        <f t="shared" si="5"/>
        <v>185.61692344261604</v>
      </c>
      <c r="D62" s="72">
        <v>160</v>
      </c>
      <c r="E62" s="72">
        <f t="shared" si="0"/>
        <v>25.616923442616041</v>
      </c>
      <c r="F62" s="72">
        <f t="shared" si="1"/>
        <v>2413.0200047540084</v>
      </c>
      <c r="G62" s="72">
        <f t="shared" si="2"/>
        <v>794.12462672109723</v>
      </c>
      <c r="H62" s="73">
        <f t="shared" si="3"/>
        <v>0.22689275049174207</v>
      </c>
      <c r="I62" s="61"/>
    </row>
    <row r="63" spans="1:9" x14ac:dyDescent="0.25">
      <c r="A63" s="70">
        <v>43052</v>
      </c>
      <c r="B63" s="71">
        <f t="shared" si="4"/>
        <v>61</v>
      </c>
      <c r="C63" s="72">
        <f t="shared" si="5"/>
        <v>185.3900306921243</v>
      </c>
      <c r="D63" s="72">
        <v>160</v>
      </c>
      <c r="E63" s="72">
        <f t="shared" si="0"/>
        <v>25.390030692124299</v>
      </c>
      <c r="F63" s="72">
        <f t="shared" si="1"/>
        <v>2410.0703989976159</v>
      </c>
      <c r="G63" s="72">
        <f t="shared" si="2"/>
        <v>787.0909514558532</v>
      </c>
      <c r="H63" s="73">
        <f t="shared" si="3"/>
        <v>0.22488312898738663</v>
      </c>
      <c r="I63" s="61"/>
    </row>
    <row r="64" spans="1:9" x14ac:dyDescent="0.25">
      <c r="A64" s="70">
        <v>43053</v>
      </c>
      <c r="B64" s="71">
        <f t="shared" si="4"/>
        <v>62</v>
      </c>
      <c r="C64" s="72">
        <f t="shared" si="5"/>
        <v>185.16514756313691</v>
      </c>
      <c r="D64" s="72">
        <v>160</v>
      </c>
      <c r="E64" s="72">
        <f t="shared" si="0"/>
        <v>25.165147563136912</v>
      </c>
      <c r="F64" s="72">
        <f t="shared" si="1"/>
        <v>2407.1469183207801</v>
      </c>
      <c r="G64" s="72">
        <f t="shared" si="2"/>
        <v>780.11957445724431</v>
      </c>
      <c r="H64" s="73">
        <f t="shared" si="3"/>
        <v>0.22289130698778409</v>
      </c>
      <c r="I64" s="61"/>
    </row>
    <row r="65" spans="1:9" x14ac:dyDescent="0.25">
      <c r="A65" s="70">
        <v>43054</v>
      </c>
      <c r="B65" s="71">
        <f t="shared" si="4"/>
        <v>63</v>
      </c>
      <c r="C65" s="72">
        <f t="shared" si="5"/>
        <v>184.94225625614914</v>
      </c>
      <c r="D65" s="72">
        <v>160</v>
      </c>
      <c r="E65" s="72">
        <f t="shared" si="0"/>
        <v>24.942256256149136</v>
      </c>
      <c r="F65" s="72">
        <f t="shared" si="1"/>
        <v>2404.2493313299387</v>
      </c>
      <c r="G65" s="72">
        <f t="shared" si="2"/>
        <v>773.20994394062325</v>
      </c>
      <c r="H65" s="73">
        <f t="shared" si="3"/>
        <v>0.22091712684017806</v>
      </c>
      <c r="I65" s="61"/>
    </row>
    <row r="66" spans="1:9" x14ac:dyDescent="0.25">
      <c r="A66" s="70">
        <v>43055</v>
      </c>
      <c r="B66" s="71">
        <f t="shared" si="4"/>
        <v>64</v>
      </c>
      <c r="C66" s="72">
        <f t="shared" si="5"/>
        <v>184.72133912930894</v>
      </c>
      <c r="D66" s="72">
        <v>160</v>
      </c>
      <c r="E66" s="72">
        <f t="shared" si="0"/>
        <v>24.721339129308944</v>
      </c>
      <c r="F66" s="72">
        <f t="shared" si="1"/>
        <v>2401.3774086810163</v>
      </c>
      <c r="G66" s="72">
        <f t="shared" si="2"/>
        <v>766.36151300857728</v>
      </c>
      <c r="H66" s="73">
        <f t="shared" si="3"/>
        <v>0.21896043228816495</v>
      </c>
      <c r="I66" s="61"/>
    </row>
    <row r="67" spans="1:9" x14ac:dyDescent="0.25">
      <c r="A67" s="70">
        <v>43056</v>
      </c>
      <c r="B67" s="71">
        <f t="shared" si="4"/>
        <v>65</v>
      </c>
      <c r="C67" s="72">
        <f t="shared" si="5"/>
        <v>184.50237869702079</v>
      </c>
      <c r="D67" s="72">
        <v>160</v>
      </c>
      <c r="E67" s="72">
        <f t="shared" ref="E67:E130" si="6">C67-D67</f>
        <v>24.502378697020788</v>
      </c>
      <c r="F67" s="72">
        <f t="shared" ref="F67:F130" si="7">13*C67</f>
        <v>2398.5309230612702</v>
      </c>
      <c r="G67" s="72">
        <f t="shared" ref="G67:G130" si="8">E67*31</f>
        <v>759.57373960764448</v>
      </c>
      <c r="H67" s="73">
        <f t="shared" ref="H67:H130" si="9">MIN($G67/3500,$F67/3500)</f>
        <v>0.217021068459327</v>
      </c>
      <c r="I67" s="61"/>
    </row>
    <row r="68" spans="1:9" x14ac:dyDescent="0.25">
      <c r="A68" s="70">
        <v>43057</v>
      </c>
      <c r="B68" s="71">
        <f t="shared" ref="B68:B131" si="10">B67+1</f>
        <v>66</v>
      </c>
      <c r="C68" s="72">
        <f t="shared" ref="C68:C131" si="11">C67-H67</f>
        <v>184.28535762856146</v>
      </c>
      <c r="D68" s="72">
        <v>160</v>
      </c>
      <c r="E68" s="72">
        <f t="shared" si="6"/>
        <v>24.285357628561457</v>
      </c>
      <c r="F68" s="72">
        <f t="shared" si="7"/>
        <v>2395.7096491712991</v>
      </c>
      <c r="G68" s="72">
        <f t="shared" si="8"/>
        <v>752.84608648540518</v>
      </c>
      <c r="H68" s="73">
        <f t="shared" si="9"/>
        <v>0.21509888185297291</v>
      </c>
      <c r="I68" s="61"/>
    </row>
    <row r="69" spans="1:9" x14ac:dyDescent="0.25">
      <c r="A69" s="70">
        <v>43058</v>
      </c>
      <c r="B69" s="71">
        <f t="shared" si="10"/>
        <v>67</v>
      </c>
      <c r="C69" s="72">
        <f t="shared" si="11"/>
        <v>184.07025874670848</v>
      </c>
      <c r="D69" s="72">
        <v>160</v>
      </c>
      <c r="E69" s="72">
        <f t="shared" si="6"/>
        <v>24.070258746708475</v>
      </c>
      <c r="F69" s="72">
        <f t="shared" si="7"/>
        <v>2392.91336370721</v>
      </c>
      <c r="G69" s="72">
        <f t="shared" si="8"/>
        <v>746.17802114796268</v>
      </c>
      <c r="H69" s="73">
        <f t="shared" si="9"/>
        <v>0.21319372032798933</v>
      </c>
      <c r="I69" s="61"/>
    </row>
    <row r="70" spans="1:9" x14ac:dyDescent="0.25">
      <c r="A70" s="70">
        <v>43059</v>
      </c>
      <c r="B70" s="71">
        <f t="shared" si="10"/>
        <v>68</v>
      </c>
      <c r="C70" s="72">
        <f t="shared" si="11"/>
        <v>183.8570650263805</v>
      </c>
      <c r="D70" s="72">
        <v>160</v>
      </c>
      <c r="E70" s="72">
        <f t="shared" si="6"/>
        <v>23.857065026380496</v>
      </c>
      <c r="F70" s="72">
        <f t="shared" si="7"/>
        <v>2390.1418453429465</v>
      </c>
      <c r="G70" s="72">
        <f t="shared" si="8"/>
        <v>739.56901581779539</v>
      </c>
      <c r="H70" s="73">
        <f t="shared" si="9"/>
        <v>0.21130543309079869</v>
      </c>
      <c r="I70" s="61"/>
    </row>
    <row r="71" spans="1:9" x14ac:dyDescent="0.25">
      <c r="A71" s="70">
        <v>43060</v>
      </c>
      <c r="B71" s="71">
        <f t="shared" si="10"/>
        <v>69</v>
      </c>
      <c r="C71" s="72">
        <f t="shared" si="11"/>
        <v>183.64575959328971</v>
      </c>
      <c r="D71" s="72">
        <v>160</v>
      </c>
      <c r="E71" s="72">
        <f t="shared" si="6"/>
        <v>23.645759593289711</v>
      </c>
      <c r="F71" s="72">
        <f t="shared" si="7"/>
        <v>2387.3948747127661</v>
      </c>
      <c r="G71" s="72">
        <f t="shared" si="8"/>
        <v>733.01854739198097</v>
      </c>
      <c r="H71" s="73">
        <f t="shared" si="9"/>
        <v>0.20943387068342315</v>
      </c>
      <c r="I71" s="61"/>
    </row>
    <row r="72" spans="1:9" x14ac:dyDescent="0.25">
      <c r="A72" s="70">
        <v>43061</v>
      </c>
      <c r="B72" s="71">
        <f t="shared" si="10"/>
        <v>70</v>
      </c>
      <c r="C72" s="72">
        <f t="shared" si="11"/>
        <v>183.43632572260628</v>
      </c>
      <c r="D72" s="72">
        <v>160</v>
      </c>
      <c r="E72" s="72">
        <f t="shared" si="6"/>
        <v>23.436325722606284</v>
      </c>
      <c r="F72" s="72">
        <f t="shared" si="7"/>
        <v>2384.6722343938818</v>
      </c>
      <c r="G72" s="72">
        <f t="shared" si="8"/>
        <v>726.52609740079481</v>
      </c>
      <c r="H72" s="73">
        <f t="shared" si="9"/>
        <v>0.20757888497165566</v>
      </c>
      <c r="I72" s="61"/>
    </row>
    <row r="73" spans="1:9" x14ac:dyDescent="0.25">
      <c r="A73" s="70">
        <v>43062</v>
      </c>
      <c r="B73" s="71">
        <f t="shared" si="10"/>
        <v>71</v>
      </c>
      <c r="C73" s="72">
        <f t="shared" si="11"/>
        <v>183.22874683763462</v>
      </c>
      <c r="D73" s="72">
        <v>160</v>
      </c>
      <c r="E73" s="72">
        <f t="shared" si="6"/>
        <v>23.228746837634617</v>
      </c>
      <c r="F73" s="72">
        <f t="shared" si="7"/>
        <v>2381.9737088892498</v>
      </c>
      <c r="G73" s="72">
        <f t="shared" si="8"/>
        <v>720.09115196667312</v>
      </c>
      <c r="H73" s="73">
        <f t="shared" si="9"/>
        <v>0.20574032913333518</v>
      </c>
      <c r="I73" s="61"/>
    </row>
    <row r="74" spans="1:9" x14ac:dyDescent="0.25">
      <c r="A74" s="70">
        <v>43063</v>
      </c>
      <c r="B74" s="71">
        <f t="shared" si="10"/>
        <v>72</v>
      </c>
      <c r="C74" s="72">
        <f t="shared" si="11"/>
        <v>183.02300650850128</v>
      </c>
      <c r="D74" s="72">
        <v>160</v>
      </c>
      <c r="E74" s="72">
        <f t="shared" si="6"/>
        <v>23.023006508501282</v>
      </c>
      <c r="F74" s="72">
        <f t="shared" si="7"/>
        <v>2379.2990846105167</v>
      </c>
      <c r="G74" s="72">
        <f t="shared" si="8"/>
        <v>713.7132017635397</v>
      </c>
      <c r="H74" s="73">
        <f t="shared" si="9"/>
        <v>0.20391805764672563</v>
      </c>
      <c r="I74" s="61"/>
    </row>
    <row r="75" spans="1:9" x14ac:dyDescent="0.25">
      <c r="A75" s="70">
        <v>43064</v>
      </c>
      <c r="B75" s="71">
        <f t="shared" si="10"/>
        <v>73</v>
      </c>
      <c r="C75" s="72">
        <f t="shared" si="11"/>
        <v>182.81908845085457</v>
      </c>
      <c r="D75" s="72">
        <v>160</v>
      </c>
      <c r="E75" s="72">
        <f t="shared" si="6"/>
        <v>22.819088450854565</v>
      </c>
      <c r="F75" s="72">
        <f t="shared" si="7"/>
        <v>2376.6481498611092</v>
      </c>
      <c r="G75" s="72">
        <f t="shared" si="8"/>
        <v>707.39174197649152</v>
      </c>
      <c r="H75" s="73">
        <f t="shared" si="9"/>
        <v>0.20211192627899757</v>
      </c>
      <c r="I75" s="61"/>
    </row>
    <row r="76" spans="1:9" x14ac:dyDescent="0.25">
      <c r="A76" s="70">
        <v>43065</v>
      </c>
      <c r="B76" s="71">
        <f t="shared" si="10"/>
        <v>74</v>
      </c>
      <c r="C76" s="72">
        <f t="shared" si="11"/>
        <v>182.61697652457556</v>
      </c>
      <c r="D76" s="72">
        <v>160</v>
      </c>
      <c r="E76" s="72">
        <f t="shared" si="6"/>
        <v>22.616976524575563</v>
      </c>
      <c r="F76" s="72">
        <f t="shared" si="7"/>
        <v>2374.0206948194823</v>
      </c>
      <c r="G76" s="72">
        <f t="shared" si="8"/>
        <v>701.12627226184247</v>
      </c>
      <c r="H76" s="73">
        <f t="shared" si="9"/>
        <v>0.20032179207481213</v>
      </c>
      <c r="I76" s="61"/>
    </row>
    <row r="77" spans="1:9" x14ac:dyDescent="0.25">
      <c r="A77" s="70">
        <v>43066</v>
      </c>
      <c r="B77" s="71">
        <f t="shared" si="10"/>
        <v>75</v>
      </c>
      <c r="C77" s="72">
        <f t="shared" si="11"/>
        <v>182.41665473250075</v>
      </c>
      <c r="D77" s="72">
        <v>160</v>
      </c>
      <c r="E77" s="72">
        <f t="shared" si="6"/>
        <v>22.416654732500746</v>
      </c>
      <c r="F77" s="72">
        <f t="shared" si="7"/>
        <v>2371.4165115225096</v>
      </c>
      <c r="G77" s="72">
        <f t="shared" si="8"/>
        <v>694.91629670752309</v>
      </c>
      <c r="H77" s="73">
        <f t="shared" si="9"/>
        <v>0.19854751334500659</v>
      </c>
      <c r="I77" s="61"/>
    </row>
    <row r="78" spans="1:9" x14ac:dyDescent="0.25">
      <c r="A78" s="70">
        <v>43067</v>
      </c>
      <c r="B78" s="71">
        <f t="shared" si="10"/>
        <v>76</v>
      </c>
      <c r="C78" s="72">
        <f t="shared" si="11"/>
        <v>182.21810721915574</v>
      </c>
      <c r="D78" s="72">
        <v>160</v>
      </c>
      <c r="E78" s="72">
        <f t="shared" si="6"/>
        <v>22.21810721915574</v>
      </c>
      <c r="F78" s="72">
        <f t="shared" si="7"/>
        <v>2368.8353938490245</v>
      </c>
      <c r="G78" s="72">
        <f t="shared" si="8"/>
        <v>688.76132379382796</v>
      </c>
      <c r="H78" s="73">
        <f t="shared" si="9"/>
        <v>0.19678894965537941</v>
      </c>
      <c r="I78" s="61"/>
    </row>
    <row r="79" spans="1:9" x14ac:dyDescent="0.25">
      <c r="A79" s="70">
        <v>43068</v>
      </c>
      <c r="B79" s="71">
        <f t="shared" si="10"/>
        <v>77</v>
      </c>
      <c r="C79" s="72">
        <f t="shared" si="11"/>
        <v>182.02131826950037</v>
      </c>
      <c r="D79" s="72">
        <v>160</v>
      </c>
      <c r="E79" s="72">
        <f t="shared" si="6"/>
        <v>22.02131826950037</v>
      </c>
      <c r="F79" s="72">
        <f t="shared" si="7"/>
        <v>2366.2771375035049</v>
      </c>
      <c r="G79" s="72">
        <f t="shared" si="8"/>
        <v>682.66086635451143</v>
      </c>
      <c r="H79" s="73">
        <f t="shared" si="9"/>
        <v>0.19504596181557468</v>
      </c>
      <c r="I79" s="61"/>
    </row>
    <row r="80" spans="1:9" x14ac:dyDescent="0.25">
      <c r="A80" s="70">
        <v>43069</v>
      </c>
      <c r="B80" s="71">
        <f t="shared" si="10"/>
        <v>78</v>
      </c>
      <c r="C80" s="72">
        <f t="shared" si="11"/>
        <v>181.8262723076848</v>
      </c>
      <c r="D80" s="72">
        <v>160</v>
      </c>
      <c r="E80" s="72">
        <f t="shared" si="6"/>
        <v>21.826272307684803</v>
      </c>
      <c r="F80" s="72">
        <f t="shared" si="7"/>
        <v>2363.7415399999027</v>
      </c>
      <c r="G80" s="72">
        <f t="shared" si="8"/>
        <v>676.6144415382289</v>
      </c>
      <c r="H80" s="73">
        <f t="shared" si="9"/>
        <v>0.19331841186806539</v>
      </c>
      <c r="I80" s="61"/>
    </row>
    <row r="81" spans="1:9" x14ac:dyDescent="0.25">
      <c r="A81" s="70">
        <v>43070</v>
      </c>
      <c r="B81" s="71">
        <f t="shared" si="10"/>
        <v>79</v>
      </c>
      <c r="C81" s="72">
        <f t="shared" si="11"/>
        <v>181.63295389581674</v>
      </c>
      <c r="D81" s="72">
        <v>160</v>
      </c>
      <c r="E81" s="72">
        <f t="shared" si="6"/>
        <v>21.63295389581674</v>
      </c>
      <c r="F81" s="72">
        <f t="shared" si="7"/>
        <v>2361.2284006456175</v>
      </c>
      <c r="G81" s="72">
        <f t="shared" si="8"/>
        <v>670.62157077031895</v>
      </c>
      <c r="H81" s="73">
        <f t="shared" si="9"/>
        <v>0.19160616307723399</v>
      </c>
      <c r="I81" s="61"/>
    </row>
    <row r="82" spans="1:9" x14ac:dyDescent="0.25">
      <c r="A82" s="70">
        <v>43071</v>
      </c>
      <c r="B82" s="71">
        <f t="shared" si="10"/>
        <v>80</v>
      </c>
      <c r="C82" s="72">
        <f t="shared" si="11"/>
        <v>181.4413477327395</v>
      </c>
      <c r="D82" s="72">
        <v>160</v>
      </c>
      <c r="E82" s="72">
        <f t="shared" si="6"/>
        <v>21.441347732739501</v>
      </c>
      <c r="F82" s="72">
        <f t="shared" si="7"/>
        <v>2358.7375205256135</v>
      </c>
      <c r="G82" s="72">
        <f t="shared" si="8"/>
        <v>664.68177971492457</v>
      </c>
      <c r="H82" s="73">
        <f t="shared" si="9"/>
        <v>0.18990907991854988</v>
      </c>
      <c r="I82" s="61"/>
    </row>
    <row r="83" spans="1:9" x14ac:dyDescent="0.25">
      <c r="A83" s="70">
        <v>43072</v>
      </c>
      <c r="B83" s="71">
        <f t="shared" si="10"/>
        <v>81</v>
      </c>
      <c r="C83" s="72">
        <f t="shared" si="11"/>
        <v>181.25143865282095</v>
      </c>
      <c r="D83" s="72">
        <v>160</v>
      </c>
      <c r="E83" s="72">
        <f t="shared" si="6"/>
        <v>21.251438652820951</v>
      </c>
      <c r="F83" s="72">
        <f t="shared" si="7"/>
        <v>2356.2687024866723</v>
      </c>
      <c r="G83" s="72">
        <f t="shared" si="8"/>
        <v>658.79459823744946</v>
      </c>
      <c r="H83" s="73">
        <f t="shared" si="9"/>
        <v>0.18822702806784269</v>
      </c>
      <c r="I83" s="61"/>
    </row>
    <row r="84" spans="1:9" x14ac:dyDescent="0.25">
      <c r="A84" s="70">
        <v>43073</v>
      </c>
      <c r="B84" s="71">
        <f t="shared" si="10"/>
        <v>82</v>
      </c>
      <c r="C84" s="72">
        <f t="shared" si="11"/>
        <v>181.06321162475311</v>
      </c>
      <c r="D84" s="72">
        <v>160</v>
      </c>
      <c r="E84" s="72">
        <f t="shared" si="6"/>
        <v>21.063211624753109</v>
      </c>
      <c r="F84" s="72">
        <f t="shared" si="7"/>
        <v>2353.8217511217904</v>
      </c>
      <c r="G84" s="72">
        <f t="shared" si="8"/>
        <v>652.9595603673464</v>
      </c>
      <c r="H84" s="73">
        <f t="shared" si="9"/>
        <v>0.1865598743906704</v>
      </c>
      <c r="I84" s="61"/>
    </row>
    <row r="85" spans="1:9" x14ac:dyDescent="0.25">
      <c r="A85" s="70">
        <v>43074</v>
      </c>
      <c r="B85" s="71">
        <f t="shared" si="10"/>
        <v>83</v>
      </c>
      <c r="C85" s="72">
        <f t="shared" si="11"/>
        <v>180.87665175036244</v>
      </c>
      <c r="D85" s="72">
        <v>160</v>
      </c>
      <c r="E85" s="72">
        <f t="shared" si="6"/>
        <v>20.876651750362441</v>
      </c>
      <c r="F85" s="72">
        <f t="shared" si="7"/>
        <v>2351.3964727547118</v>
      </c>
      <c r="G85" s="72">
        <f t="shared" si="8"/>
        <v>647.17620426123563</v>
      </c>
      <c r="H85" s="73">
        <f t="shared" si="9"/>
        <v>0.18490748693178161</v>
      </c>
      <c r="I85" s="61"/>
    </row>
    <row r="86" spans="1:9" x14ac:dyDescent="0.25">
      <c r="A86" s="70">
        <v>43075</v>
      </c>
      <c r="B86" s="71">
        <f t="shared" si="10"/>
        <v>84</v>
      </c>
      <c r="C86" s="72">
        <f t="shared" si="11"/>
        <v>180.69174426343065</v>
      </c>
      <c r="D86" s="72">
        <v>160</v>
      </c>
      <c r="E86" s="80">
        <f t="shared" si="6"/>
        <v>20.69174426343065</v>
      </c>
      <c r="F86" s="72">
        <f t="shared" si="7"/>
        <v>2348.9926754245985</v>
      </c>
      <c r="G86" s="80">
        <f t="shared" si="8"/>
        <v>641.44407216635011</v>
      </c>
      <c r="H86" s="73">
        <f t="shared" si="9"/>
        <v>0.18326973490467147</v>
      </c>
      <c r="I86" s="61"/>
    </row>
    <row r="87" spans="1:9" x14ac:dyDescent="0.25">
      <c r="A87" s="70">
        <v>43076</v>
      </c>
      <c r="B87" s="71">
        <f t="shared" si="10"/>
        <v>85</v>
      </c>
      <c r="C87" s="72">
        <f t="shared" si="11"/>
        <v>180.50847452852597</v>
      </c>
      <c r="D87" s="72">
        <v>160</v>
      </c>
      <c r="E87" s="80">
        <f t="shared" si="6"/>
        <v>20.508474528525966</v>
      </c>
      <c r="F87" s="72">
        <f t="shared" si="7"/>
        <v>2346.6101688708377</v>
      </c>
      <c r="G87" s="80">
        <f t="shared" si="8"/>
        <v>635.76271038430491</v>
      </c>
      <c r="H87" s="73">
        <f t="shared" si="9"/>
        <v>0.18164648868122998</v>
      </c>
      <c r="I87" s="61"/>
    </row>
    <row r="88" spans="1:9" ht="13.35" customHeight="1" x14ac:dyDescent="0.25">
      <c r="A88" s="70">
        <v>43077</v>
      </c>
      <c r="B88" s="71">
        <f t="shared" si="10"/>
        <v>86</v>
      </c>
      <c r="C88" s="72">
        <f t="shared" si="11"/>
        <v>180.32682803984474</v>
      </c>
      <c r="D88" s="72">
        <v>160</v>
      </c>
      <c r="E88" s="80">
        <f t="shared" si="6"/>
        <v>20.326828039844742</v>
      </c>
      <c r="F88" s="72">
        <f t="shared" si="7"/>
        <v>2344.2487645179817</v>
      </c>
      <c r="G88" s="80">
        <f t="shared" si="8"/>
        <v>630.13166923518702</v>
      </c>
      <c r="H88" s="73">
        <f t="shared" si="9"/>
        <v>0.180037619781482</v>
      </c>
      <c r="I88" s="61"/>
    </row>
    <row r="89" spans="1:9" x14ac:dyDescent="0.25">
      <c r="A89" s="70">
        <v>43078</v>
      </c>
      <c r="B89" s="71">
        <f t="shared" si="10"/>
        <v>87</v>
      </c>
      <c r="C89" s="72">
        <f t="shared" si="11"/>
        <v>180.14679042006327</v>
      </c>
      <c r="D89" s="72">
        <v>160</v>
      </c>
      <c r="E89" s="80">
        <f t="shared" si="6"/>
        <v>20.146790420063269</v>
      </c>
      <c r="F89" s="72">
        <f t="shared" si="7"/>
        <v>2341.9082754608226</v>
      </c>
      <c r="G89" s="80">
        <f t="shared" si="8"/>
        <v>624.55050302196128</v>
      </c>
      <c r="H89" s="73">
        <f t="shared" si="9"/>
        <v>0.17844300086341749</v>
      </c>
      <c r="I89" s="61"/>
    </row>
    <row r="90" spans="1:9" x14ac:dyDescent="0.25">
      <c r="A90" s="70">
        <v>43079</v>
      </c>
      <c r="B90" s="71">
        <f t="shared" si="10"/>
        <v>88</v>
      </c>
      <c r="C90" s="72">
        <f t="shared" si="11"/>
        <v>179.96834741919986</v>
      </c>
      <c r="D90" s="72">
        <v>160</v>
      </c>
      <c r="E90" s="80">
        <f t="shared" si="6"/>
        <v>19.968347419199858</v>
      </c>
      <c r="F90" s="72">
        <f t="shared" si="7"/>
        <v>2339.588516449598</v>
      </c>
      <c r="G90" s="80">
        <f t="shared" si="8"/>
        <v>619.01876999519561</v>
      </c>
      <c r="H90" s="73">
        <f t="shared" si="9"/>
        <v>0.17686250571291304</v>
      </c>
      <c r="I90" s="61"/>
    </row>
    <row r="91" spans="1:9" x14ac:dyDescent="0.25">
      <c r="A91" s="70">
        <v>43080</v>
      </c>
      <c r="B91" s="71">
        <f t="shared" si="10"/>
        <v>89</v>
      </c>
      <c r="C91" s="72">
        <f t="shared" si="11"/>
        <v>179.79148491348695</v>
      </c>
      <c r="D91" s="72">
        <v>160</v>
      </c>
      <c r="E91" s="80">
        <f t="shared" si="6"/>
        <v>19.791484913486954</v>
      </c>
      <c r="F91" s="72">
        <f t="shared" si="7"/>
        <v>2337.2893038753305</v>
      </c>
      <c r="G91" s="80">
        <f t="shared" si="8"/>
        <v>613.53603231809552</v>
      </c>
      <c r="H91" s="73">
        <f t="shared" si="9"/>
        <v>0.17529600923374158</v>
      </c>
      <c r="I91" s="61"/>
    </row>
    <row r="92" spans="1:9" x14ac:dyDescent="0.25">
      <c r="A92" s="70">
        <v>43081</v>
      </c>
      <c r="B92" s="71">
        <f t="shared" si="10"/>
        <v>90</v>
      </c>
      <c r="C92" s="72">
        <f t="shared" si="11"/>
        <v>179.61618890425322</v>
      </c>
      <c r="D92" s="72">
        <v>160</v>
      </c>
      <c r="E92" s="80">
        <f t="shared" si="6"/>
        <v>19.616188904253221</v>
      </c>
      <c r="F92" s="72">
        <f t="shared" si="7"/>
        <v>2335.0104557552918</v>
      </c>
      <c r="G92" s="80">
        <f t="shared" si="8"/>
        <v>608.10185603184982</v>
      </c>
      <c r="H92" s="73">
        <f t="shared" si="9"/>
        <v>0.17374338743767137</v>
      </c>
      <c r="I92" s="61"/>
    </row>
    <row r="93" spans="1:9" x14ac:dyDescent="0.25">
      <c r="A93" s="70">
        <v>43082</v>
      </c>
      <c r="B93" s="71">
        <f t="shared" si="10"/>
        <v>91</v>
      </c>
      <c r="C93" s="72">
        <f t="shared" si="11"/>
        <v>179.44244551681555</v>
      </c>
      <c r="D93" s="72">
        <v>160</v>
      </c>
      <c r="E93" s="80">
        <f t="shared" si="6"/>
        <v>19.442445516815553</v>
      </c>
      <c r="F93" s="72">
        <f t="shared" si="7"/>
        <v>2332.7517917186024</v>
      </c>
      <c r="G93" s="80">
        <f t="shared" si="8"/>
        <v>602.71581102128221</v>
      </c>
      <c r="H93" s="73">
        <f t="shared" si="9"/>
        <v>0.17220451743465207</v>
      </c>
      <c r="I93" s="61"/>
    </row>
    <row r="94" spans="1:9" x14ac:dyDescent="0.25">
      <c r="A94" s="70">
        <v>43083</v>
      </c>
      <c r="B94" s="71">
        <f t="shared" si="10"/>
        <v>92</v>
      </c>
      <c r="C94" s="72">
        <f t="shared" si="11"/>
        <v>179.27024099938089</v>
      </c>
      <c r="D94" s="72">
        <v>160</v>
      </c>
      <c r="E94" s="80">
        <f t="shared" si="6"/>
        <v>19.270240999380889</v>
      </c>
      <c r="F94" s="72">
        <f t="shared" si="7"/>
        <v>2330.5131329919514</v>
      </c>
      <c r="G94" s="80">
        <f t="shared" si="8"/>
        <v>597.37747098080752</v>
      </c>
      <c r="H94" s="73">
        <f t="shared" si="9"/>
        <v>0.17067927742308786</v>
      </c>
      <c r="I94" s="61"/>
    </row>
    <row r="95" spans="1:9" x14ac:dyDescent="0.25">
      <c r="A95" s="70">
        <v>43084</v>
      </c>
      <c r="B95" s="71">
        <f t="shared" si="10"/>
        <v>93</v>
      </c>
      <c r="C95" s="72">
        <f t="shared" si="11"/>
        <v>179.0995617219578</v>
      </c>
      <c r="D95" s="72">
        <v>160</v>
      </c>
      <c r="E95" s="80">
        <f t="shared" si="6"/>
        <v>19.099561721957798</v>
      </c>
      <c r="F95" s="72">
        <f t="shared" si="7"/>
        <v>2328.2943023854514</v>
      </c>
      <c r="G95" s="80">
        <f t="shared" si="8"/>
        <v>592.08641338069174</v>
      </c>
      <c r="H95" s="73">
        <f t="shared" si="9"/>
        <v>0.16916754668019765</v>
      </c>
      <c r="I95" s="61"/>
    </row>
    <row r="96" spans="1:9" x14ac:dyDescent="0.25">
      <c r="A96" s="70">
        <v>43084</v>
      </c>
      <c r="B96" s="71">
        <f t="shared" si="10"/>
        <v>94</v>
      </c>
      <c r="C96" s="72">
        <f t="shared" si="11"/>
        <v>178.9303941752776</v>
      </c>
      <c r="D96" s="72">
        <v>160</v>
      </c>
      <c r="E96" s="80">
        <f t="shared" si="6"/>
        <v>18.930394175277598</v>
      </c>
      <c r="F96" s="72">
        <f t="shared" si="7"/>
        <v>2326.0951242786086</v>
      </c>
      <c r="G96" s="80">
        <f t="shared" si="8"/>
        <v>586.84221943360558</v>
      </c>
      <c r="H96" s="73">
        <f t="shared" si="9"/>
        <v>0.16766920555245873</v>
      </c>
      <c r="I96" s="61"/>
    </row>
    <row r="97" spans="1:9" x14ac:dyDescent="0.25">
      <c r="A97" s="70">
        <v>43084</v>
      </c>
      <c r="B97" s="71">
        <f t="shared" si="10"/>
        <v>95</v>
      </c>
      <c r="C97" s="72">
        <f t="shared" si="11"/>
        <v>178.76272496972513</v>
      </c>
      <c r="D97" s="72">
        <v>160</v>
      </c>
      <c r="E97" s="80">
        <f t="shared" si="6"/>
        <v>18.762724969725127</v>
      </c>
      <c r="F97" s="72">
        <f t="shared" si="7"/>
        <v>2323.9154246064268</v>
      </c>
      <c r="G97" s="80">
        <f t="shared" si="8"/>
        <v>581.64447406147895</v>
      </c>
      <c r="H97" s="73">
        <f t="shared" si="9"/>
        <v>0.16618413544613683</v>
      </c>
      <c r="I97" s="61"/>
    </row>
    <row r="98" spans="1:9" x14ac:dyDescent="0.25">
      <c r="A98" s="70">
        <v>43084</v>
      </c>
      <c r="B98" s="71">
        <f t="shared" si="10"/>
        <v>96</v>
      </c>
      <c r="C98" s="72">
        <f t="shared" si="11"/>
        <v>178.59654083427898</v>
      </c>
      <c r="D98" s="72">
        <v>160</v>
      </c>
      <c r="E98" s="80">
        <f t="shared" si="6"/>
        <v>18.596540834278983</v>
      </c>
      <c r="F98" s="72">
        <f t="shared" si="7"/>
        <v>2321.7550308456266</v>
      </c>
      <c r="G98" s="80">
        <f t="shared" si="8"/>
        <v>576.49276586264841</v>
      </c>
      <c r="H98" s="73">
        <f t="shared" si="9"/>
        <v>0.16471221881789955</v>
      </c>
      <c r="I98" s="61"/>
    </row>
    <row r="99" spans="1:9" x14ac:dyDescent="0.25">
      <c r="A99" s="70">
        <v>43084</v>
      </c>
      <c r="B99" s="71">
        <f t="shared" si="10"/>
        <v>97</v>
      </c>
      <c r="C99" s="72">
        <f t="shared" si="11"/>
        <v>178.43182861546109</v>
      </c>
      <c r="D99" s="72">
        <v>160</v>
      </c>
      <c r="E99" s="80">
        <f t="shared" si="6"/>
        <v>18.431828615461086</v>
      </c>
      <c r="F99" s="72">
        <f t="shared" si="7"/>
        <v>2319.6137720009942</v>
      </c>
      <c r="G99" s="80">
        <f t="shared" si="8"/>
        <v>571.38668707929367</v>
      </c>
      <c r="H99" s="73">
        <f t="shared" si="9"/>
        <v>0.16325333916551246</v>
      </c>
      <c r="I99" s="61"/>
    </row>
    <row r="100" spans="1:9" x14ac:dyDescent="0.25">
      <c r="A100" s="70">
        <v>43084</v>
      </c>
      <c r="B100" s="71">
        <f t="shared" si="10"/>
        <v>98</v>
      </c>
      <c r="C100" s="72">
        <f t="shared" si="11"/>
        <v>178.26857527629556</v>
      </c>
      <c r="D100" s="72">
        <v>160</v>
      </c>
      <c r="E100" s="80">
        <f t="shared" si="6"/>
        <v>18.268575276295564</v>
      </c>
      <c r="F100" s="72">
        <f t="shared" si="7"/>
        <v>2317.4914785918422</v>
      </c>
      <c r="G100" s="80">
        <f t="shared" si="8"/>
        <v>566.3258335651625</v>
      </c>
      <c r="H100" s="73">
        <f t="shared" si="9"/>
        <v>0.16180738101861786</v>
      </c>
      <c r="I100" s="61"/>
    </row>
    <row r="101" spans="1:9" x14ac:dyDescent="0.25">
      <c r="A101" s="70">
        <v>43084</v>
      </c>
      <c r="B101" s="71">
        <f t="shared" si="10"/>
        <v>99</v>
      </c>
      <c r="C101" s="72">
        <f t="shared" si="11"/>
        <v>178.10676789527696</v>
      </c>
      <c r="D101" s="72">
        <v>160</v>
      </c>
      <c r="E101" s="80">
        <f t="shared" si="6"/>
        <v>18.10676789527696</v>
      </c>
      <c r="F101" s="72">
        <f t="shared" si="7"/>
        <v>2315.3879826386005</v>
      </c>
      <c r="G101" s="80">
        <f t="shared" si="8"/>
        <v>561.30980475358569</v>
      </c>
      <c r="H101" s="73">
        <f t="shared" si="9"/>
        <v>0.16037422992959591</v>
      </c>
      <c r="I101" s="61"/>
    </row>
    <row r="102" spans="1:9" x14ac:dyDescent="0.25">
      <c r="A102" s="70">
        <v>43084</v>
      </c>
      <c r="B102" s="71">
        <f t="shared" si="10"/>
        <v>100</v>
      </c>
      <c r="C102" s="72">
        <f t="shared" si="11"/>
        <v>177.94639366534736</v>
      </c>
      <c r="D102" s="72">
        <v>160</v>
      </c>
      <c r="E102" s="80">
        <f t="shared" si="6"/>
        <v>17.946393665347358</v>
      </c>
      <c r="F102" s="72">
        <f t="shared" si="7"/>
        <v>2313.3031176495156</v>
      </c>
      <c r="G102" s="80">
        <f t="shared" si="8"/>
        <v>556.33820362576807</v>
      </c>
      <c r="H102" s="73">
        <f t="shared" si="9"/>
        <v>0.15895377246450518</v>
      </c>
      <c r="I102" s="61"/>
    </row>
    <row r="103" spans="1:9" x14ac:dyDescent="0.25">
      <c r="A103" s="70">
        <v>43084</v>
      </c>
      <c r="B103" s="71">
        <f t="shared" si="10"/>
        <v>101</v>
      </c>
      <c r="C103" s="72">
        <f t="shared" si="11"/>
        <v>177.78743989288284</v>
      </c>
      <c r="D103" s="72">
        <v>160</v>
      </c>
      <c r="E103" s="80">
        <f t="shared" si="6"/>
        <v>17.787439892882844</v>
      </c>
      <c r="F103" s="72">
        <f t="shared" si="7"/>
        <v>2311.2367186074771</v>
      </c>
      <c r="G103" s="80">
        <f t="shared" si="8"/>
        <v>551.41063667936817</v>
      </c>
      <c r="H103" s="73">
        <f t="shared" si="9"/>
        <v>0.15754589619410519</v>
      </c>
      <c r="I103" s="61"/>
    </row>
    <row r="104" spans="1:9" x14ac:dyDescent="0.25">
      <c r="A104" s="70">
        <v>43084</v>
      </c>
      <c r="B104" s="71">
        <f t="shared" si="10"/>
        <v>102</v>
      </c>
      <c r="C104" s="72">
        <f t="shared" si="11"/>
        <v>177.62989399668874</v>
      </c>
      <c r="D104" s="72">
        <v>160</v>
      </c>
      <c r="E104" s="80">
        <f t="shared" si="6"/>
        <v>17.629893996688736</v>
      </c>
      <c r="F104" s="72">
        <f t="shared" si="7"/>
        <v>2309.1886219569537</v>
      </c>
      <c r="G104" s="80">
        <f t="shared" si="8"/>
        <v>546.52671389735087</v>
      </c>
      <c r="H104" s="73">
        <f t="shared" si="9"/>
        <v>0.1561504896849574</v>
      </c>
      <c r="I104" s="61"/>
    </row>
    <row r="105" spans="1:9" x14ac:dyDescent="0.25">
      <c r="A105" s="70">
        <v>43084</v>
      </c>
      <c r="B105" s="71">
        <f t="shared" si="10"/>
        <v>103</v>
      </c>
      <c r="C105" s="72">
        <f t="shared" si="11"/>
        <v>177.47374350700377</v>
      </c>
      <c r="D105" s="72">
        <v>160</v>
      </c>
      <c r="E105" s="80">
        <f t="shared" si="6"/>
        <v>17.473743507003775</v>
      </c>
      <c r="F105" s="72">
        <f t="shared" si="7"/>
        <v>2307.1586655910492</v>
      </c>
      <c r="G105" s="80">
        <f t="shared" si="8"/>
        <v>541.68604871711705</v>
      </c>
      <c r="H105" s="73">
        <f t="shared" si="9"/>
        <v>0.15476744249060487</v>
      </c>
      <c r="I105" s="61"/>
    </row>
    <row r="106" spans="1:9" x14ac:dyDescent="0.25">
      <c r="A106" s="70">
        <v>43084</v>
      </c>
      <c r="B106" s="71">
        <f t="shared" si="10"/>
        <v>104</v>
      </c>
      <c r="C106" s="72">
        <f t="shared" si="11"/>
        <v>177.31897606451318</v>
      </c>
      <c r="D106" s="72">
        <v>160</v>
      </c>
      <c r="E106" s="80">
        <f t="shared" si="6"/>
        <v>17.31897606451318</v>
      </c>
      <c r="F106" s="72">
        <f t="shared" si="7"/>
        <v>2305.1466888386713</v>
      </c>
      <c r="G106" s="80">
        <f t="shared" si="8"/>
        <v>536.88825799990855</v>
      </c>
      <c r="H106" s="73">
        <f t="shared" si="9"/>
        <v>0.15339664514283102</v>
      </c>
      <c r="I106" s="61"/>
    </row>
    <row r="107" spans="1:9" x14ac:dyDescent="0.25">
      <c r="A107" s="70">
        <v>43084</v>
      </c>
      <c r="B107" s="71">
        <f t="shared" si="10"/>
        <v>105</v>
      </c>
      <c r="C107" s="72">
        <f t="shared" si="11"/>
        <v>177.16557941937035</v>
      </c>
      <c r="D107" s="72">
        <v>160</v>
      </c>
      <c r="E107" s="80">
        <f t="shared" si="6"/>
        <v>17.165579419370346</v>
      </c>
      <c r="F107" s="72">
        <f t="shared" si="7"/>
        <v>2303.1525324518143</v>
      </c>
      <c r="G107" s="80">
        <f t="shared" si="8"/>
        <v>532.13296200048069</v>
      </c>
      <c r="H107" s="73">
        <f t="shared" si="9"/>
        <v>0.15203798914299449</v>
      </c>
      <c r="I107" s="61"/>
    </row>
    <row r="108" spans="1:9" x14ac:dyDescent="0.25">
      <c r="A108" s="70">
        <v>43084</v>
      </c>
      <c r="B108" s="71">
        <f t="shared" si="10"/>
        <v>106</v>
      </c>
      <c r="C108" s="72">
        <f t="shared" si="11"/>
        <v>177.01354143022735</v>
      </c>
      <c r="D108" s="72">
        <v>160</v>
      </c>
      <c r="E108" s="80">
        <f t="shared" si="6"/>
        <v>17.013541430227349</v>
      </c>
      <c r="F108" s="72">
        <f t="shared" si="7"/>
        <v>2301.1760385929556</v>
      </c>
      <c r="G108" s="80">
        <f t="shared" si="8"/>
        <v>527.41978433704776</v>
      </c>
      <c r="H108" s="73">
        <f t="shared" si="9"/>
        <v>0.15069136695344221</v>
      </c>
      <c r="I108" s="61"/>
    </row>
    <row r="109" spans="1:9" x14ac:dyDescent="0.25">
      <c r="A109" s="70">
        <v>43084</v>
      </c>
      <c r="B109" s="71">
        <f t="shared" si="10"/>
        <v>107</v>
      </c>
      <c r="C109" s="72">
        <f t="shared" si="11"/>
        <v>176.8628500632739</v>
      </c>
      <c r="D109" s="72">
        <v>160</v>
      </c>
      <c r="E109" s="80">
        <f t="shared" si="6"/>
        <v>16.862850063273896</v>
      </c>
      <c r="F109" s="72">
        <f t="shared" si="7"/>
        <v>2299.2170508225609</v>
      </c>
      <c r="G109" s="80">
        <f t="shared" si="8"/>
        <v>522.74835196149081</v>
      </c>
      <c r="H109" s="73">
        <f t="shared" si="9"/>
        <v>0.14935667198899738</v>
      </c>
      <c r="I109" s="61"/>
    </row>
    <row r="110" spans="1:9" x14ac:dyDescent="0.25">
      <c r="A110" s="70">
        <v>43084</v>
      </c>
      <c r="B110" s="71">
        <f t="shared" si="10"/>
        <v>108</v>
      </c>
      <c r="C110" s="72">
        <f t="shared" si="11"/>
        <v>176.71349339128489</v>
      </c>
      <c r="D110" s="72">
        <v>160</v>
      </c>
      <c r="E110" s="80">
        <f t="shared" si="6"/>
        <v>16.713493391284885</v>
      </c>
      <c r="F110" s="72">
        <f t="shared" si="7"/>
        <v>2297.2754140867037</v>
      </c>
      <c r="G110" s="80">
        <f t="shared" si="8"/>
        <v>518.11829512983149</v>
      </c>
      <c r="H110" s="73">
        <f t="shared" si="9"/>
        <v>0.14803379860852328</v>
      </c>
      <c r="I110" s="61"/>
    </row>
    <row r="111" spans="1:9" x14ac:dyDescent="0.25">
      <c r="A111" s="70">
        <v>43084</v>
      </c>
      <c r="B111" s="71">
        <f t="shared" si="10"/>
        <v>109</v>
      </c>
      <c r="C111" s="72">
        <f t="shared" si="11"/>
        <v>176.56545959267635</v>
      </c>
      <c r="D111" s="72">
        <v>160</v>
      </c>
      <c r="E111" s="80">
        <f t="shared" si="6"/>
        <v>16.565459592676348</v>
      </c>
      <c r="F111" s="72">
        <f t="shared" si="7"/>
        <v>2295.3509747047924</v>
      </c>
      <c r="G111" s="80">
        <f t="shared" si="8"/>
        <v>513.52924737296678</v>
      </c>
      <c r="H111" s="73">
        <f t="shared" si="9"/>
        <v>0.14672264210656194</v>
      </c>
      <c r="I111" s="61"/>
    </row>
    <row r="112" spans="1:9" x14ac:dyDescent="0.25">
      <c r="A112" s="70">
        <v>43084</v>
      </c>
      <c r="B112" s="71">
        <f t="shared" si="10"/>
        <v>110</v>
      </c>
      <c r="C112" s="72">
        <f t="shared" si="11"/>
        <v>176.41873695056978</v>
      </c>
      <c r="D112" s="72">
        <v>160</v>
      </c>
      <c r="E112" s="80">
        <f t="shared" si="6"/>
        <v>16.41873695056978</v>
      </c>
      <c r="F112" s="72">
        <f t="shared" si="7"/>
        <v>2293.443580357407</v>
      </c>
      <c r="G112" s="80">
        <f t="shared" si="8"/>
        <v>508.98084546766319</v>
      </c>
      <c r="H112" s="73">
        <f t="shared" si="9"/>
        <v>0.14542309870504663</v>
      </c>
      <c r="I112" s="61"/>
    </row>
    <row r="113" spans="1:9" x14ac:dyDescent="0.25">
      <c r="A113" s="70">
        <v>43084</v>
      </c>
      <c r="B113" s="71">
        <f t="shared" si="10"/>
        <v>111</v>
      </c>
      <c r="C113" s="72">
        <f t="shared" si="11"/>
        <v>176.27331385186474</v>
      </c>
      <c r="D113" s="72">
        <v>160</v>
      </c>
      <c r="E113" s="80">
        <f t="shared" si="6"/>
        <v>16.273313851864742</v>
      </c>
      <c r="F113" s="72">
        <f t="shared" si="7"/>
        <v>2291.5530800742417</v>
      </c>
      <c r="G113" s="80">
        <f t="shared" si="8"/>
        <v>504.47272940780704</v>
      </c>
      <c r="H113" s="73">
        <f t="shared" si="9"/>
        <v>0.14413506554508773</v>
      </c>
      <c r="I113" s="61"/>
    </row>
    <row r="114" spans="1:9" x14ac:dyDescent="0.25">
      <c r="A114" s="70">
        <v>43084</v>
      </c>
      <c r="B114" s="71">
        <f t="shared" si="10"/>
        <v>112</v>
      </c>
      <c r="C114" s="72">
        <f t="shared" si="11"/>
        <v>176.12917878631964</v>
      </c>
      <c r="D114" s="72">
        <v>160</v>
      </c>
      <c r="E114" s="80">
        <f t="shared" si="6"/>
        <v>16.129178786319642</v>
      </c>
      <c r="F114" s="72">
        <f t="shared" si="7"/>
        <v>2289.6793242221552</v>
      </c>
      <c r="G114" s="80">
        <f t="shared" si="8"/>
        <v>500.0045423759089</v>
      </c>
      <c r="H114" s="73">
        <f t="shared" si="9"/>
        <v>0.14285844067883111</v>
      </c>
      <c r="I114" s="61"/>
    </row>
    <row r="115" spans="1:9" x14ac:dyDescent="0.25">
      <c r="A115" s="70">
        <v>43084</v>
      </c>
      <c r="B115" s="71">
        <f t="shared" si="10"/>
        <v>113</v>
      </c>
      <c r="C115" s="72">
        <f t="shared" si="11"/>
        <v>175.98632034564082</v>
      </c>
      <c r="D115" s="72">
        <v>160</v>
      </c>
      <c r="E115" s="80">
        <f t="shared" si="6"/>
        <v>15.98632034564082</v>
      </c>
      <c r="F115" s="72">
        <f t="shared" si="7"/>
        <v>2287.8221644933305</v>
      </c>
      <c r="G115" s="80">
        <f t="shared" si="8"/>
        <v>495.57593071486542</v>
      </c>
      <c r="H115" s="73">
        <f t="shared" si="9"/>
        <v>0.14159312306139013</v>
      </c>
      <c r="I115" s="61"/>
    </row>
    <row r="116" spans="1:9" x14ac:dyDescent="0.25">
      <c r="A116" s="70">
        <v>43084</v>
      </c>
      <c r="B116" s="71">
        <f t="shared" si="10"/>
        <v>114</v>
      </c>
      <c r="C116" s="72">
        <f t="shared" si="11"/>
        <v>175.84472722257942</v>
      </c>
      <c r="D116" s="72">
        <v>160</v>
      </c>
      <c r="E116" s="80">
        <f t="shared" si="6"/>
        <v>15.844727222579422</v>
      </c>
      <c r="F116" s="72">
        <f t="shared" si="7"/>
        <v>2285.9814538935325</v>
      </c>
      <c r="G116" s="80">
        <f t="shared" si="8"/>
        <v>491.18654389996209</v>
      </c>
      <c r="H116" s="73">
        <f t="shared" si="9"/>
        <v>0.14033901254284631</v>
      </c>
      <c r="I116" s="61"/>
    </row>
    <row r="117" spans="1:9" x14ac:dyDescent="0.25">
      <c r="A117" s="70">
        <v>43084</v>
      </c>
      <c r="B117" s="71">
        <f t="shared" si="10"/>
        <v>115</v>
      </c>
      <c r="C117" s="72">
        <f t="shared" si="11"/>
        <v>175.70438821003657</v>
      </c>
      <c r="D117" s="72">
        <v>160</v>
      </c>
      <c r="E117" s="80">
        <f t="shared" si="6"/>
        <v>15.704388210036569</v>
      </c>
      <c r="F117" s="72">
        <f t="shared" si="7"/>
        <v>2284.1570467304755</v>
      </c>
      <c r="G117" s="80">
        <f t="shared" si="8"/>
        <v>486.83603451113368</v>
      </c>
      <c r="H117" s="73">
        <f t="shared" si="9"/>
        <v>0.13909600986032392</v>
      </c>
      <c r="I117" s="61"/>
    </row>
    <row r="118" spans="1:9" x14ac:dyDescent="0.25">
      <c r="A118" s="70">
        <v>43084</v>
      </c>
      <c r="B118" s="71">
        <f t="shared" si="10"/>
        <v>116</v>
      </c>
      <c r="C118" s="72">
        <f t="shared" si="11"/>
        <v>175.56529220017626</v>
      </c>
      <c r="D118" s="72">
        <v>160</v>
      </c>
      <c r="E118" s="80">
        <f t="shared" si="6"/>
        <v>15.565292200176259</v>
      </c>
      <c r="F118" s="72">
        <f t="shared" si="7"/>
        <v>2282.3487986022915</v>
      </c>
      <c r="G118" s="80">
        <f t="shared" si="8"/>
        <v>482.52405820546403</v>
      </c>
      <c r="H118" s="73">
        <f t="shared" si="9"/>
        <v>0.13786401663013259</v>
      </c>
      <c r="I118" s="61"/>
    </row>
    <row r="119" spans="1:9" x14ac:dyDescent="0.25">
      <c r="A119" s="70">
        <v>43084</v>
      </c>
      <c r="B119" s="71">
        <f t="shared" si="10"/>
        <v>117</v>
      </c>
      <c r="C119" s="72">
        <f t="shared" si="11"/>
        <v>175.42742818354611</v>
      </c>
      <c r="D119" s="72">
        <v>160</v>
      </c>
      <c r="E119" s="80">
        <f t="shared" si="6"/>
        <v>15.427428183546112</v>
      </c>
      <c r="F119" s="72">
        <f t="shared" si="7"/>
        <v>2280.5565663860993</v>
      </c>
      <c r="G119" s="80">
        <f t="shared" si="8"/>
        <v>478.25027368992949</v>
      </c>
      <c r="H119" s="73">
        <f t="shared" si="9"/>
        <v>0.13664293533997984</v>
      </c>
      <c r="I119" s="61"/>
    </row>
    <row r="120" spans="1:9" x14ac:dyDescent="0.25">
      <c r="A120" s="70">
        <v>43084</v>
      </c>
      <c r="B120" s="71">
        <f t="shared" si="10"/>
        <v>118</v>
      </c>
      <c r="C120" s="72">
        <f t="shared" si="11"/>
        <v>175.29078524820613</v>
      </c>
      <c r="D120" s="72">
        <v>160</v>
      </c>
      <c r="E120" s="80">
        <f t="shared" si="6"/>
        <v>15.290785248206134</v>
      </c>
      <c r="F120" s="72">
        <f t="shared" si="7"/>
        <v>2278.7802082266799</v>
      </c>
      <c r="G120" s="80">
        <f t="shared" si="8"/>
        <v>474.01434269439017</v>
      </c>
      <c r="H120" s="73">
        <f t="shared" si="9"/>
        <v>0.13543266934125434</v>
      </c>
      <c r="I120" s="61"/>
    </row>
    <row r="121" spans="1:9" x14ac:dyDescent="0.25">
      <c r="A121" s="70">
        <v>43084</v>
      </c>
      <c r="B121" s="71">
        <f t="shared" si="10"/>
        <v>119</v>
      </c>
      <c r="C121" s="72">
        <f t="shared" si="11"/>
        <v>175.15535257886489</v>
      </c>
      <c r="D121" s="72">
        <v>160</v>
      </c>
      <c r="E121" s="80">
        <f t="shared" si="6"/>
        <v>15.155352578864893</v>
      </c>
      <c r="F121" s="72">
        <f t="shared" si="7"/>
        <v>2277.0195835252434</v>
      </c>
      <c r="G121" s="80">
        <f t="shared" si="8"/>
        <v>469.81592994481167</v>
      </c>
      <c r="H121" s="73">
        <f t="shared" si="9"/>
        <v>0.13423312284137476</v>
      </c>
      <c r="I121" s="61"/>
    </row>
    <row r="122" spans="1:9" x14ac:dyDescent="0.25">
      <c r="A122" s="70">
        <v>43084</v>
      </c>
      <c r="B122" s="71">
        <f t="shared" si="10"/>
        <v>120</v>
      </c>
      <c r="C122" s="72">
        <f t="shared" si="11"/>
        <v>175.02111945602351</v>
      </c>
      <c r="D122" s="72">
        <v>160</v>
      </c>
      <c r="E122" s="80">
        <f t="shared" si="6"/>
        <v>15.021119456023513</v>
      </c>
      <c r="F122" s="72">
        <f t="shared" si="7"/>
        <v>2275.2745529283056</v>
      </c>
      <c r="G122" s="80">
        <f t="shared" si="8"/>
        <v>465.65470313672893</v>
      </c>
      <c r="H122" s="73">
        <f t="shared" si="9"/>
        <v>0.13304420089620828</v>
      </c>
      <c r="I122" s="61"/>
    </row>
    <row r="123" spans="1:9" x14ac:dyDescent="0.25">
      <c r="A123" s="70">
        <v>43084</v>
      </c>
      <c r="B123" s="71">
        <f t="shared" si="10"/>
        <v>121</v>
      </c>
      <c r="C123" s="72">
        <f t="shared" si="11"/>
        <v>174.88807525512729</v>
      </c>
      <c r="D123" s="72">
        <v>160</v>
      </c>
      <c r="E123" s="80">
        <f t="shared" si="6"/>
        <v>14.888075255127291</v>
      </c>
      <c r="F123" s="72">
        <f t="shared" si="7"/>
        <v>2273.5449783166546</v>
      </c>
      <c r="G123" s="80">
        <f t="shared" si="8"/>
        <v>461.53033290894598</v>
      </c>
      <c r="H123" s="73">
        <f t="shared" si="9"/>
        <v>0.13186580940255599</v>
      </c>
      <c r="I123" s="61"/>
    </row>
    <row r="124" spans="1:9" x14ac:dyDescent="0.25">
      <c r="A124" s="70">
        <v>43084</v>
      </c>
      <c r="B124" s="71">
        <f t="shared" si="10"/>
        <v>122</v>
      </c>
      <c r="C124" s="72">
        <f t="shared" si="11"/>
        <v>174.75620944572472</v>
      </c>
      <c r="D124" s="72">
        <v>160</v>
      </c>
      <c r="E124" s="80">
        <f t="shared" si="6"/>
        <v>14.756209445724721</v>
      </c>
      <c r="F124" s="72">
        <f t="shared" si="7"/>
        <v>2271.8307227944215</v>
      </c>
      <c r="G124" s="80">
        <f t="shared" si="8"/>
        <v>457.44249281746636</v>
      </c>
      <c r="H124" s="73">
        <f t="shared" si="9"/>
        <v>0.13069785509070467</v>
      </c>
      <c r="I124" s="61"/>
    </row>
    <row r="125" spans="1:9" x14ac:dyDescent="0.25">
      <c r="A125" s="70">
        <v>43084</v>
      </c>
      <c r="B125" s="71">
        <f t="shared" si="10"/>
        <v>123</v>
      </c>
      <c r="C125" s="72">
        <f t="shared" si="11"/>
        <v>174.62551159063401</v>
      </c>
      <c r="D125" s="72">
        <v>160</v>
      </c>
      <c r="E125" s="80">
        <f t="shared" si="6"/>
        <v>14.625511590634005</v>
      </c>
      <c r="F125" s="72">
        <f t="shared" si="7"/>
        <v>2270.1316506782423</v>
      </c>
      <c r="G125" s="80">
        <f t="shared" si="8"/>
        <v>453.39085930965416</v>
      </c>
      <c r="H125" s="73">
        <f t="shared" si="9"/>
        <v>0.12954024551704404</v>
      </c>
      <c r="I125" s="61"/>
    </row>
    <row r="126" spans="1:9" x14ac:dyDescent="0.25">
      <c r="A126" s="70">
        <v>43084</v>
      </c>
      <c r="B126" s="71">
        <f t="shared" si="10"/>
        <v>124</v>
      </c>
      <c r="C126" s="72">
        <f t="shared" si="11"/>
        <v>174.49597134511697</v>
      </c>
      <c r="D126" s="72">
        <v>160</v>
      </c>
      <c r="E126" s="80">
        <f t="shared" si="6"/>
        <v>14.49597134511697</v>
      </c>
      <c r="F126" s="72">
        <f t="shared" si="7"/>
        <v>2268.4476274865206</v>
      </c>
      <c r="G126" s="80">
        <f t="shared" si="8"/>
        <v>449.37511169862609</v>
      </c>
      <c r="H126" s="73">
        <f t="shared" si="9"/>
        <v>0.12839288905675031</v>
      </c>
      <c r="I126" s="61"/>
    </row>
    <row r="127" spans="1:9" x14ac:dyDescent="0.25">
      <c r="A127" s="70">
        <v>43084</v>
      </c>
      <c r="B127" s="71">
        <f t="shared" si="10"/>
        <v>125</v>
      </c>
      <c r="C127" s="72">
        <f t="shared" si="11"/>
        <v>174.36757845606022</v>
      </c>
      <c r="D127" s="72">
        <v>160</v>
      </c>
      <c r="E127" s="80">
        <f t="shared" si="6"/>
        <v>14.367578456060215</v>
      </c>
      <c r="F127" s="72">
        <f t="shared" si="7"/>
        <v>2266.7785199287828</v>
      </c>
      <c r="G127" s="80">
        <f t="shared" si="8"/>
        <v>445.3949321378667</v>
      </c>
      <c r="H127" s="73">
        <f t="shared" si="9"/>
        <v>0.12725569489653335</v>
      </c>
      <c r="I127" s="61"/>
    </row>
    <row r="128" spans="1:9" x14ac:dyDescent="0.25">
      <c r="A128" s="70">
        <v>43084</v>
      </c>
      <c r="B128" s="71">
        <f t="shared" si="10"/>
        <v>126</v>
      </c>
      <c r="C128" s="72">
        <f t="shared" si="11"/>
        <v>174.24032276116367</v>
      </c>
      <c r="D128" s="72">
        <v>160</v>
      </c>
      <c r="E128" s="80">
        <f t="shared" si="6"/>
        <v>14.240322761163668</v>
      </c>
      <c r="F128" s="72">
        <f t="shared" si="7"/>
        <v>2265.1241958951277</v>
      </c>
      <c r="G128" s="80">
        <f t="shared" si="8"/>
        <v>441.45000559607371</v>
      </c>
      <c r="H128" s="73">
        <f t="shared" si="9"/>
        <v>0.12612857302744962</v>
      </c>
      <c r="I128" s="61"/>
    </row>
    <row r="129" spans="1:9" x14ac:dyDescent="0.25">
      <c r="A129" s="70">
        <v>43084</v>
      </c>
      <c r="B129" s="71">
        <f t="shared" si="10"/>
        <v>127</v>
      </c>
      <c r="C129" s="72">
        <f t="shared" si="11"/>
        <v>174.11419418813622</v>
      </c>
      <c r="D129" s="72">
        <v>160</v>
      </c>
      <c r="E129" s="80">
        <f t="shared" si="6"/>
        <v>14.114194188136224</v>
      </c>
      <c r="F129" s="72">
        <f t="shared" si="7"/>
        <v>2263.4845244457711</v>
      </c>
      <c r="G129" s="80">
        <f t="shared" si="8"/>
        <v>437.54001983222292</v>
      </c>
      <c r="H129" s="73">
        <f t="shared" si="9"/>
        <v>0.12501143423777797</v>
      </c>
      <c r="I129" s="61"/>
    </row>
    <row r="130" spans="1:9" x14ac:dyDescent="0.25">
      <c r="A130" s="70">
        <v>43084</v>
      </c>
      <c r="B130" s="71">
        <f t="shared" si="10"/>
        <v>128</v>
      </c>
      <c r="C130" s="72">
        <f t="shared" si="11"/>
        <v>173.98918275389843</v>
      </c>
      <c r="D130" s="72">
        <v>160</v>
      </c>
      <c r="E130" s="80">
        <f t="shared" si="6"/>
        <v>13.989182753898433</v>
      </c>
      <c r="F130" s="72">
        <f t="shared" si="7"/>
        <v>2261.8593758006796</v>
      </c>
      <c r="G130" s="80">
        <f t="shared" si="8"/>
        <v>433.66466537085142</v>
      </c>
      <c r="H130" s="73">
        <f t="shared" si="9"/>
        <v>0.12390419010595755</v>
      </c>
      <c r="I130" s="61"/>
    </row>
    <row r="131" spans="1:9" x14ac:dyDescent="0.25">
      <c r="A131" s="70">
        <v>43084</v>
      </c>
      <c r="B131" s="71">
        <f t="shared" si="10"/>
        <v>129</v>
      </c>
      <c r="C131" s="72">
        <f t="shared" si="11"/>
        <v>173.86527856379249</v>
      </c>
      <c r="D131" s="72">
        <v>160</v>
      </c>
      <c r="E131" s="80">
        <f t="shared" ref="E131:E194" si="12">C131-D131</f>
        <v>13.865278563792486</v>
      </c>
      <c r="F131" s="72">
        <f t="shared" ref="F131:F194" si="13">13*C131</f>
        <v>2260.2486213293023</v>
      </c>
      <c r="G131" s="80">
        <f t="shared" ref="G131:G194" si="14">E131*31</f>
        <v>429.82363547756711</v>
      </c>
      <c r="H131" s="73">
        <f t="shared" ref="H131:H194" si="15">MIN($G131/3500,$F131/3500)</f>
        <v>0.1228067529935906</v>
      </c>
      <c r="I131" s="61"/>
    </row>
    <row r="132" spans="1:9" x14ac:dyDescent="0.25">
      <c r="A132" s="70">
        <v>43084</v>
      </c>
      <c r="B132" s="71">
        <f t="shared" ref="B132:B195" si="16">B131+1</f>
        <v>130</v>
      </c>
      <c r="C132" s="72">
        <f t="shared" ref="C132:C195" si="17">C131-H131</f>
        <v>173.74247181079889</v>
      </c>
      <c r="D132" s="72">
        <v>160</v>
      </c>
      <c r="E132" s="80">
        <f t="shared" si="12"/>
        <v>13.742471810798889</v>
      </c>
      <c r="F132" s="72">
        <f t="shared" si="13"/>
        <v>2258.6521335403854</v>
      </c>
      <c r="G132" s="80">
        <f t="shared" si="14"/>
        <v>426.0166261347656</v>
      </c>
      <c r="H132" s="73">
        <f t="shared" si="15"/>
        <v>0.12171903603850445</v>
      </c>
      <c r="I132" s="61"/>
    </row>
    <row r="133" spans="1:9" x14ac:dyDescent="0.25">
      <c r="A133" s="70">
        <v>43084</v>
      </c>
      <c r="B133" s="71">
        <f t="shared" si="16"/>
        <v>131</v>
      </c>
      <c r="C133" s="72">
        <f t="shared" si="17"/>
        <v>173.62075277476038</v>
      </c>
      <c r="D133" s="72">
        <v>160</v>
      </c>
      <c r="E133" s="80">
        <f t="shared" si="12"/>
        <v>13.620752774760376</v>
      </c>
      <c r="F133" s="72">
        <f t="shared" si="13"/>
        <v>2257.0697860718847</v>
      </c>
      <c r="G133" s="80">
        <f t="shared" si="14"/>
        <v>422.24333601757166</v>
      </c>
      <c r="H133" s="73">
        <f t="shared" si="15"/>
        <v>0.12064095314787762</v>
      </c>
      <c r="I133" s="61"/>
    </row>
    <row r="134" spans="1:9" x14ac:dyDescent="0.25">
      <c r="A134" s="70">
        <v>43084</v>
      </c>
      <c r="B134" s="71">
        <f t="shared" si="16"/>
        <v>132</v>
      </c>
      <c r="C134" s="72">
        <f t="shared" si="17"/>
        <v>173.50011182161251</v>
      </c>
      <c r="D134" s="72">
        <v>160</v>
      </c>
      <c r="E134" s="80">
        <f t="shared" si="12"/>
        <v>13.500111821612506</v>
      </c>
      <c r="F134" s="72">
        <f t="shared" si="13"/>
        <v>2255.5014536809626</v>
      </c>
      <c r="G134" s="80">
        <f t="shared" si="14"/>
        <v>418.5034664699877</v>
      </c>
      <c r="H134" s="73">
        <f t="shared" si="15"/>
        <v>0.11957241899142505</v>
      </c>
      <c r="I134" s="61"/>
    </row>
    <row r="135" spans="1:9" x14ac:dyDescent="0.25">
      <c r="A135" s="70">
        <v>43084</v>
      </c>
      <c r="B135" s="71">
        <f t="shared" si="16"/>
        <v>133</v>
      </c>
      <c r="C135" s="72">
        <f t="shared" si="17"/>
        <v>173.38053940262108</v>
      </c>
      <c r="D135" s="72">
        <v>160</v>
      </c>
      <c r="E135" s="80">
        <f t="shared" si="12"/>
        <v>13.380539402621082</v>
      </c>
      <c r="F135" s="72">
        <f t="shared" si="13"/>
        <v>2253.947012234074</v>
      </c>
      <c r="G135" s="80">
        <f t="shared" si="14"/>
        <v>414.79672148125354</v>
      </c>
      <c r="H135" s="73">
        <f t="shared" si="15"/>
        <v>0.11851334899464387</v>
      </c>
      <c r="I135" s="61"/>
    </row>
    <row r="136" spans="1:9" x14ac:dyDescent="0.25">
      <c r="A136" s="70">
        <v>43084</v>
      </c>
      <c r="B136" s="71">
        <f t="shared" si="16"/>
        <v>134</v>
      </c>
      <c r="C136" s="72">
        <f t="shared" si="17"/>
        <v>173.26202605362644</v>
      </c>
      <c r="D136" s="72">
        <v>160</v>
      </c>
      <c r="E136" s="80">
        <f t="shared" si="12"/>
        <v>13.262026053626442</v>
      </c>
      <c r="F136" s="72">
        <f t="shared" si="13"/>
        <v>2252.4063386971438</v>
      </c>
      <c r="G136" s="80">
        <f t="shared" si="14"/>
        <v>411.12280766241975</v>
      </c>
      <c r="H136" s="73">
        <f t="shared" si="15"/>
        <v>0.11746365933211993</v>
      </c>
      <c r="I136" s="61"/>
    </row>
    <row r="137" spans="1:9" x14ac:dyDescent="0.25">
      <c r="A137" s="70">
        <v>43084</v>
      </c>
      <c r="B137" s="71">
        <f t="shared" si="16"/>
        <v>135</v>
      </c>
      <c r="C137" s="72">
        <f t="shared" si="17"/>
        <v>173.14456239429433</v>
      </c>
      <c r="D137" s="72">
        <v>160</v>
      </c>
      <c r="E137" s="80">
        <f t="shared" si="12"/>
        <v>13.144562394294326</v>
      </c>
      <c r="F137" s="72">
        <f t="shared" si="13"/>
        <v>2250.8793111258265</v>
      </c>
      <c r="G137" s="80">
        <f t="shared" si="14"/>
        <v>407.4814342231241</v>
      </c>
      <c r="H137" s="73">
        <f t="shared" si="15"/>
        <v>0.1164232669208926</v>
      </c>
      <c r="I137" s="61"/>
    </row>
    <row r="138" spans="1:9" x14ac:dyDescent="0.25">
      <c r="A138" s="70">
        <v>43084</v>
      </c>
      <c r="B138" s="71">
        <f t="shared" si="16"/>
        <v>136</v>
      </c>
      <c r="C138" s="72">
        <f t="shared" si="17"/>
        <v>173.02813912737344</v>
      </c>
      <c r="D138" s="72">
        <v>160</v>
      </c>
      <c r="E138" s="80">
        <f t="shared" si="12"/>
        <v>13.028139127373436</v>
      </c>
      <c r="F138" s="72">
        <f t="shared" si="13"/>
        <v>2249.3658086558548</v>
      </c>
      <c r="G138" s="80">
        <f t="shared" si="14"/>
        <v>403.87231294857651</v>
      </c>
      <c r="H138" s="73">
        <f t="shared" si="15"/>
        <v>0.115392089413879</v>
      </c>
      <c r="I138" s="61"/>
    </row>
    <row r="139" spans="1:9" x14ac:dyDescent="0.25">
      <c r="A139" s="70">
        <v>43084</v>
      </c>
      <c r="B139" s="71">
        <f t="shared" si="16"/>
        <v>137</v>
      </c>
      <c r="C139" s="72">
        <f t="shared" si="17"/>
        <v>172.91274703795955</v>
      </c>
      <c r="D139" s="72">
        <v>160</v>
      </c>
      <c r="E139" s="80">
        <f t="shared" si="12"/>
        <v>12.912747037959548</v>
      </c>
      <c r="F139" s="72">
        <f t="shared" si="13"/>
        <v>2247.865711493474</v>
      </c>
      <c r="G139" s="80">
        <f t="shared" si="14"/>
        <v>400.29515817674599</v>
      </c>
      <c r="H139" s="73">
        <f t="shared" si="15"/>
        <v>0.114370045193356</v>
      </c>
      <c r="I139" s="61"/>
    </row>
    <row r="140" spans="1:9" x14ac:dyDescent="0.25">
      <c r="A140" s="70">
        <v>43084</v>
      </c>
      <c r="B140" s="71">
        <f t="shared" si="16"/>
        <v>138</v>
      </c>
      <c r="C140" s="72">
        <f t="shared" si="17"/>
        <v>172.79837699276618</v>
      </c>
      <c r="D140" s="72">
        <v>160</v>
      </c>
      <c r="E140" s="80">
        <f t="shared" si="12"/>
        <v>12.79837699276618</v>
      </c>
      <c r="F140" s="72">
        <f t="shared" si="13"/>
        <v>2246.3789009059601</v>
      </c>
      <c r="G140" s="80">
        <f t="shared" si="14"/>
        <v>396.74968677575157</v>
      </c>
      <c r="H140" s="73">
        <f t="shared" si="15"/>
        <v>0.11335705336450044</v>
      </c>
      <c r="I140" s="61"/>
    </row>
    <row r="141" spans="1:9" x14ac:dyDescent="0.25">
      <c r="A141" s="70">
        <v>43084</v>
      </c>
      <c r="B141" s="71">
        <f t="shared" si="16"/>
        <v>139</v>
      </c>
      <c r="C141" s="72">
        <f t="shared" si="17"/>
        <v>172.68501993940168</v>
      </c>
      <c r="D141" s="72">
        <v>160</v>
      </c>
      <c r="E141" s="80">
        <f t="shared" si="12"/>
        <v>12.685019939401684</v>
      </c>
      <c r="F141" s="72">
        <f t="shared" si="13"/>
        <v>2244.9052592122221</v>
      </c>
      <c r="G141" s="80">
        <f t="shared" si="14"/>
        <v>393.23561812145221</v>
      </c>
      <c r="H141" s="73">
        <f t="shared" si="15"/>
        <v>0.11235303374898635</v>
      </c>
      <c r="I141" s="61"/>
    </row>
    <row r="142" spans="1:9" x14ac:dyDescent="0.25">
      <c r="A142" s="70">
        <v>43084</v>
      </c>
      <c r="B142" s="71">
        <f t="shared" si="16"/>
        <v>140</v>
      </c>
      <c r="C142" s="72">
        <f t="shared" si="17"/>
        <v>172.57266690565271</v>
      </c>
      <c r="D142" s="72">
        <v>160</v>
      </c>
      <c r="E142" s="80">
        <f t="shared" si="12"/>
        <v>12.57266690565271</v>
      </c>
      <c r="F142" s="72">
        <f t="shared" si="13"/>
        <v>2243.4446697734852</v>
      </c>
      <c r="G142" s="80">
        <f t="shared" si="14"/>
        <v>389.75267407523404</v>
      </c>
      <c r="H142" s="73">
        <f t="shared" si="15"/>
        <v>0.11135790687863829</v>
      </c>
      <c r="I142" s="61"/>
    </row>
    <row r="143" spans="1:9" x14ac:dyDescent="0.25">
      <c r="A143" s="70">
        <v>43084</v>
      </c>
      <c r="B143" s="71">
        <f t="shared" si="16"/>
        <v>141</v>
      </c>
      <c r="C143" s="72">
        <f t="shared" si="17"/>
        <v>172.46130899877406</v>
      </c>
      <c r="D143" s="72">
        <v>160</v>
      </c>
      <c r="E143" s="80">
        <f t="shared" si="12"/>
        <v>12.461308998774058</v>
      </c>
      <c r="F143" s="72">
        <f t="shared" si="13"/>
        <v>2241.9970169840626</v>
      </c>
      <c r="G143" s="80">
        <f t="shared" si="14"/>
        <v>386.30057896199583</v>
      </c>
      <c r="H143" s="73">
        <f t="shared" si="15"/>
        <v>0.11037159398914166</v>
      </c>
      <c r="I143" s="61"/>
    </row>
    <row r="144" spans="1:9" x14ac:dyDescent="0.25">
      <c r="A144" s="70">
        <v>43084</v>
      </c>
      <c r="B144" s="71">
        <f t="shared" si="16"/>
        <v>142</v>
      </c>
      <c r="C144" s="72">
        <f t="shared" si="17"/>
        <v>172.35093740478493</v>
      </c>
      <c r="D144" s="72">
        <v>160</v>
      </c>
      <c r="E144" s="80">
        <f t="shared" si="12"/>
        <v>12.350937404784929</v>
      </c>
      <c r="F144" s="72">
        <f t="shared" si="13"/>
        <v>2240.5621862622042</v>
      </c>
      <c r="G144" s="80">
        <f t="shared" si="14"/>
        <v>382.8790595483328</v>
      </c>
      <c r="H144" s="73">
        <f t="shared" si="15"/>
        <v>0.10939401701380937</v>
      </c>
      <c r="I144" s="61"/>
    </row>
    <row r="145" spans="1:9" x14ac:dyDescent="0.25">
      <c r="A145" s="70">
        <v>43084</v>
      </c>
      <c r="B145" s="71">
        <f t="shared" si="16"/>
        <v>143</v>
      </c>
      <c r="C145" s="72">
        <f t="shared" si="17"/>
        <v>172.24154338777112</v>
      </c>
      <c r="D145" s="72">
        <v>160</v>
      </c>
      <c r="E145" s="80">
        <f t="shared" si="12"/>
        <v>12.241543387771117</v>
      </c>
      <c r="F145" s="72">
        <f t="shared" si="13"/>
        <v>2239.1400640410247</v>
      </c>
      <c r="G145" s="80">
        <f t="shared" si="14"/>
        <v>379.48784502090462</v>
      </c>
      <c r="H145" s="73">
        <f t="shared" si="15"/>
        <v>0.10842509857740132</v>
      </c>
      <c r="I145" s="61"/>
    </row>
    <row r="146" spans="1:9" x14ac:dyDescent="0.25">
      <c r="A146" s="70">
        <v>43084</v>
      </c>
      <c r="B146" s="71">
        <f t="shared" si="16"/>
        <v>144</v>
      </c>
      <c r="C146" s="72">
        <f t="shared" si="17"/>
        <v>172.1331182891937</v>
      </c>
      <c r="D146" s="72">
        <v>160</v>
      </c>
      <c r="E146" s="80">
        <f t="shared" si="12"/>
        <v>12.133118289193703</v>
      </c>
      <c r="F146" s="72">
        <f t="shared" si="13"/>
        <v>2237.730537759518</v>
      </c>
      <c r="G146" s="80">
        <f t="shared" si="14"/>
        <v>376.1266669650048</v>
      </c>
      <c r="H146" s="73">
        <f t="shared" si="15"/>
        <v>0.10746476199000138</v>
      </c>
      <c r="I146" s="61"/>
    </row>
    <row r="147" spans="1:9" x14ac:dyDescent="0.25">
      <c r="A147" s="70">
        <v>43084</v>
      </c>
      <c r="B147" s="71">
        <f t="shared" si="16"/>
        <v>145</v>
      </c>
      <c r="C147" s="72">
        <f t="shared" si="17"/>
        <v>172.0256535272037</v>
      </c>
      <c r="D147" s="72">
        <v>160</v>
      </c>
      <c r="E147" s="80">
        <f t="shared" si="12"/>
        <v>12.025653527203701</v>
      </c>
      <c r="F147" s="72">
        <f t="shared" si="13"/>
        <v>2236.3334958536479</v>
      </c>
      <c r="G147" s="80">
        <f t="shared" si="14"/>
        <v>372.79525934331474</v>
      </c>
      <c r="H147" s="73">
        <f t="shared" si="15"/>
        <v>0.10651293124094707</v>
      </c>
      <c r="I147" s="61"/>
    </row>
    <row r="148" spans="1:9" x14ac:dyDescent="0.25">
      <c r="A148" s="70">
        <v>43084</v>
      </c>
      <c r="B148" s="71">
        <f t="shared" si="16"/>
        <v>146</v>
      </c>
      <c r="C148" s="72">
        <f t="shared" si="17"/>
        <v>171.91914059596274</v>
      </c>
      <c r="D148" s="72">
        <v>160</v>
      </c>
      <c r="E148" s="80">
        <f t="shared" si="12"/>
        <v>11.919140595962745</v>
      </c>
      <c r="F148" s="72">
        <f t="shared" si="13"/>
        <v>2234.9488277475157</v>
      </c>
      <c r="G148" s="80">
        <f t="shared" si="14"/>
        <v>369.49335847484508</v>
      </c>
      <c r="H148" s="73">
        <f t="shared" si="15"/>
        <v>0.10556953099281288</v>
      </c>
      <c r="I148" s="61"/>
    </row>
    <row r="149" spans="1:9" x14ac:dyDescent="0.25">
      <c r="A149" s="70">
        <v>43084</v>
      </c>
      <c r="B149" s="71">
        <f t="shared" si="16"/>
        <v>147</v>
      </c>
      <c r="C149" s="72">
        <f t="shared" si="17"/>
        <v>171.81357106496992</v>
      </c>
      <c r="D149" s="72">
        <v>160</v>
      </c>
      <c r="E149" s="80">
        <f t="shared" si="12"/>
        <v>11.813571064969921</v>
      </c>
      <c r="F149" s="72">
        <f t="shared" si="13"/>
        <v>2233.5764238446091</v>
      </c>
      <c r="G149" s="80">
        <f t="shared" si="14"/>
        <v>366.22070301406757</v>
      </c>
      <c r="H149" s="73">
        <f t="shared" si="15"/>
        <v>0.10463448657544788</v>
      </c>
      <c r="I149" s="61"/>
    </row>
    <row r="150" spans="1:9" x14ac:dyDescent="0.25">
      <c r="A150" s="70">
        <v>43084</v>
      </c>
      <c r="B150" s="71">
        <f t="shared" si="16"/>
        <v>148</v>
      </c>
      <c r="C150" s="72">
        <f t="shared" si="17"/>
        <v>171.70893657839449</v>
      </c>
      <c r="D150" s="72">
        <v>160</v>
      </c>
      <c r="E150" s="80">
        <f t="shared" si="12"/>
        <v>11.708936578394486</v>
      </c>
      <c r="F150" s="72">
        <f t="shared" si="13"/>
        <v>2232.2161755191282</v>
      </c>
      <c r="G150" s="80">
        <f t="shared" si="14"/>
        <v>362.97703393022903</v>
      </c>
      <c r="H150" s="73">
        <f t="shared" si="15"/>
        <v>0.10370772398006543</v>
      </c>
      <c r="I150" s="61"/>
    </row>
    <row r="151" spans="1:9" x14ac:dyDescent="0.25">
      <c r="A151" s="70">
        <v>43084</v>
      </c>
      <c r="B151" s="71">
        <f t="shared" si="16"/>
        <v>149</v>
      </c>
      <c r="C151" s="72">
        <f t="shared" si="17"/>
        <v>171.60522885441441</v>
      </c>
      <c r="D151" s="72">
        <v>160</v>
      </c>
      <c r="E151" s="80">
        <f t="shared" si="12"/>
        <v>11.605228854414406</v>
      </c>
      <c r="F151" s="72">
        <f t="shared" si="13"/>
        <v>2230.8679751073873</v>
      </c>
      <c r="G151" s="80">
        <f t="shared" si="14"/>
        <v>359.76209448684659</v>
      </c>
      <c r="H151" s="73">
        <f t="shared" si="15"/>
        <v>0.10278916985338474</v>
      </c>
      <c r="I151" s="61"/>
    </row>
    <row r="152" spans="1:9" x14ac:dyDescent="0.25">
      <c r="A152" s="70">
        <v>43084</v>
      </c>
      <c r="B152" s="71">
        <f t="shared" si="16"/>
        <v>150</v>
      </c>
      <c r="C152" s="72">
        <f t="shared" si="17"/>
        <v>171.50243968456101</v>
      </c>
      <c r="D152" s="72">
        <v>160</v>
      </c>
      <c r="E152" s="80">
        <f t="shared" si="12"/>
        <v>11.502439684561011</v>
      </c>
      <c r="F152" s="72">
        <f t="shared" si="13"/>
        <v>2229.531715899293</v>
      </c>
      <c r="G152" s="80">
        <f t="shared" si="14"/>
        <v>356.57563022139135</v>
      </c>
      <c r="H152" s="73">
        <f t="shared" si="15"/>
        <v>0.1018787514918261</v>
      </c>
      <c r="I152" s="61"/>
    </row>
    <row r="153" spans="1:9" x14ac:dyDescent="0.25">
      <c r="A153" s="70">
        <v>43084</v>
      </c>
      <c r="B153" s="71">
        <f t="shared" si="16"/>
        <v>151</v>
      </c>
      <c r="C153" s="72">
        <f t="shared" si="17"/>
        <v>171.40056093306919</v>
      </c>
      <c r="D153" s="72">
        <v>160</v>
      </c>
      <c r="E153" s="80">
        <f t="shared" si="12"/>
        <v>11.400560933069187</v>
      </c>
      <c r="F153" s="72">
        <f t="shared" si="13"/>
        <v>2228.2072921298995</v>
      </c>
      <c r="G153" s="80">
        <f t="shared" si="14"/>
        <v>353.41738892514479</v>
      </c>
      <c r="H153" s="73">
        <f t="shared" si="15"/>
        <v>0.10097639683575566</v>
      </c>
      <c r="I153" s="61"/>
    </row>
    <row r="154" spans="1:9" x14ac:dyDescent="0.25">
      <c r="A154" s="70">
        <v>43084</v>
      </c>
      <c r="B154" s="71">
        <f t="shared" si="16"/>
        <v>152</v>
      </c>
      <c r="C154" s="72">
        <f t="shared" si="17"/>
        <v>171.29958453623343</v>
      </c>
      <c r="D154" s="72">
        <v>160</v>
      </c>
      <c r="E154" s="80">
        <f t="shared" si="12"/>
        <v>11.299584536233425</v>
      </c>
      <c r="F154" s="72">
        <f t="shared" si="13"/>
        <v>2226.8945989710346</v>
      </c>
      <c r="G154" s="80">
        <f t="shared" si="14"/>
        <v>350.28712062323621</v>
      </c>
      <c r="H154" s="73">
        <f t="shared" si="15"/>
        <v>0.10008203446378178</v>
      </c>
      <c r="I154" s="61"/>
    </row>
    <row r="155" spans="1:9" x14ac:dyDescent="0.25">
      <c r="A155" s="70">
        <v>43084</v>
      </c>
      <c r="B155" s="71">
        <f t="shared" si="16"/>
        <v>153</v>
      </c>
      <c r="C155" s="72">
        <f t="shared" si="17"/>
        <v>171.19950250176964</v>
      </c>
      <c r="D155" s="72">
        <v>160</v>
      </c>
      <c r="E155" s="80">
        <f t="shared" si="12"/>
        <v>11.199502501769643</v>
      </c>
      <c r="F155" s="72">
        <f t="shared" si="13"/>
        <v>2225.5935325230053</v>
      </c>
      <c r="G155" s="80">
        <f t="shared" si="14"/>
        <v>347.18457755485895</v>
      </c>
      <c r="H155" s="73">
        <f t="shared" si="15"/>
        <v>9.919559358710256E-2</v>
      </c>
      <c r="I155" s="61"/>
    </row>
    <row r="156" spans="1:9" x14ac:dyDescent="0.25">
      <c r="A156" s="70">
        <v>43084</v>
      </c>
      <c r="B156" s="71">
        <f t="shared" si="16"/>
        <v>154</v>
      </c>
      <c r="C156" s="72">
        <f t="shared" si="17"/>
        <v>171.10030690818255</v>
      </c>
      <c r="D156" s="72">
        <v>160</v>
      </c>
      <c r="E156" s="80">
        <f t="shared" si="12"/>
        <v>11.100306908182546</v>
      </c>
      <c r="F156" s="72">
        <f t="shared" si="13"/>
        <v>2224.303989806373</v>
      </c>
      <c r="G156" s="80">
        <f t="shared" si="14"/>
        <v>344.10951415365889</v>
      </c>
      <c r="H156" s="73">
        <f t="shared" si="15"/>
        <v>9.8317004043902534E-2</v>
      </c>
      <c r="I156" s="61"/>
    </row>
    <row r="157" spans="1:9" x14ac:dyDescent="0.25">
      <c r="A157" s="70">
        <v>43084</v>
      </c>
      <c r="B157" s="71">
        <f t="shared" si="16"/>
        <v>155</v>
      </c>
      <c r="C157" s="72">
        <f t="shared" si="17"/>
        <v>171.00198990413864</v>
      </c>
      <c r="D157" s="72">
        <v>160</v>
      </c>
      <c r="E157" s="80">
        <f t="shared" si="12"/>
        <v>11.00198990413864</v>
      </c>
      <c r="F157" s="72">
        <f t="shared" si="13"/>
        <v>2223.0258687538021</v>
      </c>
      <c r="G157" s="80">
        <f t="shared" si="14"/>
        <v>341.0616870282978</v>
      </c>
      <c r="H157" s="73">
        <f t="shared" si="15"/>
        <v>9.7446196293799373E-2</v>
      </c>
      <c r="I157" s="61"/>
    </row>
    <row r="158" spans="1:9" x14ac:dyDescent="0.25">
      <c r="A158" s="70">
        <v>43084</v>
      </c>
      <c r="B158" s="71">
        <f t="shared" si="16"/>
        <v>156</v>
      </c>
      <c r="C158" s="72">
        <f t="shared" si="17"/>
        <v>170.90454370784485</v>
      </c>
      <c r="D158" s="72">
        <v>160</v>
      </c>
      <c r="E158" s="80">
        <f t="shared" si="12"/>
        <v>10.904543707844851</v>
      </c>
      <c r="F158" s="72">
        <f t="shared" si="13"/>
        <v>2221.7590682019832</v>
      </c>
      <c r="G158" s="80">
        <f t="shared" si="14"/>
        <v>338.04085494319042</v>
      </c>
      <c r="H158" s="73">
        <f t="shared" si="15"/>
        <v>9.6583101412340125E-2</v>
      </c>
      <c r="I158" s="61"/>
    </row>
    <row r="159" spans="1:9" x14ac:dyDescent="0.25">
      <c r="A159" s="70">
        <v>43084</v>
      </c>
      <c r="B159" s="71">
        <f t="shared" si="16"/>
        <v>157</v>
      </c>
      <c r="C159" s="72">
        <f t="shared" si="17"/>
        <v>170.80796060643252</v>
      </c>
      <c r="D159" s="72">
        <v>160</v>
      </c>
      <c r="E159" s="80">
        <f t="shared" si="12"/>
        <v>10.807960606432516</v>
      </c>
      <c r="F159" s="72">
        <f t="shared" si="13"/>
        <v>2220.5034878836227</v>
      </c>
      <c r="G159" s="80">
        <f t="shared" si="14"/>
        <v>335.046778799408</v>
      </c>
      <c r="H159" s="73">
        <f t="shared" si="15"/>
        <v>9.5727651085545137E-2</v>
      </c>
      <c r="I159" s="61"/>
    </row>
    <row r="160" spans="1:9" x14ac:dyDescent="0.25">
      <c r="A160" s="70">
        <v>43084</v>
      </c>
      <c r="B160" s="71">
        <f t="shared" si="16"/>
        <v>158</v>
      </c>
      <c r="C160" s="72">
        <f t="shared" si="17"/>
        <v>170.71223295534696</v>
      </c>
      <c r="D160" s="72">
        <v>160</v>
      </c>
      <c r="E160" s="80">
        <f t="shared" si="12"/>
        <v>10.712232955346963</v>
      </c>
      <c r="F160" s="72">
        <f t="shared" si="13"/>
        <v>2219.2590284195103</v>
      </c>
      <c r="G160" s="80">
        <f t="shared" si="14"/>
        <v>332.07922161575584</v>
      </c>
      <c r="H160" s="73">
        <f t="shared" si="15"/>
        <v>9.4879777604501669E-2</v>
      </c>
      <c r="I160" s="61"/>
    </row>
    <row r="161" spans="1:9" x14ac:dyDescent="0.25">
      <c r="A161" s="70">
        <v>43084</v>
      </c>
      <c r="B161" s="71">
        <f t="shared" si="16"/>
        <v>159</v>
      </c>
      <c r="C161" s="72">
        <f t="shared" si="17"/>
        <v>170.61735317774247</v>
      </c>
      <c r="D161" s="72">
        <v>160</v>
      </c>
      <c r="E161" s="80">
        <f t="shared" si="12"/>
        <v>10.617353177742473</v>
      </c>
      <c r="F161" s="72">
        <f t="shared" si="13"/>
        <v>2218.0255913106521</v>
      </c>
      <c r="G161" s="80">
        <f t="shared" si="14"/>
        <v>329.13794851001666</v>
      </c>
      <c r="H161" s="73">
        <f t="shared" si="15"/>
        <v>9.4039413860004764E-2</v>
      </c>
      <c r="I161" s="61"/>
    </row>
    <row r="162" spans="1:9" x14ac:dyDescent="0.25">
      <c r="A162" s="70">
        <v>43084</v>
      </c>
      <c r="B162" s="71">
        <f t="shared" si="16"/>
        <v>160</v>
      </c>
      <c r="C162" s="72">
        <f t="shared" si="17"/>
        <v>170.52331376388247</v>
      </c>
      <c r="D162" s="72">
        <v>160</v>
      </c>
      <c r="E162" s="80">
        <f t="shared" si="12"/>
        <v>10.52331376388247</v>
      </c>
      <c r="F162" s="72">
        <f t="shared" si="13"/>
        <v>2216.8030789304721</v>
      </c>
      <c r="G162" s="80">
        <f t="shared" si="14"/>
        <v>326.22272668035657</v>
      </c>
      <c r="H162" s="73">
        <f t="shared" si="15"/>
        <v>9.3206493337244734E-2</v>
      </c>
      <c r="I162" s="61"/>
    </row>
    <row r="163" spans="1:9" x14ac:dyDescent="0.25">
      <c r="A163" s="70">
        <v>43084</v>
      </c>
      <c r="B163" s="71">
        <f t="shared" si="16"/>
        <v>161</v>
      </c>
      <c r="C163" s="72">
        <f t="shared" si="17"/>
        <v>170.43010727054522</v>
      </c>
      <c r="D163" s="72">
        <v>160</v>
      </c>
      <c r="E163" s="80">
        <f t="shared" si="12"/>
        <v>10.430107270545221</v>
      </c>
      <c r="F163" s="72">
        <f t="shared" si="13"/>
        <v>2215.5913945170878</v>
      </c>
      <c r="G163" s="80">
        <f t="shared" si="14"/>
        <v>323.33332538690183</v>
      </c>
      <c r="H163" s="73">
        <f t="shared" si="15"/>
        <v>9.2380950110543383E-2</v>
      </c>
      <c r="I163" s="61"/>
    </row>
    <row r="164" spans="1:9" x14ac:dyDescent="0.25">
      <c r="A164" s="70">
        <v>43084</v>
      </c>
      <c r="B164" s="71">
        <f t="shared" si="16"/>
        <v>162</v>
      </c>
      <c r="C164" s="72">
        <f t="shared" si="17"/>
        <v>170.33772632043468</v>
      </c>
      <c r="D164" s="72">
        <v>160</v>
      </c>
      <c r="E164" s="80">
        <f t="shared" si="12"/>
        <v>10.337726320434683</v>
      </c>
      <c r="F164" s="72">
        <f t="shared" si="13"/>
        <v>2214.3904421656507</v>
      </c>
      <c r="G164" s="80">
        <f t="shared" si="14"/>
        <v>320.46951593347518</v>
      </c>
      <c r="H164" s="73">
        <f t="shared" si="15"/>
        <v>9.156271883813577E-2</v>
      </c>
      <c r="I164" s="61"/>
    </row>
    <row r="165" spans="1:9" x14ac:dyDescent="0.25">
      <c r="A165" s="70">
        <v>43084</v>
      </c>
      <c r="B165" s="71">
        <f t="shared" si="16"/>
        <v>163</v>
      </c>
      <c r="C165" s="72">
        <f t="shared" si="17"/>
        <v>170.24616360159655</v>
      </c>
      <c r="D165" s="72">
        <v>160</v>
      </c>
      <c r="E165" s="80">
        <f t="shared" si="12"/>
        <v>10.24616360159655</v>
      </c>
      <c r="F165" s="72">
        <f t="shared" si="13"/>
        <v>2213.200126820755</v>
      </c>
      <c r="G165" s="80">
        <f t="shared" si="14"/>
        <v>317.63107164949304</v>
      </c>
      <c r="H165" s="73">
        <f t="shared" si="15"/>
        <v>9.0751734756998007E-2</v>
      </c>
      <c r="I165" s="61"/>
    </row>
    <row r="166" spans="1:9" x14ac:dyDescent="0.25">
      <c r="A166" s="70">
        <v>43084</v>
      </c>
      <c r="B166" s="71">
        <f t="shared" si="16"/>
        <v>164</v>
      </c>
      <c r="C166" s="72">
        <f t="shared" si="17"/>
        <v>170.15541186683956</v>
      </c>
      <c r="D166" s="72">
        <v>160</v>
      </c>
      <c r="E166" s="80">
        <f t="shared" si="12"/>
        <v>10.155411866839557</v>
      </c>
      <c r="F166" s="72">
        <f t="shared" si="13"/>
        <v>2212.0203542689142</v>
      </c>
      <c r="G166" s="80">
        <f t="shared" si="14"/>
        <v>314.81776787202625</v>
      </c>
      <c r="H166" s="73">
        <f t="shared" si="15"/>
        <v>8.9947933677721789E-2</v>
      </c>
      <c r="I166" s="61"/>
    </row>
    <row r="167" spans="1:9" x14ac:dyDescent="0.25">
      <c r="A167" s="70">
        <v>43084</v>
      </c>
      <c r="B167" s="71">
        <f t="shared" si="16"/>
        <v>165</v>
      </c>
      <c r="C167" s="72">
        <f t="shared" si="17"/>
        <v>170.06546393316182</v>
      </c>
      <c r="D167" s="72">
        <v>160</v>
      </c>
      <c r="E167" s="80">
        <f t="shared" si="12"/>
        <v>10.065463933161823</v>
      </c>
      <c r="F167" s="72">
        <f t="shared" si="13"/>
        <v>2210.8510311311038</v>
      </c>
      <c r="G167" s="80">
        <f t="shared" si="14"/>
        <v>312.02938192801651</v>
      </c>
      <c r="H167" s="73">
        <f t="shared" si="15"/>
        <v>8.9151251979433285E-2</v>
      </c>
      <c r="I167" s="61"/>
    </row>
    <row r="168" spans="1:9" x14ac:dyDescent="0.25">
      <c r="A168" s="70">
        <v>43084</v>
      </c>
      <c r="B168" s="71">
        <f t="shared" si="16"/>
        <v>166</v>
      </c>
      <c r="C168" s="72">
        <f t="shared" si="17"/>
        <v>169.97631268118238</v>
      </c>
      <c r="D168" s="72">
        <v>160</v>
      </c>
      <c r="E168" s="80">
        <f t="shared" si="12"/>
        <v>9.9763126811823781</v>
      </c>
      <c r="F168" s="72">
        <f t="shared" si="13"/>
        <v>2209.692064855371</v>
      </c>
      <c r="G168" s="80">
        <f t="shared" si="14"/>
        <v>309.26569311665372</v>
      </c>
      <c r="H168" s="73">
        <f t="shared" si="15"/>
        <v>8.8361626604758201E-2</v>
      </c>
      <c r="I168" s="61"/>
    </row>
    <row r="169" spans="1:9" x14ac:dyDescent="0.25">
      <c r="A169" s="70">
        <v>43084</v>
      </c>
      <c r="B169" s="71">
        <f t="shared" si="16"/>
        <v>167</v>
      </c>
      <c r="C169" s="72">
        <f t="shared" si="17"/>
        <v>169.88795105457763</v>
      </c>
      <c r="D169" s="72">
        <v>160</v>
      </c>
      <c r="E169" s="80">
        <f t="shared" si="12"/>
        <v>9.887951054577627</v>
      </c>
      <c r="F169" s="72">
        <f t="shared" si="13"/>
        <v>2208.5433637095093</v>
      </c>
      <c r="G169" s="80">
        <f t="shared" si="14"/>
        <v>306.52648269190644</v>
      </c>
      <c r="H169" s="73">
        <f t="shared" si="15"/>
        <v>8.7578995054830411E-2</v>
      </c>
      <c r="I169" s="61"/>
    </row>
    <row r="170" spans="1:9" x14ac:dyDescent="0.25">
      <c r="A170" s="70">
        <v>43084</v>
      </c>
      <c r="B170" s="71">
        <f t="shared" si="16"/>
        <v>168</v>
      </c>
      <c r="C170" s="72">
        <f t="shared" si="17"/>
        <v>169.8003720595228</v>
      </c>
      <c r="D170" s="72">
        <v>160</v>
      </c>
      <c r="E170" s="80">
        <f t="shared" si="12"/>
        <v>9.8003720595228003</v>
      </c>
      <c r="F170" s="72">
        <f t="shared" si="13"/>
        <v>2207.4048367737964</v>
      </c>
      <c r="G170" s="80">
        <f t="shared" si="14"/>
        <v>303.81153384520678</v>
      </c>
      <c r="H170" s="73">
        <f t="shared" si="15"/>
        <v>8.6803295384344795E-2</v>
      </c>
      <c r="I170" s="61"/>
    </row>
    <row r="171" spans="1:9" x14ac:dyDescent="0.25">
      <c r="A171" s="70">
        <v>43084</v>
      </c>
      <c r="B171" s="71">
        <f t="shared" si="16"/>
        <v>169</v>
      </c>
      <c r="C171" s="72">
        <f t="shared" si="17"/>
        <v>169.71356876413844</v>
      </c>
      <c r="D171" s="72">
        <v>160</v>
      </c>
      <c r="E171" s="80">
        <f t="shared" si="12"/>
        <v>9.7135687641384436</v>
      </c>
      <c r="F171" s="72">
        <f t="shared" si="13"/>
        <v>2206.2763939337997</v>
      </c>
      <c r="G171" s="80">
        <f t="shared" si="14"/>
        <v>301.12063168829172</v>
      </c>
      <c r="H171" s="73">
        <f t="shared" si="15"/>
        <v>8.603446619665478E-2</v>
      </c>
      <c r="I171" s="61"/>
    </row>
    <row r="172" spans="1:9" x14ac:dyDescent="0.25">
      <c r="A172" s="70">
        <v>43084</v>
      </c>
      <c r="B172" s="71">
        <f t="shared" si="16"/>
        <v>170</v>
      </c>
      <c r="C172" s="72">
        <f t="shared" si="17"/>
        <v>169.62753429794179</v>
      </c>
      <c r="D172" s="72">
        <v>160</v>
      </c>
      <c r="E172" s="80">
        <f t="shared" si="12"/>
        <v>9.6275342979417928</v>
      </c>
      <c r="F172" s="72">
        <f t="shared" si="13"/>
        <v>2205.1579458732431</v>
      </c>
      <c r="G172" s="80">
        <f t="shared" si="14"/>
        <v>298.45356323619558</v>
      </c>
      <c r="H172" s="73">
        <f t="shared" si="15"/>
        <v>8.5272446638913021E-2</v>
      </c>
      <c r="I172" s="61"/>
    </row>
    <row r="173" spans="1:9" x14ac:dyDescent="0.25">
      <c r="A173" s="70">
        <v>43084</v>
      </c>
      <c r="B173" s="71">
        <f t="shared" si="16"/>
        <v>171</v>
      </c>
      <c r="C173" s="72">
        <f t="shared" si="17"/>
        <v>169.54226185130287</v>
      </c>
      <c r="D173" s="72">
        <v>160</v>
      </c>
      <c r="E173" s="80">
        <f t="shared" si="12"/>
        <v>9.5422618513028681</v>
      </c>
      <c r="F173" s="72">
        <f t="shared" si="13"/>
        <v>2204.0494040669373</v>
      </c>
      <c r="G173" s="80">
        <f t="shared" si="14"/>
        <v>295.81011739038888</v>
      </c>
      <c r="H173" s="73">
        <f t="shared" si="15"/>
        <v>8.4517176397253965E-2</v>
      </c>
      <c r="I173" s="61"/>
    </row>
    <row r="174" spans="1:9" x14ac:dyDescent="0.25">
      <c r="A174" s="70">
        <v>43084</v>
      </c>
      <c r="B174" s="71">
        <f t="shared" si="16"/>
        <v>172</v>
      </c>
      <c r="C174" s="72">
        <f t="shared" si="17"/>
        <v>169.45774467490563</v>
      </c>
      <c r="D174" s="72">
        <v>160</v>
      </c>
      <c r="E174" s="80">
        <f t="shared" si="12"/>
        <v>9.4577446749056264</v>
      </c>
      <c r="F174" s="72">
        <f t="shared" si="13"/>
        <v>2202.950680773773</v>
      </c>
      <c r="G174" s="80">
        <f t="shared" si="14"/>
        <v>293.19008492207445</v>
      </c>
      <c r="H174" s="73">
        <f t="shared" si="15"/>
        <v>8.3768595692021275E-2</v>
      </c>
      <c r="I174" s="61"/>
    </row>
    <row r="175" spans="1:9" x14ac:dyDescent="0.25">
      <c r="A175" s="70">
        <v>43084</v>
      </c>
      <c r="B175" s="71">
        <f t="shared" si="16"/>
        <v>173</v>
      </c>
      <c r="C175" s="72">
        <f t="shared" si="17"/>
        <v>169.37397607921361</v>
      </c>
      <c r="D175" s="72">
        <v>160</v>
      </c>
      <c r="E175" s="80">
        <f t="shared" si="12"/>
        <v>9.3739760792136053</v>
      </c>
      <c r="F175" s="72">
        <f t="shared" si="13"/>
        <v>2201.8616890297767</v>
      </c>
      <c r="G175" s="80">
        <f t="shared" si="14"/>
        <v>290.59325845562176</v>
      </c>
      <c r="H175" s="73">
        <f t="shared" si="15"/>
        <v>8.3026645273034785E-2</v>
      </c>
      <c r="I175" s="61"/>
    </row>
    <row r="176" spans="1:9" x14ac:dyDescent="0.25">
      <c r="A176" s="70">
        <v>43084</v>
      </c>
      <c r="B176" s="71">
        <f t="shared" si="16"/>
        <v>174</v>
      </c>
      <c r="C176" s="72">
        <f t="shared" si="17"/>
        <v>169.29094943394057</v>
      </c>
      <c r="D176" s="72">
        <v>160</v>
      </c>
      <c r="E176" s="80">
        <f t="shared" si="12"/>
        <v>9.2909494339405683</v>
      </c>
      <c r="F176" s="72">
        <f t="shared" si="13"/>
        <v>2200.7823426412274</v>
      </c>
      <c r="G176" s="80">
        <f t="shared" si="14"/>
        <v>288.01943245215762</v>
      </c>
      <c r="H176" s="73">
        <f t="shared" si="15"/>
        <v>8.229126641490217E-2</v>
      </c>
      <c r="I176" s="61"/>
    </row>
    <row r="177" spans="1:9" x14ac:dyDescent="0.25">
      <c r="A177" s="70">
        <v>43084</v>
      </c>
      <c r="B177" s="71">
        <f t="shared" si="16"/>
        <v>175</v>
      </c>
      <c r="C177" s="72">
        <f t="shared" si="17"/>
        <v>169.20865816752567</v>
      </c>
      <c r="D177" s="72">
        <v>160</v>
      </c>
      <c r="E177" s="80">
        <f t="shared" si="12"/>
        <v>9.2086581675256696</v>
      </c>
      <c r="F177" s="72">
        <f t="shared" si="13"/>
        <v>2199.7125561778339</v>
      </c>
      <c r="G177" s="80">
        <f t="shared" si="14"/>
        <v>285.46840319329579</v>
      </c>
      <c r="H177" s="73">
        <f t="shared" si="15"/>
        <v>8.1562400912370228E-2</v>
      </c>
      <c r="I177" s="61"/>
    </row>
    <row r="178" spans="1:9" x14ac:dyDescent="0.25">
      <c r="A178" s="70">
        <v>43084</v>
      </c>
      <c r="B178" s="71">
        <f t="shared" si="16"/>
        <v>176</v>
      </c>
      <c r="C178" s="72">
        <f t="shared" si="17"/>
        <v>169.12709576661331</v>
      </c>
      <c r="D178" s="72">
        <v>160</v>
      </c>
      <c r="E178" s="80">
        <f t="shared" si="12"/>
        <v>9.1270957666133086</v>
      </c>
      <c r="F178" s="72">
        <f t="shared" si="13"/>
        <v>2198.6522449659728</v>
      </c>
      <c r="G178" s="80">
        <f t="shared" si="14"/>
        <v>282.93996876501257</v>
      </c>
      <c r="H178" s="73">
        <f t="shared" si="15"/>
        <v>8.0839991075717876E-2</v>
      </c>
      <c r="I178" s="61"/>
    </row>
    <row r="179" spans="1:9" x14ac:dyDescent="0.25">
      <c r="A179" s="70">
        <v>43084</v>
      </c>
      <c r="B179" s="71">
        <f t="shared" si="16"/>
        <v>177</v>
      </c>
      <c r="C179" s="72">
        <f t="shared" si="17"/>
        <v>169.04625577553759</v>
      </c>
      <c r="D179" s="72">
        <v>160</v>
      </c>
      <c r="E179" s="80">
        <f t="shared" si="12"/>
        <v>9.0462557755375883</v>
      </c>
      <c r="F179" s="72">
        <f t="shared" si="13"/>
        <v>2197.6013250819888</v>
      </c>
      <c r="G179" s="80">
        <f t="shared" si="14"/>
        <v>280.43392904166524</v>
      </c>
      <c r="H179" s="73">
        <f t="shared" si="15"/>
        <v>8.0123979726190064E-2</v>
      </c>
      <c r="I179" s="61"/>
    </row>
    <row r="180" spans="1:9" x14ac:dyDescent="0.25">
      <c r="A180" s="70">
        <v>43084</v>
      </c>
      <c r="B180" s="71">
        <f t="shared" si="16"/>
        <v>178</v>
      </c>
      <c r="C180" s="72">
        <f t="shared" si="17"/>
        <v>168.96613179581141</v>
      </c>
      <c r="D180" s="72">
        <v>160</v>
      </c>
      <c r="E180" s="80">
        <f t="shared" si="12"/>
        <v>8.9661317958114068</v>
      </c>
      <c r="F180" s="72">
        <f t="shared" si="13"/>
        <v>2196.5597133455485</v>
      </c>
      <c r="G180" s="80">
        <f t="shared" si="14"/>
        <v>277.95008567015361</v>
      </c>
      <c r="H180" s="73">
        <f t="shared" si="15"/>
        <v>7.9414310191472465E-2</v>
      </c>
      <c r="I180" s="61"/>
    </row>
    <row r="181" spans="1:9" x14ac:dyDescent="0.25">
      <c r="A181" s="70">
        <v>43084</v>
      </c>
      <c r="B181" s="71">
        <f t="shared" si="16"/>
        <v>179</v>
      </c>
      <c r="C181" s="72">
        <f t="shared" si="17"/>
        <v>168.88671748561993</v>
      </c>
      <c r="D181" s="72">
        <v>160</v>
      </c>
      <c r="E181" s="80">
        <f t="shared" si="12"/>
        <v>8.8867174856199256</v>
      </c>
      <c r="F181" s="72">
        <f t="shared" si="13"/>
        <v>2195.5273273130592</v>
      </c>
      <c r="G181" s="80">
        <f t="shared" si="14"/>
        <v>275.48824205421772</v>
      </c>
      <c r="H181" s="73">
        <f t="shared" si="15"/>
        <v>7.8710926301205061E-2</v>
      </c>
      <c r="I181" s="61"/>
    </row>
    <row r="182" spans="1:9" x14ac:dyDescent="0.25">
      <c r="A182" s="70">
        <v>43084</v>
      </c>
      <c r="B182" s="71">
        <f t="shared" si="16"/>
        <v>180</v>
      </c>
      <c r="C182" s="72">
        <f t="shared" si="17"/>
        <v>168.80800655931873</v>
      </c>
      <c r="D182" s="72">
        <v>160</v>
      </c>
      <c r="E182" s="80">
        <f t="shared" si="12"/>
        <v>8.8080065593187271</v>
      </c>
      <c r="F182" s="72">
        <f t="shared" si="13"/>
        <v>2194.5040852711436</v>
      </c>
      <c r="G182" s="80">
        <f t="shared" si="14"/>
        <v>273.04820333888051</v>
      </c>
      <c r="H182" s="73">
        <f t="shared" si="15"/>
        <v>7.8013772382537289E-2</v>
      </c>
      <c r="I182" s="61"/>
    </row>
    <row r="183" spans="1:9" x14ac:dyDescent="0.25">
      <c r="A183" s="70">
        <v>43084</v>
      </c>
      <c r="B183" s="71">
        <f t="shared" si="16"/>
        <v>181</v>
      </c>
      <c r="C183" s="72">
        <f t="shared" si="17"/>
        <v>168.72999278693618</v>
      </c>
      <c r="D183" s="72">
        <v>160</v>
      </c>
      <c r="E183" s="80">
        <f t="shared" si="12"/>
        <v>8.7299927869361795</v>
      </c>
      <c r="F183" s="72">
        <f t="shared" si="13"/>
        <v>2193.4899062301702</v>
      </c>
      <c r="G183" s="80">
        <f t="shared" si="14"/>
        <v>270.62977639502157</v>
      </c>
      <c r="H183" s="73">
        <f t="shared" si="15"/>
        <v>7.7322793255720446E-2</v>
      </c>
      <c r="I183" s="61"/>
    </row>
    <row r="184" spans="1:9" x14ac:dyDescent="0.25">
      <c r="A184" s="70">
        <v>43084</v>
      </c>
      <c r="B184" s="71">
        <f t="shared" si="16"/>
        <v>182</v>
      </c>
      <c r="C184" s="72">
        <f t="shared" si="17"/>
        <v>168.65266999368046</v>
      </c>
      <c r="D184" s="72">
        <v>160</v>
      </c>
      <c r="E184" s="80">
        <f t="shared" si="12"/>
        <v>8.6526699936804619</v>
      </c>
      <c r="F184" s="72">
        <f t="shared" si="13"/>
        <v>2192.484709917846</v>
      </c>
      <c r="G184" s="80">
        <f t="shared" si="14"/>
        <v>268.23276980409435</v>
      </c>
      <c r="H184" s="73">
        <f t="shared" si="15"/>
        <v>7.6637934229741245E-2</v>
      </c>
      <c r="I184" s="61"/>
    </row>
    <row r="185" spans="1:9" x14ac:dyDescent="0.25">
      <c r="A185" s="70">
        <v>43084</v>
      </c>
      <c r="B185" s="71">
        <f t="shared" si="16"/>
        <v>183</v>
      </c>
      <c r="C185" s="72">
        <f t="shared" si="17"/>
        <v>168.57603205945071</v>
      </c>
      <c r="D185" s="72">
        <v>160</v>
      </c>
      <c r="E185" s="80">
        <f t="shared" si="12"/>
        <v>8.5760320594507107</v>
      </c>
      <c r="F185" s="72">
        <f t="shared" si="13"/>
        <v>2191.4884167728592</v>
      </c>
      <c r="G185" s="80">
        <f t="shared" si="14"/>
        <v>265.85699384297203</v>
      </c>
      <c r="H185" s="73">
        <f t="shared" si="15"/>
        <v>7.5959141097992011E-2</v>
      </c>
      <c r="I185" s="61"/>
    </row>
    <row r="186" spans="1:9" x14ac:dyDescent="0.25">
      <c r="A186" s="70">
        <v>43084</v>
      </c>
      <c r="B186" s="71">
        <f t="shared" si="16"/>
        <v>184</v>
      </c>
      <c r="C186" s="72">
        <f t="shared" si="17"/>
        <v>168.50007291835271</v>
      </c>
      <c r="D186" s="72">
        <v>160</v>
      </c>
      <c r="E186" s="80">
        <f t="shared" si="12"/>
        <v>8.5000729183527142</v>
      </c>
      <c r="F186" s="72">
        <f t="shared" si="13"/>
        <v>2190.5009479385853</v>
      </c>
      <c r="G186" s="80">
        <f t="shared" si="14"/>
        <v>263.50226046893414</v>
      </c>
      <c r="H186" s="73">
        <f t="shared" si="15"/>
        <v>7.5286360133981184E-2</v>
      </c>
      <c r="I186" s="61"/>
    </row>
    <row r="187" spans="1:9" x14ac:dyDescent="0.25">
      <c r="A187" s="70">
        <v>43084</v>
      </c>
      <c r="B187" s="71">
        <f t="shared" si="16"/>
        <v>185</v>
      </c>
      <c r="C187" s="72">
        <f t="shared" si="17"/>
        <v>168.42478655821873</v>
      </c>
      <c r="D187" s="72">
        <v>160</v>
      </c>
      <c r="E187" s="80">
        <f t="shared" si="12"/>
        <v>8.4247865582187274</v>
      </c>
      <c r="F187" s="72">
        <f t="shared" si="13"/>
        <v>2189.5222252568433</v>
      </c>
      <c r="G187" s="80">
        <f t="shared" si="14"/>
        <v>261.16838330478055</v>
      </c>
      <c r="H187" s="73">
        <f t="shared" si="15"/>
        <v>7.4619538087080162E-2</v>
      </c>
      <c r="I187" s="61"/>
    </row>
    <row r="188" spans="1:9" x14ac:dyDescent="0.25">
      <c r="A188" s="70">
        <v>43084</v>
      </c>
      <c r="B188" s="71">
        <f t="shared" si="16"/>
        <v>186</v>
      </c>
      <c r="C188" s="72">
        <f t="shared" si="17"/>
        <v>168.35016702013164</v>
      </c>
      <c r="D188" s="72">
        <v>160</v>
      </c>
      <c r="E188" s="80">
        <f t="shared" si="12"/>
        <v>8.3501670201316358</v>
      </c>
      <c r="F188" s="72">
        <f t="shared" si="13"/>
        <v>2188.5521712617115</v>
      </c>
      <c r="G188" s="80">
        <f t="shared" si="14"/>
        <v>258.85517762408074</v>
      </c>
      <c r="H188" s="73">
        <f t="shared" si="15"/>
        <v>7.3958622178308786E-2</v>
      </c>
      <c r="I188" s="61"/>
    </row>
    <row r="189" spans="1:9" x14ac:dyDescent="0.25">
      <c r="A189" s="70">
        <v>43084</v>
      </c>
      <c r="B189" s="71">
        <f t="shared" si="16"/>
        <v>187</v>
      </c>
      <c r="C189" s="72">
        <f t="shared" si="17"/>
        <v>168.27620839795333</v>
      </c>
      <c r="D189" s="72">
        <v>160</v>
      </c>
      <c r="E189" s="80">
        <f t="shared" si="12"/>
        <v>8.2762083979533259</v>
      </c>
      <c r="F189" s="72">
        <f t="shared" si="13"/>
        <v>2187.5907091733934</v>
      </c>
      <c r="G189" s="80">
        <f t="shared" si="14"/>
        <v>256.5624603365531</v>
      </c>
      <c r="H189" s="73">
        <f t="shared" si="15"/>
        <v>7.330356009615803E-2</v>
      </c>
      <c r="I189" s="61"/>
    </row>
    <row r="190" spans="1:9" x14ac:dyDescent="0.25">
      <c r="A190" s="70">
        <v>43084</v>
      </c>
      <c r="B190" s="71">
        <f t="shared" si="16"/>
        <v>188</v>
      </c>
      <c r="C190" s="72">
        <f t="shared" si="17"/>
        <v>168.20290483785718</v>
      </c>
      <c r="D190" s="72">
        <v>160</v>
      </c>
      <c r="E190" s="80">
        <f t="shared" si="12"/>
        <v>8.2029048378571758</v>
      </c>
      <c r="F190" s="72">
        <f t="shared" si="13"/>
        <v>2186.6377628921432</v>
      </c>
      <c r="G190" s="80">
        <f t="shared" si="14"/>
        <v>254.29004997357245</v>
      </c>
      <c r="H190" s="73">
        <f t="shared" si="15"/>
        <v>7.2654299992449267E-2</v>
      </c>
      <c r="I190" s="61"/>
    </row>
    <row r="191" spans="1:9" x14ac:dyDescent="0.25">
      <c r="A191" s="70">
        <v>43084</v>
      </c>
      <c r="B191" s="71">
        <f t="shared" si="16"/>
        <v>189</v>
      </c>
      <c r="C191" s="72">
        <f t="shared" si="17"/>
        <v>168.13025053786473</v>
      </c>
      <c r="D191" s="72">
        <v>160</v>
      </c>
      <c r="E191" s="80">
        <f t="shared" si="12"/>
        <v>8.1302505378647254</v>
      </c>
      <c r="F191" s="72">
        <f t="shared" si="13"/>
        <v>2185.6932569922415</v>
      </c>
      <c r="G191" s="80">
        <f t="shared" si="14"/>
        <v>252.03776667380649</v>
      </c>
      <c r="H191" s="73">
        <f t="shared" si="15"/>
        <v>7.2010790478230419E-2</v>
      </c>
      <c r="I191" s="61"/>
    </row>
    <row r="192" spans="1:9" x14ac:dyDescent="0.25">
      <c r="A192" s="70">
        <v>43084</v>
      </c>
      <c r="B192" s="71">
        <f t="shared" si="16"/>
        <v>190</v>
      </c>
      <c r="C192" s="72">
        <f t="shared" si="17"/>
        <v>168.05823974738649</v>
      </c>
      <c r="D192" s="72">
        <v>160</v>
      </c>
      <c r="E192" s="80">
        <f t="shared" si="12"/>
        <v>8.0582397473864944</v>
      </c>
      <c r="F192" s="72">
        <f t="shared" si="13"/>
        <v>2184.7571167160245</v>
      </c>
      <c r="G192" s="80">
        <f t="shared" si="14"/>
        <v>249.80543216898133</v>
      </c>
      <c r="H192" s="73">
        <f t="shared" si="15"/>
        <v>7.1372980619708953E-2</v>
      </c>
      <c r="I192" s="61"/>
    </row>
    <row r="193" spans="1:9" x14ac:dyDescent="0.25">
      <c r="A193" s="70">
        <v>43084</v>
      </c>
      <c r="B193" s="71">
        <f t="shared" si="16"/>
        <v>191</v>
      </c>
      <c r="C193" s="72">
        <f t="shared" si="17"/>
        <v>167.98686676676678</v>
      </c>
      <c r="D193" s="72">
        <v>160</v>
      </c>
      <c r="E193" s="80">
        <f t="shared" si="12"/>
        <v>7.9868667667667808</v>
      </c>
      <c r="F193" s="72">
        <f t="shared" si="13"/>
        <v>2183.829267967968</v>
      </c>
      <c r="G193" s="80">
        <f t="shared" si="14"/>
        <v>247.5928697697702</v>
      </c>
      <c r="H193" s="73">
        <f t="shared" si="15"/>
        <v>7.0740819934220059E-2</v>
      </c>
      <c r="I193" s="61"/>
    </row>
    <row r="194" spans="1:9" x14ac:dyDescent="0.25">
      <c r="A194" s="70">
        <v>43084</v>
      </c>
      <c r="B194" s="71">
        <f t="shared" si="16"/>
        <v>192</v>
      </c>
      <c r="C194" s="72">
        <f t="shared" si="17"/>
        <v>167.91612594683255</v>
      </c>
      <c r="D194" s="72">
        <v>160</v>
      </c>
      <c r="E194" s="80">
        <f t="shared" si="12"/>
        <v>7.9161259468325511</v>
      </c>
      <c r="F194" s="72">
        <f t="shared" si="13"/>
        <v>2182.9096373088232</v>
      </c>
      <c r="G194" s="80">
        <f t="shared" si="14"/>
        <v>245.39990435180908</v>
      </c>
      <c r="H194" s="73">
        <f t="shared" si="15"/>
        <v>7.0114258386231171E-2</v>
      </c>
      <c r="I194" s="61"/>
    </row>
    <row r="195" spans="1:9" x14ac:dyDescent="0.25">
      <c r="A195" s="70">
        <v>43084</v>
      </c>
      <c r="B195" s="71">
        <f t="shared" si="16"/>
        <v>193</v>
      </c>
      <c r="C195" s="72">
        <f t="shared" si="17"/>
        <v>167.84601168844631</v>
      </c>
      <c r="D195" s="72">
        <v>160</v>
      </c>
      <c r="E195" s="80">
        <f t="shared" ref="E195:E258" si="18">C195-D195</f>
        <v>7.8460116884463105</v>
      </c>
      <c r="F195" s="72">
        <f t="shared" ref="F195:F258" si="19">13*C195</f>
        <v>2181.9981519498019</v>
      </c>
      <c r="G195" s="80">
        <f t="shared" ref="G195:G258" si="20">E195*31</f>
        <v>243.22636234183562</v>
      </c>
      <c r="H195" s="73">
        <f t="shared" ref="H195:H258" si="21">MIN($G195/3500,$F195/3500)</f>
        <v>6.9493246383381613E-2</v>
      </c>
      <c r="I195" s="61"/>
    </row>
    <row r="196" spans="1:9" x14ac:dyDescent="0.25">
      <c r="A196" s="70">
        <v>43084</v>
      </c>
      <c r="B196" s="71">
        <f t="shared" ref="B196:B259" si="22">B195+1</f>
        <v>194</v>
      </c>
      <c r="C196" s="72">
        <f t="shared" ref="C196:C259" si="23">C195-H195</f>
        <v>167.77651844206292</v>
      </c>
      <c r="D196" s="72">
        <v>160</v>
      </c>
      <c r="E196" s="80">
        <f t="shared" si="18"/>
        <v>7.7765184420629225</v>
      </c>
      <c r="F196" s="72">
        <f t="shared" si="19"/>
        <v>2181.094739746818</v>
      </c>
      <c r="G196" s="80">
        <f t="shared" si="20"/>
        <v>241.0720717039506</v>
      </c>
      <c r="H196" s="73">
        <f t="shared" si="21"/>
        <v>6.887773477255732E-2</v>
      </c>
      <c r="I196" s="61"/>
    </row>
    <row r="197" spans="1:9" x14ac:dyDescent="0.25">
      <c r="A197" s="70">
        <v>43084</v>
      </c>
      <c r="B197" s="71">
        <f t="shared" si="22"/>
        <v>195</v>
      </c>
      <c r="C197" s="72">
        <f t="shared" si="23"/>
        <v>167.70764070729035</v>
      </c>
      <c r="D197" s="72">
        <v>160</v>
      </c>
      <c r="E197" s="80">
        <f t="shared" si="18"/>
        <v>7.7076407072903521</v>
      </c>
      <c r="F197" s="72">
        <f t="shared" si="19"/>
        <v>2180.1993291947747</v>
      </c>
      <c r="G197" s="80">
        <f t="shared" si="20"/>
        <v>238.93686192600092</v>
      </c>
      <c r="H197" s="73">
        <f t="shared" si="21"/>
        <v>6.8267674836000256E-2</v>
      </c>
      <c r="I197" s="61"/>
    </row>
    <row r="198" spans="1:9" x14ac:dyDescent="0.25">
      <c r="A198" s="70">
        <v>43084</v>
      </c>
      <c r="B198" s="71">
        <f t="shared" si="22"/>
        <v>196</v>
      </c>
      <c r="C198" s="72">
        <f t="shared" si="23"/>
        <v>167.63937303245436</v>
      </c>
      <c r="D198" s="72">
        <v>160</v>
      </c>
      <c r="E198" s="80">
        <f t="shared" si="18"/>
        <v>7.6393730324543583</v>
      </c>
      <c r="F198" s="72">
        <f t="shared" si="19"/>
        <v>2179.3118494219066</v>
      </c>
      <c r="G198" s="80">
        <f t="shared" si="20"/>
        <v>236.82056400608511</v>
      </c>
      <c r="H198" s="73">
        <f t="shared" si="21"/>
        <v>6.7663018287452886E-2</v>
      </c>
      <c r="I198" s="61"/>
    </row>
    <row r="199" spans="1:9" x14ac:dyDescent="0.25">
      <c r="A199" s="70">
        <v>43084</v>
      </c>
      <c r="B199" s="71">
        <f t="shared" si="22"/>
        <v>197</v>
      </c>
      <c r="C199" s="72">
        <f t="shared" si="23"/>
        <v>167.57171001416691</v>
      </c>
      <c r="D199" s="72">
        <v>160</v>
      </c>
      <c r="E199" s="80">
        <f t="shared" si="18"/>
        <v>7.5717100141669107</v>
      </c>
      <c r="F199" s="72">
        <f t="shared" si="19"/>
        <v>2178.4322301841698</v>
      </c>
      <c r="G199" s="80">
        <f t="shared" si="20"/>
        <v>234.72301043917423</v>
      </c>
      <c r="H199" s="73">
        <f t="shared" si="21"/>
        <v>6.7063717268335502E-2</v>
      </c>
      <c r="I199" s="61"/>
    </row>
    <row r="200" spans="1:9" x14ac:dyDescent="0.25">
      <c r="A200" s="70">
        <v>43084</v>
      </c>
      <c r="B200" s="71">
        <f t="shared" si="22"/>
        <v>198</v>
      </c>
      <c r="C200" s="72">
        <f t="shared" si="23"/>
        <v>167.50464629689858</v>
      </c>
      <c r="D200" s="72">
        <v>160</v>
      </c>
      <c r="E200" s="80">
        <f t="shared" si="18"/>
        <v>7.504646296898585</v>
      </c>
      <c r="F200" s="72">
        <f t="shared" si="19"/>
        <v>2177.5604018596814</v>
      </c>
      <c r="G200" s="80">
        <f t="shared" si="20"/>
        <v>232.64403520385613</v>
      </c>
      <c r="H200" s="73">
        <f t="shared" si="21"/>
        <v>6.6469724343958897E-2</v>
      </c>
      <c r="I200" s="61"/>
    </row>
    <row r="201" spans="1:9" x14ac:dyDescent="0.25">
      <c r="A201" s="70">
        <v>43084</v>
      </c>
      <c r="B201" s="71">
        <f t="shared" si="22"/>
        <v>199</v>
      </c>
      <c r="C201" s="72">
        <f t="shared" si="23"/>
        <v>167.43817657255462</v>
      </c>
      <c r="D201" s="72">
        <v>160</v>
      </c>
      <c r="E201" s="80">
        <f t="shared" si="18"/>
        <v>7.4381765725546245</v>
      </c>
      <c r="F201" s="72">
        <f t="shared" si="19"/>
        <v>2176.6962954432101</v>
      </c>
      <c r="G201" s="80">
        <f t="shared" si="20"/>
        <v>230.58347374919336</v>
      </c>
      <c r="H201" s="73">
        <f t="shared" si="21"/>
        <v>6.5880992499769531E-2</v>
      </c>
      <c r="I201" s="61"/>
    </row>
    <row r="202" spans="1:9" x14ac:dyDescent="0.25">
      <c r="A202" s="70">
        <v>43084</v>
      </c>
      <c r="B202" s="71">
        <f t="shared" si="22"/>
        <v>200</v>
      </c>
      <c r="C202" s="72">
        <f t="shared" si="23"/>
        <v>167.37229558005487</v>
      </c>
      <c r="D202" s="72">
        <v>160</v>
      </c>
      <c r="E202" s="80">
        <f t="shared" si="18"/>
        <v>7.3722955800548675</v>
      </c>
      <c r="F202" s="72">
        <f t="shared" si="19"/>
        <v>2175.8398425407131</v>
      </c>
      <c r="G202" s="80">
        <f t="shared" si="20"/>
        <v>228.54116298170089</v>
      </c>
      <c r="H202" s="73">
        <f t="shared" si="21"/>
        <v>6.5297475137628833E-2</v>
      </c>
      <c r="I202" s="61"/>
    </row>
    <row r="203" spans="1:9" x14ac:dyDescent="0.25">
      <c r="A203" s="70">
        <v>43084</v>
      </c>
      <c r="B203" s="71">
        <f t="shared" si="22"/>
        <v>201</v>
      </c>
      <c r="C203" s="72">
        <f t="shared" si="23"/>
        <v>167.30699810491723</v>
      </c>
      <c r="D203" s="72">
        <v>160</v>
      </c>
      <c r="E203" s="80">
        <f t="shared" si="18"/>
        <v>7.306998104917227</v>
      </c>
      <c r="F203" s="72">
        <f t="shared" si="19"/>
        <v>2174.990975363924</v>
      </c>
      <c r="G203" s="80">
        <f t="shared" si="20"/>
        <v>226.51694125243404</v>
      </c>
      <c r="H203" s="73">
        <f t="shared" si="21"/>
        <v>6.4719126072124017E-2</v>
      </c>
      <c r="I203" s="61"/>
    </row>
    <row r="204" spans="1:9" x14ac:dyDescent="0.25">
      <c r="A204" s="70">
        <v>43084</v>
      </c>
      <c r="B204" s="71">
        <f t="shared" si="22"/>
        <v>202</v>
      </c>
      <c r="C204" s="72">
        <f t="shared" si="23"/>
        <v>167.24227897884509</v>
      </c>
      <c r="D204" s="72">
        <v>160</v>
      </c>
      <c r="E204" s="80">
        <f t="shared" si="18"/>
        <v>7.2422789788450928</v>
      </c>
      <c r="F204" s="72">
        <f t="shared" si="19"/>
        <v>2174.1496267249863</v>
      </c>
      <c r="G204" s="80">
        <f t="shared" si="20"/>
        <v>224.51064834419788</v>
      </c>
      <c r="H204" s="73">
        <f t="shared" si="21"/>
        <v>6.4145899526913686E-2</v>
      </c>
      <c r="I204" s="61"/>
    </row>
    <row r="205" spans="1:9" x14ac:dyDescent="0.25">
      <c r="A205" s="70">
        <v>43084</v>
      </c>
      <c r="B205" s="71">
        <f t="shared" si="22"/>
        <v>203</v>
      </c>
      <c r="C205" s="72">
        <f t="shared" si="23"/>
        <v>167.17813307931817</v>
      </c>
      <c r="D205" s="72">
        <v>160</v>
      </c>
      <c r="E205" s="80">
        <f t="shared" si="18"/>
        <v>7.1781330793181723</v>
      </c>
      <c r="F205" s="72">
        <f t="shared" si="19"/>
        <v>2173.3157300311364</v>
      </c>
      <c r="G205" s="80">
        <f t="shared" si="20"/>
        <v>222.52212545886334</v>
      </c>
      <c r="H205" s="73">
        <f t="shared" si="21"/>
        <v>6.3577750131103811E-2</v>
      </c>
      <c r="I205" s="61"/>
    </row>
    <row r="206" spans="1:9" x14ac:dyDescent="0.25">
      <c r="A206" s="70">
        <v>43084</v>
      </c>
      <c r="B206" s="71">
        <f t="shared" si="22"/>
        <v>204</v>
      </c>
      <c r="C206" s="72">
        <f t="shared" si="23"/>
        <v>167.11455532918706</v>
      </c>
      <c r="D206" s="72">
        <v>160</v>
      </c>
      <c r="E206" s="80">
        <f t="shared" si="18"/>
        <v>7.1145553291870556</v>
      </c>
      <c r="F206" s="72">
        <f t="shared" si="19"/>
        <v>2172.4892192794318</v>
      </c>
      <c r="G206" s="80">
        <f t="shared" si="20"/>
        <v>220.55121520479872</v>
      </c>
      <c r="H206" s="73">
        <f t="shared" si="21"/>
        <v>6.3014632915656774E-2</v>
      </c>
      <c r="I206" s="61"/>
    </row>
    <row r="207" spans="1:9" x14ac:dyDescent="0.25">
      <c r="A207" s="70">
        <v>43084</v>
      </c>
      <c r="B207" s="71">
        <f t="shared" si="22"/>
        <v>205</v>
      </c>
      <c r="C207" s="72">
        <f t="shared" si="23"/>
        <v>167.05154069627139</v>
      </c>
      <c r="D207" s="72">
        <v>160</v>
      </c>
      <c r="E207" s="80">
        <f t="shared" si="18"/>
        <v>7.0515406962713882</v>
      </c>
      <c r="F207" s="72">
        <f t="shared" si="19"/>
        <v>2171.6700290515282</v>
      </c>
      <c r="G207" s="80">
        <f t="shared" si="20"/>
        <v>218.59776158441304</v>
      </c>
      <c r="H207" s="73">
        <f t="shared" si="21"/>
        <v>6.2456503309832295E-2</v>
      </c>
      <c r="I207" s="61"/>
    </row>
    <row r="208" spans="1:9" x14ac:dyDescent="0.25">
      <c r="A208" s="70">
        <v>43084</v>
      </c>
      <c r="B208" s="71">
        <f t="shared" si="22"/>
        <v>206</v>
      </c>
      <c r="C208" s="72">
        <f t="shared" si="23"/>
        <v>166.98908419296154</v>
      </c>
      <c r="D208" s="72">
        <v>160</v>
      </c>
      <c r="E208" s="80">
        <f t="shared" si="18"/>
        <v>6.9890841929615419</v>
      </c>
      <c r="F208" s="72">
        <f t="shared" si="19"/>
        <v>2170.8580945085</v>
      </c>
      <c r="G208" s="80">
        <f t="shared" si="20"/>
        <v>216.6616099818078</v>
      </c>
      <c r="H208" s="73">
        <f t="shared" si="21"/>
        <v>6.1903317137659369E-2</v>
      </c>
      <c r="I208" s="61"/>
    </row>
    <row r="209" spans="1:9" x14ac:dyDescent="0.25">
      <c r="A209" s="70">
        <v>43084</v>
      </c>
      <c r="B209" s="71">
        <f t="shared" si="22"/>
        <v>207</v>
      </c>
      <c r="C209" s="72">
        <f t="shared" si="23"/>
        <v>166.92718087582389</v>
      </c>
      <c r="D209" s="72">
        <v>160</v>
      </c>
      <c r="E209" s="80">
        <f t="shared" si="18"/>
        <v>6.9271808758238933</v>
      </c>
      <c r="F209" s="72">
        <f t="shared" si="19"/>
        <v>2170.0533513857108</v>
      </c>
      <c r="G209" s="80">
        <f t="shared" si="20"/>
        <v>214.74260715054069</v>
      </c>
      <c r="H209" s="73">
        <f t="shared" si="21"/>
        <v>6.1355030614440198E-2</v>
      </c>
      <c r="I209" s="61"/>
    </row>
    <row r="210" spans="1:9" x14ac:dyDescent="0.25">
      <c r="A210" s="70">
        <v>43084</v>
      </c>
      <c r="B210" s="71">
        <f t="shared" si="22"/>
        <v>208</v>
      </c>
      <c r="C210" s="72">
        <f t="shared" si="23"/>
        <v>166.86582584520946</v>
      </c>
      <c r="D210" s="72">
        <v>160</v>
      </c>
      <c r="E210" s="80">
        <f t="shared" si="18"/>
        <v>6.8658258452094572</v>
      </c>
      <c r="F210" s="72">
        <f t="shared" si="19"/>
        <v>2169.2557359877228</v>
      </c>
      <c r="G210" s="80">
        <f t="shared" si="20"/>
        <v>212.84060120149317</v>
      </c>
      <c r="H210" s="73">
        <f t="shared" si="21"/>
        <v>6.0811600343283763E-2</v>
      </c>
      <c r="I210" s="61"/>
    </row>
    <row r="211" spans="1:9" x14ac:dyDescent="0.25">
      <c r="A211" s="70">
        <v>43084</v>
      </c>
      <c r="B211" s="71">
        <f t="shared" si="22"/>
        <v>209</v>
      </c>
      <c r="C211" s="72">
        <f t="shared" si="23"/>
        <v>166.80501424486619</v>
      </c>
      <c r="D211" s="72">
        <v>160</v>
      </c>
      <c r="E211" s="80">
        <f t="shared" si="18"/>
        <v>6.8050142448661859</v>
      </c>
      <c r="F211" s="72">
        <f t="shared" si="19"/>
        <v>2168.4651851832605</v>
      </c>
      <c r="G211" s="80">
        <f t="shared" si="20"/>
        <v>210.95544159085176</v>
      </c>
      <c r="H211" s="73">
        <f t="shared" si="21"/>
        <v>6.0272983311671934E-2</v>
      </c>
      <c r="I211" s="61"/>
    </row>
    <row r="212" spans="1:9" x14ac:dyDescent="0.25">
      <c r="A212" s="70">
        <v>43084</v>
      </c>
      <c r="B212" s="71">
        <f t="shared" si="22"/>
        <v>210</v>
      </c>
      <c r="C212" s="72">
        <f t="shared" si="23"/>
        <v>166.74474126155451</v>
      </c>
      <c r="D212" s="72">
        <v>160</v>
      </c>
      <c r="E212" s="80">
        <f t="shared" si="18"/>
        <v>6.744741261554509</v>
      </c>
      <c r="F212" s="72">
        <f t="shared" si="19"/>
        <v>2167.6816364002088</v>
      </c>
      <c r="G212" s="80">
        <f t="shared" si="20"/>
        <v>209.08697910818978</v>
      </c>
      <c r="H212" s="73">
        <f t="shared" si="21"/>
        <v>5.9739136888054226E-2</v>
      </c>
      <c r="I212" s="61"/>
    </row>
    <row r="213" spans="1:9" x14ac:dyDescent="0.25">
      <c r="A213" s="70">
        <v>43084</v>
      </c>
      <c r="B213" s="71">
        <f t="shared" si="22"/>
        <v>211</v>
      </c>
      <c r="C213" s="72">
        <f t="shared" si="23"/>
        <v>166.68500212466645</v>
      </c>
      <c r="D213" s="72">
        <v>160</v>
      </c>
      <c r="E213" s="80">
        <f t="shared" si="18"/>
        <v>6.6850021246664539</v>
      </c>
      <c r="F213" s="72">
        <f t="shared" si="19"/>
        <v>2166.905027620664</v>
      </c>
      <c r="G213" s="80">
        <f t="shared" si="20"/>
        <v>207.23506586466007</v>
      </c>
      <c r="H213" s="73">
        <f t="shared" si="21"/>
        <v>5.9210018818474305E-2</v>
      </c>
      <c r="I213" s="61"/>
    </row>
    <row r="214" spans="1:9" x14ac:dyDescent="0.25">
      <c r="A214" s="70">
        <v>43084</v>
      </c>
      <c r="B214" s="71">
        <f t="shared" si="22"/>
        <v>212</v>
      </c>
      <c r="C214" s="72">
        <f t="shared" si="23"/>
        <v>166.62579210584798</v>
      </c>
      <c r="D214" s="72">
        <v>160</v>
      </c>
      <c r="E214" s="80">
        <f t="shared" si="18"/>
        <v>6.6257921058479781</v>
      </c>
      <c r="F214" s="72">
        <f t="shared" si="19"/>
        <v>2166.1352973760236</v>
      </c>
      <c r="G214" s="80">
        <f t="shared" si="20"/>
        <v>205.39955528128732</v>
      </c>
      <c r="H214" s="73">
        <f t="shared" si="21"/>
        <v>5.868558722322495E-2</v>
      </c>
      <c r="I214" s="61"/>
    </row>
    <row r="215" spans="1:9" x14ac:dyDescent="0.25">
      <c r="A215" s="70">
        <v>43084</v>
      </c>
      <c r="B215" s="71">
        <f t="shared" si="22"/>
        <v>213</v>
      </c>
      <c r="C215" s="72">
        <f t="shared" si="23"/>
        <v>166.56710651862474</v>
      </c>
      <c r="D215" s="72">
        <v>160</v>
      </c>
      <c r="E215" s="80">
        <f t="shared" si="18"/>
        <v>6.5671065186247404</v>
      </c>
      <c r="F215" s="72">
        <f t="shared" si="19"/>
        <v>2165.3723847421215</v>
      </c>
      <c r="G215" s="80">
        <f t="shared" si="20"/>
        <v>203.58030207736695</v>
      </c>
      <c r="H215" s="73">
        <f t="shared" si="21"/>
        <v>5.8165800593533414E-2</v>
      </c>
      <c r="I215" s="61"/>
    </row>
    <row r="216" spans="1:9" x14ac:dyDescent="0.25">
      <c r="A216" s="70">
        <v>43084</v>
      </c>
      <c r="B216" s="71">
        <f t="shared" si="22"/>
        <v>214</v>
      </c>
      <c r="C216" s="72">
        <f t="shared" si="23"/>
        <v>166.5089407180312</v>
      </c>
      <c r="D216" s="72">
        <v>160</v>
      </c>
      <c r="E216" s="80">
        <f t="shared" si="18"/>
        <v>6.508940718031198</v>
      </c>
      <c r="F216" s="72">
        <f t="shared" si="19"/>
        <v>2164.6162293344055</v>
      </c>
      <c r="G216" s="80">
        <f t="shared" si="20"/>
        <v>201.77716225896714</v>
      </c>
      <c r="H216" s="73">
        <f t="shared" si="21"/>
        <v>5.7650617788276327E-2</v>
      </c>
      <c r="I216" s="61"/>
    </row>
    <row r="217" spans="1:9" x14ac:dyDescent="0.25">
      <c r="A217" s="70">
        <v>43084</v>
      </c>
      <c r="B217" s="71">
        <f t="shared" si="22"/>
        <v>215</v>
      </c>
      <c r="C217" s="72">
        <f t="shared" si="23"/>
        <v>166.45129010024291</v>
      </c>
      <c r="D217" s="72">
        <v>160</v>
      </c>
      <c r="E217" s="80">
        <f t="shared" si="18"/>
        <v>6.4512901002429146</v>
      </c>
      <c r="F217" s="72">
        <f t="shared" si="19"/>
        <v>2163.8667713031577</v>
      </c>
      <c r="G217" s="80">
        <f t="shared" si="20"/>
        <v>199.98999310753035</v>
      </c>
      <c r="H217" s="73">
        <f t="shared" si="21"/>
        <v>5.7139998030722956E-2</v>
      </c>
      <c r="I217" s="61"/>
    </row>
    <row r="218" spans="1:9" x14ac:dyDescent="0.25">
      <c r="A218" s="70">
        <v>43084</v>
      </c>
      <c r="B218" s="71">
        <f t="shared" si="22"/>
        <v>216</v>
      </c>
      <c r="C218" s="72">
        <f t="shared" si="23"/>
        <v>166.39415010221219</v>
      </c>
      <c r="D218" s="72">
        <v>160</v>
      </c>
      <c r="E218" s="80">
        <f t="shared" si="18"/>
        <v>6.394150102212194</v>
      </c>
      <c r="F218" s="72">
        <f t="shared" si="19"/>
        <v>2163.1239513287587</v>
      </c>
      <c r="G218" s="80">
        <f t="shared" si="20"/>
        <v>198.21865316857802</v>
      </c>
      <c r="H218" s="73">
        <f t="shared" si="21"/>
        <v>5.6633900905308003E-2</v>
      </c>
      <c r="I218" s="61"/>
    </row>
    <row r="219" spans="1:9" x14ac:dyDescent="0.25">
      <c r="A219" s="70">
        <v>43084</v>
      </c>
      <c r="B219" s="71">
        <f t="shared" si="22"/>
        <v>217</v>
      </c>
      <c r="C219" s="72">
        <f t="shared" si="23"/>
        <v>166.3375162013069</v>
      </c>
      <c r="D219" s="72">
        <v>160</v>
      </c>
      <c r="E219" s="80">
        <f t="shared" si="18"/>
        <v>6.3375162013068973</v>
      </c>
      <c r="F219" s="72">
        <f t="shared" si="19"/>
        <v>2162.3877106169898</v>
      </c>
      <c r="G219" s="80">
        <f t="shared" si="20"/>
        <v>196.46300224051382</v>
      </c>
      <c r="H219" s="73">
        <f t="shared" si="21"/>
        <v>5.6132286354432522E-2</v>
      </c>
      <c r="I219" s="61"/>
    </row>
    <row r="220" spans="1:9" x14ac:dyDescent="0.25">
      <c r="A220" s="70">
        <v>43084</v>
      </c>
      <c r="B220" s="71">
        <f t="shared" si="22"/>
        <v>218</v>
      </c>
      <c r="C220" s="72">
        <f t="shared" si="23"/>
        <v>166.28138391495247</v>
      </c>
      <c r="D220" s="72">
        <v>160</v>
      </c>
      <c r="E220" s="80">
        <f t="shared" si="18"/>
        <v>6.2813839149524711</v>
      </c>
      <c r="F220" s="72">
        <f t="shared" si="19"/>
        <v>2161.6579908943822</v>
      </c>
      <c r="G220" s="80">
        <f t="shared" si="20"/>
        <v>194.7229013635266</v>
      </c>
      <c r="H220" s="73">
        <f t="shared" si="21"/>
        <v>5.5635114675293314E-2</v>
      </c>
      <c r="I220" s="61"/>
    </row>
    <row r="221" spans="1:9" x14ac:dyDescent="0.25">
      <c r="A221" s="70">
        <v>43084</v>
      </c>
      <c r="B221" s="71">
        <f t="shared" si="22"/>
        <v>219</v>
      </c>
      <c r="C221" s="72">
        <f t="shared" si="23"/>
        <v>166.22574880027719</v>
      </c>
      <c r="D221" s="72">
        <v>160</v>
      </c>
      <c r="E221" s="80">
        <f t="shared" si="18"/>
        <v>6.2257488002771879</v>
      </c>
      <c r="F221" s="72">
        <f t="shared" si="19"/>
        <v>2160.9347344036032</v>
      </c>
      <c r="G221" s="80">
        <f t="shared" si="20"/>
        <v>192.99821280859283</v>
      </c>
      <c r="H221" s="73">
        <f t="shared" si="21"/>
        <v>5.5142346516740805E-2</v>
      </c>
      <c r="I221" s="61"/>
    </row>
    <row r="222" spans="1:9" x14ac:dyDescent="0.25">
      <c r="A222" s="70">
        <v>43084</v>
      </c>
      <c r="B222" s="71">
        <f t="shared" si="22"/>
        <v>220</v>
      </c>
      <c r="C222" s="72">
        <f t="shared" si="23"/>
        <v>166.17060645376046</v>
      </c>
      <c r="D222" s="72">
        <v>160</v>
      </c>
      <c r="E222" s="80">
        <f t="shared" si="18"/>
        <v>6.1706064537604561</v>
      </c>
      <c r="F222" s="72">
        <f t="shared" si="19"/>
        <v>2160.2178838988857</v>
      </c>
      <c r="G222" s="80">
        <f t="shared" si="20"/>
        <v>191.28880006657414</v>
      </c>
      <c r="H222" s="73">
        <f t="shared" si="21"/>
        <v>5.4653942876164041E-2</v>
      </c>
      <c r="I222" s="61"/>
    </row>
    <row r="223" spans="1:9" x14ac:dyDescent="0.25">
      <c r="A223" s="70">
        <v>43084</v>
      </c>
      <c r="B223" s="71">
        <f t="shared" si="22"/>
        <v>221</v>
      </c>
      <c r="C223" s="72">
        <f t="shared" si="23"/>
        <v>166.11595251088428</v>
      </c>
      <c r="D223" s="72">
        <v>160</v>
      </c>
      <c r="E223" s="80">
        <f t="shared" si="18"/>
        <v>6.1159525108842843</v>
      </c>
      <c r="F223" s="72">
        <f t="shared" si="19"/>
        <v>2159.5073826414955</v>
      </c>
      <c r="G223" s="80">
        <f t="shared" si="20"/>
        <v>189.59452783741281</v>
      </c>
      <c r="H223" s="73">
        <f t="shared" si="21"/>
        <v>5.416986509640366E-2</v>
      </c>
      <c r="I223" s="61"/>
    </row>
    <row r="224" spans="1:9" x14ac:dyDescent="0.25">
      <c r="A224" s="70">
        <v>43084</v>
      </c>
      <c r="B224" s="71">
        <f t="shared" si="22"/>
        <v>222</v>
      </c>
      <c r="C224" s="72">
        <f t="shared" si="23"/>
        <v>166.06178264578787</v>
      </c>
      <c r="D224" s="72">
        <v>160</v>
      </c>
      <c r="E224" s="80">
        <f t="shared" si="18"/>
        <v>6.0617826457878721</v>
      </c>
      <c r="F224" s="72">
        <f t="shared" si="19"/>
        <v>2158.8031743952424</v>
      </c>
      <c r="G224" s="80">
        <f t="shared" si="20"/>
        <v>187.91526201942403</v>
      </c>
      <c r="H224" s="73">
        <f t="shared" si="21"/>
        <v>5.3690074862692581E-2</v>
      </c>
      <c r="I224" s="61"/>
    </row>
    <row r="225" spans="1:9" x14ac:dyDescent="0.25">
      <c r="A225" s="70">
        <v>43084</v>
      </c>
      <c r="B225" s="71">
        <f t="shared" si="22"/>
        <v>223</v>
      </c>
      <c r="C225" s="72">
        <f t="shared" si="23"/>
        <v>166.00809257092519</v>
      </c>
      <c r="D225" s="72">
        <v>160</v>
      </c>
      <c r="E225" s="80">
        <f t="shared" si="18"/>
        <v>6.0080925709251858</v>
      </c>
      <c r="F225" s="72">
        <f t="shared" si="19"/>
        <v>2158.1052034220274</v>
      </c>
      <c r="G225" s="80">
        <f t="shared" si="20"/>
        <v>186.25086969868076</v>
      </c>
      <c r="H225" s="73">
        <f t="shared" si="21"/>
        <v>5.3214534199623076E-2</v>
      </c>
      <c r="I225" s="61"/>
    </row>
    <row r="226" spans="1:9" x14ac:dyDescent="0.25">
      <c r="A226" s="70">
        <v>43084</v>
      </c>
      <c r="B226" s="71">
        <f t="shared" si="22"/>
        <v>224</v>
      </c>
      <c r="C226" s="72">
        <f t="shared" si="23"/>
        <v>165.95487803672557</v>
      </c>
      <c r="D226" s="72">
        <v>160</v>
      </c>
      <c r="E226" s="80">
        <f t="shared" si="18"/>
        <v>5.9548780367255745</v>
      </c>
      <c r="F226" s="72">
        <f t="shared" si="19"/>
        <v>2157.4134144774325</v>
      </c>
      <c r="G226" s="80">
        <f t="shared" si="20"/>
        <v>184.60121913849281</v>
      </c>
      <c r="H226" s="73">
        <f t="shared" si="21"/>
        <v>5.2743205468140805E-2</v>
      </c>
      <c r="I226" s="61"/>
    </row>
    <row r="227" spans="1:9" x14ac:dyDescent="0.25">
      <c r="A227" s="70">
        <v>43084</v>
      </c>
      <c r="B227" s="71">
        <f t="shared" si="22"/>
        <v>225</v>
      </c>
      <c r="C227" s="72">
        <f t="shared" si="23"/>
        <v>165.90213483125743</v>
      </c>
      <c r="D227" s="72">
        <v>160</v>
      </c>
      <c r="E227" s="80">
        <f t="shared" si="18"/>
        <v>5.9021348312574275</v>
      </c>
      <c r="F227" s="72">
        <f t="shared" si="19"/>
        <v>2156.7277528063464</v>
      </c>
      <c r="G227" s="80">
        <f t="shared" si="20"/>
        <v>182.96617976898025</v>
      </c>
      <c r="H227" s="73">
        <f t="shared" si="21"/>
        <v>5.2276051362565787E-2</v>
      </c>
      <c r="I227" s="61"/>
    </row>
    <row r="228" spans="1:9" x14ac:dyDescent="0.25">
      <c r="A228" s="70">
        <v>43084</v>
      </c>
      <c r="B228" s="71">
        <f t="shared" si="22"/>
        <v>226</v>
      </c>
      <c r="C228" s="72">
        <f t="shared" si="23"/>
        <v>165.84985877989487</v>
      </c>
      <c r="D228" s="72">
        <v>160</v>
      </c>
      <c r="E228" s="80">
        <f t="shared" si="18"/>
        <v>5.8498587798948734</v>
      </c>
      <c r="F228" s="72">
        <f t="shared" si="19"/>
        <v>2156.0481641386332</v>
      </c>
      <c r="G228" s="80">
        <f t="shared" si="20"/>
        <v>181.34562217674107</v>
      </c>
      <c r="H228" s="73">
        <f t="shared" si="21"/>
        <v>5.1813034907640304E-2</v>
      </c>
      <c r="I228" s="61"/>
    </row>
    <row r="229" spans="1:9" x14ac:dyDescent="0.25">
      <c r="A229" s="70">
        <v>43084</v>
      </c>
      <c r="B229" s="71">
        <f t="shared" si="22"/>
        <v>227</v>
      </c>
      <c r="C229" s="72">
        <f t="shared" si="23"/>
        <v>165.79804574498723</v>
      </c>
      <c r="D229" s="72">
        <v>160</v>
      </c>
      <c r="E229" s="80">
        <f t="shared" si="18"/>
        <v>5.7980457449872347</v>
      </c>
      <c r="F229" s="72">
        <f t="shared" si="19"/>
        <v>2155.3745946848339</v>
      </c>
      <c r="G229" s="80">
        <f t="shared" si="20"/>
        <v>179.73941809460428</v>
      </c>
      <c r="H229" s="73">
        <f t="shared" si="21"/>
        <v>5.135411945560122E-2</v>
      </c>
      <c r="I229" s="61"/>
    </row>
    <row r="230" spans="1:9" x14ac:dyDescent="0.25">
      <c r="A230" s="70">
        <v>43084</v>
      </c>
      <c r="B230" s="71">
        <f t="shared" si="22"/>
        <v>228</v>
      </c>
      <c r="C230" s="72">
        <f t="shared" si="23"/>
        <v>165.74669162553164</v>
      </c>
      <c r="D230" s="72">
        <v>160</v>
      </c>
      <c r="E230" s="80">
        <f t="shared" si="18"/>
        <v>5.7466916255316391</v>
      </c>
      <c r="F230" s="72">
        <f t="shared" si="19"/>
        <v>2154.7069911319113</v>
      </c>
      <c r="G230" s="80">
        <f t="shared" si="20"/>
        <v>178.14744039148081</v>
      </c>
      <c r="H230" s="73">
        <f t="shared" si="21"/>
        <v>5.0899268683280235E-2</v>
      </c>
      <c r="I230" s="61"/>
    </row>
    <row r="231" spans="1:9" x14ac:dyDescent="0.25">
      <c r="A231" s="70">
        <v>43084</v>
      </c>
      <c r="B231" s="71">
        <f t="shared" si="22"/>
        <v>229</v>
      </c>
      <c r="C231" s="72">
        <f t="shared" si="23"/>
        <v>165.69579235684836</v>
      </c>
      <c r="D231" s="72">
        <v>160</v>
      </c>
      <c r="E231" s="80">
        <f t="shared" si="18"/>
        <v>5.6957923568483579</v>
      </c>
      <c r="F231" s="72">
        <f t="shared" si="19"/>
        <v>2154.0453006390285</v>
      </c>
      <c r="G231" s="80">
        <f t="shared" si="20"/>
        <v>176.5695630622991</v>
      </c>
      <c r="H231" s="73">
        <f t="shared" si="21"/>
        <v>5.0448446589228313E-2</v>
      </c>
      <c r="I231" s="61"/>
    </row>
    <row r="232" spans="1:9" x14ac:dyDescent="0.25">
      <c r="A232" s="70">
        <v>43084</v>
      </c>
      <c r="B232" s="71">
        <f t="shared" si="22"/>
        <v>230</v>
      </c>
      <c r="C232" s="72">
        <f t="shared" si="23"/>
        <v>165.64534391025913</v>
      </c>
      <c r="D232" s="72">
        <v>160</v>
      </c>
      <c r="E232" s="80">
        <f t="shared" si="18"/>
        <v>5.645343910259129</v>
      </c>
      <c r="F232" s="72">
        <f t="shared" si="19"/>
        <v>2153.3894708333687</v>
      </c>
      <c r="G232" s="80">
        <f t="shared" si="20"/>
        <v>175.005661218033</v>
      </c>
      <c r="H232" s="73">
        <f t="shared" si="21"/>
        <v>5.0001617490866568E-2</v>
      </c>
      <c r="I232" s="61"/>
    </row>
    <row r="233" spans="1:9" x14ac:dyDescent="0.25">
      <c r="A233" s="70">
        <v>43084</v>
      </c>
      <c r="B233" s="71">
        <f t="shared" si="22"/>
        <v>231</v>
      </c>
      <c r="C233" s="72">
        <f t="shared" si="23"/>
        <v>165.59534229276827</v>
      </c>
      <c r="D233" s="72">
        <v>160</v>
      </c>
      <c r="E233" s="80">
        <f t="shared" si="18"/>
        <v>5.5953422927682652</v>
      </c>
      <c r="F233" s="72">
        <f t="shared" si="19"/>
        <v>2152.7394498059875</v>
      </c>
      <c r="G233" s="80">
        <f t="shared" si="20"/>
        <v>173.45561107581622</v>
      </c>
      <c r="H233" s="73">
        <f t="shared" si="21"/>
        <v>4.9558746021661777E-2</v>
      </c>
      <c r="I233" s="61"/>
    </row>
    <row r="234" spans="1:9" x14ac:dyDescent="0.25">
      <c r="A234" s="70">
        <v>43084</v>
      </c>
      <c r="B234" s="71">
        <f t="shared" si="22"/>
        <v>232</v>
      </c>
      <c r="C234" s="72">
        <f t="shared" si="23"/>
        <v>165.54578354674661</v>
      </c>
      <c r="D234" s="72">
        <v>160</v>
      </c>
      <c r="E234" s="80">
        <f t="shared" si="18"/>
        <v>5.5457835467466055</v>
      </c>
      <c r="F234" s="72">
        <f t="shared" si="19"/>
        <v>2152.095186107706</v>
      </c>
      <c r="G234" s="80">
        <f t="shared" si="20"/>
        <v>171.91928994914477</v>
      </c>
      <c r="H234" s="73">
        <f t="shared" si="21"/>
        <v>4.9119797128327078E-2</v>
      </c>
      <c r="I234" s="61"/>
    </row>
    <row r="235" spans="1:9" x14ac:dyDescent="0.25">
      <c r="A235" s="70">
        <v>43084</v>
      </c>
      <c r="B235" s="71">
        <f t="shared" si="22"/>
        <v>233</v>
      </c>
      <c r="C235" s="72">
        <f t="shared" si="23"/>
        <v>165.49666374961828</v>
      </c>
      <c r="D235" s="72">
        <v>160</v>
      </c>
      <c r="E235" s="80">
        <f t="shared" si="18"/>
        <v>5.4966637496182784</v>
      </c>
      <c r="F235" s="72">
        <f t="shared" si="19"/>
        <v>2151.4566287450375</v>
      </c>
      <c r="G235" s="80">
        <f t="shared" si="20"/>
        <v>170.39657623816663</v>
      </c>
      <c r="H235" s="73">
        <f t="shared" si="21"/>
        <v>4.8684736068047609E-2</v>
      </c>
      <c r="I235" s="61"/>
    </row>
    <row r="236" spans="1:9" x14ac:dyDescent="0.25">
      <c r="A236" s="70">
        <v>43084</v>
      </c>
      <c r="B236" s="71">
        <f t="shared" si="22"/>
        <v>234</v>
      </c>
      <c r="C236" s="72">
        <f t="shared" si="23"/>
        <v>165.44797901355022</v>
      </c>
      <c r="D236" s="72">
        <v>160</v>
      </c>
      <c r="E236" s="80">
        <f t="shared" si="18"/>
        <v>5.4479790135502242</v>
      </c>
      <c r="F236" s="72">
        <f t="shared" si="19"/>
        <v>2150.8237271761527</v>
      </c>
      <c r="G236" s="80">
        <f t="shared" si="20"/>
        <v>168.88734942005695</v>
      </c>
      <c r="H236" s="73">
        <f t="shared" si="21"/>
        <v>4.8253528405730557E-2</v>
      </c>
      <c r="I236" s="61"/>
    </row>
    <row r="237" spans="1:9" x14ac:dyDescent="0.25">
      <c r="A237" s="70">
        <v>43084</v>
      </c>
      <c r="B237" s="71">
        <f t="shared" si="22"/>
        <v>235</v>
      </c>
      <c r="C237" s="72">
        <f t="shared" si="23"/>
        <v>165.3997254851445</v>
      </c>
      <c r="D237" s="72">
        <v>160</v>
      </c>
      <c r="E237" s="80">
        <f t="shared" si="18"/>
        <v>5.3997254851445007</v>
      </c>
      <c r="F237" s="72">
        <f t="shared" si="19"/>
        <v>2150.1964313068784</v>
      </c>
      <c r="G237" s="80">
        <f t="shared" si="20"/>
        <v>167.39149003947952</v>
      </c>
      <c r="H237" s="73">
        <f t="shared" si="21"/>
        <v>4.7826140011279862E-2</v>
      </c>
      <c r="I237" s="61"/>
    </row>
    <row r="238" spans="1:9" x14ac:dyDescent="0.25">
      <c r="A238" s="70">
        <v>43084</v>
      </c>
      <c r="B238" s="71">
        <f t="shared" si="22"/>
        <v>236</v>
      </c>
      <c r="C238" s="72">
        <f t="shared" si="23"/>
        <v>165.35189934513323</v>
      </c>
      <c r="D238" s="72">
        <v>160</v>
      </c>
      <c r="E238" s="80">
        <f t="shared" si="18"/>
        <v>5.3518993451332335</v>
      </c>
      <c r="F238" s="72">
        <f t="shared" si="19"/>
        <v>2149.5746914867323</v>
      </c>
      <c r="G238" s="80">
        <f t="shared" si="20"/>
        <v>165.90887969913024</v>
      </c>
      <c r="H238" s="73">
        <f t="shared" si="21"/>
        <v>4.7402537056894352E-2</v>
      </c>
      <c r="I238" s="61"/>
    </row>
    <row r="239" spans="1:9" x14ac:dyDescent="0.25">
      <c r="A239" s="70">
        <v>43084</v>
      </c>
      <c r="B239" s="71">
        <f t="shared" si="22"/>
        <v>237</v>
      </c>
      <c r="C239" s="72">
        <f t="shared" si="23"/>
        <v>165.30449680807635</v>
      </c>
      <c r="D239" s="72">
        <v>160</v>
      </c>
      <c r="E239" s="80">
        <f t="shared" si="18"/>
        <v>5.304496808076351</v>
      </c>
      <c r="F239" s="72">
        <f t="shared" si="19"/>
        <v>2148.9584585049924</v>
      </c>
      <c r="G239" s="80">
        <f t="shared" si="20"/>
        <v>164.43940105036688</v>
      </c>
      <c r="H239" s="73">
        <f t="shared" si="21"/>
        <v>4.698268601439054E-2</v>
      </c>
      <c r="I239" s="61"/>
    </row>
    <row r="240" spans="1:9" x14ac:dyDescent="0.25">
      <c r="A240" s="70">
        <v>43084</v>
      </c>
      <c r="B240" s="71">
        <f t="shared" si="22"/>
        <v>238</v>
      </c>
      <c r="C240" s="72">
        <f t="shared" si="23"/>
        <v>165.25751412206196</v>
      </c>
      <c r="D240" s="72">
        <v>160</v>
      </c>
      <c r="E240" s="80">
        <f t="shared" si="18"/>
        <v>5.2575141220619628</v>
      </c>
      <c r="F240" s="72">
        <f t="shared" si="19"/>
        <v>2148.3476835868055</v>
      </c>
      <c r="G240" s="80">
        <f t="shared" si="20"/>
        <v>162.98293778392085</v>
      </c>
      <c r="H240" s="73">
        <f t="shared" si="21"/>
        <v>4.656655365254881E-2</v>
      </c>
      <c r="I240" s="61"/>
    </row>
    <row r="241" spans="1:9" x14ac:dyDescent="0.25">
      <c r="A241" s="70">
        <v>43084</v>
      </c>
      <c r="B241" s="71">
        <f t="shared" si="22"/>
        <v>239</v>
      </c>
      <c r="C241" s="72">
        <f t="shared" si="23"/>
        <v>165.21094756840941</v>
      </c>
      <c r="D241" s="72">
        <v>160</v>
      </c>
      <c r="E241" s="80">
        <f t="shared" si="18"/>
        <v>5.2109475684094093</v>
      </c>
      <c r="F241" s="72">
        <f t="shared" si="19"/>
        <v>2147.7423183893225</v>
      </c>
      <c r="G241" s="80">
        <f t="shared" si="20"/>
        <v>161.53937462069169</v>
      </c>
      <c r="H241" s="73">
        <f t="shared" si="21"/>
        <v>4.615410703448334E-2</v>
      </c>
      <c r="I241" s="61"/>
    </row>
    <row r="242" spans="1:9" x14ac:dyDescent="0.25">
      <c r="A242" s="70">
        <v>43084</v>
      </c>
      <c r="B242" s="71">
        <f t="shared" si="22"/>
        <v>240</v>
      </c>
      <c r="C242" s="72">
        <f t="shared" si="23"/>
        <v>165.16479346137493</v>
      </c>
      <c r="D242" s="72">
        <v>160</v>
      </c>
      <c r="E242" s="80">
        <f t="shared" si="18"/>
        <v>5.1647934613749271</v>
      </c>
      <c r="F242" s="72">
        <f t="shared" si="19"/>
        <v>2147.1423149978741</v>
      </c>
      <c r="G242" s="80">
        <f t="shared" si="20"/>
        <v>160.10859730262274</v>
      </c>
      <c r="H242" s="73">
        <f t="shared" si="21"/>
        <v>4.5745313515035066E-2</v>
      </c>
      <c r="I242" s="61"/>
    </row>
    <row r="243" spans="1:9" x14ac:dyDescent="0.25">
      <c r="A243" s="70">
        <v>43084</v>
      </c>
      <c r="B243" s="71">
        <f t="shared" si="22"/>
        <v>241</v>
      </c>
      <c r="C243" s="72">
        <f t="shared" si="23"/>
        <v>165.1190481478599</v>
      </c>
      <c r="D243" s="72">
        <v>160</v>
      </c>
      <c r="E243" s="80">
        <f t="shared" si="18"/>
        <v>5.1190481478598997</v>
      </c>
      <c r="F243" s="72">
        <f t="shared" si="19"/>
        <v>2146.5476259221787</v>
      </c>
      <c r="G243" s="80">
        <f t="shared" si="20"/>
        <v>158.69049258365689</v>
      </c>
      <c r="H243" s="73">
        <f t="shared" si="21"/>
        <v>4.5340140738187686E-2</v>
      </c>
      <c r="I243" s="61"/>
    </row>
    <row r="244" spans="1:9" x14ac:dyDescent="0.25">
      <c r="A244" s="70">
        <v>43084</v>
      </c>
      <c r="B244" s="71">
        <f t="shared" si="22"/>
        <v>242</v>
      </c>
      <c r="C244" s="72">
        <f t="shared" si="23"/>
        <v>165.07370800712172</v>
      </c>
      <c r="D244" s="72">
        <v>160</v>
      </c>
      <c r="E244" s="80">
        <f t="shared" si="18"/>
        <v>5.0737080071217235</v>
      </c>
      <c r="F244" s="72">
        <f t="shared" si="19"/>
        <v>2145.9582040925825</v>
      </c>
      <c r="G244" s="80">
        <f t="shared" si="20"/>
        <v>157.28494822077343</v>
      </c>
      <c r="H244" s="73">
        <f t="shared" si="21"/>
        <v>4.4938556634506695E-2</v>
      </c>
      <c r="I244" s="61"/>
    </row>
    <row r="245" spans="1:9" x14ac:dyDescent="0.25">
      <c r="A245" s="70">
        <v>43084</v>
      </c>
      <c r="B245" s="71">
        <f t="shared" si="22"/>
        <v>243</v>
      </c>
      <c r="C245" s="72">
        <f t="shared" si="23"/>
        <v>165.0287694504872</v>
      </c>
      <c r="D245" s="72">
        <v>160</v>
      </c>
      <c r="E245" s="80">
        <f t="shared" si="18"/>
        <v>5.0287694504872036</v>
      </c>
      <c r="F245" s="72">
        <f t="shared" si="19"/>
        <v>2145.3740028563338</v>
      </c>
      <c r="G245" s="80">
        <f t="shared" si="20"/>
        <v>155.89185296510331</v>
      </c>
      <c r="H245" s="73">
        <f t="shared" si="21"/>
        <v>4.4540529418600948E-2</v>
      </c>
      <c r="I245" s="61"/>
    </row>
    <row r="246" spans="1:9" x14ac:dyDescent="0.25">
      <c r="A246" s="70">
        <v>43084</v>
      </c>
      <c r="B246" s="71">
        <f t="shared" si="22"/>
        <v>244</v>
      </c>
      <c r="C246" s="72">
        <f t="shared" si="23"/>
        <v>164.98422892106859</v>
      </c>
      <c r="D246" s="72">
        <v>160</v>
      </c>
      <c r="E246" s="80">
        <f t="shared" si="18"/>
        <v>4.9842289210685919</v>
      </c>
      <c r="F246" s="72">
        <f t="shared" si="19"/>
        <v>2144.7949759738917</v>
      </c>
      <c r="G246" s="80">
        <f t="shared" si="20"/>
        <v>154.51109655312635</v>
      </c>
      <c r="H246" s="73">
        <f t="shared" si="21"/>
        <v>4.4146027586607531E-2</v>
      </c>
      <c r="I246" s="61"/>
    </row>
    <row r="247" spans="1:9" x14ac:dyDescent="0.25">
      <c r="A247" s="70">
        <v>43084</v>
      </c>
      <c r="B247" s="71">
        <f t="shared" si="22"/>
        <v>245</v>
      </c>
      <c r="C247" s="72">
        <f t="shared" si="23"/>
        <v>164.94008289348199</v>
      </c>
      <c r="D247" s="72">
        <v>160</v>
      </c>
      <c r="E247" s="80">
        <f t="shared" si="18"/>
        <v>4.9400828934819856</v>
      </c>
      <c r="F247" s="72">
        <f t="shared" si="19"/>
        <v>2144.221077615266</v>
      </c>
      <c r="G247" s="80">
        <f t="shared" si="20"/>
        <v>153.14256969794155</v>
      </c>
      <c r="H247" s="73">
        <f t="shared" si="21"/>
        <v>4.3755019913697589E-2</v>
      </c>
      <c r="I247" s="61"/>
    </row>
    <row r="248" spans="1:9" x14ac:dyDescent="0.25">
      <c r="A248" s="70">
        <v>43084</v>
      </c>
      <c r="B248" s="71">
        <f t="shared" si="22"/>
        <v>246</v>
      </c>
      <c r="C248" s="72">
        <f t="shared" si="23"/>
        <v>164.89632787356828</v>
      </c>
      <c r="D248" s="72">
        <v>160</v>
      </c>
      <c r="E248" s="80">
        <f t="shared" si="18"/>
        <v>4.896327873568282</v>
      </c>
      <c r="F248" s="72">
        <f t="shared" si="19"/>
        <v>2143.6522623563878</v>
      </c>
      <c r="G248" s="80">
        <f t="shared" si="20"/>
        <v>151.78616408061674</v>
      </c>
      <c r="H248" s="73">
        <f t="shared" si="21"/>
        <v>4.3367475451604784E-2</v>
      </c>
      <c r="I248" s="61"/>
    </row>
    <row r="249" spans="1:9" x14ac:dyDescent="0.25">
      <c r="A249" s="70">
        <v>43084</v>
      </c>
      <c r="B249" s="71">
        <f t="shared" si="22"/>
        <v>247</v>
      </c>
      <c r="C249" s="72">
        <f t="shared" si="23"/>
        <v>164.85296039811666</v>
      </c>
      <c r="D249" s="72">
        <v>160</v>
      </c>
      <c r="E249" s="80">
        <f t="shared" si="18"/>
        <v>4.8529603981166645</v>
      </c>
      <c r="F249" s="72">
        <f t="shared" si="19"/>
        <v>2143.0884851755168</v>
      </c>
      <c r="G249" s="80">
        <f t="shared" si="20"/>
        <v>150.4417723416166</v>
      </c>
      <c r="H249" s="73">
        <f t="shared" si="21"/>
        <v>4.2983363526176169E-2</v>
      </c>
      <c r="I249" s="61"/>
    </row>
    <row r="250" spans="1:9" x14ac:dyDescent="0.25">
      <c r="A250" s="70">
        <v>43084</v>
      </c>
      <c r="B250" s="71">
        <f t="shared" si="22"/>
        <v>248</v>
      </c>
      <c r="C250" s="72">
        <f t="shared" si="23"/>
        <v>164.80997703459047</v>
      </c>
      <c r="D250" s="72">
        <v>160</v>
      </c>
      <c r="E250" s="80">
        <f t="shared" si="18"/>
        <v>4.8099770345904744</v>
      </c>
      <c r="F250" s="72">
        <f t="shared" si="19"/>
        <v>2142.5297014496764</v>
      </c>
      <c r="G250" s="80">
        <f t="shared" si="20"/>
        <v>149.10928807230471</v>
      </c>
      <c r="H250" s="73">
        <f t="shared" si="21"/>
        <v>4.26026537349442E-2</v>
      </c>
      <c r="I250" s="61"/>
    </row>
    <row r="251" spans="1:9" x14ac:dyDescent="0.25">
      <c r="A251" s="70">
        <v>43084</v>
      </c>
      <c r="B251" s="71">
        <f t="shared" si="22"/>
        <v>249</v>
      </c>
      <c r="C251" s="72">
        <f t="shared" si="23"/>
        <v>164.76737438085553</v>
      </c>
      <c r="D251" s="72">
        <v>160</v>
      </c>
      <c r="E251" s="80">
        <f t="shared" si="18"/>
        <v>4.7673743808555287</v>
      </c>
      <c r="F251" s="72">
        <f t="shared" si="19"/>
        <v>2141.975866951122</v>
      </c>
      <c r="G251" s="80">
        <f t="shared" si="20"/>
        <v>147.78860580652139</v>
      </c>
      <c r="H251" s="73">
        <f t="shared" si="21"/>
        <v>4.2225315944720399E-2</v>
      </c>
      <c r="I251" s="61"/>
    </row>
    <row r="252" spans="1:9" x14ac:dyDescent="0.25">
      <c r="A252" s="70">
        <v>43084</v>
      </c>
      <c r="B252" s="71">
        <f t="shared" si="22"/>
        <v>250</v>
      </c>
      <c r="C252" s="72">
        <f t="shared" si="23"/>
        <v>164.7251490649108</v>
      </c>
      <c r="D252" s="72">
        <v>160</v>
      </c>
      <c r="E252" s="80">
        <f t="shared" si="18"/>
        <v>4.725149064910795</v>
      </c>
      <c r="F252" s="72">
        <f t="shared" si="19"/>
        <v>2141.4269378438403</v>
      </c>
      <c r="G252" s="80">
        <f t="shared" si="20"/>
        <v>146.47962101223465</v>
      </c>
      <c r="H252" s="73">
        <f t="shared" si="21"/>
        <v>4.1851320289209896E-2</v>
      </c>
      <c r="I252" s="61"/>
    </row>
    <row r="253" spans="1:9" x14ac:dyDescent="0.25">
      <c r="A253" s="70">
        <v>43084</v>
      </c>
      <c r="B253" s="71">
        <f t="shared" si="22"/>
        <v>251</v>
      </c>
      <c r="C253" s="72">
        <f t="shared" si="23"/>
        <v>164.6832977446216</v>
      </c>
      <c r="D253" s="72">
        <v>160</v>
      </c>
      <c r="E253" s="80">
        <f t="shared" si="18"/>
        <v>4.6832977446215978</v>
      </c>
      <c r="F253" s="72">
        <f t="shared" si="19"/>
        <v>2140.8828706800809</v>
      </c>
      <c r="G253" s="80">
        <f t="shared" si="20"/>
        <v>145.18223008326953</v>
      </c>
      <c r="H253" s="73">
        <f t="shared" si="21"/>
        <v>4.1480637166648439E-2</v>
      </c>
      <c r="I253" s="61"/>
    </row>
    <row r="254" spans="1:9" x14ac:dyDescent="0.25">
      <c r="A254" s="70">
        <v>43084</v>
      </c>
      <c r="B254" s="71">
        <f t="shared" si="22"/>
        <v>252</v>
      </c>
      <c r="C254" s="72">
        <f t="shared" si="23"/>
        <v>164.64181710745495</v>
      </c>
      <c r="D254" s="72">
        <v>160</v>
      </c>
      <c r="E254" s="80">
        <f t="shared" si="18"/>
        <v>4.6418171074549548</v>
      </c>
      <c r="F254" s="72">
        <f t="shared" si="19"/>
        <v>2140.3436223969143</v>
      </c>
      <c r="G254" s="80">
        <f t="shared" si="20"/>
        <v>143.8963303311036</v>
      </c>
      <c r="H254" s="73">
        <f t="shared" si="21"/>
        <v>4.1113237237458168E-2</v>
      </c>
      <c r="I254" s="61"/>
    </row>
    <row r="255" spans="1:9" x14ac:dyDescent="0.25">
      <c r="A255" s="70">
        <v>43084</v>
      </c>
      <c r="B255" s="71">
        <f t="shared" si="22"/>
        <v>253</v>
      </c>
      <c r="C255" s="72">
        <f t="shared" si="23"/>
        <v>164.6007038702175</v>
      </c>
      <c r="D255" s="72">
        <v>160</v>
      </c>
      <c r="E255" s="80">
        <f t="shared" si="18"/>
        <v>4.6007038702175009</v>
      </c>
      <c r="F255" s="72">
        <f t="shared" si="19"/>
        <v>2139.8091503128276</v>
      </c>
      <c r="G255" s="80">
        <f t="shared" si="20"/>
        <v>142.62181997674253</v>
      </c>
      <c r="H255" s="73">
        <f t="shared" si="21"/>
        <v>4.0749091421926439E-2</v>
      </c>
      <c r="I255" s="61"/>
    </row>
    <row r="256" spans="1:9" x14ac:dyDescent="0.25">
      <c r="A256" s="70">
        <v>43084</v>
      </c>
      <c r="B256" s="71">
        <f t="shared" si="22"/>
        <v>254</v>
      </c>
      <c r="C256" s="72">
        <f t="shared" si="23"/>
        <v>164.55995477879557</v>
      </c>
      <c r="D256" s="72">
        <v>160</v>
      </c>
      <c r="E256" s="80">
        <f t="shared" si="18"/>
        <v>4.5599547787955714</v>
      </c>
      <c r="F256" s="72">
        <f t="shared" si="19"/>
        <v>2139.2794121243423</v>
      </c>
      <c r="G256" s="80">
        <f t="shared" si="20"/>
        <v>141.35859814266271</v>
      </c>
      <c r="H256" s="73">
        <f t="shared" si="21"/>
        <v>4.0388170897903634E-2</v>
      </c>
      <c r="I256" s="61"/>
    </row>
    <row r="257" spans="1:9" x14ac:dyDescent="0.25">
      <c r="A257" s="70">
        <v>43084</v>
      </c>
      <c r="B257" s="71">
        <f t="shared" si="22"/>
        <v>255</v>
      </c>
      <c r="C257" s="72">
        <f t="shared" si="23"/>
        <v>164.51956660789767</v>
      </c>
      <c r="D257" s="72">
        <v>160</v>
      </c>
      <c r="E257" s="80">
        <f t="shared" si="18"/>
        <v>4.5195666078976728</v>
      </c>
      <c r="F257" s="72">
        <f t="shared" si="19"/>
        <v>2138.7543659026696</v>
      </c>
      <c r="G257" s="80">
        <f t="shared" si="20"/>
        <v>140.10656484482786</v>
      </c>
      <c r="H257" s="73">
        <f t="shared" si="21"/>
        <v>4.0030447098522243E-2</v>
      </c>
      <c r="I257" s="61"/>
    </row>
    <row r="258" spans="1:9" x14ac:dyDescent="0.25">
      <c r="A258" s="70">
        <v>43084</v>
      </c>
      <c r="B258" s="71">
        <f t="shared" si="22"/>
        <v>256</v>
      </c>
      <c r="C258" s="72">
        <f t="shared" si="23"/>
        <v>164.47953616079914</v>
      </c>
      <c r="D258" s="72">
        <v>160</v>
      </c>
      <c r="E258" s="80">
        <f t="shared" si="18"/>
        <v>4.4795361607991424</v>
      </c>
      <c r="F258" s="72">
        <f t="shared" si="19"/>
        <v>2138.233970090389</v>
      </c>
      <c r="G258" s="80">
        <f t="shared" si="20"/>
        <v>138.86562098477341</v>
      </c>
      <c r="H258" s="73">
        <f t="shared" si="21"/>
        <v>3.9675891709935261E-2</v>
      </c>
      <c r="I258" s="61"/>
    </row>
    <row r="259" spans="1:9" x14ac:dyDescent="0.25">
      <c r="A259" s="70">
        <v>43084</v>
      </c>
      <c r="B259" s="71">
        <f t="shared" si="22"/>
        <v>257</v>
      </c>
      <c r="C259" s="72">
        <f t="shared" si="23"/>
        <v>164.43986026908919</v>
      </c>
      <c r="D259" s="72">
        <v>160</v>
      </c>
      <c r="E259" s="80">
        <f t="shared" ref="E259:E322" si="24">C259-D259</f>
        <v>4.4398602690891948</v>
      </c>
      <c r="F259" s="72">
        <f t="shared" ref="F259:F322" si="25">13*C259</f>
        <v>2137.7181834981593</v>
      </c>
      <c r="G259" s="80">
        <f t="shared" ref="G259:G322" si="26">E259*31</f>
        <v>137.63566834176504</v>
      </c>
      <c r="H259" s="73">
        <f t="shared" ref="H259:H322" si="27">MIN($G259/3500,$F259/3500)</f>
        <v>3.9324476669075722E-2</v>
      </c>
      <c r="I259" s="61"/>
    </row>
    <row r="260" spans="1:9" x14ac:dyDescent="0.25">
      <c r="A260" s="70">
        <v>43084</v>
      </c>
      <c r="B260" s="71">
        <f t="shared" ref="B260:B323" si="28">B259+1</f>
        <v>258</v>
      </c>
      <c r="C260" s="72">
        <f t="shared" ref="C260:C323" si="29">C259-H259</f>
        <v>164.40053579242013</v>
      </c>
      <c r="D260" s="72">
        <v>160</v>
      </c>
      <c r="E260" s="80">
        <f t="shared" si="24"/>
        <v>4.4005357924201292</v>
      </c>
      <c r="F260" s="72">
        <f t="shared" si="25"/>
        <v>2137.2069653014619</v>
      </c>
      <c r="G260" s="80">
        <f t="shared" si="26"/>
        <v>136.416609565024</v>
      </c>
      <c r="H260" s="73">
        <f t="shared" si="27"/>
        <v>3.897617416143543E-2</v>
      </c>
      <c r="I260" s="61"/>
    </row>
    <row r="261" spans="1:9" x14ac:dyDescent="0.25">
      <c r="A261" s="70">
        <v>43084</v>
      </c>
      <c r="B261" s="71">
        <f t="shared" si="28"/>
        <v>259</v>
      </c>
      <c r="C261" s="72">
        <f t="shared" si="29"/>
        <v>164.3615596182587</v>
      </c>
      <c r="D261" s="72">
        <v>160</v>
      </c>
      <c r="E261" s="80">
        <f t="shared" si="24"/>
        <v>4.3615596182586955</v>
      </c>
      <c r="F261" s="72">
        <f t="shared" si="25"/>
        <v>2136.7002750373631</v>
      </c>
      <c r="G261" s="80">
        <f t="shared" si="26"/>
        <v>135.20834816601956</v>
      </c>
      <c r="H261" s="73">
        <f t="shared" si="27"/>
        <v>3.8630956618862733E-2</v>
      </c>
      <c r="I261" s="61"/>
    </row>
    <row r="262" spans="1:9" x14ac:dyDescent="0.25">
      <c r="A262" s="70">
        <v>43084</v>
      </c>
      <c r="B262" s="71">
        <f t="shared" si="28"/>
        <v>260</v>
      </c>
      <c r="C262" s="72">
        <f t="shared" si="29"/>
        <v>164.32292866163982</v>
      </c>
      <c r="D262" s="72">
        <v>160</v>
      </c>
      <c r="E262" s="80">
        <f t="shared" si="24"/>
        <v>4.3229286616398213</v>
      </c>
      <c r="F262" s="72">
        <f t="shared" si="25"/>
        <v>2136.1980726013176</v>
      </c>
      <c r="G262" s="80">
        <f t="shared" si="26"/>
        <v>134.01078851083446</v>
      </c>
      <c r="H262" s="73">
        <f t="shared" si="27"/>
        <v>3.8288796717381272E-2</v>
      </c>
      <c r="I262" s="61"/>
    </row>
    <row r="263" spans="1:9" x14ac:dyDescent="0.25">
      <c r="A263" s="70">
        <v>43084</v>
      </c>
      <c r="B263" s="71">
        <f t="shared" si="28"/>
        <v>261</v>
      </c>
      <c r="C263" s="72">
        <f t="shared" si="29"/>
        <v>164.28463986492244</v>
      </c>
      <c r="D263" s="72">
        <v>160</v>
      </c>
      <c r="E263" s="80">
        <f t="shared" si="24"/>
        <v>4.2846398649224398</v>
      </c>
      <c r="F263" s="72">
        <f t="shared" si="25"/>
        <v>2135.7003182439917</v>
      </c>
      <c r="G263" s="80">
        <f t="shared" si="26"/>
        <v>132.82383581259563</v>
      </c>
      <c r="H263" s="73">
        <f t="shared" si="27"/>
        <v>3.7949667375027321E-2</v>
      </c>
      <c r="I263" s="61"/>
    </row>
    <row r="264" spans="1:9" x14ac:dyDescent="0.25">
      <c r="A264" s="70">
        <v>43084</v>
      </c>
      <c r="B264" s="71">
        <f t="shared" si="28"/>
        <v>262</v>
      </c>
      <c r="C264" s="72">
        <f t="shared" si="29"/>
        <v>164.24669019754742</v>
      </c>
      <c r="D264" s="72">
        <v>160</v>
      </c>
      <c r="E264" s="80">
        <f t="shared" si="24"/>
        <v>4.2466901975474229</v>
      </c>
      <c r="F264" s="72">
        <f t="shared" si="25"/>
        <v>2135.2069725681167</v>
      </c>
      <c r="G264" s="80">
        <f t="shared" si="26"/>
        <v>131.64739612397011</v>
      </c>
      <c r="H264" s="73">
        <f t="shared" si="27"/>
        <v>3.7613541749705749E-2</v>
      </c>
      <c r="I264" s="61"/>
    </row>
    <row r="265" spans="1:9" x14ac:dyDescent="0.25">
      <c r="A265" s="70">
        <v>43084</v>
      </c>
      <c r="B265" s="71">
        <f t="shared" si="28"/>
        <v>263</v>
      </c>
      <c r="C265" s="72">
        <f t="shared" si="29"/>
        <v>164.20907665579773</v>
      </c>
      <c r="D265" s="72">
        <v>160</v>
      </c>
      <c r="E265" s="80">
        <f t="shared" si="24"/>
        <v>4.2090766557977304</v>
      </c>
      <c r="F265" s="72">
        <f t="shared" si="25"/>
        <v>2134.7179965253704</v>
      </c>
      <c r="G265" s="80">
        <f t="shared" si="26"/>
        <v>130.48137632972964</v>
      </c>
      <c r="H265" s="73">
        <f t="shared" si="27"/>
        <v>3.7280393237065612E-2</v>
      </c>
      <c r="I265" s="61"/>
    </row>
    <row r="266" spans="1:9" x14ac:dyDescent="0.25">
      <c r="A266" s="70">
        <v>43084</v>
      </c>
      <c r="B266" s="71">
        <f t="shared" si="28"/>
        <v>264</v>
      </c>
      <c r="C266" s="72">
        <f t="shared" si="29"/>
        <v>164.17179626256066</v>
      </c>
      <c r="D266" s="72">
        <v>160</v>
      </c>
      <c r="E266" s="80">
        <f t="shared" si="24"/>
        <v>4.1717962625606617</v>
      </c>
      <c r="F266" s="72">
        <f t="shared" si="25"/>
        <v>2134.2333514132888</v>
      </c>
      <c r="G266" s="80">
        <f t="shared" si="26"/>
        <v>129.32568413938051</v>
      </c>
      <c r="H266" s="73">
        <f t="shared" si="27"/>
        <v>3.6950195468394433E-2</v>
      </c>
      <c r="I266" s="61"/>
    </row>
    <row r="267" spans="1:9" x14ac:dyDescent="0.25">
      <c r="A267" s="70">
        <v>43084</v>
      </c>
      <c r="B267" s="71">
        <f t="shared" si="28"/>
        <v>265</v>
      </c>
      <c r="C267" s="72">
        <f t="shared" si="29"/>
        <v>164.13484606709227</v>
      </c>
      <c r="D267" s="72">
        <v>160</v>
      </c>
      <c r="E267" s="80">
        <f t="shared" si="24"/>
        <v>4.1348460670922691</v>
      </c>
      <c r="F267" s="72">
        <f t="shared" si="25"/>
        <v>2133.7529988721994</v>
      </c>
      <c r="G267" s="80">
        <f t="shared" si="26"/>
        <v>128.18022807986034</v>
      </c>
      <c r="H267" s="73">
        <f t="shared" si="27"/>
        <v>3.6622922308531529E-2</v>
      </c>
      <c r="I267" s="61"/>
    </row>
    <row r="268" spans="1:9" x14ac:dyDescent="0.25">
      <c r="A268" s="70">
        <v>43084</v>
      </c>
      <c r="B268" s="71">
        <f t="shared" si="28"/>
        <v>266</v>
      </c>
      <c r="C268" s="72">
        <f t="shared" si="29"/>
        <v>164.09822314478373</v>
      </c>
      <c r="D268" s="72">
        <v>160</v>
      </c>
      <c r="E268" s="80">
        <f t="shared" si="24"/>
        <v>4.0982231447837307</v>
      </c>
      <c r="F268" s="72">
        <f t="shared" si="25"/>
        <v>2133.2769008821883</v>
      </c>
      <c r="G268" s="80">
        <f t="shared" si="26"/>
        <v>127.04491748829565</v>
      </c>
      <c r="H268" s="73">
        <f t="shared" si="27"/>
        <v>3.6298547853798761E-2</v>
      </c>
      <c r="I268" s="61"/>
    </row>
    <row r="269" spans="1:9" x14ac:dyDescent="0.25">
      <c r="A269" s="70">
        <v>43084</v>
      </c>
      <c r="B269" s="71">
        <f t="shared" si="28"/>
        <v>267</v>
      </c>
      <c r="C269" s="72">
        <f t="shared" si="29"/>
        <v>164.06192459692994</v>
      </c>
      <c r="D269" s="72">
        <v>160</v>
      </c>
      <c r="E269" s="80">
        <f t="shared" si="24"/>
        <v>4.0619245969299413</v>
      </c>
      <c r="F269" s="72">
        <f t="shared" si="25"/>
        <v>2132.8050197600892</v>
      </c>
      <c r="G269" s="80">
        <f t="shared" si="26"/>
        <v>125.91966250482818</v>
      </c>
      <c r="H269" s="73">
        <f t="shared" si="27"/>
        <v>3.5977046429950907E-2</v>
      </c>
      <c r="I269" s="61"/>
    </row>
    <row r="270" spans="1:9" x14ac:dyDescent="0.25">
      <c r="A270" s="70">
        <v>43084</v>
      </c>
      <c r="B270" s="71">
        <f t="shared" si="28"/>
        <v>268</v>
      </c>
      <c r="C270" s="72">
        <f t="shared" si="29"/>
        <v>164.02594755049998</v>
      </c>
      <c r="D270" s="72">
        <v>160</v>
      </c>
      <c r="E270" s="80">
        <f t="shared" si="24"/>
        <v>4.0259475504999784</v>
      </c>
      <c r="F270" s="72">
        <f t="shared" si="25"/>
        <v>2132.3373181564998</v>
      </c>
      <c r="G270" s="80">
        <f t="shared" si="26"/>
        <v>124.80437406549933</v>
      </c>
      <c r="H270" s="73">
        <f t="shared" si="27"/>
        <v>3.5658392590142668E-2</v>
      </c>
      <c r="I270" s="61"/>
    </row>
    <row r="271" spans="1:9" x14ac:dyDescent="0.25">
      <c r="A271" s="70">
        <v>43084</v>
      </c>
      <c r="B271" s="71">
        <f t="shared" si="28"/>
        <v>269</v>
      </c>
      <c r="C271" s="72">
        <f t="shared" si="29"/>
        <v>163.99028915790984</v>
      </c>
      <c r="D271" s="72">
        <v>160</v>
      </c>
      <c r="E271" s="80">
        <f t="shared" si="24"/>
        <v>3.9902891579098423</v>
      </c>
      <c r="F271" s="72">
        <f t="shared" si="25"/>
        <v>2131.8737590528281</v>
      </c>
      <c r="G271" s="80">
        <f t="shared" si="26"/>
        <v>123.69896389520511</v>
      </c>
      <c r="H271" s="73">
        <f t="shared" si="27"/>
        <v>3.5342561112915748E-2</v>
      </c>
      <c r="I271" s="61"/>
    </row>
    <row r="272" spans="1:9" x14ac:dyDescent="0.25">
      <c r="A272" s="70">
        <v>43084</v>
      </c>
      <c r="B272" s="71">
        <f t="shared" si="28"/>
        <v>270</v>
      </c>
      <c r="C272" s="72">
        <f t="shared" si="29"/>
        <v>163.95494659679693</v>
      </c>
      <c r="D272" s="72">
        <v>160</v>
      </c>
      <c r="E272" s="80">
        <f t="shared" si="24"/>
        <v>3.9549465967969297</v>
      </c>
      <c r="F272" s="72">
        <f t="shared" si="25"/>
        <v>2131.4143057583601</v>
      </c>
      <c r="G272" s="80">
        <f t="shared" si="26"/>
        <v>122.60334450070482</v>
      </c>
      <c r="H272" s="73">
        <f t="shared" si="27"/>
        <v>3.5029527000201378E-2</v>
      </c>
      <c r="I272" s="61"/>
    </row>
    <row r="273" spans="1:9" x14ac:dyDescent="0.25">
      <c r="A273" s="70">
        <v>43084</v>
      </c>
      <c r="B273" s="71">
        <f t="shared" si="28"/>
        <v>271</v>
      </c>
      <c r="C273" s="72">
        <f t="shared" si="29"/>
        <v>163.91991706979672</v>
      </c>
      <c r="D273" s="72">
        <v>160</v>
      </c>
      <c r="E273" s="80">
        <f t="shared" si="24"/>
        <v>3.9199170697967247</v>
      </c>
      <c r="F273" s="72">
        <f t="shared" si="25"/>
        <v>2130.9589219073573</v>
      </c>
      <c r="G273" s="80">
        <f t="shared" si="26"/>
        <v>121.51742916369847</v>
      </c>
      <c r="H273" s="73">
        <f t="shared" si="27"/>
        <v>3.4719265475342417E-2</v>
      </c>
      <c r="I273" s="61"/>
    </row>
    <row r="274" spans="1:9" x14ac:dyDescent="0.25">
      <c r="A274" s="70">
        <v>43084</v>
      </c>
      <c r="B274" s="71">
        <f t="shared" si="28"/>
        <v>272</v>
      </c>
      <c r="C274" s="72">
        <f t="shared" si="29"/>
        <v>163.88519780432139</v>
      </c>
      <c r="D274" s="72">
        <v>160</v>
      </c>
      <c r="E274" s="80">
        <f t="shared" si="24"/>
        <v>3.8851978043213933</v>
      </c>
      <c r="F274" s="72">
        <f t="shared" si="25"/>
        <v>2130.5075714561781</v>
      </c>
      <c r="G274" s="80">
        <f t="shared" si="26"/>
        <v>120.44113193396319</v>
      </c>
      <c r="H274" s="73">
        <f t="shared" si="27"/>
        <v>3.4411751981132339E-2</v>
      </c>
      <c r="I274" s="61"/>
    </row>
    <row r="275" spans="1:9" x14ac:dyDescent="0.25">
      <c r="A275" s="70">
        <v>43084</v>
      </c>
      <c r="B275" s="71">
        <f t="shared" si="28"/>
        <v>273</v>
      </c>
      <c r="C275" s="72">
        <f t="shared" si="29"/>
        <v>163.85078605234025</v>
      </c>
      <c r="D275" s="72">
        <v>160</v>
      </c>
      <c r="E275" s="80">
        <f t="shared" si="24"/>
        <v>3.8507860523402542</v>
      </c>
      <c r="F275" s="72">
        <f t="shared" si="25"/>
        <v>2130.0602186804235</v>
      </c>
      <c r="G275" s="80">
        <f t="shared" si="26"/>
        <v>119.37436762254788</v>
      </c>
      <c r="H275" s="73">
        <f t="shared" si="27"/>
        <v>3.410696217787082E-2</v>
      </c>
      <c r="I275" s="61"/>
    </row>
    <row r="276" spans="1:9" x14ac:dyDescent="0.25">
      <c r="A276" s="70">
        <v>43084</v>
      </c>
      <c r="B276" s="71">
        <f t="shared" si="28"/>
        <v>274</v>
      </c>
      <c r="C276" s="72">
        <f t="shared" si="29"/>
        <v>163.81667909016238</v>
      </c>
      <c r="D276" s="72">
        <v>160</v>
      </c>
      <c r="E276" s="80">
        <f t="shared" si="24"/>
        <v>3.8166790901623813</v>
      </c>
      <c r="F276" s="72">
        <f t="shared" si="25"/>
        <v>2129.6168281721111</v>
      </c>
      <c r="G276" s="80">
        <f t="shared" si="26"/>
        <v>118.31705179503382</v>
      </c>
      <c r="H276" s="73">
        <f t="shared" si="27"/>
        <v>3.3804871941438233E-2</v>
      </c>
      <c r="I276" s="61"/>
    </row>
    <row r="277" spans="1:9" x14ac:dyDescent="0.25">
      <c r="A277" s="70">
        <v>43084</v>
      </c>
      <c r="B277" s="71">
        <f t="shared" si="28"/>
        <v>275</v>
      </c>
      <c r="C277" s="72">
        <f t="shared" si="29"/>
        <v>163.78287421822094</v>
      </c>
      <c r="D277" s="72">
        <v>160</v>
      </c>
      <c r="E277" s="80">
        <f t="shared" si="24"/>
        <v>3.7828742182209396</v>
      </c>
      <c r="F277" s="72">
        <f t="shared" si="25"/>
        <v>2129.1773648368721</v>
      </c>
      <c r="G277" s="80">
        <f t="shared" si="26"/>
        <v>117.26910076484913</v>
      </c>
      <c r="H277" s="73">
        <f t="shared" si="27"/>
        <v>3.3505457361385466E-2</v>
      </c>
      <c r="I277" s="61"/>
    </row>
    <row r="278" spans="1:9" x14ac:dyDescent="0.25">
      <c r="A278" s="70">
        <v>43084</v>
      </c>
      <c r="B278" s="71">
        <f t="shared" si="28"/>
        <v>276</v>
      </c>
      <c r="C278" s="72">
        <f t="shared" si="29"/>
        <v>163.74936876085957</v>
      </c>
      <c r="D278" s="72">
        <v>160</v>
      </c>
      <c r="E278" s="80">
        <f t="shared" si="24"/>
        <v>3.7493687608595678</v>
      </c>
      <c r="F278" s="72">
        <f t="shared" si="25"/>
        <v>2128.7417938911744</v>
      </c>
      <c r="G278" s="80">
        <f t="shared" si="26"/>
        <v>116.2304315866466</v>
      </c>
      <c r="H278" s="73">
        <f t="shared" si="27"/>
        <v>3.3208694739041887E-2</v>
      </c>
      <c r="I278" s="61"/>
    </row>
    <row r="279" spans="1:9" x14ac:dyDescent="0.25">
      <c r="A279" s="70">
        <v>43084</v>
      </c>
      <c r="B279" s="71">
        <f t="shared" si="28"/>
        <v>277</v>
      </c>
      <c r="C279" s="72">
        <f t="shared" si="29"/>
        <v>163.71616006612052</v>
      </c>
      <c r="D279" s="72">
        <v>160</v>
      </c>
      <c r="E279" s="80">
        <f t="shared" si="24"/>
        <v>3.7161600661205227</v>
      </c>
      <c r="F279" s="72">
        <f t="shared" si="25"/>
        <v>2128.3100808595668</v>
      </c>
      <c r="G279" s="80">
        <f t="shared" si="26"/>
        <v>115.20096204973621</v>
      </c>
      <c r="H279" s="73">
        <f t="shared" si="27"/>
        <v>3.2914560585638915E-2</v>
      </c>
      <c r="I279" s="61"/>
    </row>
    <row r="280" spans="1:9" x14ac:dyDescent="0.25">
      <c r="A280" s="70">
        <v>43084</v>
      </c>
      <c r="B280" s="71">
        <f t="shared" si="28"/>
        <v>278</v>
      </c>
      <c r="C280" s="72">
        <f t="shared" si="29"/>
        <v>163.68324550553487</v>
      </c>
      <c r="D280" s="72">
        <v>160</v>
      </c>
      <c r="E280" s="80">
        <f t="shared" si="24"/>
        <v>3.6832455055348703</v>
      </c>
      <c r="F280" s="72">
        <f t="shared" si="25"/>
        <v>2127.8821915719532</v>
      </c>
      <c r="G280" s="80">
        <f t="shared" si="26"/>
        <v>114.18061067158098</v>
      </c>
      <c r="H280" s="73">
        <f t="shared" si="27"/>
        <v>3.2623031620451708E-2</v>
      </c>
      <c r="I280" s="61"/>
    </row>
    <row r="281" spans="1:9" x14ac:dyDescent="0.25">
      <c r="A281" s="70">
        <v>43084</v>
      </c>
      <c r="B281" s="71">
        <f t="shared" si="28"/>
        <v>279</v>
      </c>
      <c r="C281" s="72">
        <f t="shared" si="29"/>
        <v>163.65062247391441</v>
      </c>
      <c r="D281" s="72">
        <v>160</v>
      </c>
      <c r="E281" s="80">
        <f t="shared" si="24"/>
        <v>3.6506224739144102</v>
      </c>
      <c r="F281" s="72">
        <f t="shared" si="25"/>
        <v>2127.4580921608872</v>
      </c>
      <c r="G281" s="80">
        <f t="shared" si="26"/>
        <v>113.16929669134672</v>
      </c>
      <c r="H281" s="73">
        <f t="shared" si="27"/>
        <v>3.2334084768956203E-2</v>
      </c>
      <c r="I281" s="61"/>
    </row>
    <row r="282" spans="1:9" x14ac:dyDescent="0.25">
      <c r="A282" s="70">
        <v>43084</v>
      </c>
      <c r="B282" s="71">
        <f t="shared" si="28"/>
        <v>280</v>
      </c>
      <c r="C282" s="72">
        <f t="shared" si="29"/>
        <v>163.61828838914545</v>
      </c>
      <c r="D282" s="72">
        <v>160</v>
      </c>
      <c r="E282" s="80">
        <f t="shared" si="24"/>
        <v>3.618288389145448</v>
      </c>
      <c r="F282" s="72">
        <f t="shared" si="25"/>
        <v>2127.0377490588908</v>
      </c>
      <c r="G282" s="80">
        <f t="shared" si="26"/>
        <v>112.16694006350889</v>
      </c>
      <c r="H282" s="73">
        <f t="shared" si="27"/>
        <v>3.2047697161002538E-2</v>
      </c>
      <c r="I282" s="61"/>
    </row>
    <row r="283" spans="1:9" x14ac:dyDescent="0.25">
      <c r="A283" s="70">
        <v>43084</v>
      </c>
      <c r="B283" s="71">
        <f t="shared" si="28"/>
        <v>281</v>
      </c>
      <c r="C283" s="72">
        <f t="shared" si="29"/>
        <v>163.58624069198444</v>
      </c>
      <c r="D283" s="72">
        <v>160</v>
      </c>
      <c r="E283" s="80">
        <f t="shared" si="24"/>
        <v>3.5862406919844432</v>
      </c>
      <c r="F283" s="72">
        <f t="shared" si="25"/>
        <v>2126.6211289957978</v>
      </c>
      <c r="G283" s="80">
        <f t="shared" si="26"/>
        <v>111.17346145151774</v>
      </c>
      <c r="H283" s="73">
        <f t="shared" si="27"/>
        <v>3.1763846129005069E-2</v>
      </c>
      <c r="I283" s="61"/>
    </row>
    <row r="284" spans="1:9" x14ac:dyDescent="0.25">
      <c r="A284" s="70">
        <v>43084</v>
      </c>
      <c r="B284" s="71">
        <f t="shared" si="28"/>
        <v>282</v>
      </c>
      <c r="C284" s="72">
        <f t="shared" si="29"/>
        <v>163.55447684585545</v>
      </c>
      <c r="D284" s="72">
        <v>160</v>
      </c>
      <c r="E284" s="80">
        <f t="shared" si="24"/>
        <v>3.5544768458554472</v>
      </c>
      <c r="F284" s="72">
        <f t="shared" si="25"/>
        <v>2126.2081989961207</v>
      </c>
      <c r="G284" s="80">
        <f t="shared" si="26"/>
        <v>110.18878222151886</v>
      </c>
      <c r="H284" s="73">
        <f t="shared" si="27"/>
        <v>3.148250920614825E-2</v>
      </c>
      <c r="I284" s="61"/>
    </row>
    <row r="285" spans="1:9" x14ac:dyDescent="0.25">
      <c r="A285" s="70">
        <v>43084</v>
      </c>
      <c r="B285" s="71">
        <f t="shared" si="28"/>
        <v>283</v>
      </c>
      <c r="C285" s="72">
        <f t="shared" si="29"/>
        <v>163.5229943366493</v>
      </c>
      <c r="D285" s="72">
        <v>160</v>
      </c>
      <c r="E285" s="80">
        <f t="shared" si="24"/>
        <v>3.5229943366493046</v>
      </c>
      <c r="F285" s="72">
        <f t="shared" si="25"/>
        <v>2125.7989263764412</v>
      </c>
      <c r="G285" s="80">
        <f t="shared" si="26"/>
        <v>109.21282443612844</v>
      </c>
      <c r="H285" s="73">
        <f t="shared" si="27"/>
        <v>3.1203664124608125E-2</v>
      </c>
      <c r="I285" s="61"/>
    </row>
    <row r="286" spans="1:9" x14ac:dyDescent="0.25">
      <c r="A286" s="70">
        <v>43084</v>
      </c>
      <c r="B286" s="71">
        <f t="shared" si="28"/>
        <v>284</v>
      </c>
      <c r="C286" s="72">
        <f t="shared" si="29"/>
        <v>163.4917906725247</v>
      </c>
      <c r="D286" s="72">
        <v>160</v>
      </c>
      <c r="E286" s="80">
        <f t="shared" si="24"/>
        <v>3.4917906725247008</v>
      </c>
      <c r="F286" s="72">
        <f t="shared" si="25"/>
        <v>2125.3932787428212</v>
      </c>
      <c r="G286" s="80">
        <f t="shared" si="26"/>
        <v>108.24551084826572</v>
      </c>
      <c r="H286" s="73">
        <f t="shared" si="27"/>
        <v>3.0927288813790206E-2</v>
      </c>
      <c r="I286" s="61"/>
    </row>
    <row r="287" spans="1:9" x14ac:dyDescent="0.25">
      <c r="A287" s="70">
        <v>43084</v>
      </c>
      <c r="B287" s="71">
        <f t="shared" si="28"/>
        <v>285</v>
      </c>
      <c r="C287" s="72">
        <f t="shared" si="29"/>
        <v>163.46086338371092</v>
      </c>
      <c r="D287" s="72">
        <v>160</v>
      </c>
      <c r="E287" s="80">
        <f t="shared" si="24"/>
        <v>3.4608633837109153</v>
      </c>
      <c r="F287" s="72">
        <f t="shared" si="25"/>
        <v>2124.9912239882419</v>
      </c>
      <c r="G287" s="80">
        <f t="shared" si="26"/>
        <v>107.28676489503837</v>
      </c>
      <c r="H287" s="73">
        <f t="shared" si="27"/>
        <v>3.0653361398582393E-2</v>
      </c>
      <c r="I287" s="61"/>
    </row>
    <row r="288" spans="1:9" x14ac:dyDescent="0.25">
      <c r="A288" s="70">
        <v>43084</v>
      </c>
      <c r="B288" s="71">
        <f t="shared" si="28"/>
        <v>286</v>
      </c>
      <c r="C288" s="72">
        <f t="shared" si="29"/>
        <v>163.43021002231234</v>
      </c>
      <c r="D288" s="72">
        <v>160</v>
      </c>
      <c r="E288" s="80">
        <f t="shared" si="24"/>
        <v>3.4302100223123375</v>
      </c>
      <c r="F288" s="72">
        <f t="shared" si="25"/>
        <v>2124.5927302900604</v>
      </c>
      <c r="G288" s="80">
        <f t="shared" si="26"/>
        <v>106.33651069168246</v>
      </c>
      <c r="H288" s="73">
        <f t="shared" si="27"/>
        <v>3.038186019762356E-2</v>
      </c>
      <c r="I288" s="61"/>
    </row>
    <row r="289" spans="1:9" x14ac:dyDescent="0.25">
      <c r="A289" s="70">
        <v>43084</v>
      </c>
      <c r="B289" s="71">
        <f t="shared" si="28"/>
        <v>287</v>
      </c>
      <c r="C289" s="72">
        <f t="shared" si="29"/>
        <v>163.39982816211472</v>
      </c>
      <c r="D289" s="72">
        <v>160</v>
      </c>
      <c r="E289" s="80">
        <f t="shared" si="24"/>
        <v>3.3998281621147157</v>
      </c>
      <c r="F289" s="72">
        <f t="shared" si="25"/>
        <v>2124.1977661074911</v>
      </c>
      <c r="G289" s="80">
        <f t="shared" si="26"/>
        <v>105.39467302555619</v>
      </c>
      <c r="H289" s="73">
        <f t="shared" si="27"/>
        <v>3.0112763721587481E-2</v>
      </c>
      <c r="I289" s="61"/>
    </row>
    <row r="290" spans="1:9" x14ac:dyDescent="0.25">
      <c r="A290" s="70">
        <v>43084</v>
      </c>
      <c r="B290" s="71">
        <f t="shared" si="28"/>
        <v>288</v>
      </c>
      <c r="C290" s="72">
        <f t="shared" si="29"/>
        <v>163.36971539839314</v>
      </c>
      <c r="D290" s="72">
        <v>160</v>
      </c>
      <c r="E290" s="80">
        <f t="shared" si="24"/>
        <v>3.36971539839314</v>
      </c>
      <c r="F290" s="72">
        <f t="shared" si="25"/>
        <v>2123.8063001791106</v>
      </c>
      <c r="G290" s="80">
        <f t="shared" si="26"/>
        <v>104.46117735018734</v>
      </c>
      <c r="H290" s="73">
        <f t="shared" si="27"/>
        <v>2.9846050671482098E-2</v>
      </c>
      <c r="I290" s="61"/>
    </row>
    <row r="291" spans="1:9" x14ac:dyDescent="0.25">
      <c r="A291" s="70">
        <v>43084</v>
      </c>
      <c r="B291" s="71">
        <f t="shared" si="28"/>
        <v>289</v>
      </c>
      <c r="C291" s="72">
        <f t="shared" si="29"/>
        <v>163.33986934772165</v>
      </c>
      <c r="D291" s="72">
        <v>160</v>
      </c>
      <c r="E291" s="80">
        <f t="shared" si="24"/>
        <v>3.3398693477216455</v>
      </c>
      <c r="F291" s="72">
        <f t="shared" si="25"/>
        <v>2123.4183015203812</v>
      </c>
      <c r="G291" s="80">
        <f t="shared" si="26"/>
        <v>103.53594977937101</v>
      </c>
      <c r="H291" s="73">
        <f t="shared" si="27"/>
        <v>2.9581699936963145E-2</v>
      </c>
      <c r="I291" s="61"/>
    </row>
    <row r="292" spans="1:9" x14ac:dyDescent="0.25">
      <c r="A292" s="70">
        <v>43084</v>
      </c>
      <c r="B292" s="71">
        <f t="shared" si="28"/>
        <v>290</v>
      </c>
      <c r="C292" s="72">
        <f t="shared" si="29"/>
        <v>163.31028764778469</v>
      </c>
      <c r="D292" s="72">
        <v>160</v>
      </c>
      <c r="E292" s="80">
        <f t="shared" si="24"/>
        <v>3.3102876477846905</v>
      </c>
      <c r="F292" s="72">
        <f t="shared" si="25"/>
        <v>2123.0337394212011</v>
      </c>
      <c r="G292" s="80">
        <f t="shared" si="26"/>
        <v>102.61891708132541</v>
      </c>
      <c r="H292" s="73">
        <f t="shared" si="27"/>
        <v>2.9319690594664403E-2</v>
      </c>
      <c r="I292" s="61"/>
    </row>
    <row r="293" spans="1:9" x14ac:dyDescent="0.25">
      <c r="A293" s="70">
        <v>43084</v>
      </c>
      <c r="B293" s="71">
        <f t="shared" si="28"/>
        <v>291</v>
      </c>
      <c r="C293" s="72">
        <f t="shared" si="29"/>
        <v>163.28096795719003</v>
      </c>
      <c r="D293" s="72">
        <v>160</v>
      </c>
      <c r="E293" s="80">
        <f t="shared" si="24"/>
        <v>3.280967957190029</v>
      </c>
      <c r="F293" s="72">
        <f t="shared" si="25"/>
        <v>2122.6525834434706</v>
      </c>
      <c r="G293" s="80">
        <f t="shared" si="26"/>
        <v>101.7100066728909</v>
      </c>
      <c r="H293" s="73">
        <f t="shared" si="27"/>
        <v>2.9060001906540258E-2</v>
      </c>
      <c r="I293" s="61"/>
    </row>
    <row r="294" spans="1:9" x14ac:dyDescent="0.25">
      <c r="A294" s="70">
        <v>43084</v>
      </c>
      <c r="B294" s="71">
        <f t="shared" si="28"/>
        <v>292</v>
      </c>
      <c r="C294" s="72">
        <f t="shared" si="29"/>
        <v>163.25190795528349</v>
      </c>
      <c r="D294" s="72">
        <v>160</v>
      </c>
      <c r="E294" s="80">
        <f t="shared" si="24"/>
        <v>3.2519079552834853</v>
      </c>
      <c r="F294" s="72">
        <f t="shared" si="25"/>
        <v>2122.2748034186852</v>
      </c>
      <c r="G294" s="80">
        <f t="shared" si="26"/>
        <v>100.80914661378804</v>
      </c>
      <c r="H294" s="73">
        <f t="shared" si="27"/>
        <v>2.8802613318225156E-2</v>
      </c>
      <c r="I294" s="61"/>
    </row>
    <row r="295" spans="1:9" x14ac:dyDescent="0.25">
      <c r="A295" s="70">
        <v>43084</v>
      </c>
      <c r="B295" s="71">
        <f t="shared" si="28"/>
        <v>293</v>
      </c>
      <c r="C295" s="72">
        <f t="shared" si="29"/>
        <v>163.22310534196527</v>
      </c>
      <c r="D295" s="72">
        <v>160</v>
      </c>
      <c r="E295" s="80">
        <f t="shared" si="24"/>
        <v>3.2231053419652653</v>
      </c>
      <c r="F295" s="72">
        <f t="shared" si="25"/>
        <v>2121.9003694455487</v>
      </c>
      <c r="G295" s="80">
        <f t="shared" si="26"/>
        <v>99.916265600923225</v>
      </c>
      <c r="H295" s="73">
        <f t="shared" si="27"/>
        <v>2.8547504457406635E-2</v>
      </c>
      <c r="I295" s="61"/>
    </row>
    <row r="296" spans="1:9" x14ac:dyDescent="0.25">
      <c r="A296" s="70">
        <v>43084</v>
      </c>
      <c r="B296" s="71">
        <f t="shared" si="28"/>
        <v>294</v>
      </c>
      <c r="C296" s="72">
        <f t="shared" si="29"/>
        <v>163.19455783750786</v>
      </c>
      <c r="D296" s="72">
        <v>160</v>
      </c>
      <c r="E296" s="80">
        <f t="shared" si="24"/>
        <v>3.1945578375078583</v>
      </c>
      <c r="F296" s="72">
        <f t="shared" si="25"/>
        <v>2121.5292518876022</v>
      </c>
      <c r="G296" s="80">
        <f t="shared" si="26"/>
        <v>99.031292962743606</v>
      </c>
      <c r="H296" s="73">
        <f t="shared" si="27"/>
        <v>2.8294655132212458E-2</v>
      </c>
      <c r="I296" s="61"/>
    </row>
    <row r="297" spans="1:9" x14ac:dyDescent="0.25">
      <c r="A297" s="70">
        <v>43084</v>
      </c>
      <c r="B297" s="71">
        <f t="shared" si="28"/>
        <v>295</v>
      </c>
      <c r="C297" s="72">
        <f t="shared" si="29"/>
        <v>163.16626318237564</v>
      </c>
      <c r="D297" s="72">
        <v>160</v>
      </c>
      <c r="E297" s="80">
        <f t="shared" si="24"/>
        <v>3.1662631823756442</v>
      </c>
      <c r="F297" s="72">
        <f t="shared" si="25"/>
        <v>2121.1614213708835</v>
      </c>
      <c r="G297" s="80">
        <f t="shared" si="26"/>
        <v>98.15415865364497</v>
      </c>
      <c r="H297" s="73">
        <f t="shared" si="27"/>
        <v>2.8044045329612848E-2</v>
      </c>
      <c r="I297" s="61"/>
    </row>
    <row r="298" spans="1:9" x14ac:dyDescent="0.25">
      <c r="A298" s="70">
        <v>43084</v>
      </c>
      <c r="B298" s="71">
        <f t="shared" si="28"/>
        <v>296</v>
      </c>
      <c r="C298" s="72">
        <f t="shared" si="29"/>
        <v>163.13821913704604</v>
      </c>
      <c r="D298" s="72">
        <v>160</v>
      </c>
      <c r="E298" s="80">
        <f t="shared" si="24"/>
        <v>3.1382191370460362</v>
      </c>
      <c r="F298" s="72">
        <f t="shared" si="25"/>
        <v>2120.7968487815983</v>
      </c>
      <c r="G298" s="80">
        <f t="shared" si="26"/>
        <v>97.284793248427121</v>
      </c>
      <c r="H298" s="73">
        <f t="shared" si="27"/>
        <v>2.7795655213836319E-2</v>
      </c>
      <c r="I298" s="61"/>
    </row>
    <row r="299" spans="1:9" x14ac:dyDescent="0.25">
      <c r="A299" s="70">
        <v>43084</v>
      </c>
      <c r="B299" s="71">
        <f t="shared" si="28"/>
        <v>297</v>
      </c>
      <c r="C299" s="72">
        <f t="shared" si="29"/>
        <v>163.11042348183219</v>
      </c>
      <c r="D299" s="72">
        <v>160</v>
      </c>
      <c r="E299" s="80">
        <f t="shared" si="24"/>
        <v>3.1104234818321856</v>
      </c>
      <c r="F299" s="72">
        <f t="shared" si="25"/>
        <v>2120.4355052638184</v>
      </c>
      <c r="G299" s="80">
        <f t="shared" si="26"/>
        <v>96.423127936797755</v>
      </c>
      <c r="H299" s="73">
        <f t="shared" si="27"/>
        <v>2.7549465124799357E-2</v>
      </c>
      <c r="I299" s="61"/>
    </row>
    <row r="300" spans="1:9" x14ac:dyDescent="0.25">
      <c r="A300" s="70">
        <v>43084</v>
      </c>
      <c r="B300" s="71">
        <f t="shared" si="28"/>
        <v>298</v>
      </c>
      <c r="C300" s="72">
        <f t="shared" si="29"/>
        <v>163.08287401670739</v>
      </c>
      <c r="D300" s="72">
        <v>160</v>
      </c>
      <c r="E300" s="80">
        <f t="shared" si="24"/>
        <v>3.0828740167073931</v>
      </c>
      <c r="F300" s="72">
        <f t="shared" si="25"/>
        <v>2120.077362217196</v>
      </c>
      <c r="G300" s="80">
        <f t="shared" si="26"/>
        <v>95.569094517929187</v>
      </c>
      <c r="H300" s="73">
        <f t="shared" si="27"/>
        <v>2.7305455576551195E-2</v>
      </c>
      <c r="I300" s="61"/>
    </row>
    <row r="301" spans="1:9" x14ac:dyDescent="0.25">
      <c r="A301" s="70">
        <v>43084</v>
      </c>
      <c r="B301" s="71">
        <f t="shared" si="28"/>
        <v>299</v>
      </c>
      <c r="C301" s="72">
        <f t="shared" si="29"/>
        <v>163.05556856113085</v>
      </c>
      <c r="D301" s="72">
        <v>160</v>
      </c>
      <c r="E301" s="80">
        <f t="shared" si="24"/>
        <v>3.0555685611308547</v>
      </c>
      <c r="F301" s="72">
        <f t="shared" si="25"/>
        <v>2119.7223912947011</v>
      </c>
      <c r="G301" s="80">
        <f t="shared" si="26"/>
        <v>94.722625395056497</v>
      </c>
      <c r="H301" s="73">
        <f t="shared" si="27"/>
        <v>2.7063607255730426E-2</v>
      </c>
      <c r="I301" s="61"/>
    </row>
    <row r="302" spans="1:9" x14ac:dyDescent="0.25">
      <c r="A302" s="70">
        <v>43084</v>
      </c>
      <c r="B302" s="71">
        <f t="shared" si="28"/>
        <v>300</v>
      </c>
      <c r="C302" s="72">
        <f t="shared" si="29"/>
        <v>163.02850495387511</v>
      </c>
      <c r="D302" s="72">
        <v>160</v>
      </c>
      <c r="E302" s="80">
        <f t="shared" si="24"/>
        <v>3.0285049538751139</v>
      </c>
      <c r="F302" s="72">
        <f t="shared" si="25"/>
        <v>2119.3705644003767</v>
      </c>
      <c r="G302" s="80">
        <f t="shared" si="26"/>
        <v>93.88365357012853</v>
      </c>
      <c r="H302" s="73">
        <f t="shared" si="27"/>
        <v>2.6823901020036723E-2</v>
      </c>
      <c r="I302" s="61"/>
    </row>
    <row r="303" spans="1:9" x14ac:dyDescent="0.25">
      <c r="A303" s="70">
        <v>43084</v>
      </c>
      <c r="B303" s="71">
        <f t="shared" si="28"/>
        <v>301</v>
      </c>
      <c r="C303" s="72">
        <f t="shared" si="29"/>
        <v>163.00168105285508</v>
      </c>
      <c r="D303" s="72">
        <v>160</v>
      </c>
      <c r="E303" s="80">
        <f t="shared" si="24"/>
        <v>3.0016810528550764</v>
      </c>
      <c r="F303" s="72">
        <f t="shared" si="25"/>
        <v>2119.0218536871162</v>
      </c>
      <c r="G303" s="80">
        <f t="shared" si="26"/>
        <v>93.052112638507367</v>
      </c>
      <c r="H303" s="73">
        <f t="shared" si="27"/>
        <v>2.658631789671639E-2</v>
      </c>
      <c r="I303" s="61"/>
    </row>
    <row r="304" spans="1:9" x14ac:dyDescent="0.25">
      <c r="A304" s="70">
        <v>43084</v>
      </c>
      <c r="B304" s="71">
        <f t="shared" si="28"/>
        <v>302</v>
      </c>
      <c r="C304" s="72">
        <f t="shared" si="29"/>
        <v>162.97509473495836</v>
      </c>
      <c r="D304" s="72">
        <v>160</v>
      </c>
      <c r="E304" s="80">
        <f t="shared" si="24"/>
        <v>2.9750947349583612</v>
      </c>
      <c r="F304" s="72">
        <f t="shared" si="25"/>
        <v>2118.6762315544588</v>
      </c>
      <c r="G304" s="80">
        <f t="shared" si="26"/>
        <v>92.227936783709197</v>
      </c>
      <c r="H304" s="73">
        <f t="shared" si="27"/>
        <v>2.6350839081059771E-2</v>
      </c>
      <c r="I304" s="61"/>
    </row>
    <row r="305" spans="1:9" x14ac:dyDescent="0.25">
      <c r="A305" s="70">
        <v>43084</v>
      </c>
      <c r="B305" s="71">
        <f t="shared" si="28"/>
        <v>303</v>
      </c>
      <c r="C305" s="72">
        <f t="shared" si="29"/>
        <v>162.9487438958773</v>
      </c>
      <c r="D305" s="72">
        <v>160</v>
      </c>
      <c r="E305" s="80">
        <f t="shared" si="24"/>
        <v>2.9487438958772998</v>
      </c>
      <c r="F305" s="72">
        <f t="shared" si="25"/>
        <v>2118.3336706464047</v>
      </c>
      <c r="G305" s="80">
        <f t="shared" si="26"/>
        <v>91.411060772196294</v>
      </c>
      <c r="H305" s="73">
        <f t="shared" si="27"/>
        <v>2.6117445934913226E-2</v>
      </c>
      <c r="I305" s="61"/>
    </row>
    <row r="306" spans="1:9" x14ac:dyDescent="0.25">
      <c r="A306" s="70">
        <v>43084</v>
      </c>
      <c r="B306" s="71">
        <f t="shared" si="28"/>
        <v>304</v>
      </c>
      <c r="C306" s="72">
        <f t="shared" si="29"/>
        <v>162.92262644994238</v>
      </c>
      <c r="D306" s="72">
        <v>160</v>
      </c>
      <c r="E306" s="80">
        <f t="shared" si="24"/>
        <v>2.9226264499423849</v>
      </c>
      <c r="F306" s="72">
        <f t="shared" si="25"/>
        <v>2117.994143849251</v>
      </c>
      <c r="G306" s="80">
        <f t="shared" si="26"/>
        <v>90.60141994821393</v>
      </c>
      <c r="H306" s="73">
        <f t="shared" si="27"/>
        <v>2.588611998520398E-2</v>
      </c>
      <c r="I306" s="61"/>
    </row>
    <row r="307" spans="1:9" x14ac:dyDescent="0.25">
      <c r="A307" s="70">
        <v>43084</v>
      </c>
      <c r="B307" s="71">
        <f t="shared" si="28"/>
        <v>305</v>
      </c>
      <c r="C307" s="72">
        <f t="shared" si="29"/>
        <v>162.89674032995717</v>
      </c>
      <c r="D307" s="72">
        <v>160</v>
      </c>
      <c r="E307" s="80">
        <f t="shared" si="24"/>
        <v>2.8967403299571686</v>
      </c>
      <c r="F307" s="72">
        <f t="shared" si="25"/>
        <v>2117.657624289443</v>
      </c>
      <c r="G307" s="80">
        <f t="shared" si="26"/>
        <v>89.798950228672226</v>
      </c>
      <c r="H307" s="73">
        <f t="shared" si="27"/>
        <v>2.5656842922477777E-2</v>
      </c>
      <c r="I307" s="61"/>
    </row>
    <row r="308" spans="1:9" x14ac:dyDescent="0.25">
      <c r="A308" s="70">
        <v>43084</v>
      </c>
      <c r="B308" s="71">
        <f t="shared" si="28"/>
        <v>306</v>
      </c>
      <c r="C308" s="72">
        <f t="shared" si="29"/>
        <v>162.8710834870347</v>
      </c>
      <c r="D308" s="72">
        <v>160</v>
      </c>
      <c r="E308" s="80">
        <f t="shared" si="24"/>
        <v>2.8710834870346957</v>
      </c>
      <c r="F308" s="72">
        <f t="shared" si="25"/>
        <v>2117.324085331451</v>
      </c>
      <c r="G308" s="80">
        <f t="shared" si="26"/>
        <v>89.003588098075568</v>
      </c>
      <c r="H308" s="73">
        <f t="shared" si="27"/>
        <v>2.5429596599450162E-2</v>
      </c>
      <c r="I308" s="61"/>
    </row>
    <row r="309" spans="1:9" x14ac:dyDescent="0.25">
      <c r="A309" s="70">
        <v>43084</v>
      </c>
      <c r="B309" s="71">
        <f t="shared" si="28"/>
        <v>307</v>
      </c>
      <c r="C309" s="72">
        <f t="shared" si="29"/>
        <v>162.84565389043524</v>
      </c>
      <c r="D309" s="72">
        <v>160</v>
      </c>
      <c r="E309" s="80">
        <f t="shared" si="24"/>
        <v>2.8456538904352442</v>
      </c>
      <c r="F309" s="72">
        <f t="shared" si="25"/>
        <v>2116.9935005756583</v>
      </c>
      <c r="G309" s="80">
        <f t="shared" si="26"/>
        <v>88.21527060349257</v>
      </c>
      <c r="H309" s="73">
        <f t="shared" si="27"/>
        <v>2.5204363029569306E-2</v>
      </c>
      <c r="I309" s="61"/>
    </row>
    <row r="310" spans="1:9" x14ac:dyDescent="0.25">
      <c r="A310" s="70">
        <v>43084</v>
      </c>
      <c r="B310" s="71">
        <f t="shared" si="28"/>
        <v>308</v>
      </c>
      <c r="C310" s="72">
        <f t="shared" si="29"/>
        <v>162.82044952740569</v>
      </c>
      <c r="D310" s="72">
        <v>160</v>
      </c>
      <c r="E310" s="80">
        <f t="shared" si="24"/>
        <v>2.8204495274056853</v>
      </c>
      <c r="F310" s="72">
        <f t="shared" si="25"/>
        <v>2116.665843856274</v>
      </c>
      <c r="G310" s="80">
        <f t="shared" si="26"/>
        <v>87.433935349576245</v>
      </c>
      <c r="H310" s="73">
        <f t="shared" si="27"/>
        <v>2.4981124385593214E-2</v>
      </c>
      <c r="I310" s="61"/>
    </row>
    <row r="311" spans="1:9" x14ac:dyDescent="0.25">
      <c r="A311" s="70">
        <v>43084</v>
      </c>
      <c r="B311" s="71">
        <f t="shared" si="28"/>
        <v>309</v>
      </c>
      <c r="C311" s="72">
        <f t="shared" si="29"/>
        <v>162.7954684030201</v>
      </c>
      <c r="D311" s="72">
        <v>160</v>
      </c>
      <c r="E311" s="80">
        <f t="shared" si="24"/>
        <v>2.7954684030200951</v>
      </c>
      <c r="F311" s="72">
        <f t="shared" si="25"/>
        <v>2116.3410892392612</v>
      </c>
      <c r="G311" s="80">
        <f t="shared" si="26"/>
        <v>86.659520493622949</v>
      </c>
      <c r="H311" s="73">
        <f t="shared" si="27"/>
        <v>2.4759862998177985E-2</v>
      </c>
      <c r="I311" s="61"/>
    </row>
    <row r="312" spans="1:9" x14ac:dyDescent="0.25">
      <c r="A312" s="70">
        <v>43084</v>
      </c>
      <c r="B312" s="71">
        <f t="shared" si="28"/>
        <v>310</v>
      </c>
      <c r="C312" s="72">
        <f t="shared" si="29"/>
        <v>162.77070854002193</v>
      </c>
      <c r="D312" s="72">
        <v>160</v>
      </c>
      <c r="E312" s="80">
        <f t="shared" si="24"/>
        <v>2.7707085400219285</v>
      </c>
      <c r="F312" s="72">
        <f t="shared" si="25"/>
        <v>2116.0192110202852</v>
      </c>
      <c r="G312" s="80">
        <f t="shared" si="26"/>
        <v>85.891964740679782</v>
      </c>
      <c r="H312" s="73">
        <f t="shared" si="27"/>
        <v>2.4540561354479937E-2</v>
      </c>
      <c r="I312" s="61"/>
    </row>
    <row r="313" spans="1:9" x14ac:dyDescent="0.25">
      <c r="A313" s="70">
        <v>43084</v>
      </c>
      <c r="B313" s="71">
        <f t="shared" si="28"/>
        <v>311</v>
      </c>
      <c r="C313" s="72">
        <f t="shared" si="29"/>
        <v>162.74616797866744</v>
      </c>
      <c r="D313" s="72">
        <v>160</v>
      </c>
      <c r="E313" s="80">
        <f t="shared" si="24"/>
        <v>2.7461679786674438</v>
      </c>
      <c r="F313" s="72">
        <f t="shared" si="25"/>
        <v>2115.7001837226767</v>
      </c>
      <c r="G313" s="80">
        <f t="shared" si="26"/>
        <v>85.131207338690757</v>
      </c>
      <c r="H313" s="73">
        <f t="shared" si="27"/>
        <v>2.4323202096768786E-2</v>
      </c>
      <c r="I313" s="61"/>
    </row>
    <row r="314" spans="1:9" x14ac:dyDescent="0.25">
      <c r="A314" s="70">
        <v>43084</v>
      </c>
      <c r="B314" s="71">
        <f t="shared" si="28"/>
        <v>312</v>
      </c>
      <c r="C314" s="72">
        <f t="shared" si="29"/>
        <v>162.72184477657066</v>
      </c>
      <c r="D314" s="72">
        <v>160</v>
      </c>
      <c r="E314" s="80">
        <f t="shared" si="24"/>
        <v>2.7218447765706628</v>
      </c>
      <c r="F314" s="72">
        <f t="shared" si="25"/>
        <v>2115.3839820954186</v>
      </c>
      <c r="G314" s="80">
        <f t="shared" si="26"/>
        <v>84.377188073690547</v>
      </c>
      <c r="H314" s="73">
        <f t="shared" si="27"/>
        <v>2.4107768021054441E-2</v>
      </c>
      <c r="I314" s="61"/>
    </row>
    <row r="315" spans="1:9" x14ac:dyDescent="0.25">
      <c r="A315" s="70">
        <v>43084</v>
      </c>
      <c r="B315" s="71">
        <f t="shared" si="28"/>
        <v>313</v>
      </c>
      <c r="C315" s="72">
        <f t="shared" si="29"/>
        <v>162.69773700854961</v>
      </c>
      <c r="D315" s="72">
        <v>160</v>
      </c>
      <c r="E315" s="80">
        <f t="shared" si="24"/>
        <v>2.6977370085496091</v>
      </c>
      <c r="F315" s="72">
        <f t="shared" si="25"/>
        <v>2115.0705811111447</v>
      </c>
      <c r="G315" s="80">
        <f t="shared" si="26"/>
        <v>83.629847265037881</v>
      </c>
      <c r="H315" s="73">
        <f t="shared" si="27"/>
        <v>2.389424207572511E-2</v>
      </c>
      <c r="I315" s="61"/>
    </row>
    <row r="316" spans="1:9" x14ac:dyDescent="0.25">
      <c r="A316" s="70">
        <v>43084</v>
      </c>
      <c r="B316" s="71">
        <f t="shared" si="28"/>
        <v>314</v>
      </c>
      <c r="C316" s="72">
        <f t="shared" si="29"/>
        <v>162.67384276647388</v>
      </c>
      <c r="D316" s="72">
        <v>160</v>
      </c>
      <c r="E316" s="80">
        <f t="shared" si="24"/>
        <v>2.6738427664738822</v>
      </c>
      <c r="F316" s="72">
        <f t="shared" si="25"/>
        <v>2114.7599559641603</v>
      </c>
      <c r="G316" s="80">
        <f t="shared" si="26"/>
        <v>82.889125760690348</v>
      </c>
      <c r="H316" s="73">
        <f t="shared" si="27"/>
        <v>2.3682607360197241E-2</v>
      </c>
      <c r="I316" s="61"/>
    </row>
    <row r="317" spans="1:9" x14ac:dyDescent="0.25">
      <c r="A317" s="70">
        <v>43084</v>
      </c>
      <c r="B317" s="71">
        <f t="shared" si="28"/>
        <v>315</v>
      </c>
      <c r="C317" s="72">
        <f t="shared" si="29"/>
        <v>162.65016015911368</v>
      </c>
      <c r="D317" s="72">
        <v>160</v>
      </c>
      <c r="E317" s="80">
        <f t="shared" si="24"/>
        <v>2.6501601591136819</v>
      </c>
      <c r="F317" s="72">
        <f t="shared" si="25"/>
        <v>2114.4520820684779</v>
      </c>
      <c r="G317" s="80">
        <f t="shared" si="26"/>
        <v>82.154964932524138</v>
      </c>
      <c r="H317" s="73">
        <f t="shared" si="27"/>
        <v>2.3472847123578326E-2</v>
      </c>
      <c r="I317" s="61"/>
    </row>
    <row r="318" spans="1:9" x14ac:dyDescent="0.25">
      <c r="A318" s="70">
        <v>43084</v>
      </c>
      <c r="B318" s="71">
        <f t="shared" si="28"/>
        <v>316</v>
      </c>
      <c r="C318" s="72">
        <f t="shared" si="29"/>
        <v>162.62668731199011</v>
      </c>
      <c r="D318" s="72">
        <v>160</v>
      </c>
      <c r="E318" s="80">
        <f t="shared" si="24"/>
        <v>2.6266873119901106</v>
      </c>
      <c r="F318" s="72">
        <f t="shared" si="25"/>
        <v>2114.1469350558714</v>
      </c>
      <c r="G318" s="80">
        <f t="shared" si="26"/>
        <v>81.42730667169343</v>
      </c>
      <c r="H318" s="73">
        <f t="shared" si="27"/>
        <v>2.326494476334098E-2</v>
      </c>
      <c r="I318" s="61"/>
    </row>
    <row r="319" spans="1:9" x14ac:dyDescent="0.25">
      <c r="A319" s="70">
        <v>43084</v>
      </c>
      <c r="B319" s="71">
        <f t="shared" si="28"/>
        <v>317</v>
      </c>
      <c r="C319" s="72">
        <f t="shared" si="29"/>
        <v>162.60342236722676</v>
      </c>
      <c r="D319" s="72">
        <v>160</v>
      </c>
      <c r="E319" s="80">
        <f t="shared" si="24"/>
        <v>2.6034223672267558</v>
      </c>
      <c r="F319" s="72">
        <f t="shared" si="25"/>
        <v>2113.8444907739477</v>
      </c>
      <c r="G319" s="80">
        <f t="shared" si="26"/>
        <v>80.70609338402943</v>
      </c>
      <c r="H319" s="73">
        <f t="shared" si="27"/>
        <v>2.3058883824008409E-2</v>
      </c>
      <c r="I319" s="61"/>
    </row>
    <row r="320" spans="1:9" x14ac:dyDescent="0.25">
      <c r="A320" s="70">
        <v>43084</v>
      </c>
      <c r="B320" s="71">
        <f t="shared" si="28"/>
        <v>318</v>
      </c>
      <c r="C320" s="72">
        <f t="shared" si="29"/>
        <v>162.58036348340275</v>
      </c>
      <c r="D320" s="72">
        <v>160</v>
      </c>
      <c r="E320" s="80">
        <f t="shared" si="24"/>
        <v>2.5803634834027491</v>
      </c>
      <c r="F320" s="72">
        <f t="shared" si="25"/>
        <v>2113.5447252842359</v>
      </c>
      <c r="G320" s="80">
        <f t="shared" si="26"/>
        <v>79.991267985485223</v>
      </c>
      <c r="H320" s="73">
        <f t="shared" si="27"/>
        <v>2.285464799585292E-2</v>
      </c>
      <c r="I320" s="61"/>
    </row>
    <row r="321" spans="1:9" x14ac:dyDescent="0.25">
      <c r="A321" s="70">
        <v>43084</v>
      </c>
      <c r="B321" s="71">
        <f t="shared" si="28"/>
        <v>319</v>
      </c>
      <c r="C321" s="72">
        <f t="shared" si="29"/>
        <v>162.55750883540691</v>
      </c>
      <c r="D321" s="72">
        <v>160</v>
      </c>
      <c r="E321" s="80">
        <f t="shared" si="24"/>
        <v>2.5575088354069067</v>
      </c>
      <c r="F321" s="72">
        <f t="shared" si="25"/>
        <v>2113.24761486029</v>
      </c>
      <c r="G321" s="80">
        <f t="shared" si="26"/>
        <v>79.282773897614106</v>
      </c>
      <c r="H321" s="73">
        <f t="shared" si="27"/>
        <v>2.2652221113604029E-2</v>
      </c>
      <c r="I321" s="61"/>
    </row>
    <row r="322" spans="1:9" x14ac:dyDescent="0.25">
      <c r="A322" s="70">
        <v>43084</v>
      </c>
      <c r="B322" s="71">
        <f t="shared" si="28"/>
        <v>320</v>
      </c>
      <c r="C322" s="72">
        <f t="shared" si="29"/>
        <v>162.53485661429329</v>
      </c>
      <c r="D322" s="72">
        <v>160</v>
      </c>
      <c r="E322" s="80">
        <f t="shared" si="24"/>
        <v>2.5348566142932896</v>
      </c>
      <c r="F322" s="72">
        <f t="shared" si="25"/>
        <v>2112.9531359858129</v>
      </c>
      <c r="G322" s="80">
        <f t="shared" si="26"/>
        <v>78.580555043091977</v>
      </c>
      <c r="H322" s="73">
        <f t="shared" si="27"/>
        <v>2.2451587155169137E-2</v>
      </c>
      <c r="I322" s="61"/>
    </row>
    <row r="323" spans="1:9" x14ac:dyDescent="0.25">
      <c r="A323" s="70">
        <v>43084</v>
      </c>
      <c r="B323" s="71">
        <f t="shared" si="28"/>
        <v>321</v>
      </c>
      <c r="C323" s="72">
        <f t="shared" si="29"/>
        <v>162.51240502713813</v>
      </c>
      <c r="D323" s="72">
        <v>160</v>
      </c>
      <c r="E323" s="80">
        <f t="shared" ref="E323:E386" si="30">C323-D323</f>
        <v>2.5124050271381293</v>
      </c>
      <c r="F323" s="72">
        <f t="shared" ref="F323:F388" si="31">13*C323</f>
        <v>2112.6612653527955</v>
      </c>
      <c r="G323" s="80">
        <f t="shared" ref="G323:G388" si="32">E323*31</f>
        <v>77.884555841282008</v>
      </c>
      <c r="H323" s="73">
        <f t="shared" ref="H323:H388" si="33">MIN($G323/3500,$F323/3500)</f>
        <v>2.2252730240366288E-2</v>
      </c>
      <c r="I323" s="61"/>
    </row>
    <row r="324" spans="1:9" x14ac:dyDescent="0.25">
      <c r="A324" s="70">
        <v>43084</v>
      </c>
      <c r="B324" s="71">
        <f t="shared" ref="B324:B388" si="34">B323+1</f>
        <v>322</v>
      </c>
      <c r="C324" s="72">
        <f t="shared" ref="C324:C388" si="35">C323-H323</f>
        <v>162.49015229689778</v>
      </c>
      <c r="D324" s="72">
        <v>160</v>
      </c>
      <c r="E324" s="80">
        <f t="shared" si="30"/>
        <v>2.4901522968977758</v>
      </c>
      <c r="F324" s="72">
        <f t="shared" si="31"/>
        <v>2112.3719798596712</v>
      </c>
      <c r="G324" s="80">
        <f t="shared" si="32"/>
        <v>77.194721203831051</v>
      </c>
      <c r="H324" s="73">
        <f t="shared" si="33"/>
        <v>2.2055634629666015E-2</v>
      </c>
      <c r="I324" s="61"/>
    </row>
    <row r="325" spans="1:9" x14ac:dyDescent="0.25">
      <c r="A325" s="70">
        <v>43084</v>
      </c>
      <c r="B325" s="71">
        <f t="shared" si="34"/>
        <v>323</v>
      </c>
      <c r="C325" s="72">
        <f t="shared" si="35"/>
        <v>162.46809666226812</v>
      </c>
      <c r="D325" s="72">
        <v>160</v>
      </c>
      <c r="E325" s="80">
        <f t="shared" si="30"/>
        <v>2.468096662268124</v>
      </c>
      <c r="F325" s="72">
        <f t="shared" si="31"/>
        <v>2112.0852566094854</v>
      </c>
      <c r="G325" s="80">
        <f t="shared" si="32"/>
        <v>76.510996530311843</v>
      </c>
      <c r="H325" s="73">
        <f t="shared" si="33"/>
        <v>2.1860284722946242E-2</v>
      </c>
      <c r="I325" s="61"/>
    </row>
    <row r="326" spans="1:9" x14ac:dyDescent="0.25">
      <c r="A326" s="70">
        <v>43084</v>
      </c>
      <c r="B326" s="71">
        <f t="shared" si="34"/>
        <v>324</v>
      </c>
      <c r="C326" s="72">
        <f t="shared" si="35"/>
        <v>162.44623637754518</v>
      </c>
      <c r="D326" s="72">
        <v>160</v>
      </c>
      <c r="E326" s="80">
        <f t="shared" si="30"/>
        <v>2.4462363775451763</v>
      </c>
      <c r="F326" s="72">
        <f t="shared" si="31"/>
        <v>2111.8010729080875</v>
      </c>
      <c r="G326" s="80">
        <f t="shared" si="32"/>
        <v>75.833327703900466</v>
      </c>
      <c r="H326" s="73">
        <f t="shared" si="33"/>
        <v>2.1666665058257276E-2</v>
      </c>
      <c r="I326" s="61"/>
    </row>
    <row r="327" spans="1:9" x14ac:dyDescent="0.25">
      <c r="A327" s="70">
        <v>43084</v>
      </c>
      <c r="B327" s="71">
        <f t="shared" si="34"/>
        <v>325</v>
      </c>
      <c r="C327" s="72">
        <f t="shared" si="35"/>
        <v>162.42456971248691</v>
      </c>
      <c r="D327" s="72">
        <v>160</v>
      </c>
      <c r="E327" s="80">
        <f t="shared" si="30"/>
        <v>2.4245697124869139</v>
      </c>
      <c r="F327" s="72">
        <f t="shared" si="31"/>
        <v>2111.51940626233</v>
      </c>
      <c r="G327" s="80">
        <f t="shared" si="32"/>
        <v>75.16166108709433</v>
      </c>
      <c r="H327" s="73">
        <f t="shared" si="33"/>
        <v>2.1474760310598379E-2</v>
      </c>
      <c r="I327" s="61"/>
    </row>
    <row r="328" spans="1:9" x14ac:dyDescent="0.25">
      <c r="A328" s="70">
        <v>43084</v>
      </c>
      <c r="B328" s="71">
        <f t="shared" si="34"/>
        <v>326</v>
      </c>
      <c r="C328" s="72">
        <f t="shared" si="35"/>
        <v>162.4030949521763</v>
      </c>
      <c r="D328" s="72">
        <v>160</v>
      </c>
      <c r="E328" s="80">
        <f t="shared" si="30"/>
        <v>2.4030949521763034</v>
      </c>
      <c r="F328" s="72">
        <f t="shared" si="31"/>
        <v>2111.2402343782919</v>
      </c>
      <c r="G328" s="80">
        <f t="shared" si="32"/>
        <v>74.495943517465406</v>
      </c>
      <c r="H328" s="73">
        <f t="shared" si="33"/>
        <v>2.1284555290704402E-2</v>
      </c>
      <c r="I328" s="61"/>
    </row>
    <row r="329" spans="1:9" x14ac:dyDescent="0.25">
      <c r="A329" s="70">
        <v>43084</v>
      </c>
      <c r="B329" s="71">
        <f t="shared" si="34"/>
        <v>327</v>
      </c>
      <c r="C329" s="72">
        <f t="shared" si="35"/>
        <v>162.38181039688561</v>
      </c>
      <c r="D329" s="72">
        <v>160</v>
      </c>
      <c r="E329" s="80">
        <f t="shared" si="30"/>
        <v>2.3818103968856121</v>
      </c>
      <c r="F329" s="72">
        <f t="shared" si="31"/>
        <v>2110.963535159513</v>
      </c>
      <c r="G329" s="80">
        <f t="shared" si="32"/>
        <v>73.836122303453976</v>
      </c>
      <c r="H329" s="73">
        <f t="shared" si="33"/>
        <v>2.1096034943843992E-2</v>
      </c>
      <c r="I329" s="61"/>
    </row>
    <row r="330" spans="1:9" x14ac:dyDescent="0.25">
      <c r="A330" s="70">
        <v>43084</v>
      </c>
      <c r="B330" s="71">
        <f t="shared" si="34"/>
        <v>328</v>
      </c>
      <c r="C330" s="72">
        <f t="shared" si="35"/>
        <v>162.36071436194177</v>
      </c>
      <c r="D330" s="72">
        <v>160</v>
      </c>
      <c r="E330" s="80">
        <f t="shared" si="30"/>
        <v>2.3607143619417741</v>
      </c>
      <c r="F330" s="72">
        <f t="shared" si="31"/>
        <v>2110.6892867052429</v>
      </c>
      <c r="G330" s="80">
        <f t="shared" si="32"/>
        <v>73.182145220194997</v>
      </c>
      <c r="H330" s="73">
        <f t="shared" si="33"/>
        <v>2.0909184348627142E-2</v>
      </c>
      <c r="I330" s="61"/>
    </row>
    <row r="331" spans="1:9" x14ac:dyDescent="0.25">
      <c r="A331" s="70">
        <v>43084</v>
      </c>
      <c r="B331" s="71">
        <f t="shared" si="34"/>
        <v>329</v>
      </c>
      <c r="C331" s="72">
        <f t="shared" si="35"/>
        <v>162.33980517759315</v>
      </c>
      <c r="D331" s="72">
        <v>160</v>
      </c>
      <c r="E331" s="80">
        <f t="shared" si="30"/>
        <v>2.3398051775931492</v>
      </c>
      <c r="F331" s="72">
        <f t="shared" si="31"/>
        <v>2110.4174673087109</v>
      </c>
      <c r="G331" s="80">
        <f t="shared" si="32"/>
        <v>72.533960505387626</v>
      </c>
      <c r="H331" s="73">
        <f t="shared" si="33"/>
        <v>2.0723988715825037E-2</v>
      </c>
      <c r="I331" s="61"/>
    </row>
    <row r="332" spans="1:9" x14ac:dyDescent="0.25">
      <c r="A332" s="70">
        <v>43084</v>
      </c>
      <c r="B332" s="71">
        <f t="shared" si="34"/>
        <v>330</v>
      </c>
      <c r="C332" s="72">
        <f t="shared" si="35"/>
        <v>162.31908118887733</v>
      </c>
      <c r="D332" s="72">
        <v>160</v>
      </c>
      <c r="E332" s="80">
        <f t="shared" si="30"/>
        <v>2.3190811888773339</v>
      </c>
      <c r="F332" s="72">
        <f t="shared" si="31"/>
        <v>2110.1480554554055</v>
      </c>
      <c r="G332" s="80">
        <f t="shared" si="32"/>
        <v>71.891516855197352</v>
      </c>
      <c r="H332" s="73">
        <f t="shared" si="33"/>
        <v>2.0540433387199245E-2</v>
      </c>
      <c r="I332" s="61"/>
    </row>
    <row r="333" spans="1:9" x14ac:dyDescent="0.25">
      <c r="A333" s="70">
        <v>43084</v>
      </c>
      <c r="B333" s="71">
        <f t="shared" si="34"/>
        <v>331</v>
      </c>
      <c r="C333" s="72">
        <f t="shared" si="35"/>
        <v>162.29854075549014</v>
      </c>
      <c r="D333" s="72">
        <v>160</v>
      </c>
      <c r="E333" s="80">
        <f t="shared" si="30"/>
        <v>2.2985407554901371</v>
      </c>
      <c r="F333" s="72">
        <f t="shared" si="31"/>
        <v>2109.8810298213716</v>
      </c>
      <c r="G333" s="80">
        <f t="shared" si="32"/>
        <v>71.254763420194251</v>
      </c>
      <c r="H333" s="73">
        <f t="shared" si="33"/>
        <v>2.0358503834341214E-2</v>
      </c>
      <c r="I333" s="61"/>
    </row>
    <row r="334" spans="1:9" x14ac:dyDescent="0.25">
      <c r="A334" s="70">
        <v>43084</v>
      </c>
      <c r="B334" s="71">
        <f t="shared" si="34"/>
        <v>332</v>
      </c>
      <c r="C334" s="72">
        <f t="shared" si="35"/>
        <v>162.27818225165581</v>
      </c>
      <c r="D334" s="72">
        <v>160</v>
      </c>
      <c r="E334" s="80">
        <f t="shared" si="30"/>
        <v>2.2781822516558066</v>
      </c>
      <c r="F334" s="72">
        <f t="shared" si="31"/>
        <v>2109.6163692715254</v>
      </c>
      <c r="G334" s="80">
        <f t="shared" si="32"/>
        <v>70.623649801330004</v>
      </c>
      <c r="H334" s="73">
        <f t="shared" si="33"/>
        <v>2.0178185657522857E-2</v>
      </c>
      <c r="I334" s="61"/>
    </row>
    <row r="335" spans="1:9" x14ac:dyDescent="0.25">
      <c r="A335" s="70">
        <v>43084</v>
      </c>
      <c r="B335" s="71">
        <f t="shared" si="34"/>
        <v>333</v>
      </c>
      <c r="C335" s="72">
        <f t="shared" si="35"/>
        <v>162.25800406599828</v>
      </c>
      <c r="D335" s="72">
        <v>160</v>
      </c>
      <c r="E335" s="80">
        <f t="shared" si="30"/>
        <v>2.2580040659982785</v>
      </c>
      <c r="F335" s="72">
        <f t="shared" si="31"/>
        <v>2109.3540528579774</v>
      </c>
      <c r="G335" s="80">
        <f t="shared" si="32"/>
        <v>69.998126045946634</v>
      </c>
      <c r="H335" s="73">
        <f t="shared" si="33"/>
        <v>1.9999464584556183E-2</v>
      </c>
      <c r="I335" s="61"/>
    </row>
    <row r="336" spans="1:9" x14ac:dyDescent="0.25">
      <c r="A336" s="70">
        <v>43084</v>
      </c>
      <c r="B336" s="71">
        <f t="shared" si="34"/>
        <v>334</v>
      </c>
      <c r="C336" s="72">
        <f t="shared" si="35"/>
        <v>162.23800460141373</v>
      </c>
      <c r="D336" s="72">
        <v>160</v>
      </c>
      <c r="E336" s="80">
        <f t="shared" si="30"/>
        <v>2.2380046014137349</v>
      </c>
      <c r="F336" s="72">
        <f t="shared" si="31"/>
        <v>2109.0940598183784</v>
      </c>
      <c r="G336" s="80">
        <f t="shared" si="32"/>
        <v>69.378142643825782</v>
      </c>
      <c r="H336" s="73">
        <f t="shared" si="33"/>
        <v>1.982232646966451E-2</v>
      </c>
      <c r="I336" s="61"/>
    </row>
    <row r="337" spans="1:9" x14ac:dyDescent="0.25">
      <c r="A337" s="70">
        <v>43084</v>
      </c>
      <c r="B337" s="71">
        <f t="shared" si="34"/>
        <v>335</v>
      </c>
      <c r="C337" s="72">
        <f t="shared" si="35"/>
        <v>162.21818227494407</v>
      </c>
      <c r="D337" s="72">
        <v>160</v>
      </c>
      <c r="E337" s="80">
        <f t="shared" si="30"/>
        <v>2.2181822749440698</v>
      </c>
      <c r="F337" s="72">
        <f t="shared" si="31"/>
        <v>2108.8363695742728</v>
      </c>
      <c r="G337" s="80">
        <f t="shared" si="32"/>
        <v>68.763650523266165</v>
      </c>
      <c r="H337" s="73">
        <f t="shared" si="33"/>
        <v>1.9646757292361761E-2</v>
      </c>
      <c r="I337" s="61"/>
    </row>
    <row r="338" spans="1:9" x14ac:dyDescent="0.25">
      <c r="A338" s="70">
        <v>43084</v>
      </c>
      <c r="B338" s="71">
        <f t="shared" si="34"/>
        <v>336</v>
      </c>
      <c r="C338" s="72">
        <f t="shared" si="35"/>
        <v>162.19853551765172</v>
      </c>
      <c r="D338" s="72">
        <v>160</v>
      </c>
      <c r="E338" s="80">
        <f t="shared" si="30"/>
        <v>2.1985355176517203</v>
      </c>
      <c r="F338" s="72">
        <f t="shared" si="31"/>
        <v>2108.5809617294722</v>
      </c>
      <c r="G338" s="80">
        <f t="shared" si="32"/>
        <v>68.154601047203329</v>
      </c>
      <c r="H338" s="73">
        <f t="shared" si="33"/>
        <v>1.9472743156343807E-2</v>
      </c>
      <c r="I338" s="61"/>
    </row>
    <row r="339" spans="1:9" x14ac:dyDescent="0.25">
      <c r="A339" s="70">
        <v>43084</v>
      </c>
      <c r="B339" s="71">
        <f t="shared" si="34"/>
        <v>337</v>
      </c>
      <c r="C339" s="72">
        <f t="shared" si="35"/>
        <v>162.17906277449538</v>
      </c>
      <c r="D339" s="72">
        <v>160</v>
      </c>
      <c r="E339" s="80">
        <f t="shared" si="30"/>
        <v>2.1790627744953781</v>
      </c>
      <c r="F339" s="72">
        <f t="shared" si="31"/>
        <v>2108.3278160684399</v>
      </c>
      <c r="G339" s="80">
        <f t="shared" si="32"/>
        <v>67.550946009356721</v>
      </c>
      <c r="H339" s="73">
        <f t="shared" si="33"/>
        <v>1.9300270288387635E-2</v>
      </c>
      <c r="I339" s="61"/>
    </row>
    <row r="340" spans="1:9" x14ac:dyDescent="0.25">
      <c r="A340" s="70">
        <v>43084</v>
      </c>
      <c r="B340" s="71">
        <f t="shared" si="34"/>
        <v>338</v>
      </c>
      <c r="C340" s="72">
        <f t="shared" si="35"/>
        <v>162.15976250420698</v>
      </c>
      <c r="D340" s="72">
        <v>160</v>
      </c>
      <c r="E340" s="80">
        <f t="shared" si="30"/>
        <v>2.1597625042069808</v>
      </c>
      <c r="F340" s="72">
        <f t="shared" si="31"/>
        <v>2108.0769125546908</v>
      </c>
      <c r="G340" s="80">
        <f t="shared" si="32"/>
        <v>66.952637630416405</v>
      </c>
      <c r="H340" s="73">
        <f t="shared" si="33"/>
        <v>1.9129325037261832E-2</v>
      </c>
      <c r="I340" s="61"/>
    </row>
    <row r="341" spans="1:9" x14ac:dyDescent="0.25">
      <c r="A341" s="70">
        <v>43084</v>
      </c>
      <c r="B341" s="71">
        <f t="shared" si="34"/>
        <v>339</v>
      </c>
      <c r="C341" s="72">
        <f t="shared" si="35"/>
        <v>162.14063317916973</v>
      </c>
      <c r="D341" s="72">
        <v>160</v>
      </c>
      <c r="E341" s="80">
        <f t="shared" si="30"/>
        <v>2.1406331791697255</v>
      </c>
      <c r="F341" s="72">
        <f t="shared" si="31"/>
        <v>2107.8282313292066</v>
      </c>
      <c r="G341" s="80">
        <f t="shared" si="32"/>
        <v>66.359628554261491</v>
      </c>
      <c r="H341" s="73">
        <f t="shared" si="33"/>
        <v>1.8959893872646141E-2</v>
      </c>
      <c r="I341" s="61"/>
    </row>
    <row r="342" spans="1:9" x14ac:dyDescent="0.25">
      <c r="A342" s="70">
        <v>43084</v>
      </c>
      <c r="B342" s="71">
        <f t="shared" si="34"/>
        <v>340</v>
      </c>
      <c r="C342" s="72">
        <f t="shared" si="35"/>
        <v>162.12167328529708</v>
      </c>
      <c r="D342" s="72">
        <v>160</v>
      </c>
      <c r="E342" s="80">
        <f t="shared" si="30"/>
        <v>2.1216732852970779</v>
      </c>
      <c r="F342" s="72">
        <f t="shared" si="31"/>
        <v>2107.581752708862</v>
      </c>
      <c r="G342" s="80">
        <f t="shared" si="32"/>
        <v>65.771871844209414</v>
      </c>
      <c r="H342" s="73">
        <f t="shared" si="33"/>
        <v>1.8791963384059834E-2</v>
      </c>
      <c r="I342" s="61"/>
    </row>
    <row r="343" spans="1:9" x14ac:dyDescent="0.25">
      <c r="A343" s="70">
        <v>43084</v>
      </c>
      <c r="B343" s="71">
        <f t="shared" si="34"/>
        <v>341</v>
      </c>
      <c r="C343" s="72">
        <f t="shared" si="35"/>
        <v>162.10288132191303</v>
      </c>
      <c r="D343" s="72">
        <v>160</v>
      </c>
      <c r="E343" s="80">
        <f t="shared" si="30"/>
        <v>2.1028813219130313</v>
      </c>
      <c r="F343" s="72">
        <f t="shared" si="31"/>
        <v>2107.3374571848694</v>
      </c>
      <c r="G343" s="80">
        <f t="shared" si="32"/>
        <v>65.189320979303972</v>
      </c>
      <c r="H343" s="73">
        <f t="shared" si="33"/>
        <v>1.8625520279801133E-2</v>
      </c>
      <c r="I343" s="61"/>
    </row>
    <row r="344" spans="1:9" x14ac:dyDescent="0.25">
      <c r="A344" s="70">
        <v>43084</v>
      </c>
      <c r="B344" s="71">
        <f t="shared" si="34"/>
        <v>342</v>
      </c>
      <c r="C344" s="72">
        <f t="shared" si="35"/>
        <v>162.08425580163322</v>
      </c>
      <c r="D344" s="72">
        <v>160</v>
      </c>
      <c r="E344" s="80">
        <f t="shared" si="30"/>
        <v>2.0842558016332191</v>
      </c>
      <c r="F344" s="72">
        <f t="shared" si="31"/>
        <v>2107.0953254212318</v>
      </c>
      <c r="G344" s="80">
        <f t="shared" si="32"/>
        <v>64.611929850629792</v>
      </c>
      <c r="H344" s="73">
        <f t="shared" si="33"/>
        <v>1.8460551385894225E-2</v>
      </c>
      <c r="I344" s="61"/>
    </row>
    <row r="345" spans="1:9" x14ac:dyDescent="0.25">
      <c r="A345" s="70">
        <v>43084</v>
      </c>
      <c r="B345" s="71">
        <f t="shared" si="34"/>
        <v>343</v>
      </c>
      <c r="C345" s="72">
        <f t="shared" si="35"/>
        <v>162.06579525024733</v>
      </c>
      <c r="D345" s="72">
        <v>160</v>
      </c>
      <c r="E345" s="80">
        <f t="shared" si="30"/>
        <v>2.0657952502473336</v>
      </c>
      <c r="F345" s="72">
        <f t="shared" si="31"/>
        <v>2106.8553382532155</v>
      </c>
      <c r="G345" s="80">
        <f t="shared" si="32"/>
        <v>64.039652757667341</v>
      </c>
      <c r="H345" s="73">
        <f t="shared" si="33"/>
        <v>1.8297043645047813E-2</v>
      </c>
      <c r="I345" s="61"/>
    </row>
    <row r="346" spans="1:9" x14ac:dyDescent="0.25">
      <c r="A346" s="70">
        <v>43084</v>
      </c>
      <c r="B346" s="71">
        <f t="shared" si="34"/>
        <v>344</v>
      </c>
      <c r="C346" s="72">
        <f t="shared" si="35"/>
        <v>162.04749820660228</v>
      </c>
      <c r="D346" s="72">
        <v>160</v>
      </c>
      <c r="E346" s="80">
        <f t="shared" si="30"/>
        <v>2.0474982066022847</v>
      </c>
      <c r="F346" s="72">
        <f t="shared" si="31"/>
        <v>2106.6174766858298</v>
      </c>
      <c r="G346" s="80">
        <f t="shared" si="32"/>
        <v>63.472444404670824</v>
      </c>
      <c r="H346" s="73">
        <f t="shared" si="33"/>
        <v>1.8134984115620235E-2</v>
      </c>
      <c r="I346" s="61"/>
    </row>
    <row r="347" spans="1:9" x14ac:dyDescent="0.25">
      <c r="A347" s="70">
        <v>43084</v>
      </c>
      <c r="B347" s="71">
        <f t="shared" si="34"/>
        <v>345</v>
      </c>
      <c r="C347" s="72">
        <f t="shared" si="35"/>
        <v>162.02936322248667</v>
      </c>
      <c r="D347" s="72">
        <v>160</v>
      </c>
      <c r="E347" s="80">
        <f t="shared" si="30"/>
        <v>2.0293632224866656</v>
      </c>
      <c r="F347" s="72">
        <f t="shared" si="31"/>
        <v>2106.3817218923268</v>
      </c>
      <c r="G347" s="80">
        <f t="shared" si="32"/>
        <v>62.910259897086632</v>
      </c>
      <c r="H347" s="73">
        <f t="shared" si="33"/>
        <v>1.7974359970596182E-2</v>
      </c>
      <c r="I347" s="61"/>
    </row>
    <row r="348" spans="1:9" x14ac:dyDescent="0.25">
      <c r="A348" s="70">
        <v>43084</v>
      </c>
      <c r="B348" s="71">
        <f t="shared" si="34"/>
        <v>346</v>
      </c>
      <c r="C348" s="72">
        <f t="shared" si="35"/>
        <v>162.01138886251607</v>
      </c>
      <c r="D348" s="72">
        <v>160</v>
      </c>
      <c r="E348" s="80">
        <f t="shared" si="30"/>
        <v>2.0113888625160712</v>
      </c>
      <c r="F348" s="72">
        <f t="shared" si="31"/>
        <v>2106.1480552127091</v>
      </c>
      <c r="G348" s="80">
        <f t="shared" si="32"/>
        <v>62.353054737998207</v>
      </c>
      <c r="H348" s="73">
        <f t="shared" si="33"/>
        <v>1.7815158496570917E-2</v>
      </c>
      <c r="I348" s="61"/>
    </row>
    <row r="349" spans="1:9" x14ac:dyDescent="0.25">
      <c r="A349" s="70">
        <v>43084</v>
      </c>
      <c r="B349" s="71">
        <f t="shared" si="34"/>
        <v>347</v>
      </c>
      <c r="C349" s="72">
        <f t="shared" si="35"/>
        <v>161.9935737040195</v>
      </c>
      <c r="D349" s="72">
        <v>160</v>
      </c>
      <c r="E349" s="80">
        <f t="shared" si="30"/>
        <v>1.9935737040194965</v>
      </c>
      <c r="F349" s="72">
        <f t="shared" si="31"/>
        <v>2105.9164581522537</v>
      </c>
      <c r="G349" s="80">
        <f t="shared" si="32"/>
        <v>61.800784824604392</v>
      </c>
      <c r="H349" s="73">
        <f t="shared" si="33"/>
        <v>1.7657367092744111E-2</v>
      </c>
      <c r="I349" s="61"/>
    </row>
    <row r="350" spans="1:9" x14ac:dyDescent="0.25">
      <c r="A350" s="70">
        <v>43084</v>
      </c>
      <c r="B350" s="71">
        <f t="shared" si="34"/>
        <v>348</v>
      </c>
      <c r="C350" s="72">
        <f t="shared" si="35"/>
        <v>161.97591633692676</v>
      </c>
      <c r="D350" s="72">
        <v>160</v>
      </c>
      <c r="E350" s="80">
        <f t="shared" si="30"/>
        <v>1.9759163369267583</v>
      </c>
      <c r="F350" s="72">
        <f t="shared" si="31"/>
        <v>2105.6869123800479</v>
      </c>
      <c r="G350" s="80">
        <f t="shared" si="32"/>
        <v>61.253406444729507</v>
      </c>
      <c r="H350" s="73">
        <f t="shared" si="33"/>
        <v>1.7500973269922716E-2</v>
      </c>
      <c r="I350" s="61"/>
    </row>
    <row r="351" spans="1:9" x14ac:dyDescent="0.25">
      <c r="A351" s="70">
        <v>43084</v>
      </c>
      <c r="B351" s="71">
        <f t="shared" si="34"/>
        <v>349</v>
      </c>
      <c r="C351" s="72">
        <f t="shared" si="35"/>
        <v>161.95841536365683</v>
      </c>
      <c r="D351" s="72">
        <v>160</v>
      </c>
      <c r="E351" s="80">
        <f t="shared" si="30"/>
        <v>1.958415363656826</v>
      </c>
      <c r="F351" s="72">
        <f t="shared" si="31"/>
        <v>2105.4593997275388</v>
      </c>
      <c r="G351" s="80">
        <f t="shared" si="32"/>
        <v>60.710876273361606</v>
      </c>
      <c r="H351" s="73">
        <f t="shared" si="33"/>
        <v>1.7345964649531889E-2</v>
      </c>
      <c r="I351" s="61"/>
    </row>
    <row r="352" spans="1:9" x14ac:dyDescent="0.25">
      <c r="A352" s="70">
        <v>43084</v>
      </c>
      <c r="B352" s="71">
        <f t="shared" si="34"/>
        <v>350</v>
      </c>
      <c r="C352" s="72">
        <f t="shared" si="35"/>
        <v>161.94106939900729</v>
      </c>
      <c r="D352" s="72">
        <v>160</v>
      </c>
      <c r="E352" s="80">
        <f t="shared" si="30"/>
        <v>1.94106939900729</v>
      </c>
      <c r="F352" s="72">
        <f t="shared" si="31"/>
        <v>2105.2339021870948</v>
      </c>
      <c r="G352" s="80">
        <f t="shared" si="32"/>
        <v>60.173151369225991</v>
      </c>
      <c r="H352" s="73">
        <f t="shared" si="33"/>
        <v>1.7192328962635998E-2</v>
      </c>
      <c r="I352" s="61"/>
    </row>
    <row r="353" spans="1:9" x14ac:dyDescent="0.25">
      <c r="A353" s="70">
        <v>43084</v>
      </c>
      <c r="B353" s="71">
        <f t="shared" si="34"/>
        <v>351</v>
      </c>
      <c r="C353" s="72">
        <f t="shared" si="35"/>
        <v>161.92387707004465</v>
      </c>
      <c r="D353" s="72">
        <v>160</v>
      </c>
      <c r="E353" s="80">
        <f t="shared" si="30"/>
        <v>1.9238770700446537</v>
      </c>
      <c r="F353" s="72">
        <f t="shared" si="31"/>
        <v>2105.0104019105806</v>
      </c>
      <c r="G353" s="80">
        <f t="shared" si="32"/>
        <v>59.640189171384264</v>
      </c>
      <c r="H353" s="73">
        <f t="shared" si="33"/>
        <v>1.7040054048966934E-2</v>
      </c>
      <c r="I353" s="61"/>
    </row>
    <row r="354" spans="1:9" x14ac:dyDescent="0.25">
      <c r="A354" s="70">
        <v>43084</v>
      </c>
      <c r="B354" s="71">
        <f t="shared" si="34"/>
        <v>352</v>
      </c>
      <c r="C354" s="72">
        <f t="shared" si="35"/>
        <v>161.90683701599568</v>
      </c>
      <c r="D354" s="72">
        <v>160</v>
      </c>
      <c r="E354" s="80">
        <f t="shared" si="30"/>
        <v>1.9068370159956771</v>
      </c>
      <c r="F354" s="72">
        <f t="shared" si="31"/>
        <v>2104.7888812079436</v>
      </c>
      <c r="G354" s="80">
        <f t="shared" si="32"/>
        <v>59.111947495865991</v>
      </c>
      <c r="H354" s="73">
        <f t="shared" si="33"/>
        <v>1.6889127855961712E-2</v>
      </c>
      <c r="I354" s="61"/>
    </row>
    <row r="355" spans="1:9" x14ac:dyDescent="0.25">
      <c r="A355" s="70">
        <v>43084</v>
      </c>
      <c r="B355" s="71">
        <f t="shared" si="34"/>
        <v>353</v>
      </c>
      <c r="C355" s="72">
        <f t="shared" si="35"/>
        <v>161.88994788813972</v>
      </c>
      <c r="D355" s="72">
        <v>160</v>
      </c>
      <c r="E355" s="80">
        <f t="shared" si="30"/>
        <v>1.8899478881397158</v>
      </c>
      <c r="F355" s="72">
        <f t="shared" si="31"/>
        <v>2104.5693225458162</v>
      </c>
      <c r="G355" s="80">
        <f t="shared" si="32"/>
        <v>58.58838453233119</v>
      </c>
      <c r="H355" s="73">
        <f t="shared" si="33"/>
        <v>1.6739538437808912E-2</v>
      </c>
      <c r="I355" s="61"/>
    </row>
    <row r="356" spans="1:9" x14ac:dyDescent="0.25">
      <c r="A356" s="70">
        <v>43084</v>
      </c>
      <c r="B356" s="71">
        <f t="shared" si="34"/>
        <v>354</v>
      </c>
      <c r="C356" s="72">
        <f t="shared" si="35"/>
        <v>161.87320834970191</v>
      </c>
      <c r="D356" s="72">
        <v>160</v>
      </c>
      <c r="E356" s="80">
        <f t="shared" si="30"/>
        <v>1.8732083497019119</v>
      </c>
      <c r="F356" s="72">
        <f t="shared" si="31"/>
        <v>2104.3517085461249</v>
      </c>
      <c r="G356" s="80">
        <f t="shared" si="32"/>
        <v>58.069458840759268</v>
      </c>
      <c r="H356" s="73">
        <f t="shared" si="33"/>
        <v>1.6591273954502647E-2</v>
      </c>
      <c r="I356" s="61"/>
    </row>
    <row r="357" spans="1:9" x14ac:dyDescent="0.25">
      <c r="A357" s="70">
        <v>43084</v>
      </c>
      <c r="B357" s="71">
        <f t="shared" si="34"/>
        <v>355</v>
      </c>
      <c r="C357" s="72">
        <f t="shared" si="35"/>
        <v>161.85661707574741</v>
      </c>
      <c r="D357" s="72">
        <v>160</v>
      </c>
      <c r="E357" s="80">
        <f t="shared" si="30"/>
        <v>1.8566170757474083</v>
      </c>
      <c r="F357" s="72">
        <f t="shared" si="31"/>
        <v>2104.1360219847165</v>
      </c>
      <c r="G357" s="80">
        <f t="shared" si="32"/>
        <v>57.555129348169658</v>
      </c>
      <c r="H357" s="73">
        <f t="shared" si="33"/>
        <v>1.6444322670905617E-2</v>
      </c>
      <c r="I357" s="61"/>
    </row>
    <row r="358" spans="1:9" x14ac:dyDescent="0.25">
      <c r="A358" s="70">
        <v>43084</v>
      </c>
      <c r="B358" s="71">
        <f t="shared" si="34"/>
        <v>356</v>
      </c>
      <c r="C358" s="72">
        <f t="shared" si="35"/>
        <v>161.8401727530765</v>
      </c>
      <c r="D358" s="72">
        <v>160</v>
      </c>
      <c r="E358" s="80">
        <f t="shared" si="30"/>
        <v>1.8401727530765015</v>
      </c>
      <c r="F358" s="72">
        <f t="shared" si="31"/>
        <v>2103.9222457899946</v>
      </c>
      <c r="G358" s="80">
        <f t="shared" si="32"/>
        <v>57.045355345371547</v>
      </c>
      <c r="H358" s="73">
        <f t="shared" si="33"/>
        <v>1.629867295582044E-2</v>
      </c>
      <c r="I358" s="61"/>
    </row>
    <row r="359" spans="1:9" x14ac:dyDescent="0.25">
      <c r="A359" s="70">
        <v>43084</v>
      </c>
      <c r="B359" s="71">
        <f t="shared" si="34"/>
        <v>357</v>
      </c>
      <c r="C359" s="72">
        <f t="shared" si="35"/>
        <v>161.82387408012067</v>
      </c>
      <c r="D359" s="72">
        <v>160</v>
      </c>
      <c r="E359" s="80">
        <f t="shared" si="30"/>
        <v>1.8238740801206745</v>
      </c>
      <c r="F359" s="72">
        <f t="shared" si="31"/>
        <v>2103.7103630415686</v>
      </c>
      <c r="G359" s="80">
        <f t="shared" si="32"/>
        <v>56.540096483740911</v>
      </c>
      <c r="H359" s="73">
        <f t="shared" si="33"/>
        <v>1.6154313281068831E-2</v>
      </c>
      <c r="I359" s="61"/>
    </row>
    <row r="360" spans="1:9" x14ac:dyDescent="0.25">
      <c r="A360" s="70">
        <v>43084</v>
      </c>
      <c r="B360" s="71">
        <f t="shared" si="34"/>
        <v>358</v>
      </c>
      <c r="C360" s="72">
        <f t="shared" si="35"/>
        <v>161.8077197668396</v>
      </c>
      <c r="D360" s="72">
        <v>160</v>
      </c>
      <c r="E360" s="80">
        <f t="shared" si="30"/>
        <v>1.8077197668395968</v>
      </c>
      <c r="F360" s="72">
        <f t="shared" si="31"/>
        <v>2103.5003569689147</v>
      </c>
      <c r="G360" s="80">
        <f t="shared" si="32"/>
        <v>56.0393127720275</v>
      </c>
      <c r="H360" s="73">
        <f t="shared" si="33"/>
        <v>1.6011232220579284E-2</v>
      </c>
      <c r="I360" s="61"/>
    </row>
    <row r="361" spans="1:9" x14ac:dyDescent="0.25">
      <c r="A361" s="70">
        <v>43084</v>
      </c>
      <c r="B361" s="71">
        <f t="shared" si="34"/>
        <v>359</v>
      </c>
      <c r="C361" s="72">
        <f t="shared" si="35"/>
        <v>161.791708534619</v>
      </c>
      <c r="D361" s="72">
        <v>160</v>
      </c>
      <c r="E361" s="80">
        <f t="shared" si="30"/>
        <v>1.7917085346190049</v>
      </c>
      <c r="F361" s="72">
        <f t="shared" si="31"/>
        <v>2103.2922109500469</v>
      </c>
      <c r="G361" s="80">
        <f t="shared" si="32"/>
        <v>55.542964573189153</v>
      </c>
      <c r="H361" s="73">
        <f t="shared" si="33"/>
        <v>1.5869418449482614E-2</v>
      </c>
      <c r="I361" s="61"/>
    </row>
    <row r="362" spans="1:9" x14ac:dyDescent="0.25">
      <c r="A362" s="70">
        <v>43084</v>
      </c>
      <c r="B362" s="71">
        <f t="shared" si="34"/>
        <v>360</v>
      </c>
      <c r="C362" s="72">
        <f t="shared" si="35"/>
        <v>161.77583911616952</v>
      </c>
      <c r="D362" s="72">
        <v>160</v>
      </c>
      <c r="E362" s="80">
        <f t="shared" si="30"/>
        <v>1.7758391161695215</v>
      </c>
      <c r="F362" s="72">
        <f t="shared" si="31"/>
        <v>2103.0859085102038</v>
      </c>
      <c r="G362" s="80">
        <f t="shared" si="32"/>
        <v>55.051012601255167</v>
      </c>
      <c r="H362" s="73">
        <f t="shared" si="33"/>
        <v>1.5728860743215761E-2</v>
      </c>
      <c r="I362" s="61"/>
    </row>
    <row r="363" spans="1:9" x14ac:dyDescent="0.25">
      <c r="A363" s="70">
        <v>43084</v>
      </c>
      <c r="B363" s="71">
        <f t="shared" si="34"/>
        <v>361</v>
      </c>
      <c r="C363" s="72">
        <f t="shared" si="35"/>
        <v>161.7601102554263</v>
      </c>
      <c r="D363" s="72">
        <v>160</v>
      </c>
      <c r="E363" s="80">
        <f t="shared" si="30"/>
        <v>1.760110255426298</v>
      </c>
      <c r="F363" s="72">
        <f t="shared" si="31"/>
        <v>2102.8814333205419</v>
      </c>
      <c r="G363" s="80">
        <f t="shared" si="32"/>
        <v>54.563417918215237</v>
      </c>
      <c r="H363" s="73">
        <f t="shared" si="33"/>
        <v>1.5589547976632924E-2</v>
      </c>
      <c r="I363" s="61"/>
    </row>
    <row r="364" spans="1:9" x14ac:dyDescent="0.25">
      <c r="A364" s="70">
        <v>43084</v>
      </c>
      <c r="B364" s="71">
        <f t="shared" si="34"/>
        <v>362</v>
      </c>
      <c r="C364" s="72">
        <f t="shared" si="35"/>
        <v>161.74452070744965</v>
      </c>
      <c r="D364" s="72">
        <v>160</v>
      </c>
      <c r="E364" s="80">
        <f t="shared" si="30"/>
        <v>1.7445207074496523</v>
      </c>
      <c r="F364" s="72">
        <f t="shared" si="31"/>
        <v>2102.6787691968457</v>
      </c>
      <c r="G364" s="80">
        <f t="shared" si="32"/>
        <v>54.08014193093922</v>
      </c>
      <c r="H364" s="73">
        <f t="shared" si="33"/>
        <v>1.5451469123125491E-2</v>
      </c>
      <c r="I364" s="61"/>
    </row>
    <row r="365" spans="1:9" x14ac:dyDescent="0.25">
      <c r="A365" s="70">
        <v>43084</v>
      </c>
      <c r="B365" s="71">
        <f t="shared" si="34"/>
        <v>363</v>
      </c>
      <c r="C365" s="72">
        <f t="shared" si="35"/>
        <v>161.72906923832653</v>
      </c>
      <c r="D365" s="72">
        <v>160</v>
      </c>
      <c r="E365" s="80">
        <f t="shared" si="30"/>
        <v>1.7290692383265309</v>
      </c>
      <c r="F365" s="72">
        <f t="shared" si="31"/>
        <v>2102.4779000982448</v>
      </c>
      <c r="G365" s="80">
        <f t="shared" si="32"/>
        <v>53.601146388122459</v>
      </c>
      <c r="H365" s="73">
        <f t="shared" si="33"/>
        <v>1.5314613253749275E-2</v>
      </c>
      <c r="I365" s="61"/>
    </row>
    <row r="366" spans="1:9" x14ac:dyDescent="0.25">
      <c r="A366" s="70">
        <v>43084</v>
      </c>
      <c r="B366" s="71">
        <f t="shared" si="34"/>
        <v>364</v>
      </c>
      <c r="C366" s="72">
        <f t="shared" si="35"/>
        <v>161.7137546250728</v>
      </c>
      <c r="D366" s="72">
        <v>160</v>
      </c>
      <c r="E366" s="80">
        <f t="shared" si="30"/>
        <v>1.7137546250727951</v>
      </c>
      <c r="F366" s="72">
        <f t="shared" si="31"/>
        <v>2102.2788101259462</v>
      </c>
      <c r="G366" s="80">
        <f t="shared" si="32"/>
        <v>53.126393377256647</v>
      </c>
      <c r="H366" s="73">
        <f t="shared" si="33"/>
        <v>1.5178969536359043E-2</v>
      </c>
      <c r="I366" s="61"/>
    </row>
    <row r="367" spans="1:9" x14ac:dyDescent="0.25">
      <c r="A367" s="70">
        <v>43084</v>
      </c>
      <c r="B367" s="71">
        <f t="shared" si="34"/>
        <v>365</v>
      </c>
      <c r="C367" s="72">
        <f t="shared" si="35"/>
        <v>161.69857565553644</v>
      </c>
      <c r="D367" s="72">
        <v>160</v>
      </c>
      <c r="E367" s="80">
        <f t="shared" si="30"/>
        <v>1.6985756555364446</v>
      </c>
      <c r="F367" s="72">
        <f t="shared" si="31"/>
        <v>2102.081483521974</v>
      </c>
      <c r="G367" s="80">
        <f t="shared" si="32"/>
        <v>52.655845321629783</v>
      </c>
      <c r="H367" s="73">
        <f t="shared" si="33"/>
        <v>1.5044527234751366E-2</v>
      </c>
      <c r="I367" s="61"/>
    </row>
    <row r="368" spans="1:9" x14ac:dyDescent="0.25">
      <c r="A368" s="70">
        <v>43084</v>
      </c>
      <c r="B368" s="71">
        <f t="shared" si="34"/>
        <v>366</v>
      </c>
      <c r="C368" s="72">
        <f t="shared" si="35"/>
        <v>161.68353112830169</v>
      </c>
      <c r="D368" s="72">
        <v>160</v>
      </c>
      <c r="E368" s="80">
        <f t="shared" si="30"/>
        <v>1.6835311283016949</v>
      </c>
      <c r="F368" s="72">
        <f t="shared" si="31"/>
        <v>2101.8859046679222</v>
      </c>
      <c r="G368" s="80">
        <f t="shared" si="32"/>
        <v>52.189464977352543</v>
      </c>
      <c r="H368" s="73">
        <f t="shared" si="33"/>
        <v>1.4911275707815013E-2</v>
      </c>
      <c r="I368" s="61"/>
    </row>
    <row r="369" spans="1:9" x14ac:dyDescent="0.25">
      <c r="A369" s="70">
        <v>43084</v>
      </c>
      <c r="B369" s="71">
        <f t="shared" si="34"/>
        <v>367</v>
      </c>
      <c r="C369" s="72">
        <f t="shared" si="35"/>
        <v>161.66861985259388</v>
      </c>
      <c r="D369" s="72">
        <v>160</v>
      </c>
      <c r="E369" s="80">
        <f t="shared" si="30"/>
        <v>1.6686198525938778</v>
      </c>
      <c r="F369" s="72">
        <f t="shared" si="31"/>
        <v>2101.6920580837204</v>
      </c>
      <c r="G369" s="80">
        <f t="shared" si="32"/>
        <v>51.727215430410212</v>
      </c>
      <c r="H369" s="73">
        <f t="shared" si="33"/>
        <v>1.4779204408688632E-2</v>
      </c>
      <c r="I369" s="61"/>
    </row>
    <row r="370" spans="1:9" x14ac:dyDescent="0.25">
      <c r="A370" s="70">
        <v>43084</v>
      </c>
      <c r="B370" s="71">
        <f t="shared" si="34"/>
        <v>368</v>
      </c>
      <c r="C370" s="72">
        <f t="shared" si="35"/>
        <v>161.6538406481852</v>
      </c>
      <c r="D370" s="72">
        <v>160</v>
      </c>
      <c r="E370" s="80">
        <f t="shared" si="30"/>
        <v>1.6538406481851951</v>
      </c>
      <c r="F370" s="72">
        <f t="shared" si="31"/>
        <v>2101.4999284264077</v>
      </c>
      <c r="G370" s="80">
        <f t="shared" si="32"/>
        <v>51.269060093741047</v>
      </c>
      <c r="H370" s="73">
        <f t="shared" si="33"/>
        <v>1.4648302883926012E-2</v>
      </c>
      <c r="I370" s="61"/>
    </row>
    <row r="371" spans="1:9" x14ac:dyDescent="0.25">
      <c r="A371" s="70">
        <v>43084</v>
      </c>
      <c r="B371" s="71">
        <f t="shared" si="34"/>
        <v>369</v>
      </c>
      <c r="C371" s="72">
        <f t="shared" si="35"/>
        <v>161.63919234530127</v>
      </c>
      <c r="D371" s="72">
        <v>160</v>
      </c>
      <c r="E371" s="80">
        <f t="shared" si="30"/>
        <v>1.639192345301268</v>
      </c>
      <c r="F371" s="72">
        <f t="shared" si="31"/>
        <v>2101.3095004889165</v>
      </c>
      <c r="G371" s="80">
        <f t="shared" si="32"/>
        <v>50.814962704339308</v>
      </c>
      <c r="H371" s="73">
        <f t="shared" si="33"/>
        <v>1.4518560772668374E-2</v>
      </c>
      <c r="I371" s="61"/>
    </row>
    <row r="372" spans="1:9" x14ac:dyDescent="0.25">
      <c r="A372" s="70">
        <v>43084</v>
      </c>
      <c r="B372" s="71">
        <f t="shared" si="34"/>
        <v>370</v>
      </c>
      <c r="C372" s="72">
        <f t="shared" si="35"/>
        <v>161.6246737845286</v>
      </c>
      <c r="D372" s="72">
        <v>160</v>
      </c>
      <c r="E372" s="80">
        <f t="shared" si="30"/>
        <v>1.6246737845285963</v>
      </c>
      <c r="F372" s="72">
        <f t="shared" si="31"/>
        <v>2101.1207591988718</v>
      </c>
      <c r="G372" s="80">
        <f t="shared" si="32"/>
        <v>50.364887320386487</v>
      </c>
      <c r="H372" s="73">
        <f t="shared" si="33"/>
        <v>1.4389967805824711E-2</v>
      </c>
      <c r="I372" s="61"/>
    </row>
    <row r="373" spans="1:9" x14ac:dyDescent="0.25">
      <c r="A373" s="70">
        <v>43084</v>
      </c>
      <c r="B373" s="71">
        <f t="shared" si="34"/>
        <v>371</v>
      </c>
      <c r="C373" s="72">
        <f t="shared" si="35"/>
        <v>161.61028381672278</v>
      </c>
      <c r="D373" s="72">
        <v>160</v>
      </c>
      <c r="E373" s="80">
        <f t="shared" si="30"/>
        <v>1.6102838167227844</v>
      </c>
      <c r="F373" s="72">
        <f t="shared" si="31"/>
        <v>2100.9336896173963</v>
      </c>
      <c r="G373" s="80">
        <f t="shared" si="32"/>
        <v>49.918798318406317</v>
      </c>
      <c r="H373" s="73">
        <f t="shared" si="33"/>
        <v>1.4262513805258947E-2</v>
      </c>
      <c r="I373" s="61"/>
    </row>
    <row r="374" spans="1:9" x14ac:dyDescent="0.25">
      <c r="A374" s="70">
        <v>43084</v>
      </c>
      <c r="B374" s="71">
        <f t="shared" si="34"/>
        <v>372</v>
      </c>
      <c r="C374" s="72">
        <f t="shared" si="35"/>
        <v>161.59602130291753</v>
      </c>
      <c r="D374" s="72">
        <v>160</v>
      </c>
      <c r="E374" s="80">
        <f t="shared" si="30"/>
        <v>1.596021302917535</v>
      </c>
      <c r="F374" s="72">
        <f t="shared" si="31"/>
        <v>2100.748276937928</v>
      </c>
      <c r="G374" s="80">
        <f t="shared" si="32"/>
        <v>49.476660390443584</v>
      </c>
      <c r="H374" s="73">
        <f t="shared" si="33"/>
        <v>1.413618868298388E-2</v>
      </c>
      <c r="I374" s="61"/>
    </row>
    <row r="375" spans="1:9" x14ac:dyDescent="0.25">
      <c r="A375" s="70">
        <v>43084</v>
      </c>
      <c r="B375" s="71">
        <f t="shared" si="34"/>
        <v>373</v>
      </c>
      <c r="C375" s="72">
        <f t="shared" si="35"/>
        <v>161.58188511423455</v>
      </c>
      <c r="D375" s="72">
        <v>160</v>
      </c>
      <c r="E375" s="80">
        <f t="shared" si="30"/>
        <v>1.5818851142345522</v>
      </c>
      <c r="F375" s="72">
        <f t="shared" si="31"/>
        <v>2100.5645064850492</v>
      </c>
      <c r="G375" s="80">
        <f t="shared" si="32"/>
        <v>49.03843854127112</v>
      </c>
      <c r="H375" s="73">
        <f t="shared" si="33"/>
        <v>1.4010982440363176E-2</v>
      </c>
      <c r="I375" s="61"/>
    </row>
    <row r="376" spans="1:9" x14ac:dyDescent="0.25">
      <c r="A376" s="70">
        <v>43084</v>
      </c>
      <c r="B376" s="71">
        <f t="shared" si="34"/>
        <v>374</v>
      </c>
      <c r="C376" s="72">
        <f t="shared" si="35"/>
        <v>161.56787413179418</v>
      </c>
      <c r="D376" s="72">
        <v>160</v>
      </c>
      <c r="E376" s="80">
        <f t="shared" si="30"/>
        <v>1.5678741317941842</v>
      </c>
      <c r="F376" s="72">
        <f t="shared" si="31"/>
        <v>2100.3823637133246</v>
      </c>
      <c r="G376" s="80">
        <f t="shared" si="32"/>
        <v>48.604098085619711</v>
      </c>
      <c r="H376" s="73">
        <f t="shared" si="33"/>
        <v>1.3886885167319918E-2</v>
      </c>
      <c r="I376" s="61"/>
    </row>
    <row r="377" spans="1:9" x14ac:dyDescent="0.25">
      <c r="A377" s="70">
        <v>43084</v>
      </c>
      <c r="B377" s="71">
        <f t="shared" si="34"/>
        <v>375</v>
      </c>
      <c r="C377" s="72">
        <f t="shared" si="35"/>
        <v>161.55398724662686</v>
      </c>
      <c r="D377" s="72">
        <v>160</v>
      </c>
      <c r="E377" s="80">
        <f t="shared" si="30"/>
        <v>1.5539872466268605</v>
      </c>
      <c r="F377" s="72">
        <f t="shared" si="31"/>
        <v>2100.2018342061492</v>
      </c>
      <c r="G377" s="80">
        <f t="shared" si="32"/>
        <v>48.173604645432675</v>
      </c>
      <c r="H377" s="73">
        <f t="shared" si="33"/>
        <v>1.3763887041552193E-2</v>
      </c>
      <c r="I377" s="61"/>
    </row>
    <row r="378" spans="1:9" x14ac:dyDescent="0.25">
      <c r="A378" s="70">
        <v>43084</v>
      </c>
      <c r="B378" s="71">
        <f t="shared" si="34"/>
        <v>376</v>
      </c>
      <c r="C378" s="72">
        <f t="shared" si="35"/>
        <v>161.5402233595853</v>
      </c>
      <c r="D378" s="72">
        <v>160</v>
      </c>
      <c r="E378" s="80">
        <f t="shared" si="30"/>
        <v>1.5402233595852977</v>
      </c>
      <c r="F378" s="72">
        <f t="shared" si="31"/>
        <v>2100.0229036746086</v>
      </c>
      <c r="G378" s="80">
        <f t="shared" si="32"/>
        <v>47.746924147144227</v>
      </c>
      <c r="H378" s="73">
        <f t="shared" si="33"/>
        <v>1.3641978327755494E-2</v>
      </c>
      <c r="I378" s="61"/>
    </row>
    <row r="379" spans="1:9" x14ac:dyDescent="0.25">
      <c r="A379" s="70">
        <v>43084</v>
      </c>
      <c r="B379" s="71">
        <f t="shared" si="34"/>
        <v>377</v>
      </c>
      <c r="C379" s="72">
        <f t="shared" si="35"/>
        <v>161.52658138125753</v>
      </c>
      <c r="D379" s="72">
        <v>160</v>
      </c>
      <c r="E379" s="80">
        <f t="shared" si="30"/>
        <v>1.5265813812575288</v>
      </c>
      <c r="F379" s="72">
        <f t="shared" si="31"/>
        <v>2099.8455579563479</v>
      </c>
      <c r="G379" s="80">
        <f t="shared" si="32"/>
        <v>47.324022818983394</v>
      </c>
      <c r="H379" s="73">
        <f t="shared" si="33"/>
        <v>1.3521149376852398E-2</v>
      </c>
      <c r="I379" s="61"/>
    </row>
    <row r="380" spans="1:9" x14ac:dyDescent="0.25">
      <c r="A380" s="70">
        <v>43084</v>
      </c>
      <c r="B380" s="71">
        <f t="shared" si="34"/>
        <v>378</v>
      </c>
      <c r="C380" s="72">
        <f t="shared" si="35"/>
        <v>161.51306023188067</v>
      </c>
      <c r="D380" s="72">
        <v>160</v>
      </c>
      <c r="E380" s="80">
        <f t="shared" si="30"/>
        <v>1.5130602318806723</v>
      </c>
      <c r="F380" s="72">
        <f t="shared" si="31"/>
        <v>2099.6697830144485</v>
      </c>
      <c r="G380" s="80">
        <f t="shared" si="32"/>
        <v>46.904867188300841</v>
      </c>
      <c r="H380" s="73">
        <f t="shared" si="33"/>
        <v>1.3401390625228812E-2</v>
      </c>
      <c r="I380" s="61"/>
    </row>
    <row r="381" spans="1:9" x14ac:dyDescent="0.25">
      <c r="A381" s="70">
        <v>43084</v>
      </c>
      <c r="B381" s="71">
        <f t="shared" si="34"/>
        <v>379</v>
      </c>
      <c r="C381" s="72">
        <f t="shared" si="35"/>
        <v>161.49965884125544</v>
      </c>
      <c r="D381" s="72">
        <v>160</v>
      </c>
      <c r="E381" s="80">
        <f t="shared" si="30"/>
        <v>1.4996588412554388</v>
      </c>
      <c r="F381" s="72">
        <f t="shared" si="31"/>
        <v>2099.4955649363205</v>
      </c>
      <c r="G381" s="80">
        <f t="shared" si="32"/>
        <v>46.489424078918603</v>
      </c>
      <c r="H381" s="73">
        <f t="shared" si="33"/>
        <v>1.3282692593976743E-2</v>
      </c>
      <c r="I381" s="61"/>
    </row>
    <row r="382" spans="1:9" x14ac:dyDescent="0.25">
      <c r="A382" s="70">
        <v>43084</v>
      </c>
      <c r="B382" s="71">
        <f t="shared" si="34"/>
        <v>380</v>
      </c>
      <c r="C382" s="72">
        <f t="shared" si="35"/>
        <v>161.48637614866146</v>
      </c>
      <c r="D382" s="72">
        <v>160</v>
      </c>
      <c r="E382" s="80">
        <f t="shared" si="30"/>
        <v>1.4863761486614635</v>
      </c>
      <c r="F382" s="72">
        <f t="shared" si="31"/>
        <v>2099.3228899325991</v>
      </c>
      <c r="G382" s="80">
        <f t="shared" si="32"/>
        <v>46.077660608505369</v>
      </c>
      <c r="H382" s="73">
        <f t="shared" si="33"/>
        <v>1.3165045888144392E-2</v>
      </c>
      <c r="I382" s="61"/>
    </row>
    <row r="383" spans="1:9" x14ac:dyDescent="0.25">
      <c r="A383" s="70">
        <v>43084</v>
      </c>
      <c r="B383" s="71">
        <f t="shared" si="34"/>
        <v>381</v>
      </c>
      <c r="C383" s="72">
        <f t="shared" si="35"/>
        <v>161.47321110277332</v>
      </c>
      <c r="D383" s="72">
        <v>160</v>
      </c>
      <c r="E383" s="80">
        <f t="shared" si="30"/>
        <v>1.4732111027733197</v>
      </c>
      <c r="F383" s="72">
        <f t="shared" si="31"/>
        <v>2099.1517443360531</v>
      </c>
      <c r="G383" s="80">
        <f t="shared" si="32"/>
        <v>45.66954418597291</v>
      </c>
      <c r="H383" s="73">
        <f t="shared" si="33"/>
        <v>1.304844119599226E-2</v>
      </c>
      <c r="I383" s="61"/>
    </row>
    <row r="384" spans="1:9" x14ac:dyDescent="0.25">
      <c r="A384" s="70">
        <v>43084</v>
      </c>
      <c r="B384" s="71">
        <f t="shared" si="34"/>
        <v>382</v>
      </c>
      <c r="C384" s="72">
        <f t="shared" si="35"/>
        <v>161.46016266157733</v>
      </c>
      <c r="D384" s="72">
        <v>160</v>
      </c>
      <c r="E384" s="80">
        <f t="shared" si="30"/>
        <v>1.4601626615773284</v>
      </c>
      <c r="F384" s="72">
        <f t="shared" si="31"/>
        <v>2098.9821146005052</v>
      </c>
      <c r="G384" s="80">
        <f t="shared" si="32"/>
        <v>45.265042508897182</v>
      </c>
      <c r="H384" s="73">
        <f t="shared" si="33"/>
        <v>1.2932869288256337E-2</v>
      </c>
      <c r="I384" s="61"/>
    </row>
    <row r="385" spans="1:9" x14ac:dyDescent="0.25">
      <c r="A385" s="70">
        <v>43084</v>
      </c>
      <c r="B385" s="71">
        <f t="shared" si="34"/>
        <v>383</v>
      </c>
      <c r="C385" s="72">
        <f t="shared" si="35"/>
        <v>161.44722979228908</v>
      </c>
      <c r="D385" s="72">
        <v>160</v>
      </c>
      <c r="E385" s="80">
        <f t="shared" si="30"/>
        <v>1.4472297922890789</v>
      </c>
      <c r="F385" s="72">
        <f t="shared" si="31"/>
        <v>2098.8139872997581</v>
      </c>
      <c r="G385" s="80">
        <f t="shared" si="32"/>
        <v>44.864123560961445</v>
      </c>
      <c r="H385" s="73">
        <f t="shared" si="33"/>
        <v>1.2818321017417556E-2</v>
      </c>
      <c r="I385" s="61"/>
    </row>
    <row r="386" spans="1:9" x14ac:dyDescent="0.25">
      <c r="A386" s="70">
        <v>43084</v>
      </c>
      <c r="B386" s="71">
        <f t="shared" si="34"/>
        <v>384</v>
      </c>
      <c r="C386" s="72">
        <f t="shared" si="35"/>
        <v>161.43441147127166</v>
      </c>
      <c r="D386" s="72">
        <v>160</v>
      </c>
      <c r="E386" s="80">
        <f t="shared" si="30"/>
        <v>1.4344114712716589</v>
      </c>
      <c r="F386" s="72">
        <f t="shared" si="31"/>
        <v>2098.6473491265315</v>
      </c>
      <c r="G386" s="80">
        <f t="shared" si="32"/>
        <v>44.466755609421426</v>
      </c>
      <c r="H386" s="73">
        <f t="shared" si="33"/>
        <v>1.270478731697755E-2</v>
      </c>
      <c r="I386" s="61"/>
    </row>
    <row r="387" spans="1:9" x14ac:dyDescent="0.25">
      <c r="A387" s="70">
        <v>43084</v>
      </c>
      <c r="B387" s="71">
        <f t="shared" si="34"/>
        <v>385</v>
      </c>
      <c r="C387" s="72">
        <f t="shared" si="35"/>
        <v>161.42170668395468</v>
      </c>
      <c r="D387" s="72">
        <v>160</v>
      </c>
      <c r="E387" s="80">
        <f t="shared" ref="E387:E450" si="36">C387-D387</f>
        <v>1.4217066839546817</v>
      </c>
      <c r="F387" s="72">
        <f t="shared" si="31"/>
        <v>2098.4821868914109</v>
      </c>
      <c r="G387" s="80">
        <f t="shared" si="32"/>
        <v>44.072907202595133</v>
      </c>
      <c r="H387" s="73">
        <f t="shared" si="33"/>
        <v>1.2592259200741467E-2</v>
      </c>
      <c r="I387" s="61"/>
    </row>
    <row r="388" spans="1:9" x14ac:dyDescent="0.25">
      <c r="A388" s="119">
        <v>43084</v>
      </c>
      <c r="B388" s="84">
        <f t="shared" si="34"/>
        <v>386</v>
      </c>
      <c r="C388" s="85">
        <f t="shared" si="35"/>
        <v>161.40911442475394</v>
      </c>
      <c r="D388" s="85">
        <v>160</v>
      </c>
      <c r="E388" s="86">
        <f t="shared" si="36"/>
        <v>1.4091144247539376</v>
      </c>
      <c r="F388" s="85">
        <f t="shared" si="31"/>
        <v>2098.3184875218012</v>
      </c>
      <c r="G388" s="86">
        <f t="shared" si="32"/>
        <v>43.682547167372064</v>
      </c>
      <c r="H388" s="89">
        <f t="shared" si="33"/>
        <v>1.2480727762106304E-2</v>
      </c>
      <c r="I388" s="61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50" zoomScaleNormal="150" workbookViewId="0">
      <selection activeCell="A5" sqref="A5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11" t="s">
        <v>19</v>
      </c>
    </row>
    <row r="2" spans="1:9" x14ac:dyDescent="0.25">
      <c r="A2" s="12" t="s">
        <v>20</v>
      </c>
    </row>
    <row r="4" spans="1:9" x14ac:dyDescent="0.25">
      <c r="A4" t="s">
        <v>21</v>
      </c>
      <c r="B4" s="13">
        <f>$B$11*$D$18</f>
        <v>2529.6625000000004</v>
      </c>
      <c r="C4" t="s">
        <v>22</v>
      </c>
    </row>
    <row r="5" spans="1:9" x14ac:dyDescent="0.25">
      <c r="A5" t="s">
        <v>23</v>
      </c>
      <c r="B5" s="14">
        <f>$B$4/Measured!B5</f>
        <v>12.443002951303493</v>
      </c>
      <c r="C5" t="s">
        <v>24</v>
      </c>
    </row>
    <row r="7" spans="1:9" x14ac:dyDescent="0.25">
      <c r="A7" s="15" t="s">
        <v>25</v>
      </c>
      <c r="B7" s="16">
        <f>Measured!B6*2.54</f>
        <v>179.07</v>
      </c>
      <c r="C7" s="15" t="s">
        <v>26</v>
      </c>
      <c r="D7" s="15"/>
      <c r="E7" s="15"/>
    </row>
    <row r="8" spans="1:9" x14ac:dyDescent="0.25">
      <c r="A8" s="15" t="s">
        <v>27</v>
      </c>
      <c r="B8" s="16">
        <f>Measured!B5/2.2</f>
        <v>92.409090909090907</v>
      </c>
      <c r="C8" s="15" t="s">
        <v>26</v>
      </c>
      <c r="D8" s="15"/>
      <c r="E8" s="15"/>
    </row>
    <row r="9" spans="1:9" x14ac:dyDescent="0.25">
      <c r="A9" s="17"/>
      <c r="B9" s="17" t="s">
        <v>2</v>
      </c>
      <c r="C9" s="17" t="s">
        <v>28</v>
      </c>
      <c r="D9" s="17"/>
      <c r="E9" s="15"/>
    </row>
    <row r="10" spans="1:9" x14ac:dyDescent="0.25">
      <c r="A10" s="17" t="s">
        <v>29</v>
      </c>
      <c r="B10" s="18">
        <f>66+(13.7*$B$8)+(5*$B$7)-(6.8*Measured!$B$4)</f>
        <v>1839.7545454545457</v>
      </c>
      <c r="C10" s="18">
        <f>655+(9.6*$B$8)+(1.8*$B$7)-(4.7*Measured!$B$4)</f>
        <v>1596.5532727272725</v>
      </c>
      <c r="D10" s="17"/>
      <c r="E10" s="15"/>
    </row>
    <row r="11" spans="1:9" x14ac:dyDescent="0.25">
      <c r="A11" s="17" t="s">
        <v>30</v>
      </c>
      <c r="B11" s="18">
        <f>IF(Measured!$B$3="Male",$B$10,$C$10)</f>
        <v>1839.7545454545457</v>
      </c>
      <c r="C11" s="18"/>
      <c r="D11" s="17"/>
      <c r="E11" s="15"/>
    </row>
    <row r="12" spans="1:9" x14ac:dyDescent="0.25">
      <c r="A12" s="17"/>
      <c r="B12" s="17"/>
      <c r="C12" s="17"/>
      <c r="D12" s="17"/>
      <c r="E12" s="15"/>
    </row>
    <row r="13" spans="1:9" x14ac:dyDescent="0.25">
      <c r="A13" s="17" t="s">
        <v>31</v>
      </c>
      <c r="B13" s="19" t="b">
        <f>IF(Measured!$B$12=$A13,1)</f>
        <v>0</v>
      </c>
      <c r="C13" s="17">
        <v>1.2</v>
      </c>
      <c r="D13" s="17">
        <f>IF(B13,C13,0)</f>
        <v>0</v>
      </c>
      <c r="E13" s="15"/>
      <c r="I13" s="20"/>
    </row>
    <row r="14" spans="1:9" x14ac:dyDescent="0.25">
      <c r="A14" s="17" t="s">
        <v>15</v>
      </c>
      <c r="B14" s="19">
        <f>IF(Measured!$B$12=$A14,1)</f>
        <v>1</v>
      </c>
      <c r="C14" s="17">
        <v>1.375</v>
      </c>
      <c r="D14" s="17">
        <f>IF(B14,C14,0)</f>
        <v>1.375</v>
      </c>
      <c r="E14" s="15"/>
      <c r="I14" s="20"/>
    </row>
    <row r="15" spans="1:9" x14ac:dyDescent="0.25">
      <c r="A15" s="17" t="s">
        <v>32</v>
      </c>
      <c r="B15" s="19" t="b">
        <f>IF(Measured!$B$12=$A15,1)</f>
        <v>0</v>
      </c>
      <c r="C15" s="17">
        <v>1.55</v>
      </c>
      <c r="D15" s="17">
        <f>IF(B15,C15,0)</f>
        <v>0</v>
      </c>
      <c r="E15" s="15"/>
      <c r="I15" s="20"/>
    </row>
    <row r="16" spans="1:9" x14ac:dyDescent="0.25">
      <c r="A16" s="17" t="s">
        <v>33</v>
      </c>
      <c r="B16" s="19" t="b">
        <f>IF(Measured!$B$12=$A16,1)</f>
        <v>0</v>
      </c>
      <c r="C16" s="17">
        <v>1.7250000000000001</v>
      </c>
      <c r="D16" s="17">
        <f>IF(B16,C16,0)</f>
        <v>0</v>
      </c>
      <c r="E16" s="15"/>
      <c r="I16" s="20"/>
    </row>
    <row r="17" spans="1:9" x14ac:dyDescent="0.25">
      <c r="A17" s="17" t="s">
        <v>34</v>
      </c>
      <c r="B17" s="19" t="b">
        <f>IF(Measured!$B$12=$A17,1)</f>
        <v>0</v>
      </c>
      <c r="C17" s="17">
        <v>1.9</v>
      </c>
      <c r="D17" s="17">
        <f>IF(B17,C17,0)</f>
        <v>0</v>
      </c>
      <c r="E17" s="15"/>
      <c r="I17" s="20"/>
    </row>
    <row r="18" spans="1:9" x14ac:dyDescent="0.25">
      <c r="A18" s="17"/>
      <c r="B18" s="17"/>
      <c r="C18" s="17"/>
      <c r="D18" s="17">
        <f>MAX(D13:D17)</f>
        <v>1.375</v>
      </c>
      <c r="E18" s="15"/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50" zoomScaleNormal="150" workbookViewId="0">
      <selection activeCell="B15" sqref="B15"/>
    </sheetView>
  </sheetViews>
  <sheetFormatPr defaultRowHeight="15" x14ac:dyDescent="0.25"/>
  <cols>
    <col min="1" max="1" width="14" style="6" customWidth="1"/>
    <col min="2" max="2" width="5.5703125" style="6" customWidth="1"/>
    <col min="3" max="3" width="7.28515625" style="6" customWidth="1"/>
    <col min="4" max="4" width="12.85546875" style="6" customWidth="1"/>
    <col min="5" max="1025" width="8.7109375" style="6" customWidth="1"/>
  </cols>
  <sheetData>
    <row r="1" spans="1:7" ht="18.75" x14ac:dyDescent="0.3">
      <c r="A1" s="7" t="s">
        <v>35</v>
      </c>
    </row>
    <row r="2" spans="1:7" x14ac:dyDescent="0.25">
      <c r="A2" s="12" t="s">
        <v>36</v>
      </c>
    </row>
    <row r="4" spans="1:7" x14ac:dyDescent="0.25">
      <c r="A4" s="21" t="s">
        <v>37</v>
      </c>
      <c r="B4" s="22">
        <f>IF(Measured!$B$3="Male",$B$13,$B$14)</f>
        <v>26.631813493581198</v>
      </c>
    </row>
    <row r="5" spans="1:7" x14ac:dyDescent="0.25">
      <c r="A5" s="6" t="s">
        <v>38</v>
      </c>
      <c r="B5" s="23">
        <f>Measured!$B$5</f>
        <v>203.3</v>
      </c>
      <c r="C5" s="6" t="s">
        <v>6</v>
      </c>
      <c r="D5" s="6" t="s">
        <v>39</v>
      </c>
    </row>
    <row r="6" spans="1:7" x14ac:dyDescent="0.25">
      <c r="A6" s="6" t="s">
        <v>40</v>
      </c>
      <c r="B6" s="23">
        <f>$B$5*(1-($B$4/100))</f>
        <v>149.15752316754944</v>
      </c>
      <c r="C6" s="6" t="s">
        <v>6</v>
      </c>
      <c r="D6" s="6" t="s">
        <v>41</v>
      </c>
    </row>
    <row r="8" spans="1:7" x14ac:dyDescent="0.25">
      <c r="A8" s="24" t="s">
        <v>7</v>
      </c>
      <c r="B8" s="24">
        <f>Measured!$B$6</f>
        <v>70.5</v>
      </c>
      <c r="C8" s="24" t="s">
        <v>39</v>
      </c>
      <c r="D8" s="24"/>
      <c r="E8" s="24"/>
    </row>
    <row r="9" spans="1:7" x14ac:dyDescent="0.25">
      <c r="A9" s="24" t="s">
        <v>9</v>
      </c>
      <c r="B9" s="24">
        <f>Measured!$B$7</f>
        <v>15</v>
      </c>
      <c r="C9" s="24" t="s">
        <v>39</v>
      </c>
      <c r="D9" s="24"/>
      <c r="E9" s="24"/>
    </row>
    <row r="10" spans="1:7" x14ac:dyDescent="0.25">
      <c r="A10" s="24" t="s">
        <v>10</v>
      </c>
      <c r="B10" s="24">
        <f>Measured!$B$8</f>
        <v>38.75</v>
      </c>
      <c r="C10" s="24" t="s">
        <v>39</v>
      </c>
      <c r="D10" s="24"/>
      <c r="E10" s="24"/>
    </row>
    <row r="11" spans="1:7" x14ac:dyDescent="0.25">
      <c r="A11" s="24" t="s">
        <v>13</v>
      </c>
      <c r="B11" s="24">
        <f>Measured!$B$11</f>
        <v>50</v>
      </c>
      <c r="C11" s="24" t="s">
        <v>39</v>
      </c>
      <c r="D11" s="24"/>
      <c r="E11" s="24"/>
    </row>
    <row r="12" spans="1:7" x14ac:dyDescent="0.25">
      <c r="A12" s="24"/>
      <c r="B12" s="24"/>
      <c r="C12" s="24"/>
      <c r="D12" s="24"/>
      <c r="E12" s="24"/>
    </row>
    <row r="13" spans="1:7" x14ac:dyDescent="0.25">
      <c r="A13" s="24" t="s">
        <v>2</v>
      </c>
      <c r="B13" s="25">
        <f>86.01*(LOG10($B$10-$B$9))-70.041*LOG10($B$8)+37.76</f>
        <v>26.631813493581198</v>
      </c>
      <c r="C13" s="24" t="s">
        <v>42</v>
      </c>
      <c r="D13" s="24"/>
      <c r="E13" s="24"/>
      <c r="G13" s="6">
        <v>-78.387</v>
      </c>
    </row>
    <row r="14" spans="1:7" x14ac:dyDescent="0.25">
      <c r="A14" s="24" t="s">
        <v>28</v>
      </c>
      <c r="B14" s="25">
        <f>(163.205*LOG10($B$11+$B$10-$B$9))-(97.684*LOG10($B$8))-78.387</f>
        <v>45.902595528848252</v>
      </c>
      <c r="C14" s="24" t="s">
        <v>43</v>
      </c>
      <c r="D14" s="24"/>
      <c r="E14" s="24"/>
      <c r="G14" s="6">
        <f>163.205*LOG10($B$11+$B$10-$B$9)</f>
        <v>304.82810123303602</v>
      </c>
    </row>
    <row r="15" spans="1:7" x14ac:dyDescent="0.25">
      <c r="G15" s="6">
        <f>-(97.684*LOG10($B$8))</f>
        <v>-180.53850570418777</v>
      </c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workbookViewId="0">
      <selection activeCell="A8" sqref="A8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6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7">
        <f>MAX(D8:D12)</f>
        <v>0.8</v>
      </c>
      <c r="C4" t="s">
        <v>47</v>
      </c>
    </row>
    <row r="5" spans="1:6" x14ac:dyDescent="0.25">
      <c r="A5" t="s">
        <v>48</v>
      </c>
      <c r="B5" s="28">
        <f>BF_DoD!B6</f>
        <v>149.15752316754944</v>
      </c>
      <c r="C5" t="s">
        <v>49</v>
      </c>
    </row>
    <row r="6" spans="1:6" x14ac:dyDescent="0.25">
      <c r="A6" t="s">
        <v>44</v>
      </c>
      <c r="B6" s="28">
        <f>B5*B4</f>
        <v>119.32601853403956</v>
      </c>
      <c r="C6" t="s">
        <v>50</v>
      </c>
    </row>
    <row r="7" spans="1:6" x14ac:dyDescent="0.25">
      <c r="A7" s="29"/>
      <c r="B7" s="29"/>
      <c r="C7" s="29"/>
      <c r="D7" s="29"/>
      <c r="E7" s="29"/>
      <c r="F7" s="29"/>
    </row>
    <row r="8" spans="1:6" x14ac:dyDescent="0.25">
      <c r="A8" s="29" t="s">
        <v>31</v>
      </c>
      <c r="B8" s="29">
        <v>0.69</v>
      </c>
      <c r="C8" s="30">
        <f>IF(A8=Measured!$B$12,1,0)</f>
        <v>0</v>
      </c>
      <c r="D8" s="29">
        <f>IF(C8=1,B8,0)</f>
        <v>0</v>
      </c>
      <c r="E8" s="29"/>
      <c r="F8" s="29"/>
    </row>
    <row r="9" spans="1:6" x14ac:dyDescent="0.25">
      <c r="A9" s="29" t="s">
        <v>15</v>
      </c>
      <c r="B9" s="29">
        <v>0.8</v>
      </c>
      <c r="C9" s="30">
        <f>IF(A9=Measured!$B$12,1,0)</f>
        <v>1</v>
      </c>
      <c r="D9" s="29">
        <f>IF(C9=1,B9,0)</f>
        <v>0.8</v>
      </c>
      <c r="E9" s="29"/>
      <c r="F9" s="29"/>
    </row>
    <row r="10" spans="1:6" x14ac:dyDescent="0.25">
      <c r="A10" s="29" t="s">
        <v>32</v>
      </c>
      <c r="B10" s="29">
        <v>0.9</v>
      </c>
      <c r="C10" s="30">
        <f>IF(A10=Measured!$B$12,1,0)</f>
        <v>0</v>
      </c>
      <c r="D10" s="29">
        <f>IF(C10=1,B10,0)</f>
        <v>0</v>
      </c>
      <c r="E10" s="29"/>
      <c r="F10" s="29"/>
    </row>
    <row r="11" spans="1:6" x14ac:dyDescent="0.25">
      <c r="A11" s="29" t="s">
        <v>33</v>
      </c>
      <c r="B11" s="29">
        <v>1</v>
      </c>
      <c r="C11" s="30">
        <f>IF(A11=Measured!$B$12,1,0)</f>
        <v>0</v>
      </c>
      <c r="D11" s="29">
        <f>IF(C11=1,B11,0)</f>
        <v>0</v>
      </c>
      <c r="E11" s="29"/>
      <c r="F11" s="29"/>
    </row>
    <row r="12" spans="1:6" x14ac:dyDescent="0.25">
      <c r="A12" s="29" t="s">
        <v>34</v>
      </c>
      <c r="B12" s="29">
        <v>1.2</v>
      </c>
      <c r="C12" s="30">
        <f>IF(A12=Measured!$B$12,1,0)</f>
        <v>0</v>
      </c>
      <c r="D12" s="29">
        <f>IF(C12=1,B12,0)</f>
        <v>0</v>
      </c>
      <c r="E12" s="29"/>
      <c r="F12" s="29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workbookViewId="0">
      <selection activeCell="B4" sqref="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31" t="s">
        <v>51</v>
      </c>
      <c r="B1" s="32"/>
      <c r="C1" s="32"/>
    </row>
    <row r="2" spans="1:5" x14ac:dyDescent="0.25">
      <c r="A2" s="33" t="s">
        <v>52</v>
      </c>
      <c r="B2" s="32"/>
      <c r="C2" s="32"/>
    </row>
    <row r="4" spans="1:5" x14ac:dyDescent="0.25">
      <c r="A4" s="32" t="s">
        <v>53</v>
      </c>
      <c r="B4" s="34">
        <f>($B$7^1.5)*((SQRT($B$9)/22.667) + (SQRT($B$8)/17.0104))*(($B$10/224)+1)</f>
        <v>185.10902667969179</v>
      </c>
      <c r="C4" s="32" t="s">
        <v>6</v>
      </c>
      <c r="E4" s="35"/>
    </row>
    <row r="5" spans="1:5" x14ac:dyDescent="0.25">
      <c r="A5" s="32" t="s">
        <v>54</v>
      </c>
      <c r="B5" s="36">
        <f>(1+(B10/100))*B4</f>
        <v>212.87538068164554</v>
      </c>
      <c r="C5" s="32" t="s">
        <v>6</v>
      </c>
    </row>
    <row r="7" spans="1:5" x14ac:dyDescent="0.25">
      <c r="A7" s="37" t="s">
        <v>55</v>
      </c>
      <c r="B7" s="37">
        <f>Measured!B6</f>
        <v>70.5</v>
      </c>
      <c r="C7" s="37" t="s">
        <v>56</v>
      </c>
    </row>
    <row r="8" spans="1:5" x14ac:dyDescent="0.25">
      <c r="A8" s="37" t="s">
        <v>11</v>
      </c>
      <c r="B8" s="37">
        <f>Measured!B9</f>
        <v>9</v>
      </c>
      <c r="C8" s="37" t="s">
        <v>56</v>
      </c>
    </row>
    <row r="9" spans="1:5" x14ac:dyDescent="0.25">
      <c r="A9" s="37" t="s">
        <v>12</v>
      </c>
      <c r="B9" s="37">
        <f>Measured!B10</f>
        <v>7</v>
      </c>
      <c r="C9" s="37" t="s">
        <v>56</v>
      </c>
    </row>
    <row r="10" spans="1:5" x14ac:dyDescent="0.25">
      <c r="A10" s="37" t="s">
        <v>57</v>
      </c>
      <c r="B10" s="37">
        <f>Measured!B16</f>
        <v>15</v>
      </c>
      <c r="C10" s="37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1"/>
  <sheetViews>
    <sheetView zoomScale="150" zoomScaleNormal="150" workbookViewId="0">
      <pane ySplit="2" topLeftCell="A27" activePane="bottomLeft" state="frozen"/>
      <selection pane="bottomLeft" activeCell="G33" sqref="G33"/>
    </sheetView>
  </sheetViews>
  <sheetFormatPr defaultRowHeight="15" x14ac:dyDescent="0.25"/>
  <cols>
    <col min="1" max="1" width="11.710937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5.7109375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38" customWidth="1"/>
    <col min="20" max="20" width="5.85546875" style="38" customWidth="1"/>
    <col min="21" max="21" width="7.5703125" style="38" customWidth="1"/>
    <col min="22" max="22" width="8.140625" style="38" customWidth="1"/>
    <col min="23" max="23" width="6.5703125" style="38" customWidth="1"/>
    <col min="24" max="24" width="5.5703125" style="38" customWidth="1"/>
    <col min="25" max="25" width="7.5703125" style="38" customWidth="1"/>
    <col min="26" max="26" width="8.140625" style="38" customWidth="1"/>
    <col min="27" max="27" width="7.5703125" customWidth="1"/>
    <col min="28" max="28" width="7" style="38" customWidth="1"/>
    <col min="29" max="1025" width="8.7109375" customWidth="1"/>
  </cols>
  <sheetData>
    <row r="1" spans="1:29" x14ac:dyDescent="0.25">
      <c r="A1" s="26" t="s">
        <v>58</v>
      </c>
      <c r="B1" s="28">
        <f>BF_DoD!B6*(1+(Measured!B16/100))</f>
        <v>171.53115164268183</v>
      </c>
      <c r="C1" s="39"/>
      <c r="D1" s="39"/>
      <c r="E1" s="39"/>
      <c r="F1" s="39"/>
      <c r="G1" s="5" t="s">
        <v>59</v>
      </c>
      <c r="H1" s="5"/>
      <c r="I1" s="5"/>
      <c r="J1" s="5"/>
      <c r="K1" s="5"/>
      <c r="L1" s="5"/>
      <c r="M1" s="5"/>
      <c r="N1" s="5"/>
      <c r="O1" s="5"/>
      <c r="P1" s="5"/>
      <c r="Q1" s="5"/>
      <c r="S1" s="4" t="s">
        <v>60</v>
      </c>
      <c r="T1" s="4"/>
      <c r="U1" s="4"/>
      <c r="V1" s="4"/>
      <c r="W1" s="3" t="s">
        <v>61</v>
      </c>
      <c r="X1" s="3"/>
      <c r="Y1" s="3"/>
      <c r="Z1" s="3"/>
      <c r="AB1" s="40" t="s">
        <v>62</v>
      </c>
    </row>
    <row r="2" spans="1:29" s="56" customFormat="1" ht="45" x14ac:dyDescent="0.25">
      <c r="A2" s="41" t="s">
        <v>63</v>
      </c>
      <c r="B2" s="42" t="s">
        <v>64</v>
      </c>
      <c r="C2" s="43" t="s">
        <v>65</v>
      </c>
      <c r="D2" s="42" t="s">
        <v>48</v>
      </c>
      <c r="E2" s="44" t="s">
        <v>66</v>
      </c>
      <c r="F2" s="45"/>
      <c r="G2" s="46" t="s">
        <v>67</v>
      </c>
      <c r="H2" s="43" t="s">
        <v>68</v>
      </c>
      <c r="I2" s="43" t="s">
        <v>69</v>
      </c>
      <c r="J2" s="43" t="s">
        <v>70</v>
      </c>
      <c r="K2" s="43" t="s">
        <v>71</v>
      </c>
      <c r="L2" s="43" t="s">
        <v>72</v>
      </c>
      <c r="M2" s="43" t="s">
        <v>73</v>
      </c>
      <c r="N2" s="43" t="s">
        <v>74</v>
      </c>
      <c r="O2" s="43" t="s">
        <v>75</v>
      </c>
      <c r="P2" s="43" t="s">
        <v>76</v>
      </c>
      <c r="Q2" s="47" t="s">
        <v>77</v>
      </c>
      <c r="R2" s="48"/>
      <c r="S2" s="49" t="str">
        <f>FoodLog!$G$1</f>
        <v>Fat
(Cal)</v>
      </c>
      <c r="T2" s="50" t="str">
        <f>FoodLog!$H$1</f>
        <v>Carb
(Cal)</v>
      </c>
      <c r="U2" s="50" t="str">
        <f>FoodLog!$I$1</f>
        <v>Protein
(Cal)</v>
      </c>
      <c r="V2" s="51" t="str">
        <f>FoodLog!$J$1</f>
        <v>Total
Calories</v>
      </c>
      <c r="W2" s="52" t="str">
        <f>FoodLog!$G$1</f>
        <v>Fat
(Cal)</v>
      </c>
      <c r="X2" s="53" t="str">
        <f>FoodLog!$H$1</f>
        <v>Carb
(Cal)</v>
      </c>
      <c r="Y2" s="53" t="str">
        <f>FoodLog!$I$1</f>
        <v>Protein
(Cal)</v>
      </c>
      <c r="Z2" s="54" t="str">
        <f>FoodLog!$J$1</f>
        <v>Total
Calories</v>
      </c>
      <c r="AA2" s="55" t="s">
        <v>78</v>
      </c>
      <c r="AB2" s="52" t="s">
        <v>5</v>
      </c>
      <c r="AC2" s="55" t="s">
        <v>79</v>
      </c>
    </row>
    <row r="3" spans="1:29" x14ac:dyDescent="0.25">
      <c r="A3" s="57">
        <v>42992</v>
      </c>
      <c r="B3" s="58">
        <v>1</v>
      </c>
      <c r="C3" s="59">
        <f>Measured!B5</f>
        <v>203.3</v>
      </c>
      <c r="D3" s="59">
        <f>BF_DoD!B6</f>
        <v>149.15752316754944</v>
      </c>
      <c r="E3" s="60">
        <f t="shared" ref="E3:E34" si="0">C3-D3</f>
        <v>54.142476832450569</v>
      </c>
      <c r="F3" s="61"/>
      <c r="G3" s="62">
        <f>C3*TDEE!$B$5</f>
        <v>2529.6625000000004</v>
      </c>
      <c r="H3" s="59">
        <f>E3*31</f>
        <v>1678.4167818059677</v>
      </c>
      <c r="I3" s="59">
        <f>G3-H3</f>
        <v>851.24571819403263</v>
      </c>
      <c r="J3" s="63">
        <f t="shared" ref="J3:J34" si="1">H3/3500</f>
        <v>0.47954765194456223</v>
      </c>
      <c r="K3" s="59">
        <f t="shared" ref="K3:K34" si="2">N3/9</f>
        <v>32.660182673097147</v>
      </c>
      <c r="L3" s="59">
        <v>20</v>
      </c>
      <c r="M3" s="59">
        <f>Protein_Amt!$B$6</f>
        <v>119.32601853403956</v>
      </c>
      <c r="N3" s="59">
        <f t="shared" ref="N3:N34" si="3">MAX(0,I3-(O3+P3))</f>
        <v>293.94164405787433</v>
      </c>
      <c r="O3" s="59">
        <f t="shared" ref="O3:O34" si="4">4*L3</f>
        <v>80</v>
      </c>
      <c r="P3" s="59">
        <f t="shared" ref="P3:P34" si="5">4*M3</f>
        <v>477.30407413615825</v>
      </c>
      <c r="Q3" s="60">
        <f t="shared" ref="Q3:Q34" si="6">SUM(N3:P3)</f>
        <v>851.24571819403263</v>
      </c>
      <c r="S3" s="64">
        <f>FoodLog!G6</f>
        <v>171</v>
      </c>
      <c r="T3" s="65">
        <f>FoodLog!H6</f>
        <v>52</v>
      </c>
      <c r="U3" s="65">
        <f>FoodLog!I6</f>
        <v>455.6</v>
      </c>
      <c r="V3" s="65">
        <f>FoodLog!J6</f>
        <v>678.6</v>
      </c>
      <c r="W3" s="65">
        <f t="shared" ref="W3:Y6" si="7">-N3+S3</f>
        <v>-122.94164405787433</v>
      </c>
      <c r="X3" s="65">
        <f t="shared" si="7"/>
        <v>-28</v>
      </c>
      <c r="Y3" s="65">
        <f t="shared" si="7"/>
        <v>-21.704074136158226</v>
      </c>
      <c r="Z3" s="66">
        <f>SUM(W3:Y3)</f>
        <v>-172.64571819403255</v>
      </c>
      <c r="AA3" s="67">
        <f t="shared" ref="AA3:AA34" si="8">MIN($H3,($H3+Z3))/3500</f>
        <v>0.43022030388912436</v>
      </c>
      <c r="AB3" s="68">
        <f>Scale!C3</f>
        <v>202.8</v>
      </c>
      <c r="AC3" s="69">
        <f t="shared" ref="AC3:AC23" si="9">C3-AB3</f>
        <v>0.5</v>
      </c>
    </row>
    <row r="4" spans="1:29" x14ac:dyDescent="0.25">
      <c r="A4" s="70">
        <f t="shared" ref="A4:A35" si="10">A3+1</f>
        <v>42993</v>
      </c>
      <c r="B4" s="71">
        <f t="shared" ref="B4:B35" si="11">B3+1</f>
        <v>2</v>
      </c>
      <c r="C4" s="72">
        <f t="shared" ref="C4:C35" si="12">C3-AA3</f>
        <v>202.8697796961109</v>
      </c>
      <c r="D4" s="72">
        <f t="shared" ref="D4:D35" si="13">$D$3</f>
        <v>149.15752316754944</v>
      </c>
      <c r="E4" s="73">
        <f t="shared" si="0"/>
        <v>53.712256528561454</v>
      </c>
      <c r="F4" s="61"/>
      <c r="G4" s="74">
        <f>C4*TDEE!$B$5</f>
        <v>2524.3092674889972</v>
      </c>
      <c r="H4" s="72">
        <f t="shared" ref="H4:H35" si="14">$E4*31</f>
        <v>1665.079952385405</v>
      </c>
      <c r="I4" s="72">
        <f t="shared" ref="I4:I35" si="15">$G4-$H4</f>
        <v>859.22931510359217</v>
      </c>
      <c r="J4" s="63">
        <f t="shared" si="1"/>
        <v>0.47573712925297285</v>
      </c>
      <c r="K4" s="72">
        <f t="shared" si="2"/>
        <v>33.547248996381541</v>
      </c>
      <c r="L4" s="72">
        <v>20</v>
      </c>
      <c r="M4" s="59">
        <f>Protein_Amt!$B$6</f>
        <v>119.32601853403956</v>
      </c>
      <c r="N4" s="72">
        <f t="shared" si="3"/>
        <v>301.92524096743387</v>
      </c>
      <c r="O4" s="72">
        <f t="shared" si="4"/>
        <v>80</v>
      </c>
      <c r="P4" s="72">
        <f t="shared" si="5"/>
        <v>477.30407413615825</v>
      </c>
      <c r="Q4" s="73">
        <f t="shared" si="6"/>
        <v>859.22931510359217</v>
      </c>
      <c r="S4" s="75">
        <f>FoodLog!G11</f>
        <v>173.60999999999999</v>
      </c>
      <c r="T4" s="76">
        <f>FoodLog!H11</f>
        <v>0</v>
      </c>
      <c r="U4" s="76">
        <f>FoodLog!I11</f>
        <v>402.24</v>
      </c>
      <c r="V4" s="76">
        <f>FoodLog!J11</f>
        <v>575.84999999999991</v>
      </c>
      <c r="W4" s="77">
        <f t="shared" si="7"/>
        <v>-128.31524096743388</v>
      </c>
      <c r="X4" s="77">
        <f t="shared" si="7"/>
        <v>-80</v>
      </c>
      <c r="Y4" s="77">
        <f t="shared" si="7"/>
        <v>-75.06407413615824</v>
      </c>
      <c r="Z4" s="78">
        <f>SUM(W4:Y4)</f>
        <v>-283.37931510359215</v>
      </c>
      <c r="AA4" s="67">
        <f t="shared" si="8"/>
        <v>0.39477161065194649</v>
      </c>
      <c r="AB4" s="68">
        <f>Scale!C4</f>
        <v>200.2</v>
      </c>
      <c r="AC4" s="69">
        <f t="shared" si="9"/>
        <v>2.6697796961109077</v>
      </c>
    </row>
    <row r="5" spans="1:29" x14ac:dyDescent="0.25">
      <c r="A5" s="70">
        <f t="shared" si="10"/>
        <v>42994</v>
      </c>
      <c r="B5" s="71">
        <f t="shared" si="11"/>
        <v>3</v>
      </c>
      <c r="C5" s="72">
        <f t="shared" si="12"/>
        <v>202.47500808545894</v>
      </c>
      <c r="D5" s="72">
        <f t="shared" si="13"/>
        <v>149.15752316754944</v>
      </c>
      <c r="E5" s="73">
        <f t="shared" si="0"/>
        <v>53.317484917909496</v>
      </c>
      <c r="F5" s="61"/>
      <c r="G5" s="74">
        <f>C5*TDEE!$B$5</f>
        <v>2519.3971231725641</v>
      </c>
      <c r="H5" s="72">
        <f t="shared" si="14"/>
        <v>1652.8420324551944</v>
      </c>
      <c r="I5" s="72">
        <f t="shared" si="15"/>
        <v>866.55509071736969</v>
      </c>
      <c r="J5" s="63">
        <f t="shared" si="1"/>
        <v>0.47224058070148411</v>
      </c>
      <c r="K5" s="72">
        <f t="shared" si="2"/>
        <v>34.361224064579041</v>
      </c>
      <c r="L5" s="72">
        <v>20</v>
      </c>
      <c r="M5" s="59">
        <f>Protein_Amt!$B$6</f>
        <v>119.32601853403956</v>
      </c>
      <c r="N5" s="72">
        <f t="shared" si="3"/>
        <v>309.25101658121139</v>
      </c>
      <c r="O5" s="72">
        <f t="shared" si="4"/>
        <v>80</v>
      </c>
      <c r="P5" s="72">
        <f t="shared" si="5"/>
        <v>477.30407413615825</v>
      </c>
      <c r="Q5" s="73">
        <f t="shared" si="6"/>
        <v>866.55509071736969</v>
      </c>
      <c r="S5" s="75">
        <f>FoodLog!G17</f>
        <v>282.59999999999997</v>
      </c>
      <c r="T5" s="76">
        <f>FoodLog!H17</f>
        <v>28</v>
      </c>
      <c r="U5" s="76">
        <f>FoodLog!I17</f>
        <v>398.4</v>
      </c>
      <c r="V5" s="76">
        <f>FoodLog!J17</f>
        <v>709</v>
      </c>
      <c r="W5" s="77">
        <f t="shared" si="7"/>
        <v>-26.651016581211422</v>
      </c>
      <c r="X5" s="77">
        <f t="shared" si="7"/>
        <v>-52</v>
      </c>
      <c r="Y5" s="77">
        <f t="shared" si="7"/>
        <v>-78.904074136158272</v>
      </c>
      <c r="Z5" s="78">
        <f>SUM(W5:Y5)</f>
        <v>-157.55509071736969</v>
      </c>
      <c r="AA5" s="67">
        <f t="shared" si="8"/>
        <v>0.42722484049652132</v>
      </c>
      <c r="AB5" s="68">
        <f>Scale!C5</f>
        <v>198.4</v>
      </c>
      <c r="AC5" s="69">
        <f t="shared" si="9"/>
        <v>4.0750080854589328</v>
      </c>
    </row>
    <row r="6" spans="1:29" x14ac:dyDescent="0.25">
      <c r="A6" s="70">
        <f t="shared" si="10"/>
        <v>42995</v>
      </c>
      <c r="B6" s="71">
        <f t="shared" si="11"/>
        <v>4</v>
      </c>
      <c r="C6" s="72">
        <f t="shared" si="12"/>
        <v>202.0477832449624</v>
      </c>
      <c r="D6" s="72">
        <f t="shared" si="13"/>
        <v>149.15752316754944</v>
      </c>
      <c r="E6" s="73">
        <f t="shared" si="0"/>
        <v>52.890260077412961</v>
      </c>
      <c r="F6" s="61"/>
      <c r="G6" s="74">
        <f>C6*TDEE!$B$5</f>
        <v>2514.0811632213954</v>
      </c>
      <c r="H6" s="72">
        <f t="shared" si="14"/>
        <v>1639.5980623998018</v>
      </c>
      <c r="I6" s="72">
        <f t="shared" si="15"/>
        <v>874.48310082159355</v>
      </c>
      <c r="J6" s="63">
        <f t="shared" si="1"/>
        <v>0.46845658925708622</v>
      </c>
      <c r="K6" s="72">
        <f t="shared" si="2"/>
        <v>35.242114076159474</v>
      </c>
      <c r="L6" s="72">
        <v>20</v>
      </c>
      <c r="M6" s="59">
        <f>Protein_Amt!$B$6</f>
        <v>119.32601853403956</v>
      </c>
      <c r="N6" s="72">
        <f t="shared" si="3"/>
        <v>317.17902668543525</v>
      </c>
      <c r="O6" s="72">
        <f t="shared" si="4"/>
        <v>80</v>
      </c>
      <c r="P6" s="72">
        <f t="shared" si="5"/>
        <v>477.30407413615825</v>
      </c>
      <c r="Q6" s="73">
        <f t="shared" si="6"/>
        <v>874.48310082159355</v>
      </c>
      <c r="S6" s="75">
        <f>FoodLog!G24</f>
        <v>175.85999999999999</v>
      </c>
      <c r="T6" s="76">
        <f>FoodLog!H24</f>
        <v>56</v>
      </c>
      <c r="U6" s="76">
        <f>FoodLog!I24</f>
        <v>558.24</v>
      </c>
      <c r="V6" s="76">
        <f>FoodLog!J24</f>
        <v>790.1</v>
      </c>
      <c r="W6" s="77">
        <f t="shared" si="7"/>
        <v>-141.31902668543526</v>
      </c>
      <c r="X6" s="77">
        <f t="shared" si="7"/>
        <v>-24</v>
      </c>
      <c r="Y6" s="77">
        <f t="shared" si="7"/>
        <v>80.93592586384176</v>
      </c>
      <c r="Z6" s="78">
        <f>SUM(W6:Y6)</f>
        <v>-84.383100821593501</v>
      </c>
      <c r="AA6" s="67">
        <f t="shared" si="8"/>
        <v>0.4443471318794881</v>
      </c>
      <c r="AB6" s="68">
        <f>Scale!C6</f>
        <v>199.4</v>
      </c>
      <c r="AC6" s="69">
        <f t="shared" si="9"/>
        <v>2.6477832449623975</v>
      </c>
    </row>
    <row r="7" spans="1:29" x14ac:dyDescent="0.25">
      <c r="A7" s="70">
        <f t="shared" si="10"/>
        <v>42996</v>
      </c>
      <c r="B7" s="71">
        <f t="shared" si="11"/>
        <v>5</v>
      </c>
      <c r="C7" s="72">
        <f t="shared" si="12"/>
        <v>201.60343611308292</v>
      </c>
      <c r="D7" s="72">
        <f t="shared" si="13"/>
        <v>149.15752316754944</v>
      </c>
      <c r="E7" s="73">
        <f t="shared" si="0"/>
        <v>52.445912945533479</v>
      </c>
      <c r="F7" s="61"/>
      <c r="G7" s="74">
        <f>C7*TDEE!$B$5</f>
        <v>2508.552150548016</v>
      </c>
      <c r="H7" s="72">
        <f t="shared" si="14"/>
        <v>1625.8233013115378</v>
      </c>
      <c r="I7" s="72">
        <f t="shared" si="15"/>
        <v>882.72884923647825</v>
      </c>
      <c r="J7" s="63">
        <f t="shared" si="1"/>
        <v>0.46452094323186793</v>
      </c>
      <c r="K7" s="72">
        <f t="shared" si="2"/>
        <v>36.158308344479991</v>
      </c>
      <c r="L7" s="72">
        <v>20</v>
      </c>
      <c r="M7" s="59">
        <f>Protein_Amt!$B$6</f>
        <v>119.32601853403956</v>
      </c>
      <c r="N7" s="72">
        <f t="shared" si="3"/>
        <v>325.42477510031995</v>
      </c>
      <c r="O7" s="72">
        <f t="shared" si="4"/>
        <v>80</v>
      </c>
      <c r="P7" s="72">
        <f t="shared" si="5"/>
        <v>477.30407413615825</v>
      </c>
      <c r="Q7" s="73">
        <f t="shared" si="6"/>
        <v>882.72884923647825</v>
      </c>
      <c r="S7" s="75">
        <f>FoodLog!G34</f>
        <v>235.62</v>
      </c>
      <c r="T7" s="76">
        <f>FoodLog!H34</f>
        <v>58.857142857142861</v>
      </c>
      <c r="U7" s="76">
        <f>FoodLog!I34</f>
        <v>542.94857142857143</v>
      </c>
      <c r="V7" s="76">
        <f>FoodLog!J34</f>
        <v>837.42571428571432</v>
      </c>
      <c r="W7" s="76">
        <f>FoodLog!G36</f>
        <v>89.804775100319944</v>
      </c>
      <c r="X7" s="76">
        <f>FoodLog!H36</f>
        <v>21.142857142857139</v>
      </c>
      <c r="Y7" s="76">
        <f>FoodLog!I36</f>
        <v>-65.644497292413178</v>
      </c>
      <c r="Z7" s="79">
        <f>FoodLog!J36</f>
        <v>45.303134950763933</v>
      </c>
      <c r="AA7" s="67">
        <f t="shared" si="8"/>
        <v>0.46452094323186793</v>
      </c>
      <c r="AB7" s="68">
        <f>Scale!C7</f>
        <v>200.3</v>
      </c>
      <c r="AC7" s="69">
        <f t="shared" si="9"/>
        <v>1.3034361130829097</v>
      </c>
    </row>
    <row r="8" spans="1:29" x14ac:dyDescent="0.25">
      <c r="A8" s="70">
        <f t="shared" si="10"/>
        <v>42997</v>
      </c>
      <c r="B8" s="71">
        <f t="shared" si="11"/>
        <v>6</v>
      </c>
      <c r="C8" s="72">
        <f t="shared" si="12"/>
        <v>201.13891516985106</v>
      </c>
      <c r="D8" s="72">
        <f t="shared" si="13"/>
        <v>149.15752316754944</v>
      </c>
      <c r="E8" s="73">
        <f t="shared" si="0"/>
        <v>51.981392002301618</v>
      </c>
      <c r="F8" s="61"/>
      <c r="G8" s="74">
        <f>C8*TDEE!$B$5</f>
        <v>2502.7721150804396</v>
      </c>
      <c r="H8" s="72">
        <f t="shared" si="14"/>
        <v>1611.4231520713502</v>
      </c>
      <c r="I8" s="72">
        <f t="shared" si="15"/>
        <v>891.3489630090894</v>
      </c>
      <c r="J8" s="63">
        <f t="shared" si="1"/>
        <v>0.4604066148775286</v>
      </c>
      <c r="K8" s="72">
        <f t="shared" si="2"/>
        <v>37.116098763659011</v>
      </c>
      <c r="L8" s="72">
        <v>20</v>
      </c>
      <c r="M8" s="59">
        <f>Protein_Amt!$B$6</f>
        <v>119.32601853403956</v>
      </c>
      <c r="N8" s="72">
        <f t="shared" si="3"/>
        <v>334.0448888729311</v>
      </c>
      <c r="O8" s="72">
        <f t="shared" si="4"/>
        <v>80</v>
      </c>
      <c r="P8" s="72">
        <f t="shared" si="5"/>
        <v>477.30407413615825</v>
      </c>
      <c r="Q8" s="73">
        <f t="shared" si="6"/>
        <v>891.3489630090894</v>
      </c>
      <c r="S8" s="75">
        <f>FoodLog!G44</f>
        <v>238.5</v>
      </c>
      <c r="T8" s="75">
        <f>FoodLog!H44</f>
        <v>56.8</v>
      </c>
      <c r="U8" s="75">
        <f>FoodLog!I44</f>
        <v>549.12</v>
      </c>
      <c r="V8" s="75">
        <f>FoodLog!J44</f>
        <v>844.42000000000007</v>
      </c>
      <c r="W8" s="75">
        <f>FoodLog!G46</f>
        <v>95.544888872931097</v>
      </c>
      <c r="X8" s="75">
        <f>FoodLog!H46</f>
        <v>23.200000000000003</v>
      </c>
      <c r="Y8" s="75">
        <f>FoodLog!I46</f>
        <v>-71.815925863841755</v>
      </c>
      <c r="Z8" s="75">
        <f>FoodLog!J46</f>
        <v>46.92896300908933</v>
      </c>
      <c r="AA8" s="67">
        <f t="shared" si="8"/>
        <v>0.4604066148775286</v>
      </c>
      <c r="AB8" s="68">
        <f>Scale!C8</f>
        <v>200.4</v>
      </c>
      <c r="AC8" s="69">
        <f t="shared" si="9"/>
        <v>0.73891516985105454</v>
      </c>
    </row>
    <row r="9" spans="1:29" x14ac:dyDescent="0.25">
      <c r="A9" s="70">
        <f t="shared" si="10"/>
        <v>42998</v>
      </c>
      <c r="B9" s="71">
        <f t="shared" si="11"/>
        <v>7</v>
      </c>
      <c r="C9" s="72">
        <f t="shared" si="12"/>
        <v>200.67850855497352</v>
      </c>
      <c r="D9" s="72">
        <f t="shared" si="13"/>
        <v>149.15752316754944</v>
      </c>
      <c r="E9" s="73">
        <f t="shared" si="0"/>
        <v>51.520985387424076</v>
      </c>
      <c r="F9" s="61"/>
      <c r="G9" s="74">
        <f>C9*TDEE!$B$5</f>
        <v>2497.0432742127186</v>
      </c>
      <c r="H9" s="72">
        <f t="shared" si="14"/>
        <v>1597.1505470101463</v>
      </c>
      <c r="I9" s="72">
        <f t="shared" si="15"/>
        <v>899.89272720257236</v>
      </c>
      <c r="J9" s="63">
        <f t="shared" si="1"/>
        <v>0.45632872771718463</v>
      </c>
      <c r="K9" s="72">
        <f t="shared" si="2"/>
        <v>38.065405896268231</v>
      </c>
      <c r="L9" s="72">
        <v>20</v>
      </c>
      <c r="M9" s="59">
        <f>Protein_Amt!$B$6</f>
        <v>119.32601853403956</v>
      </c>
      <c r="N9" s="72">
        <f t="shared" si="3"/>
        <v>342.58865306641405</v>
      </c>
      <c r="O9" s="72">
        <f t="shared" si="4"/>
        <v>80</v>
      </c>
      <c r="P9" s="72">
        <f t="shared" si="5"/>
        <v>477.30407413615825</v>
      </c>
      <c r="Q9" s="73">
        <f t="shared" si="6"/>
        <v>899.89272720257236</v>
      </c>
      <c r="S9" s="75">
        <f>FoodLog!G56</f>
        <v>401.4</v>
      </c>
      <c r="T9" s="75">
        <f>FoodLog!H56</f>
        <v>64.571428571428569</v>
      </c>
      <c r="U9" s="75">
        <f>FoodLog!I56</f>
        <v>561.80571428571432</v>
      </c>
      <c r="V9" s="75">
        <f>FoodLog!J56</f>
        <v>1027.7771428571427</v>
      </c>
      <c r="W9" s="75">
        <f>FoodLog!G58</f>
        <v>-58.811346933585924</v>
      </c>
      <c r="X9" s="75">
        <f>FoodLog!H58</f>
        <v>15.428571428571431</v>
      </c>
      <c r="Y9" s="75">
        <f>FoodLog!I58</f>
        <v>-84.501640149556067</v>
      </c>
      <c r="Z9" s="75">
        <f>FoodLog!J58</f>
        <v>-127.88441565457038</v>
      </c>
      <c r="AA9" s="67">
        <f t="shared" si="8"/>
        <v>0.41979032324445026</v>
      </c>
      <c r="AB9" s="68">
        <f>Scale!C9</f>
        <v>199.8</v>
      </c>
      <c r="AC9" s="69">
        <f t="shared" si="9"/>
        <v>0.87850855497350722</v>
      </c>
    </row>
    <row r="10" spans="1:29" x14ac:dyDescent="0.25">
      <c r="A10" s="70">
        <f t="shared" si="10"/>
        <v>42999</v>
      </c>
      <c r="B10" s="71">
        <f t="shared" si="11"/>
        <v>8</v>
      </c>
      <c r="C10" s="72">
        <f t="shared" si="12"/>
        <v>200.25871823172906</v>
      </c>
      <c r="D10" s="72">
        <f t="shared" si="13"/>
        <v>149.15752316754944</v>
      </c>
      <c r="E10" s="73">
        <f t="shared" si="0"/>
        <v>51.10119506417962</v>
      </c>
      <c r="F10" s="61"/>
      <c r="G10" s="74">
        <f>C10*TDEE!$B$5</f>
        <v>2491.8198219816595</v>
      </c>
      <c r="H10" s="72">
        <f t="shared" si="14"/>
        <v>1584.1370469895683</v>
      </c>
      <c r="I10" s="72">
        <f t="shared" si="15"/>
        <v>907.68277499209125</v>
      </c>
      <c r="J10" s="63">
        <f t="shared" si="1"/>
        <v>0.45261058485416233</v>
      </c>
      <c r="K10" s="72">
        <f t="shared" si="2"/>
        <v>38.930966761770328</v>
      </c>
      <c r="L10" s="72">
        <v>20</v>
      </c>
      <c r="M10" s="59">
        <f>Protein_Amt!$B$6</f>
        <v>119.32601853403956</v>
      </c>
      <c r="N10" s="72">
        <f t="shared" si="3"/>
        <v>350.37870085593295</v>
      </c>
      <c r="O10" s="72">
        <f t="shared" si="4"/>
        <v>80</v>
      </c>
      <c r="P10" s="72">
        <f t="shared" si="5"/>
        <v>477.30407413615825</v>
      </c>
      <c r="Q10" s="73">
        <f t="shared" si="6"/>
        <v>907.68277499209125</v>
      </c>
      <c r="S10" s="75">
        <f>FoodLog!G68</f>
        <v>340.55999999999995</v>
      </c>
      <c r="T10" s="75">
        <f>FoodLog!H68</f>
        <v>44</v>
      </c>
      <c r="U10" s="75">
        <f>FoodLog!I68</f>
        <v>503.84000000000003</v>
      </c>
      <c r="V10" s="75">
        <f>FoodLog!J68</f>
        <v>888.4</v>
      </c>
      <c r="W10" s="75">
        <f>FoodLog!G70</f>
        <v>9.8187008559330025</v>
      </c>
      <c r="X10" s="75">
        <f>FoodLog!H70</f>
        <v>36</v>
      </c>
      <c r="Y10" s="75">
        <f>FoodLog!I70</f>
        <v>-26.535925863841783</v>
      </c>
      <c r="Z10" s="75">
        <f>FoodLog!J70</f>
        <v>19.282774992091277</v>
      </c>
      <c r="AA10" s="67">
        <f t="shared" si="8"/>
        <v>0.45261058485416233</v>
      </c>
      <c r="AB10" s="68">
        <f>Scale!C10</f>
        <v>199.8</v>
      </c>
      <c r="AC10" s="69">
        <f t="shared" si="9"/>
        <v>0.45871823172905124</v>
      </c>
    </row>
    <row r="11" spans="1:29" x14ac:dyDescent="0.25">
      <c r="A11" s="70">
        <f t="shared" si="10"/>
        <v>43000</v>
      </c>
      <c r="B11" s="71">
        <f t="shared" si="11"/>
        <v>9</v>
      </c>
      <c r="C11" s="72">
        <f t="shared" si="12"/>
        <v>199.80610764687489</v>
      </c>
      <c r="D11" s="72">
        <f t="shared" si="13"/>
        <v>149.15752316754944</v>
      </c>
      <c r="E11" s="73">
        <f t="shared" si="0"/>
        <v>50.64858447932545</v>
      </c>
      <c r="F11" s="61"/>
      <c r="G11" s="74">
        <f>C11*TDEE!$B$5</f>
        <v>2486.1879871385277</v>
      </c>
      <c r="H11" s="72">
        <f t="shared" si="14"/>
        <v>1570.1061188590888</v>
      </c>
      <c r="I11" s="72">
        <f t="shared" si="15"/>
        <v>916.08186827943882</v>
      </c>
      <c r="J11" s="63">
        <f t="shared" si="1"/>
        <v>0.44860174824545396</v>
      </c>
      <c r="K11" s="72">
        <f t="shared" si="2"/>
        <v>39.86419934925339</v>
      </c>
      <c r="L11" s="72">
        <v>20</v>
      </c>
      <c r="M11" s="59">
        <f>Protein_Amt!$B$6</f>
        <v>119.32601853403956</v>
      </c>
      <c r="N11" s="72">
        <f t="shared" si="3"/>
        <v>358.77779414328052</v>
      </c>
      <c r="O11" s="72">
        <f t="shared" si="4"/>
        <v>80</v>
      </c>
      <c r="P11" s="72">
        <f t="shared" si="5"/>
        <v>477.30407413615825</v>
      </c>
      <c r="Q11" s="73">
        <f t="shared" si="6"/>
        <v>916.08186827943882</v>
      </c>
      <c r="S11" s="75">
        <f>FoodLog!G80</f>
        <v>469.26</v>
      </c>
      <c r="T11" s="75">
        <f>FoodLog!H80</f>
        <v>79.428571428571431</v>
      </c>
      <c r="U11" s="75">
        <f>FoodLog!I80</f>
        <v>502.51428571428568</v>
      </c>
      <c r="V11" s="75">
        <f>FoodLog!J80</f>
        <v>1051.2028571428571</v>
      </c>
      <c r="W11" s="75">
        <f>FoodLog!G82</f>
        <v>-110.48220585671947</v>
      </c>
      <c r="X11" s="75">
        <f>FoodLog!H82</f>
        <v>0.5714285714285694</v>
      </c>
      <c r="Y11" s="75">
        <f>FoodLog!I82</f>
        <v>-25.210211578127428</v>
      </c>
      <c r="Z11" s="75">
        <f>FoodLog!J82</f>
        <v>-135.12098886341823</v>
      </c>
      <c r="AA11" s="67">
        <f t="shared" si="8"/>
        <v>0.40999575142733446</v>
      </c>
      <c r="AB11" s="68">
        <f>Scale!C11</f>
        <v>198.4</v>
      </c>
      <c r="AC11" s="69">
        <f t="shared" si="9"/>
        <v>1.4061076468748865</v>
      </c>
    </row>
    <row r="12" spans="1:29" x14ac:dyDescent="0.25">
      <c r="A12" s="70">
        <f t="shared" si="10"/>
        <v>43001</v>
      </c>
      <c r="B12" s="71">
        <f t="shared" si="11"/>
        <v>10</v>
      </c>
      <c r="C12" s="72">
        <f t="shared" si="12"/>
        <v>199.39611189544755</v>
      </c>
      <c r="D12" s="72">
        <f t="shared" si="13"/>
        <v>149.15752316754944</v>
      </c>
      <c r="E12" s="73">
        <f t="shared" si="0"/>
        <v>50.238588727898104</v>
      </c>
      <c r="F12" s="61"/>
      <c r="G12" s="74">
        <f>C12*TDEE!$B$5</f>
        <v>2481.0864087934951</v>
      </c>
      <c r="H12" s="72">
        <f t="shared" si="14"/>
        <v>1557.3962505648412</v>
      </c>
      <c r="I12" s="72">
        <f t="shared" si="15"/>
        <v>923.6901582286539</v>
      </c>
      <c r="J12" s="63">
        <f t="shared" si="1"/>
        <v>0.44497035730424034</v>
      </c>
      <c r="K12" s="72">
        <f t="shared" si="2"/>
        <v>40.709564899166175</v>
      </c>
      <c r="L12" s="72">
        <v>20</v>
      </c>
      <c r="M12" s="59">
        <f>Protein_Amt!$B$6</f>
        <v>119.32601853403956</v>
      </c>
      <c r="N12" s="72">
        <f t="shared" si="3"/>
        <v>366.38608409249559</v>
      </c>
      <c r="O12" s="72">
        <f t="shared" si="4"/>
        <v>80</v>
      </c>
      <c r="P12" s="72">
        <f t="shared" si="5"/>
        <v>477.30407413615825</v>
      </c>
      <c r="Q12" s="73">
        <f t="shared" si="6"/>
        <v>923.6901582286539</v>
      </c>
      <c r="S12" s="75">
        <f>VLOOKUP($A12,FoodLog!$A$1:$Z$443,12,0)</f>
        <v>493.92</v>
      </c>
      <c r="T12" s="75">
        <f>VLOOKUP($A12,FoodLog!$A$1:$Z$443,13,0)</f>
        <v>28</v>
      </c>
      <c r="U12" s="75">
        <f>VLOOKUP($A12,FoodLog!$A$1:$Z$443,14,0)</f>
        <v>469.6</v>
      </c>
      <c r="V12" s="75">
        <f>VLOOKUP($A12,FoodLog!$A$1:$Z$443,15,0)</f>
        <v>991.5200000000001</v>
      </c>
      <c r="W12" s="75">
        <f>VLOOKUP($A12,FoodLog!$A$1:$Z$443,20,0)</f>
        <v>-127.53391590750442</v>
      </c>
      <c r="X12" s="75">
        <f>VLOOKUP($A12,FoodLog!$A$1:$Z$443,21,0)</f>
        <v>52</v>
      </c>
      <c r="Y12" s="75">
        <f>VLOOKUP($A12,FoodLog!$A$1:$Z$443,22,0)</f>
        <v>7.7040741361582263</v>
      </c>
      <c r="Z12" s="75">
        <f>VLOOKUP($A12,FoodLog!$A$1:$Z$443,23,0)</f>
        <v>-67.829841771346196</v>
      </c>
      <c r="AA12" s="67">
        <f t="shared" si="8"/>
        <v>0.42559040251242719</v>
      </c>
      <c r="AB12" s="69">
        <f>Scale!C12</f>
        <v>197.6</v>
      </c>
      <c r="AC12" s="69">
        <f t="shared" si="9"/>
        <v>1.7961118954475523</v>
      </c>
    </row>
    <row r="13" spans="1:29" x14ac:dyDescent="0.25">
      <c r="A13" s="70">
        <f t="shared" si="10"/>
        <v>43002</v>
      </c>
      <c r="B13" s="71">
        <f t="shared" si="11"/>
        <v>11</v>
      </c>
      <c r="C13" s="72">
        <f t="shared" si="12"/>
        <v>198.97052149293512</v>
      </c>
      <c r="D13" s="72">
        <f t="shared" si="13"/>
        <v>149.15752316754944</v>
      </c>
      <c r="E13" s="73">
        <f t="shared" si="0"/>
        <v>49.812998325385678</v>
      </c>
      <c r="F13" s="61"/>
      <c r="G13" s="74">
        <f>C13*TDEE!$B$5</f>
        <v>2475.7907861589865</v>
      </c>
      <c r="H13" s="72">
        <f t="shared" si="14"/>
        <v>1544.202948086956</v>
      </c>
      <c r="I13" s="72">
        <f t="shared" si="15"/>
        <v>931.58783807203054</v>
      </c>
      <c r="J13" s="63">
        <f t="shared" si="1"/>
        <v>0.44120084231055884</v>
      </c>
      <c r="K13" s="72">
        <f t="shared" si="2"/>
        <v>41.58708488176358</v>
      </c>
      <c r="L13" s="72">
        <v>20</v>
      </c>
      <c r="M13" s="59">
        <f>Protein_Amt!$B$6</f>
        <v>119.32601853403956</v>
      </c>
      <c r="N13" s="72">
        <f t="shared" si="3"/>
        <v>374.28376393587223</v>
      </c>
      <c r="O13" s="72">
        <f t="shared" si="4"/>
        <v>80</v>
      </c>
      <c r="P13" s="72">
        <f t="shared" si="5"/>
        <v>477.30407413615825</v>
      </c>
      <c r="Q13" s="73">
        <f t="shared" si="6"/>
        <v>931.58783807203054</v>
      </c>
      <c r="S13" s="75">
        <f>VLOOKUP($A13,FoodLog!$A$1:$Z$443,12,0)</f>
        <v>402.12</v>
      </c>
      <c r="T13" s="75">
        <f>VLOOKUP($A13,FoodLog!$A$1:$Z$443,13,0)</f>
        <v>80.571428571428569</v>
      </c>
      <c r="U13" s="75">
        <f>VLOOKUP($A13,FoodLog!$A$1:$Z$443,14,0)</f>
        <v>455.40571428571428</v>
      </c>
      <c r="V13" s="75">
        <f>VLOOKUP($A13,FoodLog!$A$1:$Z$443,15,0)</f>
        <v>938.0971428571429</v>
      </c>
      <c r="W13" s="75">
        <f>VLOOKUP($A13,FoodLog!$A$1:$Z$443,16,0)</f>
        <v>-27.836236064127775</v>
      </c>
      <c r="X13" s="75">
        <f>VLOOKUP($A13,FoodLog!$A$1:$Z$443,17,0)</f>
        <v>-0.5714285714285694</v>
      </c>
      <c r="Y13" s="75">
        <f>VLOOKUP($A13,FoodLog!$A$1:$Z$443,18,0)</f>
        <v>21.898359850443967</v>
      </c>
      <c r="Z13" s="75">
        <f>VLOOKUP($A13,FoodLog!$A$1:$Z$443,19,0)</f>
        <v>-6.5093047851123629</v>
      </c>
      <c r="AA13" s="67">
        <f t="shared" si="8"/>
        <v>0.43934104094338389</v>
      </c>
      <c r="AB13" s="69">
        <f>Scale!C13</f>
        <v>198</v>
      </c>
      <c r="AC13" s="69">
        <f t="shared" si="9"/>
        <v>0.97052149293512002</v>
      </c>
    </row>
    <row r="14" spans="1:29" x14ac:dyDescent="0.25">
      <c r="A14" s="70">
        <f t="shared" si="10"/>
        <v>43003</v>
      </c>
      <c r="B14" s="71">
        <f t="shared" si="11"/>
        <v>12</v>
      </c>
      <c r="C14" s="72">
        <f t="shared" si="12"/>
        <v>198.53118045199173</v>
      </c>
      <c r="D14" s="72">
        <f t="shared" si="13"/>
        <v>149.15752316754944</v>
      </c>
      <c r="E14" s="73">
        <f t="shared" si="0"/>
        <v>49.373657284442288</v>
      </c>
      <c r="F14" s="61"/>
      <c r="G14" s="74">
        <f>C14*TDEE!$B$5</f>
        <v>2470.3240642898995</v>
      </c>
      <c r="H14" s="72">
        <f t="shared" si="14"/>
        <v>1530.5833758177109</v>
      </c>
      <c r="I14" s="72">
        <f t="shared" si="15"/>
        <v>939.74068847218859</v>
      </c>
      <c r="J14" s="63">
        <f t="shared" si="1"/>
        <v>0.43730953594791738</v>
      </c>
      <c r="K14" s="72">
        <f t="shared" si="2"/>
        <v>42.492957148447807</v>
      </c>
      <c r="L14" s="72">
        <v>20</v>
      </c>
      <c r="M14" s="59">
        <f>Protein_Amt!$B$6</f>
        <v>119.32601853403956</v>
      </c>
      <c r="N14" s="72">
        <f t="shared" si="3"/>
        <v>382.43661433603029</v>
      </c>
      <c r="O14" s="72">
        <f t="shared" si="4"/>
        <v>80</v>
      </c>
      <c r="P14" s="72">
        <f t="shared" si="5"/>
        <v>477.30407413615825</v>
      </c>
      <c r="Q14" s="73">
        <f t="shared" si="6"/>
        <v>939.74068847218859</v>
      </c>
      <c r="S14" s="75">
        <f>VLOOKUP($A14,FoodLog!$A$1:$Z$443,12,0)</f>
        <v>462.59999999999997</v>
      </c>
      <c r="T14" s="75">
        <f>VLOOKUP($A14,FoodLog!$A$1:$Z$443,13,0)</f>
        <v>52.571428571428569</v>
      </c>
      <c r="U14" s="75">
        <f>VLOOKUP($A14,FoodLog!$A$1:$Z$443,14,0)</f>
        <v>498.28571428571428</v>
      </c>
      <c r="V14" s="75">
        <f>VLOOKUP($A14,FoodLog!$A$1:$Z$443,15,0)</f>
        <v>1013.4571428571428</v>
      </c>
      <c r="W14" s="75">
        <f>VLOOKUP($A14,FoodLog!$A$1:$Z$443,16,0)</f>
        <v>-80.163385663969677</v>
      </c>
      <c r="X14" s="75">
        <f>VLOOKUP($A14,FoodLog!$A$1:$Z$443,17,0)</f>
        <v>27.428571428571431</v>
      </c>
      <c r="Y14" s="75">
        <f>VLOOKUP($A14,FoodLog!$A$1:$Z$443,18,0)</f>
        <v>-20.981640149556029</v>
      </c>
      <c r="Z14" s="75">
        <f>VLOOKUP($A14,FoodLog!$A$1:$Z$443,19,0)</f>
        <v>-73.716454384954204</v>
      </c>
      <c r="AA14" s="67">
        <f t="shared" si="8"/>
        <v>0.41624769183793048</v>
      </c>
      <c r="AB14" s="69">
        <f>Scale!C14</f>
        <v>198</v>
      </c>
      <c r="AC14" s="69">
        <f t="shared" si="9"/>
        <v>0.53118045199173025</v>
      </c>
    </row>
    <row r="15" spans="1:29" x14ac:dyDescent="0.25">
      <c r="A15" s="70">
        <f t="shared" si="10"/>
        <v>43004</v>
      </c>
      <c r="B15" s="71">
        <f t="shared" si="11"/>
        <v>13</v>
      </c>
      <c r="C15" s="72">
        <f t="shared" si="12"/>
        <v>198.11493276015381</v>
      </c>
      <c r="D15" s="72">
        <f t="shared" si="13"/>
        <v>149.15752316754944</v>
      </c>
      <c r="E15" s="73">
        <f t="shared" si="0"/>
        <v>48.957409592604364</v>
      </c>
      <c r="F15" s="61"/>
      <c r="G15" s="74">
        <f>C15*TDEE!$B$5</f>
        <v>2465.1446930318866</v>
      </c>
      <c r="H15" s="72">
        <f t="shared" si="14"/>
        <v>1517.6796973707353</v>
      </c>
      <c r="I15" s="72">
        <f t="shared" si="15"/>
        <v>947.46499566115131</v>
      </c>
      <c r="J15" s="63">
        <f t="shared" si="1"/>
        <v>0.43362277067735294</v>
      </c>
      <c r="K15" s="72">
        <f t="shared" si="2"/>
        <v>43.351213502777</v>
      </c>
      <c r="L15" s="72">
        <v>20</v>
      </c>
      <c r="M15" s="59">
        <f>Protein_Amt!$B$6</f>
        <v>119.32601853403956</v>
      </c>
      <c r="N15" s="72">
        <f t="shared" si="3"/>
        <v>390.160921524993</v>
      </c>
      <c r="O15" s="72">
        <f t="shared" si="4"/>
        <v>80</v>
      </c>
      <c r="P15" s="72">
        <f t="shared" si="5"/>
        <v>477.30407413615825</v>
      </c>
      <c r="Q15" s="73">
        <f t="shared" si="6"/>
        <v>947.46499566115131</v>
      </c>
      <c r="S15" s="75">
        <f>VLOOKUP($A15,FoodLog!$A$1:$Z$10011,12,0)</f>
        <v>469.34999999999997</v>
      </c>
      <c r="T15" s="75">
        <f>VLOOKUP($A15,FoodLog!$A$1:$Z$10011,13,0)</f>
        <v>60.571428571428569</v>
      </c>
      <c r="U15" s="75">
        <f>VLOOKUP($A15,FoodLog!$A$1:$Z$10011,14,0)</f>
        <v>518.28571428571422</v>
      </c>
      <c r="V15" s="75">
        <f>VLOOKUP($A15,FoodLog!$A$1:$Z$10011,15,0)</f>
        <v>1048.2071428571428</v>
      </c>
      <c r="W15" s="75">
        <f>VLOOKUP($A15,FoodLog!$A$1:$Z$10011,16,0)</f>
        <v>-79.189078475006966</v>
      </c>
      <c r="X15" s="75">
        <f>VLOOKUP($A15,FoodLog!$A$1:$Z$10011,17,0)</f>
        <v>19.428571428571431</v>
      </c>
      <c r="Y15" s="75">
        <f>VLOOKUP($A15,FoodLog!$A$1:$Z$10011,18,0)</f>
        <v>-40.981640149555972</v>
      </c>
      <c r="Z15" s="75">
        <f>VLOOKUP($A15,FoodLog!$A$1:$Z$10011,19,0)</f>
        <v>-100.74214719599149</v>
      </c>
      <c r="AA15" s="67">
        <f t="shared" si="8"/>
        <v>0.4048393000499268</v>
      </c>
      <c r="AB15" s="69">
        <f>Scale!C15</f>
        <v>198.8</v>
      </c>
      <c r="AC15" s="69">
        <f t="shared" si="9"/>
        <v>-0.68506723984620521</v>
      </c>
    </row>
    <row r="16" spans="1:29" x14ac:dyDescent="0.25">
      <c r="A16" s="70">
        <f t="shared" si="10"/>
        <v>43005</v>
      </c>
      <c r="B16" s="71">
        <f t="shared" si="11"/>
        <v>14</v>
      </c>
      <c r="C16" s="72">
        <f t="shared" si="12"/>
        <v>197.71009346010388</v>
      </c>
      <c r="D16" s="72">
        <f t="shared" si="13"/>
        <v>149.15752316754944</v>
      </c>
      <c r="E16" s="73">
        <f t="shared" si="0"/>
        <v>48.552570292554435</v>
      </c>
      <c r="F16" s="61"/>
      <c r="G16" s="74">
        <f>C16*TDEE!$B$5</f>
        <v>2460.1072764265618</v>
      </c>
      <c r="H16" s="72">
        <f t="shared" si="14"/>
        <v>1505.1296790691874</v>
      </c>
      <c r="I16" s="72">
        <f t="shared" si="15"/>
        <v>954.97759735737441</v>
      </c>
      <c r="J16" s="63">
        <f t="shared" si="1"/>
        <v>0.43003705116262497</v>
      </c>
      <c r="K16" s="72">
        <f t="shared" si="2"/>
        <v>44.185947024579569</v>
      </c>
      <c r="L16" s="72">
        <v>20</v>
      </c>
      <c r="M16" s="59">
        <f>Protein_Amt!$B$6</f>
        <v>119.32601853403956</v>
      </c>
      <c r="N16" s="72">
        <f t="shared" si="3"/>
        <v>397.6735232212161</v>
      </c>
      <c r="O16" s="72">
        <f t="shared" si="4"/>
        <v>80</v>
      </c>
      <c r="P16" s="72">
        <f t="shared" si="5"/>
        <v>477.30407413615825</v>
      </c>
      <c r="Q16" s="73">
        <f t="shared" si="6"/>
        <v>954.97759735737441</v>
      </c>
      <c r="S16" s="75">
        <f>VLOOKUP($A16,FoodLog!$A$1:$Z$10011,12,0)</f>
        <v>452.07</v>
      </c>
      <c r="T16" s="75">
        <f>VLOOKUP($A16,FoodLog!$A$1:$Z$10011,13,0)</f>
        <v>20</v>
      </c>
      <c r="U16" s="75">
        <f>VLOOKUP($A16,FoodLog!$A$1:$Z$10011,14,0)</f>
        <v>525.6</v>
      </c>
      <c r="V16" s="75">
        <f>VLOOKUP($A16,FoodLog!$A$1:$Z$10011,15,0)</f>
        <v>997.67000000000007</v>
      </c>
      <c r="W16" s="75">
        <f>VLOOKUP($A16,FoodLog!$A$1:$Z$10011,16,0)</f>
        <v>-54.396476778783892</v>
      </c>
      <c r="X16" s="75">
        <f>VLOOKUP($A16,FoodLog!$A$1:$Z$10011,17,0)</f>
        <v>60</v>
      </c>
      <c r="Y16" s="75">
        <f>VLOOKUP($A16,FoodLog!$A$1:$Z$10011,18,0)</f>
        <v>-48.295925863841774</v>
      </c>
      <c r="Z16" s="75">
        <f>VLOOKUP($A16,FoodLog!$A$1:$Z$10011,19,0)</f>
        <v>-42.692402642625666</v>
      </c>
      <c r="AA16" s="67">
        <f t="shared" si="8"/>
        <v>0.41783922183616051</v>
      </c>
      <c r="AB16" s="69">
        <f>Scale!C16</f>
        <v>198.6</v>
      </c>
      <c r="AC16" s="69">
        <f t="shared" si="9"/>
        <v>-0.88990653989611701</v>
      </c>
    </row>
    <row r="17" spans="1:29" x14ac:dyDescent="0.25">
      <c r="A17" s="70">
        <f t="shared" si="10"/>
        <v>43006</v>
      </c>
      <c r="B17" s="71">
        <f t="shared" si="11"/>
        <v>15</v>
      </c>
      <c r="C17" s="72">
        <f t="shared" si="12"/>
        <v>197.29225423826773</v>
      </c>
      <c r="D17" s="72">
        <f t="shared" si="13"/>
        <v>149.15752316754944</v>
      </c>
      <c r="E17" s="73">
        <f t="shared" si="0"/>
        <v>48.134731070718288</v>
      </c>
      <c r="F17" s="61"/>
      <c r="G17" s="74">
        <f>C17*TDEE!$B$5</f>
        <v>2454.9081017560843</v>
      </c>
      <c r="H17" s="72">
        <f t="shared" si="14"/>
        <v>1492.1766631922669</v>
      </c>
      <c r="I17" s="72">
        <f t="shared" si="15"/>
        <v>962.73143856381739</v>
      </c>
      <c r="J17" s="63">
        <f t="shared" si="1"/>
        <v>0.42633618948350482</v>
      </c>
      <c r="K17" s="72">
        <f t="shared" si="2"/>
        <v>45.047484936406562</v>
      </c>
      <c r="L17" s="72">
        <v>20</v>
      </c>
      <c r="M17" s="59">
        <f>Protein_Amt!$B$6</f>
        <v>119.32601853403956</v>
      </c>
      <c r="N17" s="72">
        <f t="shared" si="3"/>
        <v>405.42736442765909</v>
      </c>
      <c r="O17" s="72">
        <f t="shared" si="4"/>
        <v>80</v>
      </c>
      <c r="P17" s="72">
        <f t="shared" si="5"/>
        <v>477.30407413615825</v>
      </c>
      <c r="Q17" s="73">
        <f t="shared" si="6"/>
        <v>962.73143856381739</v>
      </c>
      <c r="S17" s="75">
        <f>VLOOKUP($A17,FoodLog!$A$1:$Z$10011,12,0)</f>
        <v>519.75</v>
      </c>
      <c r="T17" s="75">
        <f>VLOOKUP($A17,FoodLog!$A$1:$Z$10011,13,0)</f>
        <v>55.542857142857144</v>
      </c>
      <c r="U17" s="75">
        <f>VLOOKUP($A17,FoodLog!$A$1:$Z$10011,14,0)</f>
        <v>463.37142857142857</v>
      </c>
      <c r="V17" s="75">
        <f>VLOOKUP($A17,FoodLog!$A$1:$Z$10011,15,0)</f>
        <v>1038.6642857142858</v>
      </c>
      <c r="W17" s="75">
        <f>VLOOKUP($A17,FoodLog!$A$1:$Z$10011,16,0)</f>
        <v>-114.32263557234091</v>
      </c>
      <c r="X17" s="75">
        <f>VLOOKUP($A17,FoodLog!$A$1:$Z$10011,17,0)</f>
        <v>24.457142857142856</v>
      </c>
      <c r="Y17" s="75">
        <f>VLOOKUP($A17,FoodLog!$A$1:$Z$10011,18,0)</f>
        <v>13.932645564729683</v>
      </c>
      <c r="Z17" s="75">
        <f>VLOOKUP($A17,FoodLog!$A$1:$Z$10011,19,0)</f>
        <v>-75.932847150468433</v>
      </c>
      <c r="AA17" s="67">
        <f t="shared" si="8"/>
        <v>0.40464109029765671</v>
      </c>
      <c r="AB17" s="69">
        <f>Scale!C17</f>
        <v>198.2</v>
      </c>
      <c r="AC17" s="69">
        <f t="shared" si="9"/>
        <v>-0.90774576173225796</v>
      </c>
    </row>
    <row r="18" spans="1:29" x14ac:dyDescent="0.25">
      <c r="A18" s="70">
        <f t="shared" si="10"/>
        <v>43007</v>
      </c>
      <c r="B18" s="71">
        <f t="shared" si="11"/>
        <v>16</v>
      </c>
      <c r="C18" s="72">
        <f t="shared" si="12"/>
        <v>196.88761314797009</v>
      </c>
      <c r="D18" s="72">
        <f t="shared" si="13"/>
        <v>149.15752316754944</v>
      </c>
      <c r="E18" s="73">
        <f t="shared" si="0"/>
        <v>47.730089980420644</v>
      </c>
      <c r="F18" s="61"/>
      <c r="G18" s="74">
        <f>C18*TDEE!$B$5</f>
        <v>2449.8731514752922</v>
      </c>
      <c r="H18" s="72">
        <f t="shared" si="14"/>
        <v>1479.63278939304</v>
      </c>
      <c r="I18" s="72">
        <f t="shared" si="15"/>
        <v>970.2403620822522</v>
      </c>
      <c r="J18" s="63">
        <f t="shared" si="1"/>
        <v>0.42275222554086855</v>
      </c>
      <c r="K18" s="72">
        <f t="shared" si="2"/>
        <v>45.881809771788213</v>
      </c>
      <c r="L18" s="72">
        <v>20</v>
      </c>
      <c r="M18" s="59">
        <f>Protein_Amt!$B$6</f>
        <v>119.32601853403956</v>
      </c>
      <c r="N18" s="72">
        <f t="shared" si="3"/>
        <v>412.9362879460939</v>
      </c>
      <c r="O18" s="72">
        <f t="shared" si="4"/>
        <v>80</v>
      </c>
      <c r="P18" s="72">
        <f t="shared" si="5"/>
        <v>477.30407413615825</v>
      </c>
      <c r="Q18" s="73">
        <f t="shared" si="6"/>
        <v>970.2403620822522</v>
      </c>
      <c r="S18" s="75">
        <f>VLOOKUP($A18,FoodLog!$A$1:$Z$10011,12,0)</f>
        <v>526.5</v>
      </c>
      <c r="T18" s="75">
        <f>VLOOKUP($A18,FoodLog!$A$1:$Z$10011,13,0)</f>
        <v>65.485714285714295</v>
      </c>
      <c r="U18" s="75">
        <f>VLOOKUP($A18,FoodLog!$A$1:$Z$10011,14,0)</f>
        <v>509.94285714285712</v>
      </c>
      <c r="V18" s="75">
        <f>VLOOKUP($A18,FoodLog!$A$1:$Z$10011,15,0)</f>
        <v>1101.9285714285713</v>
      </c>
      <c r="W18" s="75">
        <f>VLOOKUP($A18,FoodLog!$A$1:$Z$10011,16,0)</f>
        <v>-113.5637120539061</v>
      </c>
      <c r="X18" s="75">
        <f>VLOOKUP($A18,FoodLog!$A$1:$Z$10011,17,0)</f>
        <v>14.514285714285705</v>
      </c>
      <c r="Y18" s="75">
        <f>VLOOKUP($A18,FoodLog!$A$1:$Z$10011,18,0)</f>
        <v>-32.638783006698873</v>
      </c>
      <c r="Z18" s="75">
        <f>VLOOKUP($A18,FoodLog!$A$1:$Z$10011,19,0)</f>
        <v>-131.68820934631913</v>
      </c>
      <c r="AA18" s="67">
        <f t="shared" si="8"/>
        <v>0.38512702287049166</v>
      </c>
      <c r="AB18" s="68">
        <f>Scale!C18</f>
        <v>197.2</v>
      </c>
      <c r="AC18" s="69">
        <f t="shared" si="9"/>
        <v>-0.31238685202990268</v>
      </c>
    </row>
    <row r="19" spans="1:29" x14ac:dyDescent="0.25">
      <c r="A19" s="70">
        <f t="shared" si="10"/>
        <v>43008</v>
      </c>
      <c r="B19" s="71">
        <f t="shared" si="11"/>
        <v>17</v>
      </c>
      <c r="C19" s="72">
        <f t="shared" si="12"/>
        <v>196.50248612509961</v>
      </c>
      <c r="D19" s="72">
        <f t="shared" si="13"/>
        <v>149.15752316754944</v>
      </c>
      <c r="E19" s="73">
        <f t="shared" si="0"/>
        <v>47.344962957550166</v>
      </c>
      <c r="F19" s="61"/>
      <c r="G19" s="74">
        <f>C19*TDEE!$B$5</f>
        <v>2445.0810147930879</v>
      </c>
      <c r="H19" s="72">
        <f t="shared" si="14"/>
        <v>1467.6938516840551</v>
      </c>
      <c r="I19" s="72">
        <f t="shared" si="15"/>
        <v>977.38716310903283</v>
      </c>
      <c r="J19" s="63">
        <f t="shared" si="1"/>
        <v>0.41934110048115858</v>
      </c>
      <c r="K19" s="72">
        <f t="shared" si="2"/>
        <v>46.675898774763837</v>
      </c>
      <c r="L19" s="72">
        <v>20</v>
      </c>
      <c r="M19" s="59">
        <f>Protein_Amt!$B$6</f>
        <v>119.32601853403956</v>
      </c>
      <c r="N19" s="72">
        <f t="shared" si="3"/>
        <v>420.08308897287452</v>
      </c>
      <c r="O19" s="72">
        <f t="shared" si="4"/>
        <v>80</v>
      </c>
      <c r="P19" s="72">
        <f t="shared" si="5"/>
        <v>477.30407413615825</v>
      </c>
      <c r="Q19" s="73">
        <f t="shared" si="6"/>
        <v>977.38716310903283</v>
      </c>
      <c r="S19" s="75">
        <f>VLOOKUP($A19,FoodLog!$A$1:$Z$10011,12,0)</f>
        <v>483.48</v>
      </c>
      <c r="T19" s="75">
        <f>VLOOKUP($A19,FoodLog!$A$1:$Z$10011,13,0)</f>
        <v>43.714285714285715</v>
      </c>
      <c r="U19" s="75">
        <f>VLOOKUP($A19,FoodLog!$A$1:$Z$10011,14,0)</f>
        <v>530.17714285714283</v>
      </c>
      <c r="V19" s="75">
        <f>VLOOKUP($A19,FoodLog!$A$1:$Z$10011,15,0)</f>
        <v>1057.3714285714286</v>
      </c>
      <c r="W19" s="75">
        <f>VLOOKUP($A19,FoodLog!$A$1:$Z$10011,16,0)</f>
        <v>-63.396911027125498</v>
      </c>
      <c r="X19" s="75">
        <f>VLOOKUP($A19,FoodLog!$A$1:$Z$10011,17,0)</f>
        <v>36.285714285714285</v>
      </c>
      <c r="Y19" s="75">
        <f>VLOOKUP($A19,FoodLog!$A$1:$Z$10011,18,0)</f>
        <v>-52.873068720984577</v>
      </c>
      <c r="Z19" s="75">
        <f>VLOOKUP($A19,FoodLog!$A$1:$Z$10011,19,0)</f>
        <v>-79.984265462395797</v>
      </c>
      <c r="AA19" s="67">
        <f t="shared" si="8"/>
        <v>0.39648845320618836</v>
      </c>
      <c r="AB19" s="68">
        <f>Scale!C19</f>
        <v>197.8</v>
      </c>
      <c r="AC19" s="69">
        <f t="shared" si="9"/>
        <v>-1.2975138749004032</v>
      </c>
    </row>
    <row r="20" spans="1:29" x14ac:dyDescent="0.25">
      <c r="A20" s="70">
        <f t="shared" si="10"/>
        <v>43009</v>
      </c>
      <c r="B20" s="71">
        <f t="shared" si="11"/>
        <v>18</v>
      </c>
      <c r="C20" s="72">
        <f t="shared" si="12"/>
        <v>196.10599767189342</v>
      </c>
      <c r="D20" s="72">
        <f t="shared" si="13"/>
        <v>149.15752316754944</v>
      </c>
      <c r="E20" s="73">
        <f t="shared" si="0"/>
        <v>46.948474504343977</v>
      </c>
      <c r="F20" s="61"/>
      <c r="G20" s="74">
        <f>C20*TDEE!$B$5</f>
        <v>2440.1475077996856</v>
      </c>
      <c r="H20" s="72">
        <f t="shared" si="14"/>
        <v>1455.4027096346633</v>
      </c>
      <c r="I20" s="72">
        <f t="shared" si="15"/>
        <v>984.7447981650223</v>
      </c>
      <c r="J20" s="63">
        <f t="shared" si="1"/>
        <v>0.41582934560990381</v>
      </c>
      <c r="K20" s="72">
        <f t="shared" si="2"/>
        <v>47.493413780984888</v>
      </c>
      <c r="L20" s="72">
        <v>20</v>
      </c>
      <c r="M20" s="59">
        <f>Protein_Amt!$B$6</f>
        <v>119.32601853403956</v>
      </c>
      <c r="N20" s="72">
        <f t="shared" si="3"/>
        <v>427.440724028864</v>
      </c>
      <c r="O20" s="72">
        <f t="shared" si="4"/>
        <v>80</v>
      </c>
      <c r="P20" s="72">
        <f t="shared" si="5"/>
        <v>477.30407413615825</v>
      </c>
      <c r="Q20" s="73">
        <f t="shared" si="6"/>
        <v>984.7447981650223</v>
      </c>
      <c r="S20" s="75">
        <f>VLOOKUP($A20,FoodLog!$A$1:$Z$10011,12,0)</f>
        <v>504.9</v>
      </c>
      <c r="T20" s="75">
        <f>VLOOKUP($A20,FoodLog!$A$1:$Z$10011,13,0)</f>
        <v>51.714285714285715</v>
      </c>
      <c r="U20" s="75">
        <f>VLOOKUP($A20,FoodLog!$A$1:$Z$10011,14,0)</f>
        <v>487.85714285714283</v>
      </c>
      <c r="V20" s="75">
        <f>VLOOKUP($A20,FoodLog!$A$1:$Z$10011,15,0)</f>
        <v>1044.4714285714285</v>
      </c>
      <c r="W20" s="75">
        <f>VLOOKUP($A20,FoodLog!$A$1:$Z$10011,16,0)</f>
        <v>-77.45927597113598</v>
      </c>
      <c r="X20" s="75">
        <f>VLOOKUP($A20,FoodLog!$A$1:$Z$10011,17,0)</f>
        <v>28.285714285714285</v>
      </c>
      <c r="Y20" s="75">
        <f>VLOOKUP($A20,FoodLog!$A$1:$Z$10011,18,0)</f>
        <v>-10.553068720984584</v>
      </c>
      <c r="Z20" s="75">
        <f>VLOOKUP($A20,FoodLog!$A$1:$Z$10011,19,0)</f>
        <v>-59.72663040640623</v>
      </c>
      <c r="AA20" s="67">
        <f t="shared" si="8"/>
        <v>0.3987645940652163</v>
      </c>
      <c r="AB20" s="68">
        <f>Scale!C20</f>
        <v>197.8</v>
      </c>
      <c r="AC20" s="69">
        <f t="shared" si="9"/>
        <v>-1.6940023281065919</v>
      </c>
    </row>
    <row r="21" spans="1:29" x14ac:dyDescent="0.25">
      <c r="A21" s="70">
        <f t="shared" si="10"/>
        <v>43010</v>
      </c>
      <c r="B21" s="71">
        <f t="shared" si="11"/>
        <v>19</v>
      </c>
      <c r="C21" s="72">
        <f t="shared" si="12"/>
        <v>195.70723307782819</v>
      </c>
      <c r="D21" s="72">
        <f t="shared" si="13"/>
        <v>149.15752316754944</v>
      </c>
      <c r="E21" s="73">
        <f t="shared" si="0"/>
        <v>46.54970991027875</v>
      </c>
      <c r="F21" s="61"/>
      <c r="G21" s="74">
        <f>C21*TDEE!$B$5</f>
        <v>2435.1856787788565</v>
      </c>
      <c r="H21" s="72">
        <f t="shared" si="14"/>
        <v>1443.0410072186412</v>
      </c>
      <c r="I21" s="72">
        <f t="shared" si="15"/>
        <v>992.14467156021533</v>
      </c>
      <c r="J21" s="63">
        <f t="shared" si="1"/>
        <v>0.41229743063389751</v>
      </c>
      <c r="K21" s="72">
        <f t="shared" si="2"/>
        <v>48.315621936006337</v>
      </c>
      <c r="L21" s="72">
        <v>20</v>
      </c>
      <c r="M21" s="59">
        <f>Protein_Amt!$B$6</f>
        <v>119.32601853403956</v>
      </c>
      <c r="N21" s="72">
        <f t="shared" si="3"/>
        <v>434.84059742405702</v>
      </c>
      <c r="O21" s="72">
        <f t="shared" si="4"/>
        <v>80</v>
      </c>
      <c r="P21" s="72">
        <f t="shared" si="5"/>
        <v>477.30407413615825</v>
      </c>
      <c r="Q21" s="73">
        <f t="shared" si="6"/>
        <v>992.14467156021533</v>
      </c>
      <c r="S21" s="75">
        <f>VLOOKUP($A21,FoodLog!$A$1:$Z$10011,12,0)</f>
        <v>504.9</v>
      </c>
      <c r="T21" s="75">
        <f>VLOOKUP($A21,FoodLog!$A$1:$Z$10011,13,0)</f>
        <v>51.714285714285715</v>
      </c>
      <c r="U21" s="75">
        <f>VLOOKUP($A21,FoodLog!$A$1:$Z$10011,14,0)</f>
        <v>487.85714285714283</v>
      </c>
      <c r="V21" s="75">
        <f>VLOOKUP($A21,FoodLog!$A$1:$Z$10011,15,0)</f>
        <v>1044.4714285714285</v>
      </c>
      <c r="W21" s="75">
        <f>VLOOKUP($A21,FoodLog!$A$1:$Z$10011,16,0)</f>
        <v>-70.059402575942954</v>
      </c>
      <c r="X21" s="75">
        <f>VLOOKUP($A21,FoodLog!$A$1:$Z$10011,17,0)</f>
        <v>28.285714285714285</v>
      </c>
      <c r="Y21" s="75">
        <f>VLOOKUP($A21,FoodLog!$A$1:$Z$10011,18,0)</f>
        <v>-10.553068720984584</v>
      </c>
      <c r="Z21" s="75">
        <f>VLOOKUP($A21,FoodLog!$A$1:$Z$10011,19,0)</f>
        <v>-52.326757011213203</v>
      </c>
      <c r="AA21" s="67">
        <f t="shared" si="8"/>
        <v>0.39734692863069371</v>
      </c>
      <c r="AB21" s="68">
        <f>Scale!C21</f>
        <v>197</v>
      </c>
      <c r="AC21" s="69">
        <f t="shared" si="9"/>
        <v>-1.2927669221718077</v>
      </c>
    </row>
    <row r="22" spans="1:29" x14ac:dyDescent="0.25">
      <c r="A22" s="70">
        <f t="shared" si="10"/>
        <v>43011</v>
      </c>
      <c r="B22" s="71">
        <f t="shared" si="11"/>
        <v>20</v>
      </c>
      <c r="C22" s="72">
        <f t="shared" si="12"/>
        <v>195.3098861491975</v>
      </c>
      <c r="D22" s="72">
        <f t="shared" si="13"/>
        <v>149.15752316754944</v>
      </c>
      <c r="E22" s="73">
        <f t="shared" si="0"/>
        <v>46.152362981648054</v>
      </c>
      <c r="F22" s="61"/>
      <c r="G22" s="74">
        <f>C22*TDEE!$B$5</f>
        <v>2430.2414897732137</v>
      </c>
      <c r="H22" s="72">
        <f t="shared" si="14"/>
        <v>1430.7232524310896</v>
      </c>
      <c r="I22" s="72">
        <f t="shared" si="15"/>
        <v>999.51823734212417</v>
      </c>
      <c r="J22" s="63">
        <f t="shared" si="1"/>
        <v>0.40877807212316847</v>
      </c>
      <c r="K22" s="72">
        <f t="shared" si="2"/>
        <v>49.134907022885095</v>
      </c>
      <c r="L22" s="72">
        <v>20</v>
      </c>
      <c r="M22" s="59">
        <f>Protein_Amt!$B$6</f>
        <v>119.32601853403956</v>
      </c>
      <c r="N22" s="72">
        <f t="shared" si="3"/>
        <v>442.21416320596586</v>
      </c>
      <c r="O22" s="72">
        <f t="shared" si="4"/>
        <v>80</v>
      </c>
      <c r="P22" s="72">
        <f t="shared" si="5"/>
        <v>477.30407413615825</v>
      </c>
      <c r="Q22" s="73">
        <f t="shared" si="6"/>
        <v>999.51823734212417</v>
      </c>
      <c r="S22" s="75">
        <f>VLOOKUP($A22,FoodLog!$A$1:$Z$10011,12,0)</f>
        <v>426.6</v>
      </c>
      <c r="T22" s="75">
        <f>VLOOKUP($A22,FoodLog!$A$1:$Z$10011,13,0)</f>
        <v>70.95</v>
      </c>
      <c r="U22" s="75">
        <f>VLOOKUP($A22,FoodLog!$A$1:$Z$10011,14,0)</f>
        <v>511.6</v>
      </c>
      <c r="V22" s="75">
        <f>VLOOKUP($A22,FoodLog!$A$1:$Z$10011,15,0)</f>
        <v>1009.1500000000001</v>
      </c>
      <c r="W22" s="75">
        <f>VLOOKUP($A22,FoodLog!$A$1:$Z$10011,16,0)</f>
        <v>15.614163205965838</v>
      </c>
      <c r="X22" s="75">
        <f>VLOOKUP($A22,FoodLog!$A$1:$Z$10011,17,0)</f>
        <v>9.0499999999999972</v>
      </c>
      <c r="Y22" s="75">
        <f>VLOOKUP($A22,FoodLog!$A$1:$Z$10011,18,0)</f>
        <v>-34.295925863841774</v>
      </c>
      <c r="Z22" s="75">
        <f>VLOOKUP($A22,FoodLog!$A$1:$Z$10011,19,0)</f>
        <v>-9.6317626578759246</v>
      </c>
      <c r="AA22" s="67">
        <f t="shared" si="8"/>
        <v>0.40602613993520392</v>
      </c>
      <c r="AB22" s="68">
        <f>Scale!C22</f>
        <v>197.2</v>
      </c>
      <c r="AC22" s="69">
        <f t="shared" si="9"/>
        <v>-1.8901138508024928</v>
      </c>
    </row>
    <row r="23" spans="1:29" x14ac:dyDescent="0.25">
      <c r="A23" s="70">
        <f t="shared" si="10"/>
        <v>43012</v>
      </c>
      <c r="B23" s="71">
        <f t="shared" si="11"/>
        <v>21</v>
      </c>
      <c r="C23" s="72">
        <f t="shared" si="12"/>
        <v>194.9038600092623</v>
      </c>
      <c r="D23" s="72">
        <f t="shared" si="13"/>
        <v>149.15752316754944</v>
      </c>
      <c r="E23" s="73">
        <f t="shared" si="0"/>
        <v>45.746336841712861</v>
      </c>
      <c r="F23" s="61"/>
      <c r="G23" s="74">
        <f>C23*TDEE!$B$5</f>
        <v>2425.1893053156937</v>
      </c>
      <c r="H23" s="72">
        <f t="shared" si="14"/>
        <v>1418.1364420930986</v>
      </c>
      <c r="I23" s="72">
        <f t="shared" si="15"/>
        <v>1007.0528632225951</v>
      </c>
      <c r="J23" s="63">
        <f t="shared" si="1"/>
        <v>0.40518184059802814</v>
      </c>
      <c r="K23" s="72">
        <f t="shared" si="2"/>
        <v>49.972087676270753</v>
      </c>
      <c r="L23" s="72">
        <v>20</v>
      </c>
      <c r="M23" s="59">
        <f>Protein_Amt!$B$6</f>
        <v>119.32601853403956</v>
      </c>
      <c r="N23" s="72">
        <f t="shared" si="3"/>
        <v>449.74878908643677</v>
      </c>
      <c r="O23" s="72">
        <f t="shared" si="4"/>
        <v>80</v>
      </c>
      <c r="P23" s="72">
        <f t="shared" si="5"/>
        <v>477.30407413615825</v>
      </c>
      <c r="Q23" s="73">
        <f t="shared" si="6"/>
        <v>1007.0528632225951</v>
      </c>
      <c r="S23" s="75">
        <f>VLOOKUP($A23,FoodLog!$A$1:$Z$10011,12,0)</f>
        <v>605.70000000000005</v>
      </c>
      <c r="T23" s="75">
        <f>VLOOKUP($A23,FoodLog!$A$1:$Z$10011,13,0)</f>
        <v>64.851428571428571</v>
      </c>
      <c r="U23" s="75">
        <f>VLOOKUP($A23,FoodLog!$A$1:$Z$10011,14,0)</f>
        <v>482.28571428571428</v>
      </c>
      <c r="V23" s="75">
        <f>VLOOKUP($A23,FoodLog!$A$1:$Z$10011,15,0)</f>
        <v>1152.8371428571429</v>
      </c>
      <c r="W23" s="75">
        <f>VLOOKUP($A23,FoodLog!$A$1:$Z$10011,16,0)</f>
        <v>-155.95121091356327</v>
      </c>
      <c r="X23" s="75">
        <f>VLOOKUP($A23,FoodLog!$A$1:$Z$10011,17,0)</f>
        <v>15.148571428571429</v>
      </c>
      <c r="Y23" s="75">
        <f>VLOOKUP($A23,FoodLog!$A$1:$Z$10011,18,0)</f>
        <v>-4.9816401495560285</v>
      </c>
      <c r="Z23" s="75">
        <f>VLOOKUP($A23,FoodLog!$A$1:$Z$10011,19,0)</f>
        <v>-145.78427963454783</v>
      </c>
      <c r="AA23" s="67">
        <f t="shared" si="8"/>
        <v>0.36352918927387162</v>
      </c>
      <c r="AB23" s="68">
        <f>Scale!C23</f>
        <v>197.2</v>
      </c>
      <c r="AC23" s="69">
        <f t="shared" si="9"/>
        <v>-2.2961399907376858</v>
      </c>
    </row>
    <row r="24" spans="1:29" x14ac:dyDescent="0.25">
      <c r="A24" s="70">
        <f t="shared" si="10"/>
        <v>43013</v>
      </c>
      <c r="B24" s="71">
        <f t="shared" si="11"/>
        <v>22</v>
      </c>
      <c r="C24" s="72">
        <f t="shared" si="12"/>
        <v>194.54033081998844</v>
      </c>
      <c r="D24" s="72">
        <f t="shared" si="13"/>
        <v>149.15752316754944</v>
      </c>
      <c r="E24" s="73">
        <f t="shared" si="0"/>
        <v>45.382807652438999</v>
      </c>
      <c r="F24" s="61"/>
      <c r="G24" s="74">
        <f>C24*TDEE!$B$5</f>
        <v>2420.6659105406738</v>
      </c>
      <c r="H24" s="72">
        <f t="shared" si="14"/>
        <v>1406.867037225609</v>
      </c>
      <c r="I24" s="72">
        <f t="shared" si="15"/>
        <v>1013.7988733150648</v>
      </c>
      <c r="J24" s="63">
        <f t="shared" si="1"/>
        <v>0.40196201063588827</v>
      </c>
      <c r="K24" s="72">
        <f t="shared" si="2"/>
        <v>50.721644353211836</v>
      </c>
      <c r="L24" s="72">
        <v>20</v>
      </c>
      <c r="M24" s="59">
        <f>Protein_Amt!$B$6</f>
        <v>119.32601853403956</v>
      </c>
      <c r="N24" s="72">
        <f t="shared" si="3"/>
        <v>456.49479917890653</v>
      </c>
      <c r="O24" s="72">
        <f t="shared" si="4"/>
        <v>80</v>
      </c>
      <c r="P24" s="72">
        <f t="shared" si="5"/>
        <v>477.30407413615825</v>
      </c>
      <c r="Q24" s="73">
        <f t="shared" si="6"/>
        <v>1013.7988733150648</v>
      </c>
      <c r="S24" s="75">
        <f>VLOOKUP($A24,FoodLog!$A$1:$Z$10011,12,0)</f>
        <v>391.5</v>
      </c>
      <c r="T24" s="75">
        <f>VLOOKUP($A24,FoodLog!$A$1:$Z$10011,13,0)</f>
        <v>82.057142857142864</v>
      </c>
      <c r="U24" s="75">
        <f>VLOOKUP($A24,FoodLog!$A$1:$Z$10011,14,0)</f>
        <v>455.62857142857143</v>
      </c>
      <c r="V24" s="75">
        <f>VLOOKUP($A24,FoodLog!$A$1:$Z$10011,15,0)</f>
        <v>929.18571428571431</v>
      </c>
      <c r="W24" s="75">
        <f>VLOOKUP($A24,FoodLog!$A$1:$Z$10011,16,0)</f>
        <v>64.994799178906533</v>
      </c>
      <c r="X24" s="75">
        <f>VLOOKUP($A24,FoodLog!$A$1:$Z$10011,17,0)</f>
        <v>-2.057142857142864</v>
      </c>
      <c r="Y24" s="75">
        <f>VLOOKUP($A24,FoodLog!$A$1:$Z$10011,18,0)</f>
        <v>21.675502707586816</v>
      </c>
      <c r="Z24" s="75">
        <f>VLOOKUP($A24,FoodLog!$A$1:$Z$10011,19,0)</f>
        <v>84.613159029350527</v>
      </c>
      <c r="AA24" s="67">
        <f t="shared" si="8"/>
        <v>0.40196201063588827</v>
      </c>
      <c r="AB24" s="68">
        <f>Scale!C24</f>
        <v>194.8</v>
      </c>
    </row>
    <row r="25" spans="1:29" x14ac:dyDescent="0.25">
      <c r="A25" s="70">
        <f t="shared" si="10"/>
        <v>43014</v>
      </c>
      <c r="B25" s="71">
        <f t="shared" si="11"/>
        <v>23</v>
      </c>
      <c r="C25" s="72">
        <f t="shared" si="12"/>
        <v>194.13836880935256</v>
      </c>
      <c r="D25" s="72">
        <f t="shared" si="13"/>
        <v>149.15752316754944</v>
      </c>
      <c r="E25" s="73">
        <f t="shared" si="0"/>
        <v>44.980845641803114</v>
      </c>
      <c r="F25" s="61"/>
      <c r="G25" s="74">
        <f>C25*TDEE!$B$5</f>
        <v>2415.6642960560198</v>
      </c>
      <c r="H25" s="72">
        <f t="shared" si="14"/>
        <v>1394.4062148958965</v>
      </c>
      <c r="I25" s="72">
        <f t="shared" si="15"/>
        <v>1021.2580811601233</v>
      </c>
      <c r="J25" s="63">
        <f t="shared" si="1"/>
        <v>0.39840177568454183</v>
      </c>
      <c r="K25" s="72">
        <f t="shared" si="2"/>
        <v>51.550445224885003</v>
      </c>
      <c r="L25" s="72">
        <v>20</v>
      </c>
      <c r="M25" s="59">
        <f>Protein_Amt!$B$6</f>
        <v>119.32601853403956</v>
      </c>
      <c r="N25" s="72">
        <f t="shared" si="3"/>
        <v>463.954007023965</v>
      </c>
      <c r="O25" s="72">
        <f t="shared" si="4"/>
        <v>80</v>
      </c>
      <c r="P25" s="72">
        <f t="shared" si="5"/>
        <v>477.30407413615825</v>
      </c>
      <c r="Q25" s="73">
        <f t="shared" si="6"/>
        <v>1021.2580811601233</v>
      </c>
      <c r="S25" s="75">
        <f>VLOOKUP($A25,FoodLog!$A$1:$Z$10011,12,0)</f>
        <v>177.75</v>
      </c>
      <c r="T25" s="75">
        <f>VLOOKUP($A25,FoodLog!$A$1:$Z$10011,13,0)</f>
        <v>12</v>
      </c>
      <c r="U25" s="75">
        <f>VLOOKUP($A25,FoodLog!$A$1:$Z$10011,14,0)</f>
        <v>820</v>
      </c>
      <c r="V25" s="75">
        <f>VLOOKUP($A25,FoodLog!$A$1:$Z$10011,15,0)</f>
        <v>1009.75</v>
      </c>
      <c r="W25" s="75">
        <f>VLOOKUP($A25,FoodLog!$A$1:$Z$10011,16,0)</f>
        <v>286.204007023965</v>
      </c>
      <c r="X25" s="75">
        <f>VLOOKUP($A25,FoodLog!$A$1:$Z$10011,17,0)</f>
        <v>68</v>
      </c>
      <c r="Y25" s="75">
        <f>VLOOKUP($A25,FoodLog!$A$1:$Z$10011,18,0)</f>
        <v>-342.69592586384175</v>
      </c>
      <c r="Z25" s="75">
        <f>VLOOKUP($A25,FoodLog!$A$1:$Z$10011,19,0)</f>
        <v>11.508081160123311</v>
      </c>
      <c r="AA25" s="67">
        <f t="shared" si="8"/>
        <v>0.39840177568454183</v>
      </c>
      <c r="AB25" s="68">
        <f>Scale!C25</f>
        <v>195</v>
      </c>
    </row>
    <row r="26" spans="1:29" x14ac:dyDescent="0.25">
      <c r="A26" s="70">
        <f t="shared" si="10"/>
        <v>43015</v>
      </c>
      <c r="B26" s="71">
        <f t="shared" si="11"/>
        <v>24</v>
      </c>
      <c r="C26" s="72">
        <f t="shared" si="12"/>
        <v>193.73996703366802</v>
      </c>
      <c r="D26" s="72">
        <f t="shared" si="13"/>
        <v>149.15752316754944</v>
      </c>
      <c r="E26" s="73">
        <f t="shared" si="0"/>
        <v>44.582443866118581</v>
      </c>
      <c r="F26" s="61"/>
      <c r="G26" s="74">
        <f>C26*TDEE!$B$5</f>
        <v>2410.7069815853724</v>
      </c>
      <c r="H26" s="72">
        <f t="shared" si="14"/>
        <v>1382.055759849676</v>
      </c>
      <c r="I26" s="72">
        <f t="shared" si="15"/>
        <v>1028.6512217356965</v>
      </c>
      <c r="J26" s="63">
        <f t="shared" si="1"/>
        <v>0.39487307424276458</v>
      </c>
      <c r="K26" s="72">
        <f t="shared" si="2"/>
        <v>52.371905288837574</v>
      </c>
      <c r="L26" s="72">
        <v>20</v>
      </c>
      <c r="M26" s="59">
        <f>Protein_Amt!$B$6</f>
        <v>119.32601853403956</v>
      </c>
      <c r="N26" s="72">
        <f t="shared" si="3"/>
        <v>471.34714759953818</v>
      </c>
      <c r="O26" s="72">
        <f t="shared" si="4"/>
        <v>80</v>
      </c>
      <c r="P26" s="72">
        <f t="shared" si="5"/>
        <v>477.30407413615825</v>
      </c>
      <c r="Q26" s="73">
        <f t="shared" si="6"/>
        <v>1028.6512217356965</v>
      </c>
      <c r="S26" s="75">
        <f>VLOOKUP($A26,FoodLog!$A$1:$Z$10011,12,0)</f>
        <v>1836</v>
      </c>
      <c r="T26" s="75">
        <f>VLOOKUP($A26,FoodLog!$A$1:$Z$10011,13,0)</f>
        <v>32</v>
      </c>
      <c r="U26" s="75">
        <f>VLOOKUP($A26,FoodLog!$A$1:$Z$10011,14,0)</f>
        <v>112</v>
      </c>
      <c r="V26" s="75">
        <f>VLOOKUP($A26,FoodLog!$A$1:$Z$10011,15,0)</f>
        <v>1980</v>
      </c>
      <c r="W26" s="75">
        <f>VLOOKUP($A26,FoodLog!$A$1:$Z$10011,16,0)</f>
        <v>-1364.6528524004618</v>
      </c>
      <c r="X26" s="75">
        <f>VLOOKUP($A26,FoodLog!$A$1:$Z$10011,17,0)</f>
        <v>48</v>
      </c>
      <c r="Y26" s="75">
        <f>VLOOKUP($A26,FoodLog!$A$1:$Z$10011,18,0)</f>
        <v>365.30407413615825</v>
      </c>
      <c r="Z26" s="75">
        <f>VLOOKUP($A26,FoodLog!$A$1:$Z$10011,19,0)</f>
        <v>-951.34877826430352</v>
      </c>
      <c r="AA26" s="67">
        <f t="shared" si="8"/>
        <v>0.1230591375958207</v>
      </c>
      <c r="AB26" s="68">
        <f>Scale!C26</f>
        <v>196</v>
      </c>
    </row>
    <row r="27" spans="1:29" x14ac:dyDescent="0.25">
      <c r="A27" s="70">
        <f t="shared" si="10"/>
        <v>43016</v>
      </c>
      <c r="B27" s="71">
        <f t="shared" si="11"/>
        <v>25</v>
      </c>
      <c r="C27" s="72">
        <f t="shared" si="12"/>
        <v>193.61690789607221</v>
      </c>
      <c r="D27" s="72">
        <f t="shared" si="13"/>
        <v>149.15752316754944</v>
      </c>
      <c r="E27" s="73">
        <f t="shared" si="0"/>
        <v>44.459384728522764</v>
      </c>
      <c r="F27" s="61"/>
      <c r="G27" s="74">
        <f>C27*TDEE!$B$5</f>
        <v>2409.175756373083</v>
      </c>
      <c r="H27" s="72">
        <f t="shared" si="14"/>
        <v>1378.2409265842057</v>
      </c>
      <c r="I27" s="72">
        <f t="shared" si="15"/>
        <v>1030.9348297888773</v>
      </c>
      <c r="J27" s="63">
        <f t="shared" si="1"/>
        <v>0.39378312188120163</v>
      </c>
      <c r="K27" s="72">
        <f t="shared" si="2"/>
        <v>52.625639516968782</v>
      </c>
      <c r="L27" s="72">
        <v>20</v>
      </c>
      <c r="M27" s="59">
        <f>Protein_Amt!$B$6</f>
        <v>119.32601853403956</v>
      </c>
      <c r="N27" s="72">
        <f t="shared" si="3"/>
        <v>473.63075565271902</v>
      </c>
      <c r="O27" s="72">
        <f t="shared" si="4"/>
        <v>80</v>
      </c>
      <c r="P27" s="72">
        <f t="shared" si="5"/>
        <v>477.30407413615825</v>
      </c>
      <c r="Q27" s="73">
        <f t="shared" si="6"/>
        <v>1030.9348297888773</v>
      </c>
      <c r="S27" s="75">
        <f>VLOOKUP($A27,FoodLog!$A$1:$Z$10011,12,0)</f>
        <v>1836</v>
      </c>
      <c r="T27" s="75">
        <f>VLOOKUP($A27,FoodLog!$A$1:$Z$10011,13,0)</f>
        <v>32</v>
      </c>
      <c r="U27" s="75">
        <f>VLOOKUP($A27,FoodLog!$A$1:$Z$10011,14,0)</f>
        <v>112</v>
      </c>
      <c r="V27" s="75">
        <f>VLOOKUP($A27,FoodLog!$A$1:$Z$10011,15,0)</f>
        <v>1980</v>
      </c>
      <c r="W27" s="75">
        <f>VLOOKUP($A27,FoodLog!$A$1:$Z$10011,16,0)</f>
        <v>-1362.369244347281</v>
      </c>
      <c r="X27" s="75">
        <f>VLOOKUP($A27,FoodLog!$A$1:$Z$10011,17,0)</f>
        <v>48</v>
      </c>
      <c r="Y27" s="75">
        <f>VLOOKUP($A27,FoodLog!$A$1:$Z$10011,18,0)</f>
        <v>365.30407413615825</v>
      </c>
      <c r="Z27" s="75">
        <f>VLOOKUP($A27,FoodLog!$A$1:$Z$10011,19,0)</f>
        <v>-949.06517021112268</v>
      </c>
      <c r="AA27" s="67">
        <f t="shared" si="8"/>
        <v>0.12262164467802372</v>
      </c>
      <c r="AB27" s="68">
        <f>Scale!C27</f>
        <v>197</v>
      </c>
    </row>
    <row r="28" spans="1:29" x14ac:dyDescent="0.25">
      <c r="A28" s="70">
        <f t="shared" si="10"/>
        <v>43017</v>
      </c>
      <c r="B28" s="71">
        <f t="shared" si="11"/>
        <v>26</v>
      </c>
      <c r="C28" s="72">
        <f t="shared" si="12"/>
        <v>193.49428625139419</v>
      </c>
      <c r="D28" s="72">
        <f t="shared" si="13"/>
        <v>149.15752316754944</v>
      </c>
      <c r="E28" s="73">
        <f t="shared" si="0"/>
        <v>44.336763083844744</v>
      </c>
      <c r="F28" s="61"/>
      <c r="G28" s="74">
        <f>C28*TDEE!$B$5</f>
        <v>2407.6499748864608</v>
      </c>
      <c r="H28" s="72">
        <f t="shared" si="14"/>
        <v>1374.4396555991871</v>
      </c>
      <c r="I28" s="72">
        <f t="shared" si="15"/>
        <v>1033.2103192872737</v>
      </c>
      <c r="J28" s="63">
        <f t="shared" si="1"/>
        <v>0.39269704445691062</v>
      </c>
      <c r="K28" s="72">
        <f t="shared" si="2"/>
        <v>52.878471683457263</v>
      </c>
      <c r="L28" s="72">
        <v>20</v>
      </c>
      <c r="M28" s="59">
        <f>Protein_Amt!$B$6</f>
        <v>119.32601853403956</v>
      </c>
      <c r="N28" s="72">
        <f t="shared" si="3"/>
        <v>475.9062451511154</v>
      </c>
      <c r="O28" s="72">
        <f t="shared" si="4"/>
        <v>80</v>
      </c>
      <c r="P28" s="72">
        <f t="shared" si="5"/>
        <v>477.30407413615825</v>
      </c>
      <c r="Q28" s="73">
        <f t="shared" si="6"/>
        <v>1033.2103192872737</v>
      </c>
      <c r="S28" s="75">
        <f>VLOOKUP($A28,FoodLog!$A$1:$Z$10011,12,0)</f>
        <v>1851.75</v>
      </c>
      <c r="T28" s="75">
        <f>VLOOKUP($A28,FoodLog!$A$1:$Z$10011,13,0)</f>
        <v>44</v>
      </c>
      <c r="U28" s="75">
        <f>VLOOKUP($A28,FoodLog!$A$1:$Z$10011,14,0)</f>
        <v>312</v>
      </c>
      <c r="V28" s="75">
        <f>VLOOKUP($A28,FoodLog!$A$1:$Z$10011,15,0)</f>
        <v>2207.75</v>
      </c>
      <c r="W28" s="75">
        <f>VLOOKUP($A28,FoodLog!$A$1:$Z$10011,16,0)</f>
        <v>-1375.8437548488846</v>
      </c>
      <c r="X28" s="75">
        <f>VLOOKUP($A28,FoodLog!$A$1:$Z$10011,17,0)</f>
        <v>36</v>
      </c>
      <c r="Y28" s="75">
        <f>VLOOKUP($A28,FoodLog!$A$1:$Z$10011,18,0)</f>
        <v>165.30407413615825</v>
      </c>
      <c r="Z28" s="75">
        <f>VLOOKUP($A28,FoodLog!$A$1:$Z$10011,19,0)</f>
        <v>-1174.5396807127263</v>
      </c>
      <c r="AA28" s="67">
        <f t="shared" si="8"/>
        <v>5.7114278538988789E-2</v>
      </c>
      <c r="AB28" s="68">
        <f>Scale!C28</f>
        <v>198</v>
      </c>
    </row>
    <row r="29" spans="1:29" x14ac:dyDescent="0.25">
      <c r="A29" s="70">
        <f t="shared" si="10"/>
        <v>43018</v>
      </c>
      <c r="B29" s="71">
        <f t="shared" si="11"/>
        <v>27</v>
      </c>
      <c r="C29" s="72">
        <f t="shared" si="12"/>
        <v>193.4371719728552</v>
      </c>
      <c r="D29" s="72">
        <f t="shared" si="13"/>
        <v>149.15752316754944</v>
      </c>
      <c r="E29" s="73">
        <f t="shared" si="0"/>
        <v>44.279648805305754</v>
      </c>
      <c r="F29" s="61"/>
      <c r="G29" s="74">
        <f>C29*TDEE!$B$5</f>
        <v>2406.9393017500383</v>
      </c>
      <c r="H29" s="72">
        <f t="shared" si="14"/>
        <v>1372.6691129644785</v>
      </c>
      <c r="I29" s="72">
        <f t="shared" si="15"/>
        <v>1034.2701887855599</v>
      </c>
      <c r="J29" s="63">
        <f t="shared" si="1"/>
        <v>0.39219117513270813</v>
      </c>
      <c r="K29" s="72">
        <f t="shared" si="2"/>
        <v>52.996234961044621</v>
      </c>
      <c r="L29" s="72">
        <v>20</v>
      </c>
      <c r="M29" s="59">
        <f>Protein_Amt!$B$6</f>
        <v>119.32601853403956</v>
      </c>
      <c r="N29" s="72">
        <f t="shared" si="3"/>
        <v>476.96611464940156</v>
      </c>
      <c r="O29" s="72">
        <f t="shared" si="4"/>
        <v>80</v>
      </c>
      <c r="P29" s="72">
        <f t="shared" si="5"/>
        <v>477.30407413615825</v>
      </c>
      <c r="Q29" s="73">
        <f t="shared" si="6"/>
        <v>1034.2701887855599</v>
      </c>
      <c r="S29" s="75">
        <f>VLOOKUP($A29,FoodLog!$A$1:$Z$10011,12,0)</f>
        <v>364.95</v>
      </c>
      <c r="T29" s="75">
        <f>VLOOKUP($A29,FoodLog!$A$1:$Z$10011,13,0)</f>
        <v>148</v>
      </c>
      <c r="U29" s="75">
        <f>VLOOKUP($A29,FoodLog!$A$1:$Z$10011,14,0)</f>
        <v>508</v>
      </c>
      <c r="V29" s="75">
        <f>VLOOKUP($A29,FoodLog!$A$1:$Z$10011,15,0)</f>
        <v>1020.95</v>
      </c>
      <c r="W29" s="75">
        <f>VLOOKUP($A29,FoodLog!$A$1:$Z$10011,16,0)</f>
        <v>112.01611464940157</v>
      </c>
      <c r="X29" s="75">
        <f>VLOOKUP($A29,FoodLog!$A$1:$Z$10011,17,0)</f>
        <v>-68</v>
      </c>
      <c r="Y29" s="75">
        <f>VLOOKUP($A29,FoodLog!$A$1:$Z$10011,18,0)</f>
        <v>-30.695925863841751</v>
      </c>
      <c r="Z29" s="75">
        <f>VLOOKUP($A29,FoodLog!$A$1:$Z$10011,19,0)</f>
        <v>13.320188785559822</v>
      </c>
      <c r="AA29" s="67">
        <f t="shared" si="8"/>
        <v>0.39219117513270813</v>
      </c>
      <c r="AB29" s="68">
        <f>Scale!C29</f>
        <v>199.8</v>
      </c>
    </row>
    <row r="30" spans="1:29" x14ac:dyDescent="0.25">
      <c r="A30" s="70">
        <f t="shared" si="10"/>
        <v>43019</v>
      </c>
      <c r="B30" s="71">
        <f t="shared" si="11"/>
        <v>28</v>
      </c>
      <c r="C30" s="72">
        <f t="shared" si="12"/>
        <v>193.0449807977225</v>
      </c>
      <c r="D30" s="72">
        <f t="shared" si="13"/>
        <v>149.15752316754944</v>
      </c>
      <c r="E30" s="73">
        <f t="shared" si="0"/>
        <v>43.88745763017306</v>
      </c>
      <c r="F30" s="61"/>
      <c r="G30" s="74">
        <f>C30*TDEE!$B$5</f>
        <v>2402.059265800387</v>
      </c>
      <c r="H30" s="72">
        <f t="shared" si="14"/>
        <v>1360.5111865353649</v>
      </c>
      <c r="I30" s="72">
        <f t="shared" si="15"/>
        <v>1041.5480792650221</v>
      </c>
      <c r="J30" s="63">
        <f t="shared" si="1"/>
        <v>0.38871748186724714</v>
      </c>
      <c r="K30" s="72">
        <f t="shared" si="2"/>
        <v>53.804889458762645</v>
      </c>
      <c r="L30" s="72">
        <v>20</v>
      </c>
      <c r="M30" s="59">
        <f>Protein_Amt!$B$6</f>
        <v>119.32601853403956</v>
      </c>
      <c r="N30" s="72">
        <f t="shared" si="3"/>
        <v>484.24400512886382</v>
      </c>
      <c r="O30" s="72">
        <f t="shared" si="4"/>
        <v>80</v>
      </c>
      <c r="P30" s="72">
        <f t="shared" si="5"/>
        <v>477.30407413615825</v>
      </c>
      <c r="Q30" s="73">
        <f t="shared" si="6"/>
        <v>1041.5480792650221</v>
      </c>
      <c r="S30" s="75">
        <f>VLOOKUP($A30,FoodLog!$A$1:$Z$10011,12,0)</f>
        <v>445.95</v>
      </c>
      <c r="T30" s="75">
        <f>VLOOKUP($A30,FoodLog!$A$1:$Z$10011,13,0)</f>
        <v>88</v>
      </c>
      <c r="U30" s="75">
        <f>VLOOKUP($A30,FoodLog!$A$1:$Z$10011,14,0)</f>
        <v>500</v>
      </c>
      <c r="V30" s="75">
        <f>VLOOKUP($A30,FoodLog!$A$1:$Z$10011,15,0)</f>
        <v>1033.95</v>
      </c>
      <c r="W30" s="75">
        <f>VLOOKUP($A30,FoodLog!$A$1:$Z$10011,16,0)</f>
        <v>38.29400512886383</v>
      </c>
      <c r="X30" s="75">
        <f>VLOOKUP($A30,FoodLog!$A$1:$Z$10011,17,0)</f>
        <v>-8</v>
      </c>
      <c r="Y30" s="75">
        <f>VLOOKUP($A30,FoodLog!$A$1:$Z$10011,18,0)</f>
        <v>-22.695925863841751</v>
      </c>
      <c r="Z30" s="75">
        <f>VLOOKUP($A30,FoodLog!$A$1:$Z$10011,19,0)</f>
        <v>7.5980792650220792</v>
      </c>
      <c r="AA30" s="67">
        <f t="shared" si="8"/>
        <v>0.38871748186724714</v>
      </c>
      <c r="AB30" s="68">
        <f>Scale!C30</f>
        <v>197.4</v>
      </c>
    </row>
    <row r="31" spans="1:29" x14ac:dyDescent="0.25">
      <c r="A31" s="70">
        <f t="shared" si="10"/>
        <v>43020</v>
      </c>
      <c r="B31" s="71">
        <f t="shared" si="11"/>
        <v>29</v>
      </c>
      <c r="C31" s="72">
        <f t="shared" si="12"/>
        <v>192.65626331585526</v>
      </c>
      <c r="D31" s="72">
        <f t="shared" si="13"/>
        <v>149.15752316754944</v>
      </c>
      <c r="E31" s="73">
        <f t="shared" si="0"/>
        <v>43.498740148305814</v>
      </c>
      <c r="F31" s="61"/>
      <c r="G31" s="74">
        <f>C31*TDEE!$B$5</f>
        <v>2397.2224530262897</v>
      </c>
      <c r="H31" s="72">
        <f t="shared" si="14"/>
        <v>1348.4609445974802</v>
      </c>
      <c r="I31" s="72">
        <f t="shared" si="15"/>
        <v>1048.7615084288095</v>
      </c>
      <c r="J31" s="63">
        <f t="shared" si="1"/>
        <v>0.38527455559928003</v>
      </c>
      <c r="K31" s="72">
        <f t="shared" si="2"/>
        <v>54.60638158807236</v>
      </c>
      <c r="L31" s="72">
        <v>20</v>
      </c>
      <c r="M31" s="59">
        <f>Protein_Amt!$B$6</f>
        <v>119.32601853403956</v>
      </c>
      <c r="N31" s="72">
        <f t="shared" si="3"/>
        <v>491.45743429265121</v>
      </c>
      <c r="O31" s="72">
        <f t="shared" si="4"/>
        <v>80</v>
      </c>
      <c r="P31" s="72">
        <f t="shared" si="5"/>
        <v>477.30407413615825</v>
      </c>
      <c r="Q31" s="73">
        <f t="shared" si="6"/>
        <v>1048.7615084288095</v>
      </c>
      <c r="S31" s="75">
        <f>VLOOKUP($A31,FoodLog!$A$1:$Z$10011,12,0)</f>
        <v>494.55</v>
      </c>
      <c r="T31" s="75">
        <f>VLOOKUP($A31,FoodLog!$A$1:$Z$10011,13,0)</f>
        <v>79.428571428571431</v>
      </c>
      <c r="U31" s="75">
        <f>VLOOKUP($A31,FoodLog!$A$1:$Z$10011,14,0)</f>
        <v>495.71428571428572</v>
      </c>
      <c r="V31" s="75">
        <f>VLOOKUP($A31,FoodLog!$A$1:$Z$10011,15,0)</f>
        <v>1069.6928571428571</v>
      </c>
      <c r="W31" s="75">
        <f>VLOOKUP($A31,FoodLog!$A$1:$Z$10011,16,0)</f>
        <v>-3.0925657073487969</v>
      </c>
      <c r="X31" s="75">
        <f>VLOOKUP($A31,FoodLog!$A$1:$Z$10011,17,0)</f>
        <v>0.5714285714285694</v>
      </c>
      <c r="Y31" s="75">
        <f>VLOOKUP($A31,FoodLog!$A$1:$Z$10011,18,0)</f>
        <v>-18.410211578127473</v>
      </c>
      <c r="Z31" s="75">
        <f>VLOOKUP($A31,FoodLog!$A$1:$Z$10011,19,0)</f>
        <v>-20.931348714047544</v>
      </c>
      <c r="AA31" s="67">
        <f t="shared" si="8"/>
        <v>0.3792941702524093</v>
      </c>
      <c r="AB31" s="68">
        <f>Scale!C31</f>
        <v>194.4</v>
      </c>
    </row>
    <row r="32" spans="1:29" x14ac:dyDescent="0.25">
      <c r="A32" s="70">
        <f t="shared" si="10"/>
        <v>43021</v>
      </c>
      <c r="B32" s="71">
        <f t="shared" si="11"/>
        <v>30</v>
      </c>
      <c r="C32" s="72">
        <f t="shared" si="12"/>
        <v>192.27696914560283</v>
      </c>
      <c r="D32" s="72">
        <f t="shared" si="13"/>
        <v>149.15752316754944</v>
      </c>
      <c r="E32" s="73">
        <f t="shared" si="0"/>
        <v>43.119445978053392</v>
      </c>
      <c r="F32" s="61"/>
      <c r="G32" s="74">
        <f>C32*TDEE!$B$5</f>
        <v>2392.5028945464269</v>
      </c>
      <c r="H32" s="72">
        <f t="shared" si="14"/>
        <v>1336.7028253196552</v>
      </c>
      <c r="I32" s="72">
        <f t="shared" si="15"/>
        <v>1055.8000692267717</v>
      </c>
      <c r="J32" s="63">
        <f t="shared" si="1"/>
        <v>0.38191509294847292</v>
      </c>
      <c r="K32" s="72">
        <f t="shared" si="2"/>
        <v>55.388443898957043</v>
      </c>
      <c r="L32" s="72">
        <v>20</v>
      </c>
      <c r="M32" s="59">
        <f>Protein_Amt!$B$6</f>
        <v>119.32601853403956</v>
      </c>
      <c r="N32" s="72">
        <f t="shared" si="3"/>
        <v>498.49599509061341</v>
      </c>
      <c r="O32" s="72">
        <f t="shared" si="4"/>
        <v>80</v>
      </c>
      <c r="P32" s="72">
        <f t="shared" si="5"/>
        <v>477.30407413615825</v>
      </c>
      <c r="Q32" s="73">
        <f t="shared" si="6"/>
        <v>1055.8000692267717</v>
      </c>
      <c r="S32" s="75">
        <f>VLOOKUP($A32,FoodLog!$A$1:$Z$10011,12,0)</f>
        <v>562.31999999999994</v>
      </c>
      <c r="T32" s="75">
        <f>VLOOKUP($A32,FoodLog!$A$1:$Z$10011,13,0)</f>
        <v>100.8</v>
      </c>
      <c r="U32" s="75">
        <f>VLOOKUP($A32,FoodLog!$A$1:$Z$10011,14,0)</f>
        <v>457.28</v>
      </c>
      <c r="V32" s="75">
        <f>VLOOKUP($A32,FoodLog!$A$1:$Z$10011,15,0)</f>
        <v>1120.3999999999999</v>
      </c>
      <c r="W32" s="75">
        <f>VLOOKUP($A32,FoodLog!$A$1:$Z$10011,16,0)</f>
        <v>-63.824004909386531</v>
      </c>
      <c r="X32" s="75">
        <f>VLOOKUP($A32,FoodLog!$A$1:$Z$10011,17,0)</f>
        <v>-20.799999999999997</v>
      </c>
      <c r="Y32" s="75">
        <f>VLOOKUP($A32,FoodLog!$A$1:$Z$10011,18,0)</f>
        <v>20.024074136158276</v>
      </c>
      <c r="Z32" s="75">
        <f>VLOOKUP($A32,FoodLog!$A$1:$Z$10011,19,0)</f>
        <v>-64.599930773228152</v>
      </c>
      <c r="AA32" s="67">
        <f t="shared" si="8"/>
        <v>0.36345796987040774</v>
      </c>
      <c r="AB32" s="68">
        <f>Scale!C32</f>
        <v>195</v>
      </c>
    </row>
    <row r="33" spans="1:28" x14ac:dyDescent="0.25">
      <c r="A33" s="70">
        <f t="shared" si="10"/>
        <v>43022</v>
      </c>
      <c r="B33" s="71">
        <f t="shared" si="11"/>
        <v>31</v>
      </c>
      <c r="C33" s="72">
        <f t="shared" si="12"/>
        <v>191.91351117573242</v>
      </c>
      <c r="D33" s="72">
        <f t="shared" si="13"/>
        <v>149.15752316754944</v>
      </c>
      <c r="E33" s="73">
        <f t="shared" si="0"/>
        <v>42.755988008182982</v>
      </c>
      <c r="F33" s="61"/>
      <c r="G33" s="74">
        <f>C33*TDEE!$B$5</f>
        <v>2387.9803859546546</v>
      </c>
      <c r="H33" s="72">
        <f t="shared" si="14"/>
        <v>1325.4356282536723</v>
      </c>
      <c r="I33" s="72">
        <f t="shared" si="15"/>
        <v>1062.5447577009822</v>
      </c>
      <c r="J33" s="63">
        <f t="shared" si="1"/>
        <v>0.37869589378676355</v>
      </c>
      <c r="K33" s="72">
        <f t="shared" si="2"/>
        <v>56.137853729424883</v>
      </c>
      <c r="L33" s="72">
        <v>20</v>
      </c>
      <c r="M33" s="59">
        <f>Protein_Amt!$B$6</f>
        <v>119.32601853403956</v>
      </c>
      <c r="N33" s="72">
        <f t="shared" si="3"/>
        <v>505.24068356482394</v>
      </c>
      <c r="O33" s="72">
        <f t="shared" si="4"/>
        <v>80</v>
      </c>
      <c r="P33" s="72">
        <f t="shared" si="5"/>
        <v>477.30407413615825</v>
      </c>
      <c r="Q33" s="73">
        <f t="shared" si="6"/>
        <v>1062.5447577009822</v>
      </c>
      <c r="S33" s="75">
        <f>VLOOKUP($A33,FoodLog!$A$1:$Z$10011,12,0)</f>
        <v>507.06</v>
      </c>
      <c r="T33" s="75">
        <f>VLOOKUP($A33,FoodLog!$A$1:$Z$10011,13,0)</f>
        <v>56.8</v>
      </c>
      <c r="U33" s="75">
        <f>VLOOKUP($A33,FoodLog!$A$1:$Z$10011,14,0)</f>
        <v>535.84</v>
      </c>
      <c r="V33" s="75">
        <f>VLOOKUP($A33,FoodLog!$A$1:$Z$10011,15,0)</f>
        <v>1099.7</v>
      </c>
      <c r="W33" s="75">
        <f>VLOOKUP($A33,FoodLog!$A$1:$Z$10011,16,0)</f>
        <v>-1.8193164351760629</v>
      </c>
      <c r="X33" s="75">
        <f>VLOOKUP($A33,FoodLog!$A$1:$Z$10011,17,0)</f>
        <v>23.200000000000003</v>
      </c>
      <c r="Y33" s="75">
        <f>VLOOKUP($A33,FoodLog!$A$1:$Z$10011,18,0)</f>
        <v>-58.535925863841783</v>
      </c>
      <c r="Z33" s="75">
        <f>VLOOKUP($A33,FoodLog!$A$1:$Z$10011,19,0)</f>
        <v>-37.1552422990178</v>
      </c>
      <c r="AA33" s="67">
        <f t="shared" si="8"/>
        <v>0.36808011027275844</v>
      </c>
      <c r="AB33" s="68">
        <f>Scale!C33</f>
        <v>196</v>
      </c>
    </row>
    <row r="34" spans="1:28" x14ac:dyDescent="0.25">
      <c r="A34" s="70">
        <f t="shared" si="10"/>
        <v>43023</v>
      </c>
      <c r="B34" s="71">
        <f t="shared" si="11"/>
        <v>32</v>
      </c>
      <c r="C34" s="72">
        <f t="shared" si="12"/>
        <v>191.54543106545967</v>
      </c>
      <c r="D34" s="72">
        <f t="shared" si="13"/>
        <v>149.15752316754944</v>
      </c>
      <c r="E34" s="73">
        <f t="shared" si="0"/>
        <v>42.387907897910225</v>
      </c>
      <c r="F34" s="61"/>
      <c r="G34" s="74">
        <f>C34*TDEE!$B$5</f>
        <v>2383.4003640562146</v>
      </c>
      <c r="H34" s="72">
        <f t="shared" si="14"/>
        <v>1314.0251448352169</v>
      </c>
      <c r="I34" s="72">
        <f t="shared" si="15"/>
        <v>1069.3752192209977</v>
      </c>
      <c r="J34" s="63">
        <f t="shared" si="1"/>
        <v>0.37543575566720483</v>
      </c>
      <c r="K34" s="72">
        <f t="shared" si="2"/>
        <v>56.896793898315487</v>
      </c>
      <c r="L34" s="72">
        <v>20</v>
      </c>
      <c r="M34" s="59">
        <f>Protein_Amt!$B$6</f>
        <v>119.32601853403956</v>
      </c>
      <c r="N34" s="72">
        <f t="shared" si="3"/>
        <v>512.07114508483937</v>
      </c>
      <c r="O34" s="72">
        <f t="shared" si="4"/>
        <v>80</v>
      </c>
      <c r="P34" s="72">
        <f t="shared" si="5"/>
        <v>477.30407413615825</v>
      </c>
      <c r="Q34" s="73">
        <f t="shared" si="6"/>
        <v>1069.3752192209977</v>
      </c>
      <c r="S34" s="75">
        <f>VLOOKUP($A34,FoodLog!$A$1:$Z$10011,12,0)</f>
        <v>573.29999999999995</v>
      </c>
      <c r="T34" s="75">
        <f>VLOOKUP($A34,FoodLog!$A$1:$Z$10011,13,0)</f>
        <v>96.171428571428578</v>
      </c>
      <c r="U34" s="75">
        <f>VLOOKUP($A34,FoodLog!$A$1:$Z$10011,14,0)</f>
        <v>507.88571428571424</v>
      </c>
      <c r="V34" s="75">
        <f>VLOOKUP($A34,FoodLog!$A$1:$Z$10011,15,0)</f>
        <v>1177.3571428571427</v>
      </c>
      <c r="W34" s="75">
        <f>VLOOKUP($A34,FoodLog!$A$1:$Z$10011,16,0)</f>
        <v>-61.228854915160582</v>
      </c>
      <c r="X34" s="75">
        <f>VLOOKUP($A34,FoodLog!$A$1:$Z$10011,17,0)</f>
        <v>-16.171428571428578</v>
      </c>
      <c r="Y34" s="75">
        <f>VLOOKUP($A34,FoodLog!$A$1:$Z$10011,18,0)</f>
        <v>-30.581640149555994</v>
      </c>
      <c r="Z34" s="75">
        <f>VLOOKUP($A34,FoodLog!$A$1:$Z$10011,19,0)</f>
        <v>-107.98192363614498</v>
      </c>
      <c r="AA34" s="67">
        <f t="shared" si="8"/>
        <v>0.34458377748544911</v>
      </c>
      <c r="AB34" s="68">
        <f>Scale!C34</f>
        <v>196.7</v>
      </c>
    </row>
    <row r="35" spans="1:28" x14ac:dyDescent="0.25">
      <c r="A35" s="70">
        <f t="shared" si="10"/>
        <v>43024</v>
      </c>
      <c r="B35" s="71">
        <f t="shared" si="11"/>
        <v>33</v>
      </c>
      <c r="C35" s="72">
        <f t="shared" si="12"/>
        <v>191.20084728797423</v>
      </c>
      <c r="D35" s="72">
        <f t="shared" si="13"/>
        <v>149.15752316754944</v>
      </c>
      <c r="E35" s="73">
        <f t="shared" ref="E35:E66" si="16">C35-D35</f>
        <v>42.043324120424785</v>
      </c>
      <c r="F35" s="61"/>
      <c r="G35" s="74">
        <f>C35*TDEE!$B$5</f>
        <v>2379.1127070959919</v>
      </c>
      <c r="H35" s="72">
        <f t="shared" si="14"/>
        <v>1303.3430477331683</v>
      </c>
      <c r="I35" s="72">
        <f t="shared" si="15"/>
        <v>1075.7696593628236</v>
      </c>
      <c r="J35" s="63">
        <f t="shared" ref="J35:J66" si="17">H35/3500</f>
        <v>0.3723837279237624</v>
      </c>
      <c r="K35" s="72">
        <f t="shared" ref="K35:K66" si="18">N35/9</f>
        <v>57.607287247407257</v>
      </c>
      <c r="L35" s="72">
        <v>20</v>
      </c>
      <c r="M35" s="59">
        <f>Protein_Amt!$B$6</f>
        <v>119.32601853403956</v>
      </c>
      <c r="N35" s="72">
        <f t="shared" ref="N35:N66" si="19">MAX(0,I35-(O35+P35))</f>
        <v>518.46558522666533</v>
      </c>
      <c r="O35" s="72">
        <f t="shared" ref="O35:O66" si="20">4*L35</f>
        <v>80</v>
      </c>
      <c r="P35" s="72">
        <f t="shared" ref="P35:P66" si="21">4*M35</f>
        <v>477.30407413615825</v>
      </c>
      <c r="Q35" s="73">
        <f t="shared" ref="Q35:Q66" si="22">SUM(N35:P35)</f>
        <v>1075.7696593628236</v>
      </c>
      <c r="S35" s="75">
        <f>VLOOKUP($A35,FoodLog!$A$1:$Z$10011,12,0)</f>
        <v>15.75</v>
      </c>
      <c r="T35" s="75">
        <f>VLOOKUP($A35,FoodLog!$A$1:$Z$10011,13,0)</f>
        <v>12</v>
      </c>
      <c r="U35" s="75">
        <f>VLOOKUP($A35,FoodLog!$A$1:$Z$10011,14,0)</f>
        <v>200</v>
      </c>
      <c r="V35" s="75">
        <f>VLOOKUP($A35,FoodLog!$A$1:$Z$10011,15,0)</f>
        <v>227.75</v>
      </c>
      <c r="W35" s="75">
        <f>VLOOKUP($A35,FoodLog!$A$1:$Z$10011,16,0)</f>
        <v>502.71558522666533</v>
      </c>
      <c r="X35" s="75">
        <f>VLOOKUP($A35,FoodLog!$A$1:$Z$10011,17,0)</f>
        <v>68</v>
      </c>
      <c r="Y35" s="75">
        <f>VLOOKUP($A35,FoodLog!$A$1:$Z$10011,18,0)</f>
        <v>277.30407413615825</v>
      </c>
      <c r="Z35" s="75">
        <f>VLOOKUP($A35,FoodLog!$A$1:$Z$10011,19,0)</f>
        <v>848.01965936282363</v>
      </c>
      <c r="AA35" s="67">
        <f t="shared" ref="AA35:AA66" si="23">MIN($H35,($H35+Z35))/3500</f>
        <v>0.3723837279237624</v>
      </c>
      <c r="AB35" s="68">
        <f>Scale!C35</f>
        <v>194.4</v>
      </c>
    </row>
    <row r="36" spans="1:28" x14ac:dyDescent="0.25">
      <c r="A36" s="70">
        <f t="shared" ref="A36:A67" si="24">A35+1</f>
        <v>43025</v>
      </c>
      <c r="B36" s="71">
        <f t="shared" ref="B36:B67" si="25">B35+1</f>
        <v>34</v>
      </c>
      <c r="C36" s="72">
        <f t="shared" ref="C36:C67" si="26">C35-AA35</f>
        <v>190.82846356005047</v>
      </c>
      <c r="D36" s="72">
        <f t="shared" ref="D36:D67" si="27">$D$3</f>
        <v>149.15752316754944</v>
      </c>
      <c r="E36" s="73">
        <f t="shared" si="16"/>
        <v>41.670940392501024</v>
      </c>
      <c r="F36" s="61"/>
      <c r="G36" s="74">
        <f>C36*TDEE!$B$5</f>
        <v>2374.4791352704192</v>
      </c>
      <c r="H36" s="72">
        <f t="shared" ref="H36:H67" si="28">$E36*31</f>
        <v>1291.7991521675317</v>
      </c>
      <c r="I36" s="72">
        <f t="shared" ref="I36:I67" si="29">$G36-$H36</f>
        <v>1082.6799831028875</v>
      </c>
      <c r="J36" s="63">
        <f t="shared" si="17"/>
        <v>0.36908547204786618</v>
      </c>
      <c r="K36" s="72">
        <f t="shared" si="18"/>
        <v>58.375100996303246</v>
      </c>
      <c r="L36" s="72">
        <v>20</v>
      </c>
      <c r="M36" s="59">
        <f>Protein_Amt!$B$6</f>
        <v>119.32601853403956</v>
      </c>
      <c r="N36" s="72">
        <f t="shared" si="19"/>
        <v>525.37590896672918</v>
      </c>
      <c r="O36" s="72">
        <f t="shared" si="20"/>
        <v>80</v>
      </c>
      <c r="P36" s="72">
        <f t="shared" si="21"/>
        <v>477.30407413615825</v>
      </c>
      <c r="Q36" s="73">
        <f t="shared" si="22"/>
        <v>1082.6799831028875</v>
      </c>
      <c r="S36" s="75">
        <f>VLOOKUP($A36,FoodLog!$A$1:$Z$10011,12,0)</f>
        <v>0</v>
      </c>
      <c r="T36" s="75">
        <f>VLOOKUP($A36,FoodLog!$A$1:$Z$10011,13,0)</f>
        <v>0</v>
      </c>
      <c r="U36" s="75">
        <f>VLOOKUP($A36,FoodLog!$A$1:$Z$10011,14,0)</f>
        <v>0</v>
      </c>
      <c r="V36" s="75">
        <f>VLOOKUP($A36,FoodLog!$A$1:$Z$10011,15,0)</f>
        <v>0</v>
      </c>
      <c r="W36" s="75">
        <f>VLOOKUP($A36,FoodLog!$A$1:$Z$10011,16,0)</f>
        <v>525.37590896672918</v>
      </c>
      <c r="X36" s="75">
        <f>VLOOKUP($A36,FoodLog!$A$1:$Z$10011,17,0)</f>
        <v>80</v>
      </c>
      <c r="Y36" s="75">
        <f>VLOOKUP($A36,FoodLog!$A$1:$Z$10011,18,0)</f>
        <v>477.30407413615825</v>
      </c>
      <c r="Z36" s="75">
        <f>VLOOKUP($A36,FoodLog!$A$1:$Z$10011,19,0)</f>
        <v>1082.6799831028875</v>
      </c>
      <c r="AA36" s="67">
        <f t="shared" si="23"/>
        <v>0.36908547204786618</v>
      </c>
      <c r="AB36" s="68">
        <f>Scale!C36</f>
        <v>0</v>
      </c>
    </row>
    <row r="37" spans="1:28" x14ac:dyDescent="0.25">
      <c r="A37" s="70">
        <f t="shared" si="24"/>
        <v>43026</v>
      </c>
      <c r="B37" s="71">
        <f t="shared" si="25"/>
        <v>35</v>
      </c>
      <c r="C37" s="72">
        <f t="shared" si="26"/>
        <v>190.45937808800261</v>
      </c>
      <c r="D37" s="72">
        <f t="shared" si="27"/>
        <v>149.15752316754944</v>
      </c>
      <c r="E37" s="73">
        <f t="shared" si="16"/>
        <v>41.301854920453167</v>
      </c>
      <c r="F37" s="61"/>
      <c r="G37" s="74">
        <f>C37*TDEE!$B$5</f>
        <v>2369.8866036524441</v>
      </c>
      <c r="H37" s="72">
        <f t="shared" si="28"/>
        <v>1280.3575025340481</v>
      </c>
      <c r="I37" s="72">
        <f t="shared" si="29"/>
        <v>1089.5291011183961</v>
      </c>
      <c r="J37" s="63">
        <f t="shared" si="17"/>
        <v>0.36581642929544234</v>
      </c>
      <c r="K37" s="72">
        <f t="shared" si="18"/>
        <v>59.13611410913753</v>
      </c>
      <c r="L37" s="72">
        <v>20</v>
      </c>
      <c r="M37" s="59">
        <f>Protein_Amt!$B$6</f>
        <v>119.32601853403956</v>
      </c>
      <c r="N37" s="72">
        <f t="shared" si="19"/>
        <v>532.22502698223775</v>
      </c>
      <c r="O37" s="72">
        <f t="shared" si="20"/>
        <v>80</v>
      </c>
      <c r="P37" s="72">
        <f t="shared" si="21"/>
        <v>477.30407413615825</v>
      </c>
      <c r="Q37" s="73">
        <f t="shared" si="22"/>
        <v>1089.5291011183961</v>
      </c>
      <c r="S37" s="75">
        <f>VLOOKUP($A37,FoodLog!$A$1:$Z$10011,12,0)</f>
        <v>0</v>
      </c>
      <c r="T37" s="75">
        <f>VLOOKUP($A37,FoodLog!$A$1:$Z$10011,13,0)</f>
        <v>0</v>
      </c>
      <c r="U37" s="75">
        <f>VLOOKUP($A37,FoodLog!$A$1:$Z$10011,14,0)</f>
        <v>0</v>
      </c>
      <c r="V37" s="75">
        <f>VLOOKUP($A37,FoodLog!$A$1:$Z$10011,15,0)</f>
        <v>0</v>
      </c>
      <c r="W37" s="75">
        <f>VLOOKUP($A37,FoodLog!$A$1:$Z$10011,16,0)</f>
        <v>532.22502698223775</v>
      </c>
      <c r="X37" s="75">
        <f>VLOOKUP($A37,FoodLog!$A$1:$Z$10011,17,0)</f>
        <v>80</v>
      </c>
      <c r="Y37" s="75">
        <f>VLOOKUP($A37,FoodLog!$A$1:$Z$10011,18,0)</f>
        <v>477.30407413615825</v>
      </c>
      <c r="Z37" s="75">
        <f>VLOOKUP($A37,FoodLog!$A$1:$Z$10011,19,0)</f>
        <v>1089.5291011183961</v>
      </c>
      <c r="AA37" s="67">
        <f t="shared" si="23"/>
        <v>0.36581642929544234</v>
      </c>
      <c r="AB37" s="68">
        <f>Scale!C37</f>
        <v>0</v>
      </c>
    </row>
    <row r="38" spans="1:28" x14ac:dyDescent="0.25">
      <c r="A38" s="70">
        <f t="shared" si="24"/>
        <v>43027</v>
      </c>
      <c r="B38" s="71">
        <f t="shared" si="25"/>
        <v>36</v>
      </c>
      <c r="C38" s="72">
        <f t="shared" si="26"/>
        <v>190.09356165870716</v>
      </c>
      <c r="D38" s="72">
        <f t="shared" si="27"/>
        <v>149.15752316754944</v>
      </c>
      <c r="E38" s="73">
        <f t="shared" si="16"/>
        <v>40.936038491157717</v>
      </c>
      <c r="F38" s="61"/>
      <c r="G38" s="74">
        <f>C38*TDEE!$B$5</f>
        <v>2365.3347487430856</v>
      </c>
      <c r="H38" s="72">
        <f t="shared" si="28"/>
        <v>1269.0171932258893</v>
      </c>
      <c r="I38" s="72">
        <f t="shared" si="29"/>
        <v>1096.3175555171963</v>
      </c>
      <c r="J38" s="63">
        <f t="shared" si="17"/>
        <v>0.36257634092168267</v>
      </c>
      <c r="K38" s="72">
        <f t="shared" si="18"/>
        <v>59.890386820115332</v>
      </c>
      <c r="L38" s="72">
        <v>20</v>
      </c>
      <c r="M38" s="59">
        <f>Protein_Amt!$B$6</f>
        <v>119.32601853403956</v>
      </c>
      <c r="N38" s="72">
        <f t="shared" si="19"/>
        <v>539.01348138103799</v>
      </c>
      <c r="O38" s="72">
        <f t="shared" si="20"/>
        <v>80</v>
      </c>
      <c r="P38" s="72">
        <f t="shared" si="21"/>
        <v>477.30407413615825</v>
      </c>
      <c r="Q38" s="73">
        <f t="shared" si="22"/>
        <v>1096.3175555171963</v>
      </c>
      <c r="S38" s="75">
        <f>VLOOKUP($A38,FoodLog!$A$1:$Z$10011,12,0)</f>
        <v>0</v>
      </c>
      <c r="T38" s="75">
        <f>VLOOKUP($A38,FoodLog!$A$1:$Z$10011,13,0)</f>
        <v>0</v>
      </c>
      <c r="U38" s="75">
        <f>VLOOKUP($A38,FoodLog!$A$1:$Z$10011,14,0)</f>
        <v>0</v>
      </c>
      <c r="V38" s="75">
        <f>VLOOKUP($A38,FoodLog!$A$1:$Z$10011,15,0)</f>
        <v>0</v>
      </c>
      <c r="W38" s="75">
        <f>VLOOKUP($A38,FoodLog!$A$1:$Z$10011,16,0)</f>
        <v>539.01348138103799</v>
      </c>
      <c r="X38" s="75">
        <f>VLOOKUP($A38,FoodLog!$A$1:$Z$10011,17,0)</f>
        <v>80</v>
      </c>
      <c r="Y38" s="75">
        <f>VLOOKUP($A38,FoodLog!$A$1:$Z$10011,18,0)</f>
        <v>477.30407413615825</v>
      </c>
      <c r="Z38" s="75">
        <f>VLOOKUP($A38,FoodLog!$A$1:$Z$10011,19,0)</f>
        <v>1096.3175555171963</v>
      </c>
      <c r="AA38" s="67">
        <f t="shared" si="23"/>
        <v>0.36257634092168267</v>
      </c>
      <c r="AB38" s="68">
        <f>Scale!C38</f>
        <v>0</v>
      </c>
    </row>
    <row r="39" spans="1:28" x14ac:dyDescent="0.25">
      <c r="A39" s="70">
        <f t="shared" si="24"/>
        <v>43028</v>
      </c>
      <c r="B39" s="71">
        <f t="shared" si="25"/>
        <v>37</v>
      </c>
      <c r="C39" s="72">
        <f t="shared" si="26"/>
        <v>189.73098531778547</v>
      </c>
      <c r="D39" s="72">
        <f t="shared" si="27"/>
        <v>149.15752316754944</v>
      </c>
      <c r="E39" s="73">
        <f t="shared" si="16"/>
        <v>40.573462150236026</v>
      </c>
      <c r="F39" s="61"/>
      <c r="G39" s="74">
        <f>C39*TDEE!$B$5</f>
        <v>2360.823210262924</v>
      </c>
      <c r="H39" s="72">
        <f t="shared" si="28"/>
        <v>1257.7773266573167</v>
      </c>
      <c r="I39" s="72">
        <f t="shared" si="29"/>
        <v>1103.0458836056073</v>
      </c>
      <c r="J39" s="63">
        <f t="shared" si="17"/>
        <v>0.35936495047351907</v>
      </c>
      <c r="K39" s="72">
        <f t="shared" si="18"/>
        <v>60.637978829938774</v>
      </c>
      <c r="L39" s="72">
        <v>20</v>
      </c>
      <c r="M39" s="59">
        <f>Protein_Amt!$B$6</f>
        <v>119.32601853403956</v>
      </c>
      <c r="N39" s="72">
        <f t="shared" si="19"/>
        <v>545.74180946944898</v>
      </c>
      <c r="O39" s="72">
        <f t="shared" si="20"/>
        <v>80</v>
      </c>
      <c r="P39" s="72">
        <f t="shared" si="21"/>
        <v>477.30407413615825</v>
      </c>
      <c r="Q39" s="73">
        <f t="shared" si="22"/>
        <v>1103.0458836056073</v>
      </c>
      <c r="S39" s="75">
        <f>VLOOKUP($A39,FoodLog!$A$1:$Z$10011,12,0)</f>
        <v>0</v>
      </c>
      <c r="T39" s="75">
        <f>VLOOKUP($A39,FoodLog!$A$1:$Z$10011,13,0)</f>
        <v>0</v>
      </c>
      <c r="U39" s="75">
        <f>VLOOKUP($A39,FoodLog!$A$1:$Z$10011,14,0)</f>
        <v>0</v>
      </c>
      <c r="V39" s="75">
        <f>VLOOKUP($A39,FoodLog!$A$1:$Z$10011,15,0)</f>
        <v>0</v>
      </c>
      <c r="W39" s="75">
        <f>VLOOKUP($A39,FoodLog!$A$1:$Z$10011,16,0)</f>
        <v>545.74180946944898</v>
      </c>
      <c r="X39" s="75">
        <f>VLOOKUP($A39,FoodLog!$A$1:$Z$10011,17,0)</f>
        <v>80</v>
      </c>
      <c r="Y39" s="75">
        <f>VLOOKUP($A39,FoodLog!$A$1:$Z$10011,18,0)</f>
        <v>477.30407413615825</v>
      </c>
      <c r="Z39" s="75">
        <f>VLOOKUP($A39,FoodLog!$A$1:$Z$10011,19,0)</f>
        <v>1103.0458836056073</v>
      </c>
      <c r="AA39" s="67">
        <f t="shared" si="23"/>
        <v>0.35936495047351907</v>
      </c>
      <c r="AB39" s="68">
        <f>Scale!C39</f>
        <v>0</v>
      </c>
    </row>
    <row r="40" spans="1:28" x14ac:dyDescent="0.25">
      <c r="A40" s="70">
        <f t="shared" si="24"/>
        <v>43029</v>
      </c>
      <c r="B40" s="71">
        <f t="shared" si="25"/>
        <v>38</v>
      </c>
      <c r="C40" s="72">
        <f t="shared" si="26"/>
        <v>189.37162036731195</v>
      </c>
      <c r="D40" s="72">
        <f t="shared" si="27"/>
        <v>149.15752316754944</v>
      </c>
      <c r="E40" s="73">
        <f t="shared" si="16"/>
        <v>40.214097199762506</v>
      </c>
      <c r="F40" s="61"/>
      <c r="G40" s="74">
        <f>C40*TDEE!$B$5</f>
        <v>2356.3516311235871</v>
      </c>
      <c r="H40" s="72">
        <f t="shared" si="28"/>
        <v>1246.6370131926376</v>
      </c>
      <c r="I40" s="72">
        <f t="shared" si="29"/>
        <v>1109.7146179309495</v>
      </c>
      <c r="J40" s="63">
        <f t="shared" si="17"/>
        <v>0.35618200376932502</v>
      </c>
      <c r="K40" s="72">
        <f t="shared" si="18"/>
        <v>61.378949310532363</v>
      </c>
      <c r="L40" s="72">
        <v>20</v>
      </c>
      <c r="M40" s="59">
        <f>Protein_Amt!$B$6</f>
        <v>119.32601853403956</v>
      </c>
      <c r="N40" s="72">
        <f t="shared" si="19"/>
        <v>552.41054379479124</v>
      </c>
      <c r="O40" s="72">
        <f t="shared" si="20"/>
        <v>80</v>
      </c>
      <c r="P40" s="72">
        <f t="shared" si="21"/>
        <v>477.30407413615825</v>
      </c>
      <c r="Q40" s="73">
        <f t="shared" si="22"/>
        <v>1109.7146179309495</v>
      </c>
      <c r="S40" s="75">
        <f>VLOOKUP($A40,FoodLog!$A$1:$Z$10011,12,0)</f>
        <v>0</v>
      </c>
      <c r="T40" s="75">
        <f>VLOOKUP($A40,FoodLog!$A$1:$Z$10011,13,0)</f>
        <v>0</v>
      </c>
      <c r="U40" s="75">
        <f>VLOOKUP($A40,FoodLog!$A$1:$Z$10011,14,0)</f>
        <v>0</v>
      </c>
      <c r="V40" s="75">
        <f>VLOOKUP($A40,FoodLog!$A$1:$Z$10011,15,0)</f>
        <v>0</v>
      </c>
      <c r="W40" s="75">
        <f>VLOOKUP($A40,FoodLog!$A$1:$Z$10011,16,0)</f>
        <v>552.41054379479124</v>
      </c>
      <c r="X40" s="75">
        <f>VLOOKUP($A40,FoodLog!$A$1:$Z$10011,17,0)</f>
        <v>80</v>
      </c>
      <c r="Y40" s="75">
        <f>VLOOKUP($A40,FoodLog!$A$1:$Z$10011,18,0)</f>
        <v>477.30407413615825</v>
      </c>
      <c r="Z40" s="75">
        <f>VLOOKUP($A40,FoodLog!$A$1:$Z$10011,19,0)</f>
        <v>1109.7146179309495</v>
      </c>
      <c r="AA40" s="67">
        <f t="shared" si="23"/>
        <v>0.35618200376932502</v>
      </c>
      <c r="AB40" s="68">
        <f>Scale!C40</f>
        <v>0</v>
      </c>
    </row>
    <row r="41" spans="1:28" x14ac:dyDescent="0.25">
      <c r="A41" s="70">
        <f t="shared" si="24"/>
        <v>43030</v>
      </c>
      <c r="B41" s="71">
        <f t="shared" si="25"/>
        <v>39</v>
      </c>
      <c r="C41" s="72">
        <f t="shared" si="26"/>
        <v>189.01543836354261</v>
      </c>
      <c r="D41" s="72">
        <f t="shared" si="27"/>
        <v>149.15752316754944</v>
      </c>
      <c r="E41" s="73">
        <f t="shared" si="16"/>
        <v>39.857915195993172</v>
      </c>
      <c r="F41" s="61"/>
      <c r="G41" s="74">
        <f>C41*TDEE!$B$5</f>
        <v>2351.9196573994841</v>
      </c>
      <c r="H41" s="72">
        <f t="shared" si="28"/>
        <v>1235.5953710757883</v>
      </c>
      <c r="I41" s="72">
        <f t="shared" si="29"/>
        <v>1116.3242863236958</v>
      </c>
      <c r="J41" s="63">
        <f t="shared" si="17"/>
        <v>0.35302724887879666</v>
      </c>
      <c r="K41" s="72">
        <f t="shared" si="18"/>
        <v>62.113356909726384</v>
      </c>
      <c r="L41" s="72">
        <v>20</v>
      </c>
      <c r="M41" s="59">
        <f>Protein_Amt!$B$6</f>
        <v>119.32601853403956</v>
      </c>
      <c r="N41" s="72">
        <f t="shared" si="19"/>
        <v>559.02021218753748</v>
      </c>
      <c r="O41" s="72">
        <f t="shared" si="20"/>
        <v>80</v>
      </c>
      <c r="P41" s="72">
        <f t="shared" si="21"/>
        <v>477.30407413615825</v>
      </c>
      <c r="Q41" s="73">
        <f t="shared" si="22"/>
        <v>1116.3242863236958</v>
      </c>
      <c r="S41" s="75">
        <f>VLOOKUP($A41,FoodLog!$A$1:$Z$10011,12,0)</f>
        <v>0</v>
      </c>
      <c r="T41" s="75">
        <f>VLOOKUP($A41,FoodLog!$A$1:$Z$10011,13,0)</f>
        <v>0</v>
      </c>
      <c r="U41" s="75">
        <f>VLOOKUP($A41,FoodLog!$A$1:$Z$10011,14,0)</f>
        <v>0</v>
      </c>
      <c r="V41" s="75">
        <f>VLOOKUP($A41,FoodLog!$A$1:$Z$10011,15,0)</f>
        <v>0</v>
      </c>
      <c r="W41" s="75">
        <f>VLOOKUP($A41,FoodLog!$A$1:$Z$10011,16,0)</f>
        <v>559.02021218753748</v>
      </c>
      <c r="X41" s="75">
        <f>VLOOKUP($A41,FoodLog!$A$1:$Z$10011,17,0)</f>
        <v>80</v>
      </c>
      <c r="Y41" s="75">
        <f>VLOOKUP($A41,FoodLog!$A$1:$Z$10011,18,0)</f>
        <v>477.30407413615825</v>
      </c>
      <c r="Z41" s="75">
        <f>VLOOKUP($A41,FoodLog!$A$1:$Z$10011,19,0)</f>
        <v>1116.3242863236958</v>
      </c>
      <c r="AA41" s="67">
        <f t="shared" si="23"/>
        <v>0.35302724887879666</v>
      </c>
      <c r="AB41" s="68">
        <f>Scale!C41</f>
        <v>0</v>
      </c>
    </row>
    <row r="42" spans="1:28" x14ac:dyDescent="0.25">
      <c r="A42" s="70">
        <f t="shared" si="24"/>
        <v>43031</v>
      </c>
      <c r="B42" s="71">
        <f t="shared" si="25"/>
        <v>40</v>
      </c>
      <c r="C42" s="72">
        <f t="shared" si="26"/>
        <v>188.66241111466383</v>
      </c>
      <c r="D42" s="72">
        <f t="shared" si="27"/>
        <v>149.15752316754944</v>
      </c>
      <c r="E42" s="73">
        <f t="shared" si="16"/>
        <v>39.504887947114383</v>
      </c>
      <c r="F42" s="61"/>
      <c r="G42" s="74">
        <f>C42*TDEE!$B$5</f>
        <v>2347.5269382997949</v>
      </c>
      <c r="H42" s="72">
        <f t="shared" si="28"/>
        <v>1224.6515263605459</v>
      </c>
      <c r="I42" s="72">
        <f t="shared" si="29"/>
        <v>1122.875411939249</v>
      </c>
      <c r="J42" s="63">
        <f t="shared" si="17"/>
        <v>0.34990043610301308</v>
      </c>
      <c r="K42" s="72">
        <f t="shared" si="18"/>
        <v>62.841259755898967</v>
      </c>
      <c r="L42" s="72">
        <v>20</v>
      </c>
      <c r="M42" s="59">
        <f>Protein_Amt!$B$6</f>
        <v>119.32601853403956</v>
      </c>
      <c r="N42" s="72">
        <f t="shared" si="19"/>
        <v>565.57133780309073</v>
      </c>
      <c r="O42" s="72">
        <f t="shared" si="20"/>
        <v>80</v>
      </c>
      <c r="P42" s="72">
        <f t="shared" si="21"/>
        <v>477.30407413615825</v>
      </c>
      <c r="Q42" s="73">
        <f t="shared" si="22"/>
        <v>1122.875411939249</v>
      </c>
      <c r="S42" s="75">
        <f>VLOOKUP($A42,FoodLog!$A$1:$Z$10011,12,0)</f>
        <v>0</v>
      </c>
      <c r="T42" s="75">
        <f>VLOOKUP($A42,FoodLog!$A$1:$Z$10011,13,0)</f>
        <v>0</v>
      </c>
      <c r="U42" s="75">
        <f>VLOOKUP($A42,FoodLog!$A$1:$Z$10011,14,0)</f>
        <v>0</v>
      </c>
      <c r="V42" s="75">
        <f>VLOOKUP($A42,FoodLog!$A$1:$Z$10011,15,0)</f>
        <v>0</v>
      </c>
      <c r="W42" s="75">
        <f>VLOOKUP($A42,FoodLog!$A$1:$Z$10011,16,0)</f>
        <v>565.57133780309073</v>
      </c>
      <c r="X42" s="75">
        <f>VLOOKUP($A42,FoodLog!$A$1:$Z$10011,17,0)</f>
        <v>80</v>
      </c>
      <c r="Y42" s="75">
        <f>VLOOKUP($A42,FoodLog!$A$1:$Z$10011,18,0)</f>
        <v>477.30407413615825</v>
      </c>
      <c r="Z42" s="75">
        <f>VLOOKUP($A42,FoodLog!$A$1:$Z$10011,19,0)</f>
        <v>1122.875411939249</v>
      </c>
      <c r="AA42" s="67">
        <f t="shared" si="23"/>
        <v>0.34990043610301308</v>
      </c>
      <c r="AB42" s="68">
        <f>Scale!C42</f>
        <v>0</v>
      </c>
    </row>
    <row r="43" spans="1:28" x14ac:dyDescent="0.25">
      <c r="A43" s="70">
        <f t="shared" si="24"/>
        <v>43032</v>
      </c>
      <c r="B43" s="71">
        <f t="shared" si="25"/>
        <v>41</v>
      </c>
      <c r="C43" s="72">
        <f t="shared" si="26"/>
        <v>188.31251067856081</v>
      </c>
      <c r="D43" s="72">
        <f t="shared" si="27"/>
        <v>149.15752316754944</v>
      </c>
      <c r="E43" s="73">
        <f t="shared" si="16"/>
        <v>39.15498751101137</v>
      </c>
      <c r="F43" s="61"/>
      <c r="G43" s="74">
        <f>C43*TDEE!$B$5</f>
        <v>2343.1731261407026</v>
      </c>
      <c r="H43" s="72">
        <f t="shared" si="28"/>
        <v>1213.8046128413525</v>
      </c>
      <c r="I43" s="72">
        <f t="shared" si="29"/>
        <v>1129.3685132993501</v>
      </c>
      <c r="J43" s="63">
        <f t="shared" si="17"/>
        <v>0.34680131795467217</v>
      </c>
      <c r="K43" s="72">
        <f t="shared" si="18"/>
        <v>63.562715462576861</v>
      </c>
      <c r="L43" s="72">
        <v>20</v>
      </c>
      <c r="M43" s="59">
        <f>Protein_Amt!$B$6</f>
        <v>119.32601853403956</v>
      </c>
      <c r="N43" s="72">
        <f t="shared" si="19"/>
        <v>572.06443916319176</v>
      </c>
      <c r="O43" s="72">
        <f t="shared" si="20"/>
        <v>80</v>
      </c>
      <c r="P43" s="72">
        <f t="shared" si="21"/>
        <v>477.30407413615825</v>
      </c>
      <c r="Q43" s="73">
        <f t="shared" si="22"/>
        <v>1129.3685132993501</v>
      </c>
      <c r="S43" s="75">
        <f>VLOOKUP($A43,FoodLog!$A$1:$Z$10011,12,0)</f>
        <v>0</v>
      </c>
      <c r="T43" s="75">
        <f>VLOOKUP($A43,FoodLog!$A$1:$Z$10011,13,0)</f>
        <v>0</v>
      </c>
      <c r="U43" s="75">
        <f>VLOOKUP($A43,FoodLog!$A$1:$Z$10011,14,0)</f>
        <v>0</v>
      </c>
      <c r="V43" s="75">
        <f>VLOOKUP($A43,FoodLog!$A$1:$Z$10011,15,0)</f>
        <v>0</v>
      </c>
      <c r="W43" s="75">
        <f>VLOOKUP($A43,FoodLog!$A$1:$Z$10011,16,0)</f>
        <v>572.06443916319176</v>
      </c>
      <c r="X43" s="75">
        <f>VLOOKUP($A43,FoodLog!$A$1:$Z$10011,17,0)</f>
        <v>80</v>
      </c>
      <c r="Y43" s="75">
        <f>VLOOKUP($A43,FoodLog!$A$1:$Z$10011,18,0)</f>
        <v>477.30407413615825</v>
      </c>
      <c r="Z43" s="75">
        <f>VLOOKUP($A43,FoodLog!$A$1:$Z$10011,19,0)</f>
        <v>1129.3685132993501</v>
      </c>
      <c r="AA43" s="67">
        <f t="shared" si="23"/>
        <v>0.34680131795467217</v>
      </c>
      <c r="AB43" s="68">
        <f>Scale!C43</f>
        <v>0</v>
      </c>
    </row>
    <row r="44" spans="1:28" x14ac:dyDescent="0.25">
      <c r="A44" s="70">
        <f t="shared" si="24"/>
        <v>43033</v>
      </c>
      <c r="B44" s="71">
        <f t="shared" si="25"/>
        <v>42</v>
      </c>
      <c r="C44" s="72">
        <f t="shared" si="26"/>
        <v>187.96570936060613</v>
      </c>
      <c r="D44" s="72">
        <f t="shared" si="27"/>
        <v>149.15752316754944</v>
      </c>
      <c r="E44" s="73">
        <f t="shared" si="16"/>
        <v>38.808186193056684</v>
      </c>
      <c r="F44" s="61"/>
      <c r="G44" s="74">
        <f>C44*TDEE!$B$5</f>
        <v>2338.8578763178766</v>
      </c>
      <c r="H44" s="72">
        <f t="shared" si="28"/>
        <v>1203.0537719847573</v>
      </c>
      <c r="I44" s="72">
        <f t="shared" si="29"/>
        <v>1135.8041043331193</v>
      </c>
      <c r="J44" s="63">
        <f t="shared" si="17"/>
        <v>0.34372964913850207</v>
      </c>
      <c r="K44" s="72">
        <f t="shared" si="18"/>
        <v>64.277781132995671</v>
      </c>
      <c r="L44" s="72">
        <v>20</v>
      </c>
      <c r="M44" s="59">
        <f>Protein_Amt!$B$6</f>
        <v>119.32601853403956</v>
      </c>
      <c r="N44" s="72">
        <f t="shared" si="19"/>
        <v>578.50003019696101</v>
      </c>
      <c r="O44" s="72">
        <f t="shared" si="20"/>
        <v>80</v>
      </c>
      <c r="P44" s="72">
        <f t="shared" si="21"/>
        <v>477.30407413615825</v>
      </c>
      <c r="Q44" s="73">
        <f t="shared" si="22"/>
        <v>1135.8041043331193</v>
      </c>
      <c r="S44" s="75">
        <f>VLOOKUP($A44,FoodLog!$A$1:$Z$10011,12,0)</f>
        <v>0</v>
      </c>
      <c r="T44" s="75">
        <f>VLOOKUP($A44,FoodLog!$A$1:$Z$10011,13,0)</f>
        <v>0</v>
      </c>
      <c r="U44" s="75">
        <f>VLOOKUP($A44,FoodLog!$A$1:$Z$10011,14,0)</f>
        <v>0</v>
      </c>
      <c r="V44" s="75">
        <f>VLOOKUP($A44,FoodLog!$A$1:$Z$10011,15,0)</f>
        <v>0</v>
      </c>
      <c r="W44" s="75">
        <f>VLOOKUP($A44,FoodLog!$A$1:$Z$10011,16,0)</f>
        <v>578.50003019696101</v>
      </c>
      <c r="X44" s="75">
        <f>VLOOKUP($A44,FoodLog!$A$1:$Z$10011,17,0)</f>
        <v>80</v>
      </c>
      <c r="Y44" s="75">
        <f>VLOOKUP($A44,FoodLog!$A$1:$Z$10011,18,0)</f>
        <v>477.30407413615825</v>
      </c>
      <c r="Z44" s="75">
        <f>VLOOKUP($A44,FoodLog!$A$1:$Z$10011,19,0)</f>
        <v>1135.8041043331193</v>
      </c>
      <c r="AA44" s="67">
        <f t="shared" si="23"/>
        <v>0.34372964913850207</v>
      </c>
      <c r="AB44" s="68">
        <f>Scale!C44</f>
        <v>0</v>
      </c>
    </row>
    <row r="45" spans="1:28" x14ac:dyDescent="0.25">
      <c r="A45" s="70">
        <f t="shared" si="24"/>
        <v>43034</v>
      </c>
      <c r="B45" s="71">
        <f t="shared" si="25"/>
        <v>43</v>
      </c>
      <c r="C45" s="72">
        <f t="shared" si="26"/>
        <v>187.62197971146762</v>
      </c>
      <c r="D45" s="72">
        <f t="shared" si="27"/>
        <v>149.15752316754944</v>
      </c>
      <c r="E45" s="73">
        <f t="shared" si="16"/>
        <v>38.464456543918175</v>
      </c>
      <c r="F45" s="61"/>
      <c r="G45" s="74">
        <f>C45*TDEE!$B$5</f>
        <v>2334.5808472791955</v>
      </c>
      <c r="H45" s="72">
        <f t="shared" si="28"/>
        <v>1192.3981528614634</v>
      </c>
      <c r="I45" s="72">
        <f t="shared" si="29"/>
        <v>1142.1826944177321</v>
      </c>
      <c r="J45" s="63">
        <f t="shared" si="17"/>
        <v>0.34068518653184665</v>
      </c>
      <c r="K45" s="72">
        <f t="shared" si="18"/>
        <v>64.986513364619313</v>
      </c>
      <c r="L45" s="72">
        <v>20</v>
      </c>
      <c r="M45" s="59">
        <f>Protein_Amt!$B$6</f>
        <v>119.32601853403956</v>
      </c>
      <c r="N45" s="72">
        <f t="shared" si="19"/>
        <v>584.87862028157383</v>
      </c>
      <c r="O45" s="72">
        <f t="shared" si="20"/>
        <v>80</v>
      </c>
      <c r="P45" s="72">
        <f t="shared" si="21"/>
        <v>477.30407413615825</v>
      </c>
      <c r="Q45" s="73">
        <f t="shared" si="22"/>
        <v>1142.1826944177321</v>
      </c>
      <c r="S45" s="75">
        <f>VLOOKUP($A45,FoodLog!$A$1:$Z$10011,12,0)</f>
        <v>0</v>
      </c>
      <c r="T45" s="75">
        <f>VLOOKUP($A45,FoodLog!$A$1:$Z$10011,13,0)</f>
        <v>0</v>
      </c>
      <c r="U45" s="75">
        <f>VLOOKUP($A45,FoodLog!$A$1:$Z$10011,14,0)</f>
        <v>0</v>
      </c>
      <c r="V45" s="75">
        <f>VLOOKUP($A45,FoodLog!$A$1:$Z$10011,15,0)</f>
        <v>0</v>
      </c>
      <c r="W45" s="75">
        <f>VLOOKUP($A45,FoodLog!$A$1:$Z$10011,16,0)</f>
        <v>584.87862028157383</v>
      </c>
      <c r="X45" s="75">
        <f>VLOOKUP($A45,FoodLog!$A$1:$Z$10011,17,0)</f>
        <v>80</v>
      </c>
      <c r="Y45" s="75">
        <f>VLOOKUP($A45,FoodLog!$A$1:$Z$10011,18,0)</f>
        <v>477.30407413615825</v>
      </c>
      <c r="Z45" s="75">
        <f>VLOOKUP($A45,FoodLog!$A$1:$Z$10011,19,0)</f>
        <v>1142.1826944177321</v>
      </c>
      <c r="AA45" s="67">
        <f t="shared" si="23"/>
        <v>0.34068518653184665</v>
      </c>
      <c r="AB45" s="68">
        <f>Scale!C45</f>
        <v>0</v>
      </c>
    </row>
    <row r="46" spans="1:28" x14ac:dyDescent="0.25">
      <c r="A46" s="70">
        <f t="shared" si="24"/>
        <v>43035</v>
      </c>
      <c r="B46" s="71">
        <f t="shared" si="25"/>
        <v>44</v>
      </c>
      <c r="C46" s="72">
        <f t="shared" si="26"/>
        <v>187.28129452493576</v>
      </c>
      <c r="D46" s="72">
        <f t="shared" si="27"/>
        <v>149.15752316754944</v>
      </c>
      <c r="E46" s="73">
        <f t="shared" si="16"/>
        <v>38.123771357386318</v>
      </c>
      <c r="F46" s="61"/>
      <c r="G46" s="74">
        <f>C46*TDEE!$B$5</f>
        <v>2330.3417004977141</v>
      </c>
      <c r="H46" s="72">
        <f t="shared" si="28"/>
        <v>1181.8369120789757</v>
      </c>
      <c r="I46" s="72">
        <f t="shared" si="29"/>
        <v>1148.5047884187384</v>
      </c>
      <c r="J46" s="63">
        <f t="shared" si="17"/>
        <v>0.33766768916542161</v>
      </c>
      <c r="K46" s="72">
        <f t="shared" si="18"/>
        <v>65.688968253620004</v>
      </c>
      <c r="L46" s="72">
        <v>20</v>
      </c>
      <c r="M46" s="59">
        <f>Protein_Amt!$B$6</f>
        <v>119.32601853403956</v>
      </c>
      <c r="N46" s="72">
        <f t="shared" si="19"/>
        <v>591.20071428258007</v>
      </c>
      <c r="O46" s="72">
        <f t="shared" si="20"/>
        <v>80</v>
      </c>
      <c r="P46" s="72">
        <f t="shared" si="21"/>
        <v>477.30407413615825</v>
      </c>
      <c r="Q46" s="73">
        <f t="shared" si="22"/>
        <v>1148.5047884187384</v>
      </c>
      <c r="S46" s="75">
        <f>VLOOKUP($A46,FoodLog!$A$1:$Z$10011,12,0)</f>
        <v>0</v>
      </c>
      <c r="T46" s="75">
        <f>VLOOKUP($A46,FoodLog!$A$1:$Z$10011,13,0)</f>
        <v>0</v>
      </c>
      <c r="U46" s="75">
        <f>VLOOKUP($A46,FoodLog!$A$1:$Z$10011,14,0)</f>
        <v>0</v>
      </c>
      <c r="V46" s="75">
        <f>VLOOKUP($A46,FoodLog!$A$1:$Z$10011,15,0)</f>
        <v>0</v>
      </c>
      <c r="W46" s="75">
        <f>VLOOKUP($A46,FoodLog!$A$1:$Z$10011,16,0)</f>
        <v>591.20071428258007</v>
      </c>
      <c r="X46" s="75">
        <f>VLOOKUP($A46,FoodLog!$A$1:$Z$10011,17,0)</f>
        <v>80</v>
      </c>
      <c r="Y46" s="75">
        <f>VLOOKUP($A46,FoodLog!$A$1:$Z$10011,18,0)</f>
        <v>477.30407413615825</v>
      </c>
      <c r="Z46" s="75">
        <f>VLOOKUP($A46,FoodLog!$A$1:$Z$10011,19,0)</f>
        <v>1148.5047884187384</v>
      </c>
      <c r="AA46" s="67">
        <f t="shared" si="23"/>
        <v>0.33766768916542161</v>
      </c>
      <c r="AB46" s="68">
        <f>Scale!C46</f>
        <v>0</v>
      </c>
    </row>
    <row r="47" spans="1:28" x14ac:dyDescent="0.25">
      <c r="A47" s="70">
        <f t="shared" si="24"/>
        <v>43036</v>
      </c>
      <c r="B47" s="71">
        <f t="shared" si="25"/>
        <v>45</v>
      </c>
      <c r="C47" s="72">
        <f t="shared" si="26"/>
        <v>186.94362683577035</v>
      </c>
      <c r="D47" s="72">
        <f t="shared" si="27"/>
        <v>149.15752316754944</v>
      </c>
      <c r="E47" s="73">
        <f t="shared" si="16"/>
        <v>37.786103668220903</v>
      </c>
      <c r="F47" s="61"/>
      <c r="G47" s="74">
        <f>C47*TDEE!$B$5</f>
        <v>2326.1401004448694</v>
      </c>
      <c r="H47" s="72">
        <f t="shared" si="28"/>
        <v>1171.369213714848</v>
      </c>
      <c r="I47" s="72">
        <f t="shared" si="29"/>
        <v>1154.7708867300214</v>
      </c>
      <c r="J47" s="63">
        <f t="shared" si="17"/>
        <v>0.33467691820424228</v>
      </c>
      <c r="K47" s="72">
        <f t="shared" si="18"/>
        <v>66.38520139931812</v>
      </c>
      <c r="L47" s="72">
        <v>20</v>
      </c>
      <c r="M47" s="59">
        <f>Protein_Amt!$B$6</f>
        <v>119.32601853403956</v>
      </c>
      <c r="N47" s="72">
        <f t="shared" si="19"/>
        <v>597.4668125938631</v>
      </c>
      <c r="O47" s="72">
        <f t="shared" si="20"/>
        <v>80</v>
      </c>
      <c r="P47" s="72">
        <f t="shared" si="21"/>
        <v>477.30407413615825</v>
      </c>
      <c r="Q47" s="73">
        <f t="shared" si="22"/>
        <v>1154.7708867300214</v>
      </c>
      <c r="S47" s="75">
        <f>VLOOKUP($A47,FoodLog!$A$1:$Z$10011,12,0)</f>
        <v>0</v>
      </c>
      <c r="T47" s="75">
        <f>VLOOKUP($A47,FoodLog!$A$1:$Z$10011,13,0)</f>
        <v>0</v>
      </c>
      <c r="U47" s="75">
        <f>VLOOKUP($A47,FoodLog!$A$1:$Z$10011,14,0)</f>
        <v>0</v>
      </c>
      <c r="V47" s="75">
        <f>VLOOKUP($A47,FoodLog!$A$1:$Z$10011,15,0)</f>
        <v>0</v>
      </c>
      <c r="W47" s="75">
        <f>VLOOKUP($A47,FoodLog!$A$1:$Z$10011,16,0)</f>
        <v>597.4668125938631</v>
      </c>
      <c r="X47" s="75">
        <f>VLOOKUP($A47,FoodLog!$A$1:$Z$10011,17,0)</f>
        <v>80</v>
      </c>
      <c r="Y47" s="75">
        <f>VLOOKUP($A47,FoodLog!$A$1:$Z$10011,18,0)</f>
        <v>477.30407413615825</v>
      </c>
      <c r="Z47" s="75">
        <f>VLOOKUP($A47,FoodLog!$A$1:$Z$10011,19,0)</f>
        <v>1154.7708867300214</v>
      </c>
      <c r="AA47" s="67">
        <f t="shared" si="23"/>
        <v>0.33467691820424228</v>
      </c>
      <c r="AB47" s="68">
        <f>Scale!C47</f>
        <v>0</v>
      </c>
    </row>
    <row r="48" spans="1:28" x14ac:dyDescent="0.25">
      <c r="A48" s="70">
        <f t="shared" si="24"/>
        <v>43037</v>
      </c>
      <c r="B48" s="71">
        <f t="shared" si="25"/>
        <v>46</v>
      </c>
      <c r="C48" s="72">
        <f t="shared" si="26"/>
        <v>186.60894991756609</v>
      </c>
      <c r="D48" s="72">
        <f t="shared" si="27"/>
        <v>149.15752316754944</v>
      </c>
      <c r="E48" s="73">
        <f t="shared" si="16"/>
        <v>37.451426750016651</v>
      </c>
      <c r="F48" s="61"/>
      <c r="G48" s="74">
        <f>C48*TDEE!$B$5</f>
        <v>2321.9757145639205</v>
      </c>
      <c r="H48" s="72">
        <f t="shared" si="28"/>
        <v>1160.9942292505161</v>
      </c>
      <c r="I48" s="72">
        <f t="shared" si="29"/>
        <v>1160.9814853134044</v>
      </c>
      <c r="J48" s="63">
        <f t="shared" si="17"/>
        <v>0.33171263692871888</v>
      </c>
      <c r="K48" s="72">
        <f t="shared" si="18"/>
        <v>67.075267908582902</v>
      </c>
      <c r="L48" s="72">
        <v>20</v>
      </c>
      <c r="M48" s="59">
        <f>Protein_Amt!$B$6</f>
        <v>119.32601853403956</v>
      </c>
      <c r="N48" s="72">
        <f t="shared" si="19"/>
        <v>603.67741117724609</v>
      </c>
      <c r="O48" s="72">
        <f t="shared" si="20"/>
        <v>80</v>
      </c>
      <c r="P48" s="72">
        <f t="shared" si="21"/>
        <v>477.30407413615825</v>
      </c>
      <c r="Q48" s="73">
        <f t="shared" si="22"/>
        <v>1160.9814853134044</v>
      </c>
      <c r="S48" s="75">
        <f>VLOOKUP($A48,FoodLog!$A$1:$Z$10011,12,0)</f>
        <v>0</v>
      </c>
      <c r="T48" s="75">
        <f>VLOOKUP($A48,FoodLog!$A$1:$Z$10011,13,0)</f>
        <v>0</v>
      </c>
      <c r="U48" s="75">
        <f>VLOOKUP($A48,FoodLog!$A$1:$Z$10011,14,0)</f>
        <v>0</v>
      </c>
      <c r="V48" s="75">
        <f>VLOOKUP($A48,FoodLog!$A$1:$Z$10011,15,0)</f>
        <v>0</v>
      </c>
      <c r="W48" s="75">
        <f>VLOOKUP($A48,FoodLog!$A$1:$Z$10011,16,0)</f>
        <v>603.67741117724609</v>
      </c>
      <c r="X48" s="75">
        <f>VLOOKUP($A48,FoodLog!$A$1:$Z$10011,17,0)</f>
        <v>80</v>
      </c>
      <c r="Y48" s="75">
        <f>VLOOKUP($A48,FoodLog!$A$1:$Z$10011,18,0)</f>
        <v>477.30407413615825</v>
      </c>
      <c r="Z48" s="75">
        <f>VLOOKUP($A48,FoodLog!$A$1:$Z$10011,19,0)</f>
        <v>1160.9814853134044</v>
      </c>
      <c r="AA48" s="67">
        <f t="shared" si="23"/>
        <v>0.33171263692871888</v>
      </c>
      <c r="AB48" s="68">
        <f>Scale!C48</f>
        <v>0</v>
      </c>
    </row>
    <row r="49" spans="1:28" x14ac:dyDescent="0.25">
      <c r="A49" s="70">
        <f t="shared" si="24"/>
        <v>43038</v>
      </c>
      <c r="B49" s="71">
        <f t="shared" si="25"/>
        <v>47</v>
      </c>
      <c r="C49" s="72">
        <f t="shared" si="26"/>
        <v>186.27723728063737</v>
      </c>
      <c r="D49" s="72">
        <f t="shared" si="27"/>
        <v>149.15752316754944</v>
      </c>
      <c r="E49" s="73">
        <f t="shared" si="16"/>
        <v>37.119714113087923</v>
      </c>
      <c r="F49" s="61"/>
      <c r="G49" s="74">
        <f>C49*TDEE!$B$5</f>
        <v>2317.8482132436316</v>
      </c>
      <c r="H49" s="72">
        <f t="shared" si="28"/>
        <v>1150.7111375057257</v>
      </c>
      <c r="I49" s="72">
        <f t="shared" si="29"/>
        <v>1167.1370757379059</v>
      </c>
      <c r="J49" s="63">
        <f t="shared" si="17"/>
        <v>0.32877461071592162</v>
      </c>
      <c r="K49" s="72">
        <f t="shared" si="18"/>
        <v>67.759222400194176</v>
      </c>
      <c r="L49" s="72">
        <v>20</v>
      </c>
      <c r="M49" s="59">
        <f>Protein_Amt!$B$6</f>
        <v>119.32601853403956</v>
      </c>
      <c r="N49" s="72">
        <f t="shared" si="19"/>
        <v>609.83300160174758</v>
      </c>
      <c r="O49" s="72">
        <f t="shared" si="20"/>
        <v>80</v>
      </c>
      <c r="P49" s="72">
        <f t="shared" si="21"/>
        <v>477.30407413615825</v>
      </c>
      <c r="Q49" s="73">
        <f t="shared" si="22"/>
        <v>1167.1370757379059</v>
      </c>
      <c r="S49" s="75">
        <f>VLOOKUP($A49,FoodLog!$A$1:$Z$10011,12,0)</f>
        <v>0</v>
      </c>
      <c r="T49" s="75">
        <f>VLOOKUP($A49,FoodLog!$A$1:$Z$10011,13,0)</f>
        <v>0</v>
      </c>
      <c r="U49" s="75">
        <f>VLOOKUP($A49,FoodLog!$A$1:$Z$10011,14,0)</f>
        <v>0</v>
      </c>
      <c r="V49" s="75">
        <f>VLOOKUP($A49,FoodLog!$A$1:$Z$10011,15,0)</f>
        <v>0</v>
      </c>
      <c r="W49" s="75">
        <f>VLOOKUP($A49,FoodLog!$A$1:$Z$10011,16,0)</f>
        <v>609.83300160174758</v>
      </c>
      <c r="X49" s="75">
        <f>VLOOKUP($A49,FoodLog!$A$1:$Z$10011,17,0)</f>
        <v>80</v>
      </c>
      <c r="Y49" s="75">
        <f>VLOOKUP($A49,FoodLog!$A$1:$Z$10011,18,0)</f>
        <v>477.30407413615825</v>
      </c>
      <c r="Z49" s="75">
        <f>VLOOKUP($A49,FoodLog!$A$1:$Z$10011,19,0)</f>
        <v>1167.1370757379059</v>
      </c>
      <c r="AA49" s="67">
        <f t="shared" si="23"/>
        <v>0.32877461071592162</v>
      </c>
      <c r="AB49" s="68">
        <f>Scale!C49</f>
        <v>0</v>
      </c>
    </row>
    <row r="50" spans="1:28" x14ac:dyDescent="0.25">
      <c r="A50" s="70">
        <f t="shared" si="24"/>
        <v>43039</v>
      </c>
      <c r="B50" s="71">
        <f t="shared" si="25"/>
        <v>48</v>
      </c>
      <c r="C50" s="72">
        <f t="shared" si="26"/>
        <v>185.94846266992144</v>
      </c>
      <c r="D50" s="72">
        <f t="shared" si="27"/>
        <v>149.15752316754944</v>
      </c>
      <c r="E50" s="73">
        <f t="shared" si="16"/>
        <v>36.790939502371998</v>
      </c>
      <c r="F50" s="61"/>
      <c r="G50" s="74">
        <f>C50*TDEE!$B$5</f>
        <v>2313.7572697921796</v>
      </c>
      <c r="H50" s="72">
        <f t="shared" si="28"/>
        <v>1140.5191245735318</v>
      </c>
      <c r="I50" s="72">
        <f t="shared" si="29"/>
        <v>1173.2381452186478</v>
      </c>
      <c r="J50" s="63">
        <f t="shared" si="17"/>
        <v>0.32586260702100911</v>
      </c>
      <c r="K50" s="72">
        <f t="shared" si="18"/>
        <v>68.4371190091655</v>
      </c>
      <c r="L50" s="72">
        <v>20</v>
      </c>
      <c r="M50" s="59">
        <f>Protein_Amt!$B$6</f>
        <v>119.32601853403956</v>
      </c>
      <c r="N50" s="72">
        <f t="shared" si="19"/>
        <v>615.93407108248948</v>
      </c>
      <c r="O50" s="72">
        <f t="shared" si="20"/>
        <v>80</v>
      </c>
      <c r="P50" s="72">
        <f t="shared" si="21"/>
        <v>477.30407413615825</v>
      </c>
      <c r="Q50" s="73">
        <f t="shared" si="22"/>
        <v>1173.2381452186478</v>
      </c>
      <c r="S50" s="75">
        <f>VLOOKUP($A50,FoodLog!$A$1:$Z$10011,12,0)</f>
        <v>0</v>
      </c>
      <c r="T50" s="75">
        <f>VLOOKUP($A50,FoodLog!$A$1:$Z$10011,13,0)</f>
        <v>0</v>
      </c>
      <c r="U50" s="75">
        <f>VLOOKUP($A50,FoodLog!$A$1:$Z$10011,14,0)</f>
        <v>0</v>
      </c>
      <c r="V50" s="75">
        <f>VLOOKUP($A50,FoodLog!$A$1:$Z$10011,15,0)</f>
        <v>0</v>
      </c>
      <c r="W50" s="75">
        <f>VLOOKUP($A50,FoodLog!$A$1:$Z$10011,16,0)</f>
        <v>615.93407108248948</v>
      </c>
      <c r="X50" s="75">
        <f>VLOOKUP($A50,FoodLog!$A$1:$Z$10011,17,0)</f>
        <v>80</v>
      </c>
      <c r="Y50" s="75">
        <f>VLOOKUP($A50,FoodLog!$A$1:$Z$10011,18,0)</f>
        <v>477.30407413615825</v>
      </c>
      <c r="Z50" s="75">
        <f>VLOOKUP($A50,FoodLog!$A$1:$Z$10011,19,0)</f>
        <v>1173.2381452186478</v>
      </c>
      <c r="AA50" s="67">
        <f t="shared" si="23"/>
        <v>0.32586260702100911</v>
      </c>
      <c r="AB50" s="68">
        <f>Scale!C50</f>
        <v>0</v>
      </c>
    </row>
    <row r="51" spans="1:28" x14ac:dyDescent="0.25">
      <c r="A51" s="70">
        <f t="shared" si="24"/>
        <v>43040</v>
      </c>
      <c r="B51" s="71">
        <f t="shared" si="25"/>
        <v>49</v>
      </c>
      <c r="C51" s="72">
        <f t="shared" si="26"/>
        <v>185.62260006290043</v>
      </c>
      <c r="D51" s="72">
        <f t="shared" si="27"/>
        <v>149.15752316754944</v>
      </c>
      <c r="E51" s="73">
        <f t="shared" si="16"/>
        <v>36.46507689535099</v>
      </c>
      <c r="F51" s="61"/>
      <c r="G51" s="74">
        <f>C51*TDEE!$B$5</f>
        <v>2309.7025604112978</v>
      </c>
      <c r="H51" s="72">
        <f t="shared" si="28"/>
        <v>1130.4173837558806</v>
      </c>
      <c r="I51" s="72">
        <f t="shared" si="29"/>
        <v>1179.2851766554172</v>
      </c>
      <c r="J51" s="63">
        <f t="shared" si="17"/>
        <v>0.322976395358823</v>
      </c>
      <c r="K51" s="72">
        <f t="shared" si="18"/>
        <v>69.109011391028773</v>
      </c>
      <c r="L51" s="72">
        <v>20</v>
      </c>
      <c r="M51" s="59">
        <f>Protein_Amt!$B$6</f>
        <v>119.32601853403956</v>
      </c>
      <c r="N51" s="72">
        <f t="shared" si="19"/>
        <v>621.98110251925891</v>
      </c>
      <c r="O51" s="72">
        <f t="shared" si="20"/>
        <v>80</v>
      </c>
      <c r="P51" s="72">
        <f t="shared" si="21"/>
        <v>477.30407413615825</v>
      </c>
      <c r="Q51" s="73">
        <f t="shared" si="22"/>
        <v>1179.2851766554172</v>
      </c>
      <c r="S51" s="75">
        <f>VLOOKUP($A51,FoodLog!$A$1:$Z$10011,12,0)</f>
        <v>0</v>
      </c>
      <c r="T51" s="75">
        <f>VLOOKUP($A51,FoodLog!$A$1:$Z$10011,13,0)</f>
        <v>0</v>
      </c>
      <c r="U51" s="75">
        <f>VLOOKUP($A51,FoodLog!$A$1:$Z$10011,14,0)</f>
        <v>0</v>
      </c>
      <c r="V51" s="75">
        <f>VLOOKUP($A51,FoodLog!$A$1:$Z$10011,15,0)</f>
        <v>0</v>
      </c>
      <c r="W51" s="75">
        <f>VLOOKUP($A51,FoodLog!$A$1:$Z$10011,16,0)</f>
        <v>621.98110251925891</v>
      </c>
      <c r="X51" s="75">
        <f>VLOOKUP($A51,FoodLog!$A$1:$Z$10011,17,0)</f>
        <v>80</v>
      </c>
      <c r="Y51" s="75">
        <f>VLOOKUP($A51,FoodLog!$A$1:$Z$10011,18,0)</f>
        <v>477.30407413615825</v>
      </c>
      <c r="Z51" s="75">
        <f>VLOOKUP($A51,FoodLog!$A$1:$Z$10011,19,0)</f>
        <v>1179.2851766554172</v>
      </c>
      <c r="AA51" s="67">
        <f t="shared" si="23"/>
        <v>0.322976395358823</v>
      </c>
      <c r="AB51" s="68">
        <f>Scale!C51</f>
        <v>0</v>
      </c>
    </row>
    <row r="52" spans="1:28" x14ac:dyDescent="0.25">
      <c r="A52" s="70">
        <f t="shared" si="24"/>
        <v>43041</v>
      </c>
      <c r="B52" s="71">
        <f t="shared" si="25"/>
        <v>50</v>
      </c>
      <c r="C52" s="72">
        <f t="shared" si="26"/>
        <v>185.2996236675416</v>
      </c>
      <c r="D52" s="72">
        <f t="shared" si="27"/>
        <v>149.15752316754944</v>
      </c>
      <c r="E52" s="73">
        <f t="shared" si="16"/>
        <v>36.142100499992154</v>
      </c>
      <c r="F52" s="61"/>
      <c r="G52" s="74">
        <f>C52*TDEE!$B$5</f>
        <v>2305.6837641706466</v>
      </c>
      <c r="H52" s="72">
        <f t="shared" si="28"/>
        <v>1120.4051154997567</v>
      </c>
      <c r="I52" s="72">
        <f t="shared" si="29"/>
        <v>1185.2786486708899</v>
      </c>
      <c r="J52" s="63">
        <f t="shared" si="17"/>
        <v>0.32011574728564479</v>
      </c>
      <c r="K52" s="72">
        <f t="shared" si="18"/>
        <v>69.774952726081281</v>
      </c>
      <c r="L52" s="72">
        <v>20</v>
      </c>
      <c r="M52" s="59">
        <f>Protein_Amt!$B$6</f>
        <v>119.32601853403956</v>
      </c>
      <c r="N52" s="72">
        <f t="shared" si="19"/>
        <v>627.97457453473157</v>
      </c>
      <c r="O52" s="72">
        <f t="shared" si="20"/>
        <v>80</v>
      </c>
      <c r="P52" s="72">
        <f t="shared" si="21"/>
        <v>477.30407413615825</v>
      </c>
      <c r="Q52" s="73">
        <f t="shared" si="22"/>
        <v>1185.2786486708899</v>
      </c>
      <c r="S52" s="75">
        <f>VLOOKUP($A52,FoodLog!$A$1:$Z$10011,12,0)</f>
        <v>0</v>
      </c>
      <c r="T52" s="75">
        <f>VLOOKUP($A52,FoodLog!$A$1:$Z$10011,13,0)</f>
        <v>0</v>
      </c>
      <c r="U52" s="75">
        <f>VLOOKUP($A52,FoodLog!$A$1:$Z$10011,14,0)</f>
        <v>0</v>
      </c>
      <c r="V52" s="75">
        <f>VLOOKUP($A52,FoodLog!$A$1:$Z$10011,15,0)</f>
        <v>0</v>
      </c>
      <c r="W52" s="75">
        <f>VLOOKUP($A52,FoodLog!$A$1:$Z$10011,16,0)</f>
        <v>627.97457453473157</v>
      </c>
      <c r="X52" s="75">
        <f>VLOOKUP($A52,FoodLog!$A$1:$Z$10011,17,0)</f>
        <v>80</v>
      </c>
      <c r="Y52" s="75">
        <f>VLOOKUP($A52,FoodLog!$A$1:$Z$10011,18,0)</f>
        <v>477.30407413615825</v>
      </c>
      <c r="Z52" s="75">
        <f>VLOOKUP($A52,FoodLog!$A$1:$Z$10011,19,0)</f>
        <v>1185.2786486708899</v>
      </c>
      <c r="AA52" s="67">
        <f t="shared" si="23"/>
        <v>0.32011574728564479</v>
      </c>
      <c r="AB52" s="68">
        <f>Scale!C52</f>
        <v>0</v>
      </c>
    </row>
    <row r="53" spans="1:28" x14ac:dyDescent="0.25">
      <c r="A53" s="70">
        <f t="shared" si="24"/>
        <v>43042</v>
      </c>
      <c r="B53" s="71">
        <f t="shared" si="25"/>
        <v>51</v>
      </c>
      <c r="C53" s="72">
        <f t="shared" si="26"/>
        <v>184.97950792025594</v>
      </c>
      <c r="D53" s="72">
        <f t="shared" si="27"/>
        <v>149.15752316754944</v>
      </c>
      <c r="E53" s="73">
        <f t="shared" si="16"/>
        <v>35.821984752706499</v>
      </c>
      <c r="F53" s="61"/>
      <c r="G53" s="74">
        <f>C53*TDEE!$B$5</f>
        <v>2301.7005629824125</v>
      </c>
      <c r="H53" s="72">
        <f t="shared" si="28"/>
        <v>1110.4815273339013</v>
      </c>
      <c r="I53" s="72">
        <f t="shared" si="29"/>
        <v>1191.2190356485112</v>
      </c>
      <c r="J53" s="63">
        <f t="shared" si="17"/>
        <v>0.31728043638111469</v>
      </c>
      <c r="K53" s="72">
        <f t="shared" si="18"/>
        <v>70.434995723594767</v>
      </c>
      <c r="L53" s="72">
        <v>20</v>
      </c>
      <c r="M53" s="59">
        <f>Protein_Amt!$B$6</f>
        <v>119.32601853403956</v>
      </c>
      <c r="N53" s="72">
        <f t="shared" si="19"/>
        <v>633.91496151235287</v>
      </c>
      <c r="O53" s="72">
        <f t="shared" si="20"/>
        <v>80</v>
      </c>
      <c r="P53" s="72">
        <f t="shared" si="21"/>
        <v>477.30407413615825</v>
      </c>
      <c r="Q53" s="73">
        <f t="shared" si="22"/>
        <v>1191.2190356485112</v>
      </c>
      <c r="S53" s="75">
        <f>VLOOKUP($A53,FoodLog!$A$1:$Z$10011,12,0)</f>
        <v>0</v>
      </c>
      <c r="T53" s="75">
        <f>VLOOKUP($A53,FoodLog!$A$1:$Z$10011,13,0)</f>
        <v>0</v>
      </c>
      <c r="U53" s="75">
        <f>VLOOKUP($A53,FoodLog!$A$1:$Z$10011,14,0)</f>
        <v>0</v>
      </c>
      <c r="V53" s="75">
        <f>VLOOKUP($A53,FoodLog!$A$1:$Z$10011,15,0)</f>
        <v>0</v>
      </c>
      <c r="W53" s="75">
        <f>VLOOKUP($A53,FoodLog!$A$1:$Z$10011,16,0)</f>
        <v>633.91496151235287</v>
      </c>
      <c r="X53" s="75">
        <f>VLOOKUP($A53,FoodLog!$A$1:$Z$10011,17,0)</f>
        <v>80</v>
      </c>
      <c r="Y53" s="75">
        <f>VLOOKUP($A53,FoodLog!$A$1:$Z$10011,18,0)</f>
        <v>477.30407413615825</v>
      </c>
      <c r="Z53" s="75">
        <f>VLOOKUP($A53,FoodLog!$A$1:$Z$10011,19,0)</f>
        <v>1191.2190356485112</v>
      </c>
      <c r="AA53" s="67">
        <f t="shared" si="23"/>
        <v>0.31728043638111469</v>
      </c>
      <c r="AB53" s="68">
        <f>Scale!C53</f>
        <v>0</v>
      </c>
    </row>
    <row r="54" spans="1:28" x14ac:dyDescent="0.25">
      <c r="A54" s="70">
        <f t="shared" si="24"/>
        <v>43043</v>
      </c>
      <c r="B54" s="71">
        <f t="shared" si="25"/>
        <v>52</v>
      </c>
      <c r="C54" s="72">
        <f t="shared" si="26"/>
        <v>184.66222748387483</v>
      </c>
      <c r="D54" s="72">
        <f t="shared" si="27"/>
        <v>149.15752316754944</v>
      </c>
      <c r="E54" s="73">
        <f t="shared" si="16"/>
        <v>35.504704316325387</v>
      </c>
      <c r="F54" s="61"/>
      <c r="G54" s="74">
        <f>C54*TDEE!$B$5</f>
        <v>2297.7526415761313</v>
      </c>
      <c r="H54" s="72">
        <f t="shared" si="28"/>
        <v>1100.645833806087</v>
      </c>
      <c r="I54" s="72">
        <f t="shared" si="29"/>
        <v>1197.1068077700443</v>
      </c>
      <c r="J54" s="63">
        <f t="shared" si="17"/>
        <v>0.31447023823031056</v>
      </c>
      <c r="K54" s="72">
        <f t="shared" si="18"/>
        <v>71.089192625987323</v>
      </c>
      <c r="L54" s="72">
        <v>20</v>
      </c>
      <c r="M54" s="59">
        <f>Protein_Amt!$B$6</f>
        <v>119.32601853403956</v>
      </c>
      <c r="N54" s="72">
        <f t="shared" si="19"/>
        <v>639.80273363388596</v>
      </c>
      <c r="O54" s="72">
        <f t="shared" si="20"/>
        <v>80</v>
      </c>
      <c r="P54" s="72">
        <f t="shared" si="21"/>
        <v>477.30407413615825</v>
      </c>
      <c r="Q54" s="73">
        <f t="shared" si="22"/>
        <v>1197.1068077700443</v>
      </c>
      <c r="S54" s="75">
        <f>VLOOKUP($A54,FoodLog!$A$1:$Z$10011,12,0)</f>
        <v>0</v>
      </c>
      <c r="T54" s="75">
        <f>VLOOKUP($A54,FoodLog!$A$1:$Z$10011,13,0)</f>
        <v>0</v>
      </c>
      <c r="U54" s="75">
        <f>VLOOKUP($A54,FoodLog!$A$1:$Z$10011,14,0)</f>
        <v>0</v>
      </c>
      <c r="V54" s="75">
        <f>VLOOKUP($A54,FoodLog!$A$1:$Z$10011,15,0)</f>
        <v>0</v>
      </c>
      <c r="W54" s="75">
        <f>VLOOKUP($A54,FoodLog!$A$1:$Z$10011,16,0)</f>
        <v>639.80273363388596</v>
      </c>
      <c r="X54" s="75">
        <f>VLOOKUP($A54,FoodLog!$A$1:$Z$10011,17,0)</f>
        <v>80</v>
      </c>
      <c r="Y54" s="75">
        <f>VLOOKUP($A54,FoodLog!$A$1:$Z$10011,18,0)</f>
        <v>477.30407413615825</v>
      </c>
      <c r="Z54" s="75">
        <f>VLOOKUP($A54,FoodLog!$A$1:$Z$10011,19,0)</f>
        <v>1197.1068077700443</v>
      </c>
      <c r="AA54" s="67">
        <f t="shared" si="23"/>
        <v>0.31447023823031056</v>
      </c>
      <c r="AB54" s="68">
        <f>Scale!C54</f>
        <v>0</v>
      </c>
    </row>
    <row r="55" spans="1:28" x14ac:dyDescent="0.25">
      <c r="A55" s="70">
        <f t="shared" si="24"/>
        <v>43044</v>
      </c>
      <c r="B55" s="71">
        <f t="shared" si="25"/>
        <v>53</v>
      </c>
      <c r="C55" s="72">
        <f t="shared" si="26"/>
        <v>184.34775724564452</v>
      </c>
      <c r="D55" s="72">
        <f t="shared" si="27"/>
        <v>149.15752316754944</v>
      </c>
      <c r="E55" s="73">
        <f t="shared" si="16"/>
        <v>35.190234078095074</v>
      </c>
      <c r="F55" s="61"/>
      <c r="G55" s="74">
        <f>C55*TDEE!$B$5</f>
        <v>2293.8396874737346</v>
      </c>
      <c r="H55" s="72">
        <f t="shared" si="28"/>
        <v>1090.8972564209473</v>
      </c>
      <c r="I55" s="72">
        <f t="shared" si="29"/>
        <v>1202.9424310527872</v>
      </c>
      <c r="J55" s="63">
        <f t="shared" si="17"/>
        <v>0.31168493040598494</v>
      </c>
      <c r="K55" s="72">
        <f t="shared" si="18"/>
        <v>71.737595212958766</v>
      </c>
      <c r="L55" s="72">
        <v>20</v>
      </c>
      <c r="M55" s="59">
        <f>Protein_Amt!$B$6</f>
        <v>119.32601853403956</v>
      </c>
      <c r="N55" s="72">
        <f t="shared" si="19"/>
        <v>645.63835691662894</v>
      </c>
      <c r="O55" s="72">
        <f t="shared" si="20"/>
        <v>80</v>
      </c>
      <c r="P55" s="72">
        <f t="shared" si="21"/>
        <v>477.30407413615825</v>
      </c>
      <c r="Q55" s="73">
        <f t="shared" si="22"/>
        <v>1202.9424310527872</v>
      </c>
      <c r="S55" s="75">
        <f>VLOOKUP($A55,FoodLog!$A$1:$Z$10011,12,0)</f>
        <v>0</v>
      </c>
      <c r="T55" s="75">
        <f>VLOOKUP($A55,FoodLog!$A$1:$Z$10011,13,0)</f>
        <v>0</v>
      </c>
      <c r="U55" s="75">
        <f>VLOOKUP($A55,FoodLog!$A$1:$Z$10011,14,0)</f>
        <v>0</v>
      </c>
      <c r="V55" s="75">
        <f>VLOOKUP($A55,FoodLog!$A$1:$Z$10011,15,0)</f>
        <v>0</v>
      </c>
      <c r="W55" s="75">
        <f>VLOOKUP($A55,FoodLog!$A$1:$Z$10011,16,0)</f>
        <v>645.63835691662894</v>
      </c>
      <c r="X55" s="75">
        <f>VLOOKUP($A55,FoodLog!$A$1:$Z$10011,17,0)</f>
        <v>80</v>
      </c>
      <c r="Y55" s="75">
        <f>VLOOKUP($A55,FoodLog!$A$1:$Z$10011,18,0)</f>
        <v>477.30407413615825</v>
      </c>
      <c r="Z55" s="75">
        <f>VLOOKUP($A55,FoodLog!$A$1:$Z$10011,19,0)</f>
        <v>1202.9424310527872</v>
      </c>
      <c r="AA55" s="67">
        <f t="shared" si="23"/>
        <v>0.31168493040598494</v>
      </c>
      <c r="AB55" s="68">
        <f>Scale!C55</f>
        <v>0</v>
      </c>
    </row>
    <row r="56" spans="1:28" x14ac:dyDescent="0.25">
      <c r="A56" s="70">
        <f t="shared" si="24"/>
        <v>43045</v>
      </c>
      <c r="B56" s="71">
        <f t="shared" si="25"/>
        <v>54</v>
      </c>
      <c r="C56" s="72">
        <f t="shared" si="26"/>
        <v>184.03607231523853</v>
      </c>
      <c r="D56" s="72">
        <f t="shared" si="27"/>
        <v>149.15752316754944</v>
      </c>
      <c r="E56" s="73">
        <f t="shared" si="16"/>
        <v>34.878549147689085</v>
      </c>
      <c r="F56" s="61"/>
      <c r="G56" s="74">
        <f>C56*TDEE!$B$5</f>
        <v>2289.961390964816</v>
      </c>
      <c r="H56" s="72">
        <f t="shared" si="28"/>
        <v>1081.2350235783617</v>
      </c>
      <c r="I56" s="72">
        <f t="shared" si="29"/>
        <v>1208.7263673864543</v>
      </c>
      <c r="J56" s="63">
        <f t="shared" si="17"/>
        <v>0.30892429245096048</v>
      </c>
      <c r="K56" s="72">
        <f t="shared" si="18"/>
        <v>72.380254805588436</v>
      </c>
      <c r="L56" s="72">
        <v>20</v>
      </c>
      <c r="M56" s="59">
        <f>Protein_Amt!$B$6</f>
        <v>119.32601853403956</v>
      </c>
      <c r="N56" s="72">
        <f t="shared" si="19"/>
        <v>651.42229325029598</v>
      </c>
      <c r="O56" s="72">
        <f t="shared" si="20"/>
        <v>80</v>
      </c>
      <c r="P56" s="72">
        <f t="shared" si="21"/>
        <v>477.30407413615825</v>
      </c>
      <c r="Q56" s="73">
        <f t="shared" si="22"/>
        <v>1208.7263673864543</v>
      </c>
      <c r="S56" s="75">
        <f>VLOOKUP($A56,FoodLog!$A$1:$Z$10011,12,0)</f>
        <v>0</v>
      </c>
      <c r="T56" s="75">
        <f>VLOOKUP($A56,FoodLog!$A$1:$Z$10011,13,0)</f>
        <v>0</v>
      </c>
      <c r="U56" s="75">
        <f>VLOOKUP($A56,FoodLog!$A$1:$Z$10011,14,0)</f>
        <v>0</v>
      </c>
      <c r="V56" s="75">
        <f>VLOOKUP($A56,FoodLog!$A$1:$Z$10011,15,0)</f>
        <v>0</v>
      </c>
      <c r="W56" s="75">
        <f>VLOOKUP($A56,FoodLog!$A$1:$Z$10011,16,0)</f>
        <v>651.42229325029598</v>
      </c>
      <c r="X56" s="75">
        <f>VLOOKUP($A56,FoodLog!$A$1:$Z$10011,17,0)</f>
        <v>80</v>
      </c>
      <c r="Y56" s="75">
        <f>VLOOKUP($A56,FoodLog!$A$1:$Z$10011,18,0)</f>
        <v>477.30407413615825</v>
      </c>
      <c r="Z56" s="75">
        <f>VLOOKUP($A56,FoodLog!$A$1:$Z$10011,19,0)</f>
        <v>1208.7263673864543</v>
      </c>
      <c r="AA56" s="67">
        <f t="shared" si="23"/>
        <v>0.30892429245096048</v>
      </c>
      <c r="AB56" s="68">
        <f>Scale!C56</f>
        <v>0</v>
      </c>
    </row>
    <row r="57" spans="1:28" x14ac:dyDescent="0.25">
      <c r="A57" s="70">
        <f t="shared" si="24"/>
        <v>43046</v>
      </c>
      <c r="B57" s="71">
        <f t="shared" si="25"/>
        <v>55</v>
      </c>
      <c r="C57" s="72">
        <f t="shared" si="26"/>
        <v>183.72714802278756</v>
      </c>
      <c r="D57" s="72">
        <f t="shared" si="27"/>
        <v>149.15752316754944</v>
      </c>
      <c r="E57" s="73">
        <f t="shared" si="16"/>
        <v>34.569624855238118</v>
      </c>
      <c r="F57" s="61"/>
      <c r="G57" s="74">
        <f>C57*TDEE!$B$5</f>
        <v>2286.1174450821195</v>
      </c>
      <c r="H57" s="72">
        <f t="shared" si="28"/>
        <v>1071.6583705123817</v>
      </c>
      <c r="I57" s="72">
        <f t="shared" si="29"/>
        <v>1214.4590745697378</v>
      </c>
      <c r="J57" s="63">
        <f t="shared" si="17"/>
        <v>0.30618810586068046</v>
      </c>
      <c r="K57" s="72">
        <f t="shared" si="18"/>
        <v>73.017222270397724</v>
      </c>
      <c r="L57" s="72">
        <v>20</v>
      </c>
      <c r="M57" s="59">
        <f>Protein_Amt!$B$6</f>
        <v>119.32601853403956</v>
      </c>
      <c r="N57" s="72">
        <f t="shared" si="19"/>
        <v>657.15500043357952</v>
      </c>
      <c r="O57" s="72">
        <f t="shared" si="20"/>
        <v>80</v>
      </c>
      <c r="P57" s="72">
        <f t="shared" si="21"/>
        <v>477.30407413615825</v>
      </c>
      <c r="Q57" s="73">
        <f t="shared" si="22"/>
        <v>1214.4590745697378</v>
      </c>
      <c r="S57" s="75">
        <f>VLOOKUP($A57,FoodLog!$A$1:$Z$10011,12,0)</f>
        <v>0</v>
      </c>
      <c r="T57" s="75">
        <f>VLOOKUP($A57,FoodLog!$A$1:$Z$10011,13,0)</f>
        <v>0</v>
      </c>
      <c r="U57" s="75">
        <f>VLOOKUP($A57,FoodLog!$A$1:$Z$10011,14,0)</f>
        <v>0</v>
      </c>
      <c r="V57" s="75">
        <f>VLOOKUP($A57,FoodLog!$A$1:$Z$10011,15,0)</f>
        <v>0</v>
      </c>
      <c r="W57" s="75">
        <f>VLOOKUP($A57,FoodLog!$A$1:$Z$10011,16,0)</f>
        <v>657.15500043357952</v>
      </c>
      <c r="X57" s="75">
        <f>VLOOKUP($A57,FoodLog!$A$1:$Z$10011,17,0)</f>
        <v>80</v>
      </c>
      <c r="Y57" s="75">
        <f>VLOOKUP($A57,FoodLog!$A$1:$Z$10011,18,0)</f>
        <v>477.30407413615825</v>
      </c>
      <c r="Z57" s="75">
        <f>VLOOKUP($A57,FoodLog!$A$1:$Z$10011,19,0)</f>
        <v>1214.4590745697378</v>
      </c>
      <c r="AA57" s="67">
        <f t="shared" si="23"/>
        <v>0.30618810586068046</v>
      </c>
      <c r="AB57" s="68">
        <f>Scale!C57</f>
        <v>0</v>
      </c>
    </row>
    <row r="58" spans="1:28" x14ac:dyDescent="0.25">
      <c r="A58" s="70">
        <f t="shared" si="24"/>
        <v>43047</v>
      </c>
      <c r="B58" s="71">
        <f t="shared" si="25"/>
        <v>56</v>
      </c>
      <c r="C58" s="72">
        <f t="shared" si="26"/>
        <v>183.42095991692688</v>
      </c>
      <c r="D58" s="72">
        <f t="shared" si="27"/>
        <v>149.15752316754944</v>
      </c>
      <c r="E58" s="73">
        <f t="shared" si="16"/>
        <v>34.263436749377433</v>
      </c>
      <c r="F58" s="61"/>
      <c r="G58" s="74">
        <f>C58*TDEE!$B$5</f>
        <v>2282.3075455772409</v>
      </c>
      <c r="H58" s="72">
        <f t="shared" si="28"/>
        <v>1062.1665392307004</v>
      </c>
      <c r="I58" s="72">
        <f t="shared" si="29"/>
        <v>1220.1410063465405</v>
      </c>
      <c r="J58" s="63">
        <f t="shared" si="17"/>
        <v>0.30347615406591438</v>
      </c>
      <c r="K58" s="72">
        <f t="shared" si="18"/>
        <v>73.648548023375795</v>
      </c>
      <c r="L58" s="72">
        <v>20</v>
      </c>
      <c r="M58" s="59">
        <f>Protein_Amt!$B$6</f>
        <v>119.32601853403956</v>
      </c>
      <c r="N58" s="72">
        <f t="shared" si="19"/>
        <v>662.8369322103822</v>
      </c>
      <c r="O58" s="72">
        <f t="shared" si="20"/>
        <v>80</v>
      </c>
      <c r="P58" s="72">
        <f t="shared" si="21"/>
        <v>477.30407413615825</v>
      </c>
      <c r="Q58" s="73">
        <f t="shared" si="22"/>
        <v>1220.1410063465405</v>
      </c>
      <c r="S58" s="75">
        <f>VLOOKUP($A58,FoodLog!$A$1:$Z$10011,12,0)</f>
        <v>0</v>
      </c>
      <c r="T58" s="75">
        <f>VLOOKUP($A58,FoodLog!$A$1:$Z$10011,13,0)</f>
        <v>0</v>
      </c>
      <c r="U58" s="75">
        <f>VLOOKUP($A58,FoodLog!$A$1:$Z$10011,14,0)</f>
        <v>0</v>
      </c>
      <c r="V58" s="75">
        <f>VLOOKUP($A58,FoodLog!$A$1:$Z$10011,15,0)</f>
        <v>0</v>
      </c>
      <c r="W58" s="75">
        <f>VLOOKUP($A58,FoodLog!$A$1:$Z$10011,16,0)</f>
        <v>662.8369322103822</v>
      </c>
      <c r="X58" s="75">
        <f>VLOOKUP($A58,FoodLog!$A$1:$Z$10011,17,0)</f>
        <v>80</v>
      </c>
      <c r="Y58" s="75">
        <f>VLOOKUP($A58,FoodLog!$A$1:$Z$10011,18,0)</f>
        <v>477.30407413615825</v>
      </c>
      <c r="Z58" s="75">
        <f>VLOOKUP($A58,FoodLog!$A$1:$Z$10011,19,0)</f>
        <v>1220.1410063465405</v>
      </c>
      <c r="AA58" s="67">
        <f t="shared" si="23"/>
        <v>0.30347615406591438</v>
      </c>
      <c r="AB58" s="68">
        <f>Scale!C58</f>
        <v>0</v>
      </c>
    </row>
    <row r="59" spans="1:28" x14ac:dyDescent="0.25">
      <c r="A59" s="70">
        <f t="shared" si="24"/>
        <v>43048</v>
      </c>
      <c r="B59" s="71">
        <f t="shared" si="25"/>
        <v>57</v>
      </c>
      <c r="C59" s="72">
        <f t="shared" si="26"/>
        <v>183.11748376286096</v>
      </c>
      <c r="D59" s="72">
        <f t="shared" si="27"/>
        <v>149.15752316754944</v>
      </c>
      <c r="E59" s="73">
        <f t="shared" si="16"/>
        <v>33.959960595311514</v>
      </c>
      <c r="F59" s="61"/>
      <c r="G59" s="74">
        <f>C59*TDEE!$B$5</f>
        <v>2278.5313908965481</v>
      </c>
      <c r="H59" s="72">
        <f t="shared" si="28"/>
        <v>1052.758778454657</v>
      </c>
      <c r="I59" s="72">
        <f t="shared" si="29"/>
        <v>1225.7726124418912</v>
      </c>
      <c r="J59" s="63">
        <f t="shared" si="17"/>
        <v>0.30078822241561626</v>
      </c>
      <c r="K59" s="72">
        <f t="shared" si="18"/>
        <v>74.274282033970323</v>
      </c>
      <c r="L59" s="72">
        <v>20</v>
      </c>
      <c r="M59" s="59">
        <f>Protein_Amt!$B$6</f>
        <v>119.32601853403956</v>
      </c>
      <c r="N59" s="72">
        <f t="shared" si="19"/>
        <v>668.46853830573286</v>
      </c>
      <c r="O59" s="72">
        <f t="shared" si="20"/>
        <v>80</v>
      </c>
      <c r="P59" s="72">
        <f t="shared" si="21"/>
        <v>477.30407413615825</v>
      </c>
      <c r="Q59" s="73">
        <f t="shared" si="22"/>
        <v>1225.7726124418912</v>
      </c>
      <c r="S59" s="75">
        <f>VLOOKUP($A59,FoodLog!$A$1:$Z$10011,12,0)</f>
        <v>0</v>
      </c>
      <c r="T59" s="75">
        <f>VLOOKUP($A59,FoodLog!$A$1:$Z$10011,13,0)</f>
        <v>0</v>
      </c>
      <c r="U59" s="75">
        <f>VLOOKUP($A59,FoodLog!$A$1:$Z$10011,14,0)</f>
        <v>0</v>
      </c>
      <c r="V59" s="75">
        <f>VLOOKUP($A59,FoodLog!$A$1:$Z$10011,15,0)</f>
        <v>0</v>
      </c>
      <c r="W59" s="75">
        <f>VLOOKUP($A59,FoodLog!$A$1:$Z$10011,16,0)</f>
        <v>668.46853830573286</v>
      </c>
      <c r="X59" s="75">
        <f>VLOOKUP($A59,FoodLog!$A$1:$Z$10011,17,0)</f>
        <v>80</v>
      </c>
      <c r="Y59" s="75">
        <f>VLOOKUP($A59,FoodLog!$A$1:$Z$10011,18,0)</f>
        <v>477.30407413615825</v>
      </c>
      <c r="Z59" s="75">
        <f>VLOOKUP($A59,FoodLog!$A$1:$Z$10011,19,0)</f>
        <v>1225.7726124418912</v>
      </c>
      <c r="AA59" s="67">
        <f t="shared" si="23"/>
        <v>0.30078822241561626</v>
      </c>
      <c r="AB59" s="68">
        <f>Scale!C59</f>
        <v>0</v>
      </c>
    </row>
    <row r="60" spans="1:28" x14ac:dyDescent="0.25">
      <c r="A60" s="70">
        <f t="shared" si="24"/>
        <v>43049</v>
      </c>
      <c r="B60" s="71">
        <f t="shared" si="25"/>
        <v>58</v>
      </c>
      <c r="C60" s="72">
        <f t="shared" si="26"/>
        <v>182.81669554044535</v>
      </c>
      <c r="D60" s="72">
        <f t="shared" si="27"/>
        <v>149.15752316754944</v>
      </c>
      <c r="E60" s="73">
        <f t="shared" si="16"/>
        <v>33.65917237289591</v>
      </c>
      <c r="F60" s="61"/>
      <c r="G60" s="74">
        <f>C60*TDEE!$B$5</f>
        <v>2274.7886821573138</v>
      </c>
      <c r="H60" s="72">
        <f t="shared" si="28"/>
        <v>1043.4343435597732</v>
      </c>
      <c r="I60" s="72">
        <f t="shared" si="29"/>
        <v>1231.3543385975406</v>
      </c>
      <c r="J60" s="63">
        <f t="shared" si="17"/>
        <v>0.29812409815993518</v>
      </c>
      <c r="K60" s="72">
        <f t="shared" si="18"/>
        <v>74.894473829042482</v>
      </c>
      <c r="L60" s="72">
        <v>20</v>
      </c>
      <c r="M60" s="59">
        <f>Protein_Amt!$B$6</f>
        <v>119.32601853403956</v>
      </c>
      <c r="N60" s="72">
        <f t="shared" si="19"/>
        <v>674.05026446138231</v>
      </c>
      <c r="O60" s="72">
        <f t="shared" si="20"/>
        <v>80</v>
      </c>
      <c r="P60" s="72">
        <f t="shared" si="21"/>
        <v>477.30407413615825</v>
      </c>
      <c r="Q60" s="73">
        <f t="shared" si="22"/>
        <v>1231.3543385975406</v>
      </c>
      <c r="S60" s="75">
        <f>VLOOKUP($A60,FoodLog!$A$1:$Z$10011,12,0)</f>
        <v>0</v>
      </c>
      <c r="T60" s="75">
        <f>VLOOKUP($A60,FoodLog!$A$1:$Z$10011,13,0)</f>
        <v>0</v>
      </c>
      <c r="U60" s="75">
        <f>VLOOKUP($A60,FoodLog!$A$1:$Z$10011,14,0)</f>
        <v>0</v>
      </c>
      <c r="V60" s="75">
        <f>VLOOKUP($A60,FoodLog!$A$1:$Z$10011,15,0)</f>
        <v>0</v>
      </c>
      <c r="W60" s="75">
        <f>VLOOKUP($A60,FoodLog!$A$1:$Z$10011,16,0)</f>
        <v>674.05026446138231</v>
      </c>
      <c r="X60" s="75">
        <f>VLOOKUP($A60,FoodLog!$A$1:$Z$10011,17,0)</f>
        <v>80</v>
      </c>
      <c r="Y60" s="75">
        <f>VLOOKUP($A60,FoodLog!$A$1:$Z$10011,18,0)</f>
        <v>477.30407413615825</v>
      </c>
      <c r="Z60" s="75">
        <f>VLOOKUP($A60,FoodLog!$A$1:$Z$10011,19,0)</f>
        <v>1231.3543385975406</v>
      </c>
      <c r="AA60" s="67">
        <f t="shared" si="23"/>
        <v>0.29812409815993518</v>
      </c>
      <c r="AB60" s="68">
        <f>Scale!C60</f>
        <v>0</v>
      </c>
    </row>
    <row r="61" spans="1:28" x14ac:dyDescent="0.25">
      <c r="A61" s="70">
        <f t="shared" si="24"/>
        <v>43050</v>
      </c>
      <c r="B61" s="71">
        <f t="shared" si="25"/>
        <v>59</v>
      </c>
      <c r="C61" s="72">
        <f t="shared" si="26"/>
        <v>182.51857144228541</v>
      </c>
      <c r="D61" s="72">
        <f t="shared" si="27"/>
        <v>149.15752316754944</v>
      </c>
      <c r="E61" s="73">
        <f t="shared" si="16"/>
        <v>33.361048274735964</v>
      </c>
      <c r="F61" s="61"/>
      <c r="G61" s="74">
        <f>C61*TDEE!$B$5</f>
        <v>2271.0791231240546</v>
      </c>
      <c r="H61" s="72">
        <f t="shared" si="28"/>
        <v>1034.1924965168148</v>
      </c>
      <c r="I61" s="72">
        <f t="shared" si="29"/>
        <v>1236.8866266072398</v>
      </c>
      <c r="J61" s="63">
        <f t="shared" si="17"/>
        <v>0.29548357043337564</v>
      </c>
      <c r="K61" s="72">
        <f t="shared" si="18"/>
        <v>75.509172496786832</v>
      </c>
      <c r="L61" s="72">
        <v>20</v>
      </c>
      <c r="M61" s="59">
        <f>Protein_Amt!$B$6</f>
        <v>119.32601853403956</v>
      </c>
      <c r="N61" s="72">
        <f t="shared" si="19"/>
        <v>679.5825524710815</v>
      </c>
      <c r="O61" s="72">
        <f t="shared" si="20"/>
        <v>80</v>
      </c>
      <c r="P61" s="72">
        <f t="shared" si="21"/>
        <v>477.30407413615825</v>
      </c>
      <c r="Q61" s="73">
        <f t="shared" si="22"/>
        <v>1236.8866266072398</v>
      </c>
      <c r="S61" s="75">
        <f>VLOOKUP($A61,FoodLog!$A$1:$Z$10011,12,0)</f>
        <v>0</v>
      </c>
      <c r="T61" s="75">
        <f>VLOOKUP($A61,FoodLog!$A$1:$Z$10011,13,0)</f>
        <v>0</v>
      </c>
      <c r="U61" s="75">
        <f>VLOOKUP($A61,FoodLog!$A$1:$Z$10011,14,0)</f>
        <v>0</v>
      </c>
      <c r="V61" s="75">
        <f>VLOOKUP($A61,FoodLog!$A$1:$Z$10011,15,0)</f>
        <v>0</v>
      </c>
      <c r="W61" s="75">
        <f>VLOOKUP($A61,FoodLog!$A$1:$Z$10011,16,0)</f>
        <v>679.5825524710815</v>
      </c>
      <c r="X61" s="75">
        <f>VLOOKUP($A61,FoodLog!$A$1:$Z$10011,17,0)</f>
        <v>80</v>
      </c>
      <c r="Y61" s="75">
        <f>VLOOKUP($A61,FoodLog!$A$1:$Z$10011,18,0)</f>
        <v>477.30407413615825</v>
      </c>
      <c r="Z61" s="75">
        <f>VLOOKUP($A61,FoodLog!$A$1:$Z$10011,19,0)</f>
        <v>1236.8866266072398</v>
      </c>
      <c r="AA61" s="67">
        <f t="shared" si="23"/>
        <v>0.29548357043337564</v>
      </c>
      <c r="AB61" s="68">
        <f>Scale!C61</f>
        <v>0</v>
      </c>
    </row>
    <row r="62" spans="1:28" x14ac:dyDescent="0.25">
      <c r="A62" s="70">
        <f t="shared" si="24"/>
        <v>43051</v>
      </c>
      <c r="B62" s="71">
        <f t="shared" si="25"/>
        <v>60</v>
      </c>
      <c r="C62" s="72">
        <f t="shared" si="26"/>
        <v>182.22308787185204</v>
      </c>
      <c r="D62" s="72">
        <f t="shared" si="27"/>
        <v>149.15752316754944</v>
      </c>
      <c r="E62" s="73">
        <f t="shared" si="16"/>
        <v>33.065564704302602</v>
      </c>
      <c r="F62" s="61"/>
      <c r="G62" s="74">
        <f>C62*TDEE!$B$5</f>
        <v>2267.4024201850907</v>
      </c>
      <c r="H62" s="72">
        <f t="shared" si="28"/>
        <v>1025.0325058333806</v>
      </c>
      <c r="I62" s="72">
        <f t="shared" si="29"/>
        <v>1242.3699143517101</v>
      </c>
      <c r="J62" s="63">
        <f t="shared" si="17"/>
        <v>0.29286643023810871</v>
      </c>
      <c r="K62" s="72">
        <f t="shared" si="18"/>
        <v>76.118426690616872</v>
      </c>
      <c r="L62" s="72">
        <v>20</v>
      </c>
      <c r="M62" s="59">
        <f>Protein_Amt!$B$6</f>
        <v>119.32601853403956</v>
      </c>
      <c r="N62" s="72">
        <f t="shared" si="19"/>
        <v>685.06584021555182</v>
      </c>
      <c r="O62" s="72">
        <f t="shared" si="20"/>
        <v>80</v>
      </c>
      <c r="P62" s="72">
        <f t="shared" si="21"/>
        <v>477.30407413615825</v>
      </c>
      <c r="Q62" s="73">
        <f t="shared" si="22"/>
        <v>1242.3699143517101</v>
      </c>
      <c r="S62" s="75">
        <f>VLOOKUP($A62,FoodLog!$A$1:$Z$10011,12,0)</f>
        <v>0</v>
      </c>
      <c r="T62" s="75">
        <f>VLOOKUP($A62,FoodLog!$A$1:$Z$10011,13,0)</f>
        <v>0</v>
      </c>
      <c r="U62" s="75">
        <f>VLOOKUP($A62,FoodLog!$A$1:$Z$10011,14,0)</f>
        <v>0</v>
      </c>
      <c r="V62" s="75">
        <f>VLOOKUP($A62,FoodLog!$A$1:$Z$10011,15,0)</f>
        <v>0</v>
      </c>
      <c r="W62" s="75">
        <f>VLOOKUP($A62,FoodLog!$A$1:$Z$10011,16,0)</f>
        <v>685.06584021555182</v>
      </c>
      <c r="X62" s="75">
        <f>VLOOKUP($A62,FoodLog!$A$1:$Z$10011,17,0)</f>
        <v>80</v>
      </c>
      <c r="Y62" s="75">
        <f>VLOOKUP($A62,FoodLog!$A$1:$Z$10011,18,0)</f>
        <v>477.30407413615825</v>
      </c>
      <c r="Z62" s="75">
        <f>VLOOKUP($A62,FoodLog!$A$1:$Z$10011,19,0)</f>
        <v>1242.3699143517101</v>
      </c>
      <c r="AA62" s="67">
        <f t="shared" si="23"/>
        <v>0.29286643023810871</v>
      </c>
      <c r="AB62" s="68">
        <f>Scale!C62</f>
        <v>0</v>
      </c>
    </row>
    <row r="63" spans="1:28" x14ac:dyDescent="0.25">
      <c r="A63" s="70">
        <f t="shared" si="24"/>
        <v>43052</v>
      </c>
      <c r="B63" s="71">
        <f t="shared" si="25"/>
        <v>61</v>
      </c>
      <c r="C63" s="72">
        <f t="shared" si="26"/>
        <v>181.93022144161392</v>
      </c>
      <c r="D63" s="72">
        <f t="shared" si="27"/>
        <v>149.15752316754944</v>
      </c>
      <c r="E63" s="73">
        <f t="shared" si="16"/>
        <v>32.772698274064481</v>
      </c>
      <c r="F63" s="61"/>
      <c r="G63" s="74">
        <f>C63*TDEE!$B$5</f>
        <v>2263.7582823293001</v>
      </c>
      <c r="H63" s="72">
        <f t="shared" si="28"/>
        <v>1015.9536464959989</v>
      </c>
      <c r="I63" s="72">
        <f t="shared" si="29"/>
        <v>1247.8046358333013</v>
      </c>
      <c r="J63" s="63">
        <f t="shared" si="17"/>
        <v>0.29027247042742826</v>
      </c>
      <c r="K63" s="72">
        <f t="shared" si="18"/>
        <v>76.722284633015889</v>
      </c>
      <c r="L63" s="72">
        <v>20</v>
      </c>
      <c r="M63" s="59">
        <f>Protein_Amt!$B$6</f>
        <v>119.32601853403956</v>
      </c>
      <c r="N63" s="72">
        <f t="shared" si="19"/>
        <v>690.50056169714298</v>
      </c>
      <c r="O63" s="72">
        <f t="shared" si="20"/>
        <v>80</v>
      </c>
      <c r="P63" s="72">
        <f t="shared" si="21"/>
        <v>477.30407413615825</v>
      </c>
      <c r="Q63" s="73">
        <f t="shared" si="22"/>
        <v>1247.8046358333013</v>
      </c>
      <c r="S63" s="75">
        <f>VLOOKUP($A63,FoodLog!$A$1:$Z$10011,12,0)</f>
        <v>0</v>
      </c>
      <c r="T63" s="75">
        <f>VLOOKUP($A63,FoodLog!$A$1:$Z$10011,13,0)</f>
        <v>0</v>
      </c>
      <c r="U63" s="75">
        <f>VLOOKUP($A63,FoodLog!$A$1:$Z$10011,14,0)</f>
        <v>0</v>
      </c>
      <c r="V63" s="75">
        <f>VLOOKUP($A63,FoodLog!$A$1:$Z$10011,15,0)</f>
        <v>0</v>
      </c>
      <c r="W63" s="75">
        <f>VLOOKUP($A63,FoodLog!$A$1:$Z$10011,16,0)</f>
        <v>690.50056169714298</v>
      </c>
      <c r="X63" s="75">
        <f>VLOOKUP($A63,FoodLog!$A$1:$Z$10011,17,0)</f>
        <v>80</v>
      </c>
      <c r="Y63" s="75">
        <f>VLOOKUP($A63,FoodLog!$A$1:$Z$10011,18,0)</f>
        <v>477.30407413615825</v>
      </c>
      <c r="Z63" s="75">
        <f>VLOOKUP($A63,FoodLog!$A$1:$Z$10011,19,0)</f>
        <v>1247.8046358333013</v>
      </c>
      <c r="AA63" s="67">
        <f t="shared" si="23"/>
        <v>0.29027247042742826</v>
      </c>
      <c r="AB63" s="68">
        <f>Scale!C63</f>
        <v>0</v>
      </c>
    </row>
    <row r="64" spans="1:28" x14ac:dyDescent="0.25">
      <c r="A64" s="70">
        <f t="shared" si="24"/>
        <v>43053</v>
      </c>
      <c r="B64" s="71">
        <f t="shared" si="25"/>
        <v>62</v>
      </c>
      <c r="C64" s="72">
        <f t="shared" si="26"/>
        <v>181.6399489711865</v>
      </c>
      <c r="D64" s="72">
        <f t="shared" si="27"/>
        <v>149.15752316754944</v>
      </c>
      <c r="E64" s="73">
        <f t="shared" si="16"/>
        <v>32.482425803637057</v>
      </c>
      <c r="F64" s="61"/>
      <c r="G64" s="74">
        <f>C64*TDEE!$B$5</f>
        <v>2260.1464211230896</v>
      </c>
      <c r="H64" s="72">
        <f t="shared" si="28"/>
        <v>1006.9551999127488</v>
      </c>
      <c r="I64" s="72">
        <f t="shared" si="29"/>
        <v>1253.1912212103407</v>
      </c>
      <c r="J64" s="63">
        <f t="shared" si="17"/>
        <v>0.28770148568935677</v>
      </c>
      <c r="K64" s="72">
        <f t="shared" si="18"/>
        <v>77.320794119353593</v>
      </c>
      <c r="L64" s="72">
        <v>20</v>
      </c>
      <c r="M64" s="59">
        <f>Protein_Amt!$B$6</f>
        <v>119.32601853403956</v>
      </c>
      <c r="N64" s="72">
        <f t="shared" si="19"/>
        <v>695.88714707418239</v>
      </c>
      <c r="O64" s="72">
        <f t="shared" si="20"/>
        <v>80</v>
      </c>
      <c r="P64" s="72">
        <f t="shared" si="21"/>
        <v>477.30407413615825</v>
      </c>
      <c r="Q64" s="73">
        <f t="shared" si="22"/>
        <v>1253.1912212103407</v>
      </c>
      <c r="S64" s="75">
        <f>VLOOKUP($A64,FoodLog!$A$1:$Z$10011,12,0)</f>
        <v>0</v>
      </c>
      <c r="T64" s="75">
        <f>VLOOKUP($A64,FoodLog!$A$1:$Z$10011,13,0)</f>
        <v>0</v>
      </c>
      <c r="U64" s="75">
        <f>VLOOKUP($A64,FoodLog!$A$1:$Z$10011,14,0)</f>
        <v>0</v>
      </c>
      <c r="V64" s="75">
        <f>VLOOKUP($A64,FoodLog!$A$1:$Z$10011,15,0)</f>
        <v>0</v>
      </c>
      <c r="W64" s="75">
        <f>VLOOKUP($A64,FoodLog!$A$1:$Z$10011,16,0)</f>
        <v>695.88714707418239</v>
      </c>
      <c r="X64" s="75">
        <f>VLOOKUP($A64,FoodLog!$A$1:$Z$10011,17,0)</f>
        <v>80</v>
      </c>
      <c r="Y64" s="75">
        <f>VLOOKUP($A64,FoodLog!$A$1:$Z$10011,18,0)</f>
        <v>477.30407413615825</v>
      </c>
      <c r="Z64" s="75">
        <f>VLOOKUP($A64,FoodLog!$A$1:$Z$10011,19,0)</f>
        <v>1253.1912212103407</v>
      </c>
      <c r="AA64" s="67">
        <f t="shared" si="23"/>
        <v>0.28770148568935677</v>
      </c>
      <c r="AB64" s="68">
        <f>Scale!C64</f>
        <v>0</v>
      </c>
    </row>
    <row r="65" spans="1:28" x14ac:dyDescent="0.25">
      <c r="A65" s="70">
        <f t="shared" si="24"/>
        <v>43054</v>
      </c>
      <c r="B65" s="71">
        <f t="shared" si="25"/>
        <v>63</v>
      </c>
      <c r="C65" s="72">
        <f t="shared" si="26"/>
        <v>181.35224748549714</v>
      </c>
      <c r="D65" s="72">
        <f t="shared" si="27"/>
        <v>149.15752316754944</v>
      </c>
      <c r="E65" s="73">
        <f t="shared" si="16"/>
        <v>32.194724317947703</v>
      </c>
      <c r="F65" s="61"/>
      <c r="G65" s="74">
        <f>C65*TDEE!$B$5</f>
        <v>2256.5665506875625</v>
      </c>
      <c r="H65" s="72">
        <f t="shared" si="28"/>
        <v>998.03645385637878</v>
      </c>
      <c r="I65" s="72">
        <f t="shared" si="29"/>
        <v>1258.5300968311838</v>
      </c>
      <c r="J65" s="63">
        <f t="shared" si="17"/>
        <v>0.28515327253039396</v>
      </c>
      <c r="K65" s="72">
        <f t="shared" si="18"/>
        <v>77.914002521669488</v>
      </c>
      <c r="L65" s="72">
        <v>20</v>
      </c>
      <c r="M65" s="59">
        <f>Protein_Amt!$B$6</f>
        <v>119.32601853403956</v>
      </c>
      <c r="N65" s="72">
        <f t="shared" si="19"/>
        <v>701.22602269502545</v>
      </c>
      <c r="O65" s="72">
        <f t="shared" si="20"/>
        <v>80</v>
      </c>
      <c r="P65" s="72">
        <f t="shared" si="21"/>
        <v>477.30407413615825</v>
      </c>
      <c r="Q65" s="73">
        <f t="shared" si="22"/>
        <v>1258.5300968311838</v>
      </c>
      <c r="S65" s="75">
        <f>VLOOKUP($A65,FoodLog!$A$1:$Z$10011,12,0)</f>
        <v>0</v>
      </c>
      <c r="T65" s="75">
        <f>VLOOKUP($A65,FoodLog!$A$1:$Z$10011,13,0)</f>
        <v>0</v>
      </c>
      <c r="U65" s="75">
        <f>VLOOKUP($A65,FoodLog!$A$1:$Z$10011,14,0)</f>
        <v>0</v>
      </c>
      <c r="V65" s="75">
        <f>VLOOKUP($A65,FoodLog!$A$1:$Z$10011,15,0)</f>
        <v>0</v>
      </c>
      <c r="W65" s="75">
        <f>VLOOKUP($A65,FoodLog!$A$1:$Z$10011,16,0)</f>
        <v>701.22602269502545</v>
      </c>
      <c r="X65" s="75">
        <f>VLOOKUP($A65,FoodLog!$A$1:$Z$10011,17,0)</f>
        <v>80</v>
      </c>
      <c r="Y65" s="75">
        <f>VLOOKUP($A65,FoodLog!$A$1:$Z$10011,18,0)</f>
        <v>477.30407413615825</v>
      </c>
      <c r="Z65" s="75">
        <f>VLOOKUP($A65,FoodLog!$A$1:$Z$10011,19,0)</f>
        <v>1258.5300968311838</v>
      </c>
      <c r="AA65" s="67">
        <f t="shared" si="23"/>
        <v>0.28515327253039396</v>
      </c>
      <c r="AB65" s="68">
        <f>Scale!C65</f>
        <v>0</v>
      </c>
    </row>
    <row r="66" spans="1:28" x14ac:dyDescent="0.25">
      <c r="A66" s="70">
        <f t="shared" si="24"/>
        <v>43055</v>
      </c>
      <c r="B66" s="71">
        <f t="shared" si="25"/>
        <v>64</v>
      </c>
      <c r="C66" s="72">
        <f t="shared" si="26"/>
        <v>181.06709421296677</v>
      </c>
      <c r="D66" s="72">
        <f t="shared" si="27"/>
        <v>149.15752316754944</v>
      </c>
      <c r="E66" s="73">
        <f t="shared" si="16"/>
        <v>31.909571045417323</v>
      </c>
      <c r="F66" s="61"/>
      <c r="G66" s="74">
        <f>C66*TDEE!$B$5</f>
        <v>2253.0183876758929</v>
      </c>
      <c r="H66" s="72">
        <f t="shared" si="28"/>
        <v>989.19670240793698</v>
      </c>
      <c r="I66" s="72">
        <f t="shared" si="29"/>
        <v>1263.8216852679559</v>
      </c>
      <c r="J66" s="63">
        <f t="shared" si="17"/>
        <v>0.28262762925941054</v>
      </c>
      <c r="K66" s="72">
        <f t="shared" si="18"/>
        <v>78.50195679242195</v>
      </c>
      <c r="L66" s="72">
        <v>20</v>
      </c>
      <c r="M66" s="59">
        <f>Protein_Amt!$B$6</f>
        <v>119.32601853403956</v>
      </c>
      <c r="N66" s="72">
        <f t="shared" si="19"/>
        <v>706.51761113179759</v>
      </c>
      <c r="O66" s="72">
        <f t="shared" si="20"/>
        <v>80</v>
      </c>
      <c r="P66" s="72">
        <f t="shared" si="21"/>
        <v>477.30407413615825</v>
      </c>
      <c r="Q66" s="73">
        <f t="shared" si="22"/>
        <v>1263.8216852679559</v>
      </c>
      <c r="S66" s="75">
        <f>VLOOKUP($A66,FoodLog!$A$1:$Z$10011,12,0)</f>
        <v>0</v>
      </c>
      <c r="T66" s="75">
        <f>VLOOKUP($A66,FoodLog!$A$1:$Z$10011,13,0)</f>
        <v>0</v>
      </c>
      <c r="U66" s="75">
        <f>VLOOKUP($A66,FoodLog!$A$1:$Z$10011,14,0)</f>
        <v>0</v>
      </c>
      <c r="V66" s="75">
        <f>VLOOKUP($A66,FoodLog!$A$1:$Z$10011,15,0)</f>
        <v>0</v>
      </c>
      <c r="W66" s="75">
        <f>VLOOKUP($A66,FoodLog!$A$1:$Z$10011,16,0)</f>
        <v>706.51761113179759</v>
      </c>
      <c r="X66" s="75">
        <f>VLOOKUP($A66,FoodLog!$A$1:$Z$10011,17,0)</f>
        <v>80</v>
      </c>
      <c r="Y66" s="75">
        <f>VLOOKUP($A66,FoodLog!$A$1:$Z$10011,18,0)</f>
        <v>477.30407413615825</v>
      </c>
      <c r="Z66" s="75">
        <f>VLOOKUP($A66,FoodLog!$A$1:$Z$10011,19,0)</f>
        <v>1263.8216852679559</v>
      </c>
      <c r="AA66" s="67">
        <f t="shared" si="23"/>
        <v>0.28262762925941054</v>
      </c>
      <c r="AB66" s="68">
        <f>Scale!C66</f>
        <v>0</v>
      </c>
    </row>
    <row r="67" spans="1:28" x14ac:dyDescent="0.25">
      <c r="A67" s="70">
        <f t="shared" si="24"/>
        <v>43056</v>
      </c>
      <c r="B67" s="71">
        <f t="shared" si="25"/>
        <v>65</v>
      </c>
      <c r="C67" s="72">
        <f t="shared" si="26"/>
        <v>180.78446658370734</v>
      </c>
      <c r="D67" s="72">
        <f t="shared" si="27"/>
        <v>149.15752316754944</v>
      </c>
      <c r="E67" s="73">
        <f t="shared" ref="E67:E98" si="30">C67-D67</f>
        <v>31.6269434161579</v>
      </c>
      <c r="F67" s="61"/>
      <c r="G67" s="74">
        <f>C67*TDEE!$B$5</f>
        <v>2249.5016512508982</v>
      </c>
      <c r="H67" s="72">
        <f t="shared" si="28"/>
        <v>980.43524590089487</v>
      </c>
      <c r="I67" s="72">
        <f t="shared" si="29"/>
        <v>1269.0664053500034</v>
      </c>
      <c r="J67" s="63">
        <f t="shared" ref="J67:J98" si="31">H67/3500</f>
        <v>0.28012435597168422</v>
      </c>
      <c r="K67" s="72">
        <f t="shared" ref="K67:K98" si="32">N67/9</f>
        <v>79.084703468205007</v>
      </c>
      <c r="L67" s="72">
        <v>20</v>
      </c>
      <c r="M67" s="59">
        <f>Protein_Amt!$B$6</f>
        <v>119.32601853403956</v>
      </c>
      <c r="N67" s="72">
        <f t="shared" ref="N67:N98" si="33">MAX(0,I67-(O67+P67))</f>
        <v>711.76233121384507</v>
      </c>
      <c r="O67" s="72">
        <f t="shared" ref="O67:O98" si="34">4*L67</f>
        <v>80</v>
      </c>
      <c r="P67" s="72">
        <f t="shared" ref="P67:P98" si="35">4*M67</f>
        <v>477.30407413615825</v>
      </c>
      <c r="Q67" s="73">
        <f t="shared" ref="Q67:Q98" si="36">SUM(N67:P67)</f>
        <v>1269.0664053500034</v>
      </c>
      <c r="S67" s="75">
        <f>VLOOKUP($A67,FoodLog!$A$1:$Z$10011,12,0)</f>
        <v>0</v>
      </c>
      <c r="T67" s="75">
        <f>VLOOKUP($A67,FoodLog!$A$1:$Z$10011,13,0)</f>
        <v>0</v>
      </c>
      <c r="U67" s="75">
        <f>VLOOKUP($A67,FoodLog!$A$1:$Z$10011,14,0)</f>
        <v>0</v>
      </c>
      <c r="V67" s="75">
        <f>VLOOKUP($A67,FoodLog!$A$1:$Z$10011,15,0)</f>
        <v>0</v>
      </c>
      <c r="W67" s="75">
        <f>VLOOKUP($A67,FoodLog!$A$1:$Z$10011,16,0)</f>
        <v>711.76233121384507</v>
      </c>
      <c r="X67" s="75">
        <f>VLOOKUP($A67,FoodLog!$A$1:$Z$10011,17,0)</f>
        <v>80</v>
      </c>
      <c r="Y67" s="75">
        <f>VLOOKUP($A67,FoodLog!$A$1:$Z$10011,18,0)</f>
        <v>477.30407413615825</v>
      </c>
      <c r="Z67" s="75">
        <f>VLOOKUP($A67,FoodLog!$A$1:$Z$10011,19,0)</f>
        <v>1269.0664053500034</v>
      </c>
      <c r="AA67" s="67">
        <f t="shared" ref="AA67:AA98" si="37">MIN($H67,($H67+Z67))/3500</f>
        <v>0.28012435597168422</v>
      </c>
      <c r="AB67" s="68">
        <f>Scale!C67</f>
        <v>0</v>
      </c>
    </row>
    <row r="68" spans="1:28" x14ac:dyDescent="0.25">
      <c r="A68" s="70">
        <f t="shared" ref="A68:A99" si="38">A67+1</f>
        <v>43057</v>
      </c>
      <c r="B68" s="71">
        <f t="shared" ref="B68:B99" si="39">B67+1</f>
        <v>66</v>
      </c>
      <c r="C68" s="72">
        <f t="shared" ref="C68:C99" si="40">C67-AA67</f>
        <v>180.50434222773566</v>
      </c>
      <c r="D68" s="72">
        <f t="shared" ref="D68:D99" si="41">$D$3</f>
        <v>149.15752316754944</v>
      </c>
      <c r="E68" s="73">
        <f t="shared" si="30"/>
        <v>31.34681906018622</v>
      </c>
      <c r="F68" s="61"/>
      <c r="G68" s="74">
        <f>C68*TDEE!$B$5</f>
        <v>2246.0160630628106</v>
      </c>
      <c r="H68" s="72">
        <f t="shared" ref="H68:H104" si="42">$E68*31</f>
        <v>971.75139086577281</v>
      </c>
      <c r="I68" s="72">
        <f t="shared" ref="I68:I104" si="43">$G68-$H68</f>
        <v>1274.2646721970377</v>
      </c>
      <c r="J68" s="63">
        <f t="shared" si="31"/>
        <v>0.27764325453307792</v>
      </c>
      <c r="K68" s="72">
        <f t="shared" si="32"/>
        <v>79.66228867343105</v>
      </c>
      <c r="L68" s="72">
        <v>20</v>
      </c>
      <c r="M68" s="59">
        <f>Protein_Amt!$B$6</f>
        <v>119.32601853403956</v>
      </c>
      <c r="N68" s="72">
        <f t="shared" si="33"/>
        <v>716.96059806087942</v>
      </c>
      <c r="O68" s="72">
        <f t="shared" si="34"/>
        <v>80</v>
      </c>
      <c r="P68" s="72">
        <f t="shared" si="35"/>
        <v>477.30407413615825</v>
      </c>
      <c r="Q68" s="73">
        <f t="shared" si="36"/>
        <v>1274.2646721970377</v>
      </c>
      <c r="S68" s="75">
        <f>VLOOKUP($A68,FoodLog!$A$1:$Z$10011,12,0)</f>
        <v>0</v>
      </c>
      <c r="T68" s="75">
        <f>VLOOKUP($A68,FoodLog!$A$1:$Z$10011,13,0)</f>
        <v>0</v>
      </c>
      <c r="U68" s="75">
        <f>VLOOKUP($A68,FoodLog!$A$1:$Z$10011,14,0)</f>
        <v>0</v>
      </c>
      <c r="V68" s="75">
        <f>VLOOKUP($A68,FoodLog!$A$1:$Z$10011,15,0)</f>
        <v>0</v>
      </c>
      <c r="W68" s="75">
        <f>VLOOKUP($A68,FoodLog!$A$1:$Z$10011,16,0)</f>
        <v>716.96059806087942</v>
      </c>
      <c r="X68" s="75">
        <f>VLOOKUP($A68,FoodLog!$A$1:$Z$10011,17,0)</f>
        <v>80</v>
      </c>
      <c r="Y68" s="75">
        <f>VLOOKUP($A68,FoodLog!$A$1:$Z$10011,18,0)</f>
        <v>477.30407413615825</v>
      </c>
      <c r="Z68" s="75">
        <f>VLOOKUP($A68,FoodLog!$A$1:$Z$10011,19,0)</f>
        <v>1274.2646721970377</v>
      </c>
      <c r="AA68" s="67">
        <f t="shared" si="37"/>
        <v>0.27764325453307792</v>
      </c>
      <c r="AB68" s="68">
        <f>Scale!C68</f>
        <v>0</v>
      </c>
    </row>
    <row r="69" spans="1:28" x14ac:dyDescent="0.25">
      <c r="A69" s="70">
        <f t="shared" si="38"/>
        <v>43058</v>
      </c>
      <c r="B69" s="71">
        <f t="shared" si="39"/>
        <v>67</v>
      </c>
      <c r="C69" s="72">
        <f t="shared" si="40"/>
        <v>180.22669897320259</v>
      </c>
      <c r="D69" s="72">
        <f t="shared" si="41"/>
        <v>149.15752316754944</v>
      </c>
      <c r="E69" s="73">
        <f t="shared" si="30"/>
        <v>31.069175805653146</v>
      </c>
      <c r="F69" s="61"/>
      <c r="G69" s="74">
        <f>C69*TDEE!$B$5</f>
        <v>2242.5613472272462</v>
      </c>
      <c r="H69" s="72">
        <f t="shared" si="42"/>
        <v>963.14444997524754</v>
      </c>
      <c r="I69" s="72">
        <f t="shared" si="43"/>
        <v>1279.4168972519988</v>
      </c>
      <c r="J69" s="63">
        <f t="shared" si="31"/>
        <v>0.27518412856435642</v>
      </c>
      <c r="K69" s="72">
        <f t="shared" si="32"/>
        <v>80.234758123982274</v>
      </c>
      <c r="L69" s="72">
        <v>20</v>
      </c>
      <c r="M69" s="59">
        <f>Protein_Amt!$B$6</f>
        <v>119.32601853403956</v>
      </c>
      <c r="N69" s="72">
        <f t="shared" si="33"/>
        <v>722.11282311584046</v>
      </c>
      <c r="O69" s="72">
        <f t="shared" si="34"/>
        <v>80</v>
      </c>
      <c r="P69" s="72">
        <f t="shared" si="35"/>
        <v>477.30407413615825</v>
      </c>
      <c r="Q69" s="73">
        <f t="shared" si="36"/>
        <v>1279.4168972519988</v>
      </c>
      <c r="S69" s="75">
        <f>VLOOKUP($A69,FoodLog!$A$1:$Z$10011,12,0)</f>
        <v>0</v>
      </c>
      <c r="T69" s="75">
        <f>VLOOKUP($A69,FoodLog!$A$1:$Z$10011,13,0)</f>
        <v>0</v>
      </c>
      <c r="U69" s="75">
        <f>VLOOKUP($A69,FoodLog!$A$1:$Z$10011,14,0)</f>
        <v>0</v>
      </c>
      <c r="V69" s="75">
        <f>VLOOKUP($A69,FoodLog!$A$1:$Z$10011,15,0)</f>
        <v>0</v>
      </c>
      <c r="W69" s="75">
        <f>VLOOKUP($A69,FoodLog!$A$1:$Z$10011,16,0)</f>
        <v>722.11282311584046</v>
      </c>
      <c r="X69" s="75">
        <f>VLOOKUP($A69,FoodLog!$A$1:$Z$10011,17,0)</f>
        <v>80</v>
      </c>
      <c r="Y69" s="75">
        <f>VLOOKUP($A69,FoodLog!$A$1:$Z$10011,18,0)</f>
        <v>477.30407413615825</v>
      </c>
      <c r="Z69" s="75">
        <f>VLOOKUP($A69,FoodLog!$A$1:$Z$10011,19,0)</f>
        <v>1279.4168972519988</v>
      </c>
      <c r="AA69" s="67">
        <f t="shared" si="37"/>
        <v>0.27518412856435642</v>
      </c>
      <c r="AB69" s="68">
        <f>Scale!C69</f>
        <v>0</v>
      </c>
    </row>
    <row r="70" spans="1:28" x14ac:dyDescent="0.25">
      <c r="A70" s="70">
        <f t="shared" si="38"/>
        <v>43059</v>
      </c>
      <c r="B70" s="71">
        <f t="shared" si="39"/>
        <v>68</v>
      </c>
      <c r="C70" s="72">
        <f t="shared" si="40"/>
        <v>179.95151484463824</v>
      </c>
      <c r="D70" s="72">
        <f t="shared" si="41"/>
        <v>149.15752316754944</v>
      </c>
      <c r="E70" s="73">
        <f t="shared" si="30"/>
        <v>30.793991677088798</v>
      </c>
      <c r="F70" s="61"/>
      <c r="G70" s="74">
        <f>C70*TDEE!$B$5</f>
        <v>2239.1372303033677</v>
      </c>
      <c r="H70" s="72">
        <f t="shared" si="42"/>
        <v>954.61374198975273</v>
      </c>
      <c r="I70" s="72">
        <f t="shared" si="43"/>
        <v>1284.523488313615</v>
      </c>
      <c r="J70" s="63">
        <f t="shared" si="31"/>
        <v>0.27274678342564362</v>
      </c>
      <c r="K70" s="72">
        <f t="shared" si="32"/>
        <v>80.802157130828519</v>
      </c>
      <c r="L70" s="72">
        <v>20</v>
      </c>
      <c r="M70" s="59">
        <f>Protein_Amt!$B$6</f>
        <v>119.32601853403956</v>
      </c>
      <c r="N70" s="72">
        <f t="shared" si="33"/>
        <v>727.21941417745666</v>
      </c>
      <c r="O70" s="72">
        <f t="shared" si="34"/>
        <v>80</v>
      </c>
      <c r="P70" s="72">
        <f t="shared" si="35"/>
        <v>477.30407413615825</v>
      </c>
      <c r="Q70" s="73">
        <f t="shared" si="36"/>
        <v>1284.523488313615</v>
      </c>
      <c r="S70" s="75">
        <f>VLOOKUP($A70,FoodLog!$A$1:$Z$10011,12,0)</f>
        <v>0</v>
      </c>
      <c r="T70" s="75">
        <f>VLOOKUP($A70,FoodLog!$A$1:$Z$10011,13,0)</f>
        <v>0</v>
      </c>
      <c r="U70" s="75">
        <f>VLOOKUP($A70,FoodLog!$A$1:$Z$10011,14,0)</f>
        <v>0</v>
      </c>
      <c r="V70" s="75">
        <f>VLOOKUP($A70,FoodLog!$A$1:$Z$10011,15,0)</f>
        <v>0</v>
      </c>
      <c r="W70" s="75">
        <f>VLOOKUP($A70,FoodLog!$A$1:$Z$10011,16,0)</f>
        <v>727.21941417745666</v>
      </c>
      <c r="X70" s="75">
        <f>VLOOKUP($A70,FoodLog!$A$1:$Z$10011,17,0)</f>
        <v>80</v>
      </c>
      <c r="Y70" s="75">
        <f>VLOOKUP($A70,FoodLog!$A$1:$Z$10011,18,0)</f>
        <v>477.30407413615825</v>
      </c>
      <c r="Z70" s="75">
        <f>VLOOKUP($A70,FoodLog!$A$1:$Z$10011,19,0)</f>
        <v>1284.523488313615</v>
      </c>
      <c r="AA70" s="67">
        <f t="shared" si="37"/>
        <v>0.27274678342564362</v>
      </c>
      <c r="AB70" s="68">
        <f>Scale!C70</f>
        <v>0</v>
      </c>
    </row>
    <row r="71" spans="1:28" x14ac:dyDescent="0.25">
      <c r="A71" s="70">
        <f t="shared" si="38"/>
        <v>43060</v>
      </c>
      <c r="B71" s="71">
        <f t="shared" si="39"/>
        <v>69</v>
      </c>
      <c r="C71" s="72">
        <f t="shared" si="40"/>
        <v>179.67876806121259</v>
      </c>
      <c r="D71" s="72">
        <f t="shared" si="41"/>
        <v>149.15752316754944</v>
      </c>
      <c r="E71" s="73">
        <f t="shared" si="30"/>
        <v>30.521244893663152</v>
      </c>
      <c r="F71" s="61"/>
      <c r="G71" s="74">
        <f>C71*TDEE!$B$5</f>
        <v>2235.7434412722441</v>
      </c>
      <c r="H71" s="72">
        <f t="shared" si="42"/>
        <v>946.1585917035577</v>
      </c>
      <c r="I71" s="72">
        <f t="shared" si="43"/>
        <v>1289.5848495686864</v>
      </c>
      <c r="J71" s="63">
        <f t="shared" si="31"/>
        <v>0.27033102620101651</v>
      </c>
      <c r="K71" s="72">
        <f t="shared" si="32"/>
        <v>81.364530603614241</v>
      </c>
      <c r="L71" s="72">
        <v>20</v>
      </c>
      <c r="M71" s="59">
        <f>Protein_Amt!$B$6</f>
        <v>119.32601853403956</v>
      </c>
      <c r="N71" s="72">
        <f t="shared" si="33"/>
        <v>732.28077543252812</v>
      </c>
      <c r="O71" s="72">
        <f t="shared" si="34"/>
        <v>80</v>
      </c>
      <c r="P71" s="72">
        <f t="shared" si="35"/>
        <v>477.30407413615825</v>
      </c>
      <c r="Q71" s="73">
        <f t="shared" si="36"/>
        <v>1289.5848495686864</v>
      </c>
      <c r="S71" s="75">
        <f>VLOOKUP($A71,FoodLog!$A$1:$Z$10011,12,0)</f>
        <v>0</v>
      </c>
      <c r="T71" s="75">
        <f>VLOOKUP($A71,FoodLog!$A$1:$Z$10011,13,0)</f>
        <v>0</v>
      </c>
      <c r="U71" s="75">
        <f>VLOOKUP($A71,FoodLog!$A$1:$Z$10011,14,0)</f>
        <v>0</v>
      </c>
      <c r="V71" s="75">
        <f>VLOOKUP($A71,FoodLog!$A$1:$Z$10011,15,0)</f>
        <v>0</v>
      </c>
      <c r="W71" s="75">
        <f>VLOOKUP($A71,FoodLog!$A$1:$Z$10011,16,0)</f>
        <v>732.28077543252812</v>
      </c>
      <c r="X71" s="75">
        <f>VLOOKUP($A71,FoodLog!$A$1:$Z$10011,17,0)</f>
        <v>80</v>
      </c>
      <c r="Y71" s="75">
        <f>VLOOKUP($A71,FoodLog!$A$1:$Z$10011,18,0)</f>
        <v>477.30407413615825</v>
      </c>
      <c r="Z71" s="75">
        <f>VLOOKUP($A71,FoodLog!$A$1:$Z$10011,19,0)</f>
        <v>1289.5848495686864</v>
      </c>
      <c r="AA71" s="67">
        <f t="shared" si="37"/>
        <v>0.27033102620101651</v>
      </c>
      <c r="AB71" s="68">
        <f>Scale!C71</f>
        <v>0</v>
      </c>
    </row>
    <row r="72" spans="1:28" x14ac:dyDescent="0.25">
      <c r="A72" s="70">
        <f t="shared" si="38"/>
        <v>43061</v>
      </c>
      <c r="B72" s="71">
        <f t="shared" si="39"/>
        <v>70</v>
      </c>
      <c r="C72" s="72">
        <f t="shared" si="40"/>
        <v>179.40843703501159</v>
      </c>
      <c r="D72" s="72">
        <f t="shared" si="41"/>
        <v>149.15752316754944</v>
      </c>
      <c r="E72" s="73">
        <f t="shared" si="30"/>
        <v>30.250913867462145</v>
      </c>
      <c r="F72" s="61"/>
      <c r="G72" s="74">
        <f>C72*TDEE!$B$5</f>
        <v>2232.3797115153961</v>
      </c>
      <c r="H72" s="72">
        <f t="shared" si="42"/>
        <v>937.77832989132651</v>
      </c>
      <c r="I72" s="72">
        <f t="shared" si="43"/>
        <v>1294.6013816240697</v>
      </c>
      <c r="J72" s="63">
        <f t="shared" si="31"/>
        <v>0.26793666568323615</v>
      </c>
      <c r="K72" s="72">
        <f t="shared" si="32"/>
        <v>81.921923054212385</v>
      </c>
      <c r="L72" s="72">
        <v>20</v>
      </c>
      <c r="M72" s="59">
        <f>Protein_Amt!$B$6</f>
        <v>119.32601853403956</v>
      </c>
      <c r="N72" s="72">
        <f t="shared" si="33"/>
        <v>737.29730748791144</v>
      </c>
      <c r="O72" s="72">
        <f t="shared" si="34"/>
        <v>80</v>
      </c>
      <c r="P72" s="72">
        <f t="shared" si="35"/>
        <v>477.30407413615825</v>
      </c>
      <c r="Q72" s="73">
        <f t="shared" si="36"/>
        <v>1294.6013816240697</v>
      </c>
      <c r="S72" s="75">
        <f>VLOOKUP($A72,FoodLog!$A$1:$Z$10011,12,0)</f>
        <v>0</v>
      </c>
      <c r="T72" s="75">
        <f>VLOOKUP($A72,FoodLog!$A$1:$Z$10011,13,0)</f>
        <v>0</v>
      </c>
      <c r="U72" s="75">
        <f>VLOOKUP($A72,FoodLog!$A$1:$Z$10011,14,0)</f>
        <v>0</v>
      </c>
      <c r="V72" s="75">
        <f>VLOOKUP($A72,FoodLog!$A$1:$Z$10011,15,0)</f>
        <v>0</v>
      </c>
      <c r="W72" s="75">
        <f>VLOOKUP($A72,FoodLog!$A$1:$Z$10011,16,0)</f>
        <v>737.29730748791144</v>
      </c>
      <c r="X72" s="75">
        <f>VLOOKUP($A72,FoodLog!$A$1:$Z$10011,17,0)</f>
        <v>80</v>
      </c>
      <c r="Y72" s="75">
        <f>VLOOKUP($A72,FoodLog!$A$1:$Z$10011,18,0)</f>
        <v>477.30407413615825</v>
      </c>
      <c r="Z72" s="75">
        <f>VLOOKUP($A72,FoodLog!$A$1:$Z$10011,19,0)</f>
        <v>1294.6013816240697</v>
      </c>
      <c r="AA72" s="67">
        <f t="shared" si="37"/>
        <v>0.26793666568323615</v>
      </c>
      <c r="AB72" s="68">
        <f>Scale!C72</f>
        <v>0</v>
      </c>
    </row>
    <row r="73" spans="1:28" x14ac:dyDescent="0.25">
      <c r="A73" s="70">
        <f t="shared" si="38"/>
        <v>43062</v>
      </c>
      <c r="B73" s="71">
        <f t="shared" si="39"/>
        <v>71</v>
      </c>
      <c r="C73" s="72">
        <f t="shared" si="40"/>
        <v>179.14050036932835</v>
      </c>
      <c r="D73" s="72">
        <f t="shared" si="41"/>
        <v>149.15752316754944</v>
      </c>
      <c r="E73" s="73">
        <f t="shared" si="30"/>
        <v>29.982977201778908</v>
      </c>
      <c r="F73" s="61"/>
      <c r="G73" s="74">
        <f>C73*TDEE!$B$5</f>
        <v>2229.045774793537</v>
      </c>
      <c r="H73" s="72">
        <f t="shared" si="42"/>
        <v>929.47229325514616</v>
      </c>
      <c r="I73" s="72">
        <f t="shared" si="43"/>
        <v>1299.5734815383908</v>
      </c>
      <c r="J73" s="63">
        <f t="shared" si="31"/>
        <v>0.2655635123586132</v>
      </c>
      <c r="K73" s="72">
        <f t="shared" si="32"/>
        <v>82.474378600248045</v>
      </c>
      <c r="L73" s="72">
        <v>20</v>
      </c>
      <c r="M73" s="59">
        <f>Protein_Amt!$B$6</f>
        <v>119.32601853403956</v>
      </c>
      <c r="N73" s="72">
        <f t="shared" si="33"/>
        <v>742.26940740223245</v>
      </c>
      <c r="O73" s="72">
        <f t="shared" si="34"/>
        <v>80</v>
      </c>
      <c r="P73" s="72">
        <f t="shared" si="35"/>
        <v>477.30407413615825</v>
      </c>
      <c r="Q73" s="73">
        <f t="shared" si="36"/>
        <v>1299.5734815383908</v>
      </c>
      <c r="S73" s="75">
        <f>VLOOKUP($A73,FoodLog!$A$1:$Z$10011,12,0)</f>
        <v>0</v>
      </c>
      <c r="T73" s="75">
        <f>VLOOKUP($A73,FoodLog!$A$1:$Z$10011,13,0)</f>
        <v>0</v>
      </c>
      <c r="U73" s="75">
        <f>VLOOKUP($A73,FoodLog!$A$1:$Z$10011,14,0)</f>
        <v>0</v>
      </c>
      <c r="V73" s="75">
        <f>VLOOKUP($A73,FoodLog!$A$1:$Z$10011,15,0)</f>
        <v>0</v>
      </c>
      <c r="W73" s="75">
        <f>VLOOKUP($A73,FoodLog!$A$1:$Z$10011,16,0)</f>
        <v>742.26940740223245</v>
      </c>
      <c r="X73" s="75">
        <f>VLOOKUP($A73,FoodLog!$A$1:$Z$10011,17,0)</f>
        <v>80</v>
      </c>
      <c r="Y73" s="75">
        <f>VLOOKUP($A73,FoodLog!$A$1:$Z$10011,18,0)</f>
        <v>477.30407413615825</v>
      </c>
      <c r="Z73" s="75">
        <f>VLOOKUP($A73,FoodLog!$A$1:$Z$10011,19,0)</f>
        <v>1299.5734815383908</v>
      </c>
      <c r="AA73" s="67">
        <f t="shared" si="37"/>
        <v>0.2655635123586132</v>
      </c>
      <c r="AB73" s="68">
        <f>Scale!C73</f>
        <v>0</v>
      </c>
    </row>
    <row r="74" spans="1:28" x14ac:dyDescent="0.25">
      <c r="A74" s="70">
        <f t="shared" si="38"/>
        <v>43063</v>
      </c>
      <c r="B74" s="71">
        <f t="shared" si="39"/>
        <v>72</v>
      </c>
      <c r="C74" s="72">
        <f t="shared" si="40"/>
        <v>178.87493685696973</v>
      </c>
      <c r="D74" s="72">
        <f t="shared" si="41"/>
        <v>149.15752316754944</v>
      </c>
      <c r="E74" s="73">
        <f t="shared" si="30"/>
        <v>29.717413689420283</v>
      </c>
      <c r="F74" s="61"/>
      <c r="G74" s="74">
        <f>C74*TDEE!$B$5</f>
        <v>2225.7413672255002</v>
      </c>
      <c r="H74" s="72">
        <f t="shared" si="42"/>
        <v>921.23982437202881</v>
      </c>
      <c r="I74" s="72">
        <f t="shared" si="43"/>
        <v>1304.5015428534714</v>
      </c>
      <c r="J74" s="63">
        <f t="shared" si="31"/>
        <v>0.26321137839200826</v>
      </c>
      <c r="K74" s="72">
        <f t="shared" si="32"/>
        <v>83.021940968590343</v>
      </c>
      <c r="L74" s="72">
        <v>20</v>
      </c>
      <c r="M74" s="59">
        <f>Protein_Amt!$B$6</f>
        <v>119.32601853403956</v>
      </c>
      <c r="N74" s="72">
        <f t="shared" si="33"/>
        <v>747.19746871731309</v>
      </c>
      <c r="O74" s="72">
        <f t="shared" si="34"/>
        <v>80</v>
      </c>
      <c r="P74" s="72">
        <f t="shared" si="35"/>
        <v>477.30407413615825</v>
      </c>
      <c r="Q74" s="73">
        <f t="shared" si="36"/>
        <v>1304.5015428534714</v>
      </c>
      <c r="S74" s="75">
        <f>VLOOKUP($A74,FoodLog!$A$1:$Z$10011,12,0)</f>
        <v>0</v>
      </c>
      <c r="T74" s="75">
        <f>VLOOKUP($A74,FoodLog!$A$1:$Z$10011,13,0)</f>
        <v>0</v>
      </c>
      <c r="U74" s="75">
        <f>VLOOKUP($A74,FoodLog!$A$1:$Z$10011,14,0)</f>
        <v>0</v>
      </c>
      <c r="V74" s="75">
        <f>VLOOKUP($A74,FoodLog!$A$1:$Z$10011,15,0)</f>
        <v>0</v>
      </c>
      <c r="W74" s="75">
        <f>VLOOKUP($A74,FoodLog!$A$1:$Z$10011,16,0)</f>
        <v>747.19746871731309</v>
      </c>
      <c r="X74" s="75">
        <f>VLOOKUP($A74,FoodLog!$A$1:$Z$10011,17,0)</f>
        <v>80</v>
      </c>
      <c r="Y74" s="75">
        <f>VLOOKUP($A74,FoodLog!$A$1:$Z$10011,18,0)</f>
        <v>477.30407413615825</v>
      </c>
      <c r="Z74" s="75">
        <f>VLOOKUP($A74,FoodLog!$A$1:$Z$10011,19,0)</f>
        <v>1304.5015428534714</v>
      </c>
      <c r="AA74" s="67">
        <f t="shared" si="37"/>
        <v>0.26321137839200826</v>
      </c>
      <c r="AB74" s="68">
        <f>Scale!C74</f>
        <v>0</v>
      </c>
    </row>
    <row r="75" spans="1:28" x14ac:dyDescent="0.25">
      <c r="A75" s="70">
        <f t="shared" si="38"/>
        <v>43064</v>
      </c>
      <c r="B75" s="71">
        <f t="shared" si="39"/>
        <v>73</v>
      </c>
      <c r="C75" s="72">
        <f t="shared" si="40"/>
        <v>178.61172547857771</v>
      </c>
      <c r="D75" s="72">
        <f t="shared" si="41"/>
        <v>149.15752316754944</v>
      </c>
      <c r="E75" s="73">
        <f t="shared" si="30"/>
        <v>29.454202311028268</v>
      </c>
      <c r="F75" s="61"/>
      <c r="G75" s="74">
        <f>C75*TDEE!$B$5</f>
        <v>2222.4662272673518</v>
      </c>
      <c r="H75" s="72">
        <f t="shared" si="42"/>
        <v>913.08027164187638</v>
      </c>
      <c r="I75" s="72">
        <f t="shared" si="43"/>
        <v>1309.3859556254754</v>
      </c>
      <c r="J75" s="63">
        <f t="shared" si="31"/>
        <v>0.26088007761196469</v>
      </c>
      <c r="K75" s="72">
        <f t="shared" si="32"/>
        <v>83.564653498813016</v>
      </c>
      <c r="L75" s="72">
        <v>20</v>
      </c>
      <c r="M75" s="59">
        <f>Protein_Amt!$B$6</f>
        <v>119.32601853403956</v>
      </c>
      <c r="N75" s="72">
        <f t="shared" si="33"/>
        <v>752.08188148931708</v>
      </c>
      <c r="O75" s="72">
        <f t="shared" si="34"/>
        <v>80</v>
      </c>
      <c r="P75" s="72">
        <f t="shared" si="35"/>
        <v>477.30407413615825</v>
      </c>
      <c r="Q75" s="73">
        <f t="shared" si="36"/>
        <v>1309.3859556254754</v>
      </c>
      <c r="S75" s="75">
        <f>VLOOKUP($A75,FoodLog!$A$1:$Z$10011,12,0)</f>
        <v>0</v>
      </c>
      <c r="T75" s="75">
        <f>VLOOKUP($A75,FoodLog!$A$1:$Z$10011,13,0)</f>
        <v>0</v>
      </c>
      <c r="U75" s="75">
        <f>VLOOKUP($A75,FoodLog!$A$1:$Z$10011,14,0)</f>
        <v>0</v>
      </c>
      <c r="V75" s="75">
        <f>VLOOKUP($A75,FoodLog!$A$1:$Z$10011,15,0)</f>
        <v>0</v>
      </c>
      <c r="W75" s="75">
        <f>VLOOKUP($A75,FoodLog!$A$1:$Z$10011,16,0)</f>
        <v>752.08188148931708</v>
      </c>
      <c r="X75" s="75">
        <f>VLOOKUP($A75,FoodLog!$A$1:$Z$10011,17,0)</f>
        <v>80</v>
      </c>
      <c r="Y75" s="75">
        <f>VLOOKUP($A75,FoodLog!$A$1:$Z$10011,18,0)</f>
        <v>477.30407413615825</v>
      </c>
      <c r="Z75" s="75">
        <f>VLOOKUP($A75,FoodLog!$A$1:$Z$10011,19,0)</f>
        <v>1309.3859556254754</v>
      </c>
      <c r="AA75" s="67">
        <f t="shared" si="37"/>
        <v>0.26088007761196469</v>
      </c>
      <c r="AB75" s="68">
        <f>Scale!C75</f>
        <v>0</v>
      </c>
    </row>
    <row r="76" spans="1:28" x14ac:dyDescent="0.25">
      <c r="A76" s="70">
        <f t="shared" si="38"/>
        <v>43065</v>
      </c>
      <c r="B76" s="71">
        <f t="shared" si="39"/>
        <v>74</v>
      </c>
      <c r="C76" s="72">
        <f t="shared" si="40"/>
        <v>178.35084540096574</v>
      </c>
      <c r="D76" s="72">
        <f t="shared" si="41"/>
        <v>149.15752316754944</v>
      </c>
      <c r="E76" s="73">
        <f t="shared" si="30"/>
        <v>29.193322233416296</v>
      </c>
      <c r="F76" s="61"/>
      <c r="G76" s="74">
        <f>C76*TDEE!$B$5</f>
        <v>2219.2200956916895</v>
      </c>
      <c r="H76" s="72">
        <f t="shared" si="42"/>
        <v>904.99298923590516</v>
      </c>
      <c r="I76" s="72">
        <f t="shared" si="43"/>
        <v>1314.2271064557845</v>
      </c>
      <c r="J76" s="63">
        <f t="shared" si="31"/>
        <v>0.25856942549597289</v>
      </c>
      <c r="K76" s="72">
        <f t="shared" si="32"/>
        <v>84.102559146625126</v>
      </c>
      <c r="L76" s="72">
        <v>20</v>
      </c>
      <c r="M76" s="59">
        <f>Protein_Amt!$B$6</f>
        <v>119.32601853403956</v>
      </c>
      <c r="N76" s="72">
        <f t="shared" si="33"/>
        <v>756.92303231962615</v>
      </c>
      <c r="O76" s="72">
        <f t="shared" si="34"/>
        <v>80</v>
      </c>
      <c r="P76" s="72">
        <f t="shared" si="35"/>
        <v>477.30407413615825</v>
      </c>
      <c r="Q76" s="73">
        <f t="shared" si="36"/>
        <v>1314.2271064557845</v>
      </c>
      <c r="S76" s="75">
        <f>VLOOKUP($A76,FoodLog!$A$1:$Z$10011,12,0)</f>
        <v>0</v>
      </c>
      <c r="T76" s="75">
        <f>VLOOKUP($A76,FoodLog!$A$1:$Z$10011,13,0)</f>
        <v>0</v>
      </c>
      <c r="U76" s="75">
        <f>VLOOKUP($A76,FoodLog!$A$1:$Z$10011,14,0)</f>
        <v>0</v>
      </c>
      <c r="V76" s="75">
        <f>VLOOKUP($A76,FoodLog!$A$1:$Z$10011,15,0)</f>
        <v>0</v>
      </c>
      <c r="W76" s="75">
        <f>VLOOKUP($A76,FoodLog!$A$1:$Z$10011,16,0)</f>
        <v>756.92303231962615</v>
      </c>
      <c r="X76" s="75">
        <f>VLOOKUP($A76,FoodLog!$A$1:$Z$10011,17,0)</f>
        <v>80</v>
      </c>
      <c r="Y76" s="75">
        <f>VLOOKUP($A76,FoodLog!$A$1:$Z$10011,18,0)</f>
        <v>477.30407413615825</v>
      </c>
      <c r="Z76" s="75">
        <f>VLOOKUP($A76,FoodLog!$A$1:$Z$10011,19,0)</f>
        <v>1314.2271064557845</v>
      </c>
      <c r="AA76" s="67">
        <f t="shared" si="37"/>
        <v>0.25856942549597289</v>
      </c>
      <c r="AB76" s="68">
        <f>Scale!C76</f>
        <v>0</v>
      </c>
    </row>
    <row r="77" spans="1:28" x14ac:dyDescent="0.25">
      <c r="A77" s="70">
        <f t="shared" si="38"/>
        <v>43066</v>
      </c>
      <c r="B77" s="71">
        <f t="shared" si="39"/>
        <v>75</v>
      </c>
      <c r="C77" s="72">
        <f t="shared" si="40"/>
        <v>178.09227597546976</v>
      </c>
      <c r="D77" s="72">
        <f t="shared" si="41"/>
        <v>149.15752316754944</v>
      </c>
      <c r="E77" s="73">
        <f t="shared" si="30"/>
        <v>28.934752807920319</v>
      </c>
      <c r="F77" s="61"/>
      <c r="G77" s="74">
        <f>C77*TDEE!$B$5</f>
        <v>2216.0027155671264</v>
      </c>
      <c r="H77" s="72">
        <f t="shared" si="42"/>
        <v>896.97733704552991</v>
      </c>
      <c r="I77" s="72">
        <f t="shared" si="43"/>
        <v>1319.0253785215964</v>
      </c>
      <c r="J77" s="63">
        <f t="shared" si="31"/>
        <v>0.2562792391558657</v>
      </c>
      <c r="K77" s="72">
        <f t="shared" si="32"/>
        <v>84.635700487270896</v>
      </c>
      <c r="L77" s="72">
        <v>20</v>
      </c>
      <c r="M77" s="59">
        <f>Protein_Amt!$B$6</f>
        <v>119.32601853403956</v>
      </c>
      <c r="N77" s="72">
        <f t="shared" si="33"/>
        <v>761.72130438543809</v>
      </c>
      <c r="O77" s="72">
        <f t="shared" si="34"/>
        <v>80</v>
      </c>
      <c r="P77" s="72">
        <f t="shared" si="35"/>
        <v>477.30407413615825</v>
      </c>
      <c r="Q77" s="73">
        <f t="shared" si="36"/>
        <v>1319.0253785215964</v>
      </c>
      <c r="S77" s="75">
        <f>VLOOKUP($A77,FoodLog!$A$1:$Z$10011,12,0)</f>
        <v>0</v>
      </c>
      <c r="T77" s="75">
        <f>VLOOKUP($A77,FoodLog!$A$1:$Z$10011,13,0)</f>
        <v>0</v>
      </c>
      <c r="U77" s="75">
        <f>VLOOKUP($A77,FoodLog!$A$1:$Z$10011,14,0)</f>
        <v>0</v>
      </c>
      <c r="V77" s="75">
        <f>VLOOKUP($A77,FoodLog!$A$1:$Z$10011,15,0)</f>
        <v>0</v>
      </c>
      <c r="W77" s="75">
        <f>VLOOKUP($A77,FoodLog!$A$1:$Z$10011,16,0)</f>
        <v>761.72130438543809</v>
      </c>
      <c r="X77" s="75">
        <f>VLOOKUP($A77,FoodLog!$A$1:$Z$10011,17,0)</f>
        <v>80</v>
      </c>
      <c r="Y77" s="75">
        <f>VLOOKUP($A77,FoodLog!$A$1:$Z$10011,18,0)</f>
        <v>477.30407413615825</v>
      </c>
      <c r="Z77" s="75">
        <f>VLOOKUP($A77,FoodLog!$A$1:$Z$10011,19,0)</f>
        <v>1319.0253785215964</v>
      </c>
      <c r="AA77" s="67">
        <f t="shared" si="37"/>
        <v>0.2562792391558657</v>
      </c>
      <c r="AB77" s="68">
        <f>Scale!C77</f>
        <v>0</v>
      </c>
    </row>
    <row r="78" spans="1:28" x14ac:dyDescent="0.25">
      <c r="A78" s="70">
        <f t="shared" si="38"/>
        <v>43067</v>
      </c>
      <c r="B78" s="71">
        <f t="shared" si="39"/>
        <v>76</v>
      </c>
      <c r="C78" s="72">
        <f t="shared" si="40"/>
        <v>177.83599673631389</v>
      </c>
      <c r="D78" s="72">
        <f t="shared" si="41"/>
        <v>149.15752316754944</v>
      </c>
      <c r="E78" s="73">
        <f t="shared" si="30"/>
        <v>28.678473568764446</v>
      </c>
      <c r="F78" s="61"/>
      <c r="G78" s="74">
        <f>C78*TDEE!$B$5</f>
        <v>2212.8138322379518</v>
      </c>
      <c r="H78" s="72">
        <f t="shared" si="42"/>
        <v>889.03268063169776</v>
      </c>
      <c r="I78" s="72">
        <f t="shared" si="43"/>
        <v>1323.7811516062541</v>
      </c>
      <c r="J78" s="63">
        <f t="shared" si="31"/>
        <v>0.25400933732334224</v>
      </c>
      <c r="K78" s="72">
        <f t="shared" si="32"/>
        <v>85.164119718899528</v>
      </c>
      <c r="L78" s="72">
        <v>20</v>
      </c>
      <c r="M78" s="59">
        <f>Protein_Amt!$B$6</f>
        <v>119.32601853403956</v>
      </c>
      <c r="N78" s="72">
        <f t="shared" si="33"/>
        <v>766.47707747009576</v>
      </c>
      <c r="O78" s="72">
        <f t="shared" si="34"/>
        <v>80</v>
      </c>
      <c r="P78" s="72">
        <f t="shared" si="35"/>
        <v>477.30407413615825</v>
      </c>
      <c r="Q78" s="73">
        <f t="shared" si="36"/>
        <v>1323.7811516062541</v>
      </c>
      <c r="S78" s="75">
        <f>VLOOKUP($A78,FoodLog!$A$1:$Z$10011,12,0)</f>
        <v>0</v>
      </c>
      <c r="T78" s="75">
        <f>VLOOKUP($A78,FoodLog!$A$1:$Z$10011,13,0)</f>
        <v>0</v>
      </c>
      <c r="U78" s="75">
        <f>VLOOKUP($A78,FoodLog!$A$1:$Z$10011,14,0)</f>
        <v>0</v>
      </c>
      <c r="V78" s="75">
        <f>VLOOKUP($A78,FoodLog!$A$1:$Z$10011,15,0)</f>
        <v>0</v>
      </c>
      <c r="W78" s="75">
        <f>VLOOKUP($A78,FoodLog!$A$1:$Z$10011,16,0)</f>
        <v>766.47707747009576</v>
      </c>
      <c r="X78" s="75">
        <f>VLOOKUP($A78,FoodLog!$A$1:$Z$10011,17,0)</f>
        <v>80</v>
      </c>
      <c r="Y78" s="75">
        <f>VLOOKUP($A78,FoodLog!$A$1:$Z$10011,18,0)</f>
        <v>477.30407413615825</v>
      </c>
      <c r="Z78" s="75">
        <f>VLOOKUP($A78,FoodLog!$A$1:$Z$10011,19,0)</f>
        <v>1323.7811516062541</v>
      </c>
      <c r="AA78" s="67">
        <f t="shared" si="37"/>
        <v>0.25400933732334224</v>
      </c>
      <c r="AB78" s="68">
        <f>Scale!C78</f>
        <v>0</v>
      </c>
    </row>
    <row r="79" spans="1:28" x14ac:dyDescent="0.25">
      <c r="A79" s="70">
        <f t="shared" si="38"/>
        <v>43068</v>
      </c>
      <c r="B79" s="71">
        <f t="shared" si="39"/>
        <v>77</v>
      </c>
      <c r="C79" s="72">
        <f t="shared" si="40"/>
        <v>177.58198739899055</v>
      </c>
      <c r="D79" s="72">
        <f t="shared" si="41"/>
        <v>149.15752316754944</v>
      </c>
      <c r="E79" s="73">
        <f t="shared" si="30"/>
        <v>28.424464231441107</v>
      </c>
      <c r="F79" s="61"/>
      <c r="G79" s="74">
        <f>C79*TDEE!$B$5</f>
        <v>2209.6531933039792</v>
      </c>
      <c r="H79" s="72">
        <f t="shared" si="42"/>
        <v>881.15839117467431</v>
      </c>
      <c r="I79" s="72">
        <f t="shared" si="43"/>
        <v>1328.4948021293048</v>
      </c>
      <c r="J79" s="63">
        <f t="shared" si="31"/>
        <v>0.25175954033562126</v>
      </c>
      <c r="K79" s="72">
        <f t="shared" si="32"/>
        <v>85.687858665905168</v>
      </c>
      <c r="L79" s="72">
        <v>20</v>
      </c>
      <c r="M79" s="59">
        <f>Protein_Amt!$B$6</f>
        <v>119.32601853403956</v>
      </c>
      <c r="N79" s="72">
        <f t="shared" si="33"/>
        <v>771.19072799314654</v>
      </c>
      <c r="O79" s="72">
        <f t="shared" si="34"/>
        <v>80</v>
      </c>
      <c r="P79" s="72">
        <f t="shared" si="35"/>
        <v>477.30407413615825</v>
      </c>
      <c r="Q79" s="73">
        <f t="shared" si="36"/>
        <v>1328.4948021293048</v>
      </c>
      <c r="S79" s="75">
        <f>VLOOKUP($A79,FoodLog!$A$1:$Z$10011,12,0)</f>
        <v>0</v>
      </c>
      <c r="T79" s="75">
        <f>VLOOKUP($A79,FoodLog!$A$1:$Z$10011,13,0)</f>
        <v>0</v>
      </c>
      <c r="U79" s="75">
        <f>VLOOKUP($A79,FoodLog!$A$1:$Z$10011,14,0)</f>
        <v>0</v>
      </c>
      <c r="V79" s="75">
        <f>VLOOKUP($A79,FoodLog!$A$1:$Z$10011,15,0)</f>
        <v>0</v>
      </c>
      <c r="W79" s="75">
        <f>VLOOKUP($A79,FoodLog!$A$1:$Z$10011,16,0)</f>
        <v>771.19072799314654</v>
      </c>
      <c r="X79" s="75">
        <f>VLOOKUP($A79,FoodLog!$A$1:$Z$10011,17,0)</f>
        <v>80</v>
      </c>
      <c r="Y79" s="75">
        <f>VLOOKUP($A79,FoodLog!$A$1:$Z$10011,18,0)</f>
        <v>477.30407413615825</v>
      </c>
      <c r="Z79" s="75">
        <f>VLOOKUP($A79,FoodLog!$A$1:$Z$10011,19,0)</f>
        <v>1328.4948021293048</v>
      </c>
      <c r="AA79" s="67">
        <f t="shared" si="37"/>
        <v>0.25175954033562126</v>
      </c>
      <c r="AB79" s="68">
        <f>Scale!C79</f>
        <v>0</v>
      </c>
    </row>
    <row r="80" spans="1:28" x14ac:dyDescent="0.25">
      <c r="A80" s="70">
        <f t="shared" si="38"/>
        <v>43069</v>
      </c>
      <c r="B80" s="71">
        <f t="shared" si="39"/>
        <v>78</v>
      </c>
      <c r="C80" s="72">
        <f t="shared" si="40"/>
        <v>177.33022785865492</v>
      </c>
      <c r="D80" s="72">
        <f t="shared" si="41"/>
        <v>149.15752316754944</v>
      </c>
      <c r="E80" s="73">
        <f t="shared" si="30"/>
        <v>28.17270469110548</v>
      </c>
      <c r="F80" s="61"/>
      <c r="G80" s="74">
        <f>C80*TDEE!$B$5</f>
        <v>2206.5205486005639</v>
      </c>
      <c r="H80" s="72">
        <f t="shared" si="42"/>
        <v>873.35384542426982</v>
      </c>
      <c r="I80" s="72">
        <f t="shared" si="43"/>
        <v>1333.166703176294</v>
      </c>
      <c r="J80" s="63">
        <f t="shared" si="31"/>
        <v>0.24952967012121996</v>
      </c>
      <c r="K80" s="72">
        <f t="shared" si="32"/>
        <v>86.206958782237308</v>
      </c>
      <c r="L80" s="72">
        <v>20</v>
      </c>
      <c r="M80" s="59">
        <f>Protein_Amt!$B$6</f>
        <v>119.32601853403956</v>
      </c>
      <c r="N80" s="72">
        <f t="shared" si="33"/>
        <v>775.86262904013574</v>
      </c>
      <c r="O80" s="72">
        <f t="shared" si="34"/>
        <v>80</v>
      </c>
      <c r="P80" s="72">
        <f t="shared" si="35"/>
        <v>477.30407413615825</v>
      </c>
      <c r="Q80" s="73">
        <f t="shared" si="36"/>
        <v>1333.166703176294</v>
      </c>
      <c r="S80" s="75">
        <f>VLOOKUP($A80,FoodLog!$A$1:$Z$10011,12,0)</f>
        <v>0</v>
      </c>
      <c r="T80" s="75">
        <f>VLOOKUP($A80,FoodLog!$A$1:$Z$10011,13,0)</f>
        <v>0</v>
      </c>
      <c r="U80" s="75">
        <f>VLOOKUP($A80,FoodLog!$A$1:$Z$10011,14,0)</f>
        <v>0</v>
      </c>
      <c r="V80" s="75">
        <f>VLOOKUP($A80,FoodLog!$A$1:$Z$10011,15,0)</f>
        <v>0</v>
      </c>
      <c r="W80" s="75">
        <f>VLOOKUP($A80,FoodLog!$A$1:$Z$10011,16,0)</f>
        <v>775.86262904013574</v>
      </c>
      <c r="X80" s="75">
        <f>VLOOKUP($A80,FoodLog!$A$1:$Z$10011,17,0)</f>
        <v>80</v>
      </c>
      <c r="Y80" s="75">
        <f>VLOOKUP($A80,FoodLog!$A$1:$Z$10011,18,0)</f>
        <v>477.30407413615825</v>
      </c>
      <c r="Z80" s="75">
        <f>VLOOKUP($A80,FoodLog!$A$1:$Z$10011,19,0)</f>
        <v>1333.166703176294</v>
      </c>
      <c r="AA80" s="67">
        <f t="shared" si="37"/>
        <v>0.24952967012121996</v>
      </c>
      <c r="AB80" s="68">
        <f>Scale!C80</f>
        <v>0</v>
      </c>
    </row>
    <row r="81" spans="1:28" x14ac:dyDescent="0.25">
      <c r="A81" s="70">
        <f t="shared" si="38"/>
        <v>43070</v>
      </c>
      <c r="B81" s="71">
        <f t="shared" si="39"/>
        <v>79</v>
      </c>
      <c r="C81" s="72">
        <f t="shared" si="40"/>
        <v>177.08069818853369</v>
      </c>
      <c r="D81" s="72">
        <f t="shared" si="41"/>
        <v>149.15752316754944</v>
      </c>
      <c r="E81" s="73">
        <f t="shared" si="30"/>
        <v>27.923175020984246</v>
      </c>
      <c r="F81" s="61"/>
      <c r="G81" s="74">
        <f>C81*TDEE!$B$5</f>
        <v>2203.4156501788079</v>
      </c>
      <c r="H81" s="72">
        <f t="shared" si="42"/>
        <v>865.61842565051165</v>
      </c>
      <c r="I81" s="72">
        <f t="shared" si="43"/>
        <v>1337.7972245282963</v>
      </c>
      <c r="J81" s="63">
        <f t="shared" si="31"/>
        <v>0.24731955018586047</v>
      </c>
      <c r="K81" s="72">
        <f t="shared" si="32"/>
        <v>86.721461154682004</v>
      </c>
      <c r="L81" s="72">
        <v>20</v>
      </c>
      <c r="M81" s="59">
        <f>Protein_Amt!$B$6</f>
        <v>119.32601853403956</v>
      </c>
      <c r="N81" s="72">
        <f t="shared" si="33"/>
        <v>780.49315039213798</v>
      </c>
      <c r="O81" s="72">
        <f t="shared" si="34"/>
        <v>80</v>
      </c>
      <c r="P81" s="72">
        <f t="shared" si="35"/>
        <v>477.30407413615825</v>
      </c>
      <c r="Q81" s="73">
        <f t="shared" si="36"/>
        <v>1337.7972245282963</v>
      </c>
      <c r="S81" s="75">
        <f>VLOOKUP($A81,FoodLog!$A$1:$Z$10011,12,0)</f>
        <v>0</v>
      </c>
      <c r="T81" s="75">
        <f>VLOOKUP($A81,FoodLog!$A$1:$Z$10011,13,0)</f>
        <v>0</v>
      </c>
      <c r="U81" s="75">
        <f>VLOOKUP($A81,FoodLog!$A$1:$Z$10011,14,0)</f>
        <v>0</v>
      </c>
      <c r="V81" s="75">
        <f>VLOOKUP($A81,FoodLog!$A$1:$Z$10011,15,0)</f>
        <v>0</v>
      </c>
      <c r="W81" s="75">
        <f>VLOOKUP($A81,FoodLog!$A$1:$Z$10011,16,0)</f>
        <v>780.49315039213798</v>
      </c>
      <c r="X81" s="75">
        <f>VLOOKUP($A81,FoodLog!$A$1:$Z$10011,17,0)</f>
        <v>80</v>
      </c>
      <c r="Y81" s="75">
        <f>VLOOKUP($A81,FoodLog!$A$1:$Z$10011,18,0)</f>
        <v>477.30407413615825</v>
      </c>
      <c r="Z81" s="75">
        <f>VLOOKUP($A81,FoodLog!$A$1:$Z$10011,19,0)</f>
        <v>1337.7972245282963</v>
      </c>
      <c r="AA81" s="67">
        <f t="shared" si="37"/>
        <v>0.24731955018586047</v>
      </c>
      <c r="AB81" s="68">
        <f>Scale!C81</f>
        <v>0</v>
      </c>
    </row>
    <row r="82" spans="1:28" x14ac:dyDescent="0.25">
      <c r="A82" s="70">
        <f t="shared" si="38"/>
        <v>43071</v>
      </c>
      <c r="B82" s="71">
        <f t="shared" si="39"/>
        <v>80</v>
      </c>
      <c r="C82" s="72">
        <f t="shared" si="40"/>
        <v>176.83337863834782</v>
      </c>
      <c r="D82" s="72">
        <f t="shared" si="41"/>
        <v>149.15752316754944</v>
      </c>
      <c r="E82" s="73">
        <f t="shared" si="30"/>
        <v>27.675855470798382</v>
      </c>
      <c r="F82" s="61"/>
      <c r="G82" s="74">
        <f>C82*TDEE!$B$5</f>
        <v>2200.3382522859301</v>
      </c>
      <c r="H82" s="72">
        <f t="shared" si="42"/>
        <v>857.95151959474981</v>
      </c>
      <c r="I82" s="72">
        <f t="shared" si="43"/>
        <v>1342.3867326911804</v>
      </c>
      <c r="J82" s="63">
        <f t="shared" si="31"/>
        <v>0.24512900559849995</v>
      </c>
      <c r="K82" s="72">
        <f t="shared" si="32"/>
        <v>87.231406506113572</v>
      </c>
      <c r="L82" s="72">
        <v>20</v>
      </c>
      <c r="M82" s="59">
        <f>Protein_Amt!$B$6</f>
        <v>119.32601853403956</v>
      </c>
      <c r="N82" s="72">
        <f t="shared" si="33"/>
        <v>785.08265855502214</v>
      </c>
      <c r="O82" s="72">
        <f t="shared" si="34"/>
        <v>80</v>
      </c>
      <c r="P82" s="72">
        <f t="shared" si="35"/>
        <v>477.30407413615825</v>
      </c>
      <c r="Q82" s="73">
        <f t="shared" si="36"/>
        <v>1342.3867326911804</v>
      </c>
      <c r="S82" s="75">
        <f>VLOOKUP($A82,FoodLog!$A$1:$Z$10011,12,0)</f>
        <v>0</v>
      </c>
      <c r="T82" s="75">
        <f>VLOOKUP($A82,FoodLog!$A$1:$Z$10011,13,0)</f>
        <v>0</v>
      </c>
      <c r="U82" s="75">
        <f>VLOOKUP($A82,FoodLog!$A$1:$Z$10011,14,0)</f>
        <v>0</v>
      </c>
      <c r="V82" s="75">
        <f>VLOOKUP($A82,FoodLog!$A$1:$Z$10011,15,0)</f>
        <v>0</v>
      </c>
      <c r="W82" s="75">
        <f>VLOOKUP($A82,FoodLog!$A$1:$Z$10011,16,0)</f>
        <v>785.08265855502214</v>
      </c>
      <c r="X82" s="75">
        <f>VLOOKUP($A82,FoodLog!$A$1:$Z$10011,17,0)</f>
        <v>80</v>
      </c>
      <c r="Y82" s="75">
        <f>VLOOKUP($A82,FoodLog!$A$1:$Z$10011,18,0)</f>
        <v>477.30407413615825</v>
      </c>
      <c r="Z82" s="75">
        <f>VLOOKUP($A82,FoodLog!$A$1:$Z$10011,19,0)</f>
        <v>1342.3867326911804</v>
      </c>
      <c r="AA82" s="67">
        <f t="shared" si="37"/>
        <v>0.24512900559849995</v>
      </c>
      <c r="AB82" s="68">
        <f>Scale!C82</f>
        <v>0</v>
      </c>
    </row>
    <row r="83" spans="1:28" x14ac:dyDescent="0.25">
      <c r="A83" s="70">
        <f t="shared" si="38"/>
        <v>43072</v>
      </c>
      <c r="B83" s="71">
        <f t="shared" si="39"/>
        <v>81</v>
      </c>
      <c r="C83" s="72">
        <f t="shared" si="40"/>
        <v>176.58824963274932</v>
      </c>
      <c r="D83" s="72">
        <f t="shared" si="41"/>
        <v>149.15752316754944</v>
      </c>
      <c r="E83" s="73">
        <f t="shared" si="30"/>
        <v>27.430726465199882</v>
      </c>
      <c r="F83" s="61"/>
      <c r="G83" s="74">
        <f>C83*TDEE!$B$5</f>
        <v>2197.2881113458179</v>
      </c>
      <c r="H83" s="72">
        <f t="shared" si="42"/>
        <v>850.35252042119635</v>
      </c>
      <c r="I83" s="72">
        <f t="shared" si="43"/>
        <v>1346.9355909246215</v>
      </c>
      <c r="J83" s="63">
        <f t="shared" si="31"/>
        <v>0.24295786297748467</v>
      </c>
      <c r="K83" s="72">
        <f t="shared" si="32"/>
        <v>87.736835198718126</v>
      </c>
      <c r="L83" s="72">
        <v>20</v>
      </c>
      <c r="M83" s="59">
        <f>Protein_Amt!$B$6</f>
        <v>119.32601853403956</v>
      </c>
      <c r="N83" s="72">
        <f t="shared" si="33"/>
        <v>789.63151678846316</v>
      </c>
      <c r="O83" s="72">
        <f t="shared" si="34"/>
        <v>80</v>
      </c>
      <c r="P83" s="72">
        <f t="shared" si="35"/>
        <v>477.30407413615825</v>
      </c>
      <c r="Q83" s="73">
        <f t="shared" si="36"/>
        <v>1346.9355909246215</v>
      </c>
      <c r="S83" s="75">
        <f>VLOOKUP($A83,FoodLog!$A$1:$Z$10011,12,0)</f>
        <v>0</v>
      </c>
      <c r="T83" s="75">
        <f>VLOOKUP($A83,FoodLog!$A$1:$Z$10011,13,0)</f>
        <v>0</v>
      </c>
      <c r="U83" s="75">
        <f>VLOOKUP($A83,FoodLog!$A$1:$Z$10011,14,0)</f>
        <v>0</v>
      </c>
      <c r="V83" s="75">
        <f>VLOOKUP($A83,FoodLog!$A$1:$Z$10011,15,0)</f>
        <v>0</v>
      </c>
      <c r="W83" s="75">
        <f>VLOOKUP($A83,FoodLog!$A$1:$Z$10011,16,0)</f>
        <v>789.63151678846316</v>
      </c>
      <c r="X83" s="75">
        <f>VLOOKUP($A83,FoodLog!$A$1:$Z$10011,17,0)</f>
        <v>80</v>
      </c>
      <c r="Y83" s="75">
        <f>VLOOKUP($A83,FoodLog!$A$1:$Z$10011,18,0)</f>
        <v>477.30407413615825</v>
      </c>
      <c r="Z83" s="75">
        <f>VLOOKUP($A83,FoodLog!$A$1:$Z$10011,19,0)</f>
        <v>1346.9355909246215</v>
      </c>
      <c r="AA83" s="67">
        <f t="shared" si="37"/>
        <v>0.24295786297748467</v>
      </c>
      <c r="AB83" s="68">
        <f>Scale!C83</f>
        <v>0</v>
      </c>
    </row>
    <row r="84" spans="1:28" x14ac:dyDescent="0.25">
      <c r="A84" s="70">
        <f t="shared" si="38"/>
        <v>43073</v>
      </c>
      <c r="B84" s="71">
        <f t="shared" si="39"/>
        <v>82</v>
      </c>
      <c r="C84" s="72">
        <f t="shared" si="40"/>
        <v>176.34529176977185</v>
      </c>
      <c r="D84" s="72">
        <f t="shared" si="41"/>
        <v>149.15752316754944</v>
      </c>
      <c r="E84" s="73">
        <f t="shared" si="30"/>
        <v>27.187768602222405</v>
      </c>
      <c r="F84" s="61"/>
      <c r="G84" s="74">
        <f>C84*TDEE!$B$5</f>
        <v>2194.2649859397466</v>
      </c>
      <c r="H84" s="72">
        <f t="shared" si="42"/>
        <v>842.8208266688946</v>
      </c>
      <c r="I84" s="72">
        <f t="shared" si="43"/>
        <v>1351.444159270852</v>
      </c>
      <c r="J84" s="63">
        <f t="shared" si="31"/>
        <v>0.24080595047682704</v>
      </c>
      <c r="K84" s="72">
        <f t="shared" si="32"/>
        <v>88.237787237188186</v>
      </c>
      <c r="L84" s="72">
        <v>20</v>
      </c>
      <c r="M84" s="59">
        <f>Protein_Amt!$B$6</f>
        <v>119.32601853403956</v>
      </c>
      <c r="N84" s="72">
        <f t="shared" si="33"/>
        <v>794.14008513469366</v>
      </c>
      <c r="O84" s="72">
        <f t="shared" si="34"/>
        <v>80</v>
      </c>
      <c r="P84" s="72">
        <f t="shared" si="35"/>
        <v>477.30407413615825</v>
      </c>
      <c r="Q84" s="73">
        <f t="shared" si="36"/>
        <v>1351.444159270852</v>
      </c>
      <c r="S84" s="75">
        <f>VLOOKUP($A84,FoodLog!$A$1:$Z$10011,12,0)</f>
        <v>0</v>
      </c>
      <c r="T84" s="75">
        <f>VLOOKUP($A84,FoodLog!$A$1:$Z$10011,13,0)</f>
        <v>0</v>
      </c>
      <c r="U84" s="75">
        <f>VLOOKUP($A84,FoodLog!$A$1:$Z$10011,14,0)</f>
        <v>0</v>
      </c>
      <c r="V84" s="75">
        <f>VLOOKUP($A84,FoodLog!$A$1:$Z$10011,15,0)</f>
        <v>0</v>
      </c>
      <c r="W84" s="75">
        <f>VLOOKUP($A84,FoodLog!$A$1:$Z$10011,16,0)</f>
        <v>794.14008513469366</v>
      </c>
      <c r="X84" s="75">
        <f>VLOOKUP($A84,FoodLog!$A$1:$Z$10011,17,0)</f>
        <v>80</v>
      </c>
      <c r="Y84" s="75">
        <f>VLOOKUP($A84,FoodLog!$A$1:$Z$10011,18,0)</f>
        <v>477.30407413615825</v>
      </c>
      <c r="Z84" s="75">
        <f>VLOOKUP($A84,FoodLog!$A$1:$Z$10011,19,0)</f>
        <v>1351.444159270852</v>
      </c>
      <c r="AA84" s="67">
        <f t="shared" si="37"/>
        <v>0.24080595047682704</v>
      </c>
      <c r="AB84" s="68">
        <f>Scale!C84</f>
        <v>0</v>
      </c>
    </row>
    <row r="85" spans="1:28" x14ac:dyDescent="0.25">
      <c r="A85" s="70">
        <f t="shared" si="38"/>
        <v>43074</v>
      </c>
      <c r="B85" s="71">
        <f t="shared" si="39"/>
        <v>83</v>
      </c>
      <c r="C85" s="72">
        <f t="shared" si="40"/>
        <v>176.10448581929501</v>
      </c>
      <c r="D85" s="72">
        <f t="shared" si="41"/>
        <v>149.15752316754944</v>
      </c>
      <c r="E85" s="73">
        <f t="shared" si="30"/>
        <v>26.946962651745565</v>
      </c>
      <c r="F85" s="61"/>
      <c r="G85" s="74">
        <f>C85*TDEE!$B$5</f>
        <v>2191.268636787272</v>
      </c>
      <c r="H85" s="72">
        <f t="shared" si="42"/>
        <v>835.35584220411249</v>
      </c>
      <c r="I85" s="72">
        <f t="shared" si="43"/>
        <v>1355.9127945831597</v>
      </c>
      <c r="J85" s="63">
        <f t="shared" si="31"/>
        <v>0.23867309777260357</v>
      </c>
      <c r="K85" s="72">
        <f t="shared" si="32"/>
        <v>88.734302271889035</v>
      </c>
      <c r="L85" s="72">
        <v>20</v>
      </c>
      <c r="M85" s="59">
        <f>Protein_Amt!$B$6</f>
        <v>119.32601853403956</v>
      </c>
      <c r="N85" s="72">
        <f t="shared" si="33"/>
        <v>798.60872044700136</v>
      </c>
      <c r="O85" s="72">
        <f t="shared" si="34"/>
        <v>80</v>
      </c>
      <c r="P85" s="72">
        <f t="shared" si="35"/>
        <v>477.30407413615825</v>
      </c>
      <c r="Q85" s="73">
        <f t="shared" si="36"/>
        <v>1355.9127945831597</v>
      </c>
      <c r="S85" s="75">
        <f>VLOOKUP($A85,FoodLog!$A$1:$Z$10011,12,0)</f>
        <v>0</v>
      </c>
      <c r="T85" s="75">
        <f>VLOOKUP($A85,FoodLog!$A$1:$Z$10011,13,0)</f>
        <v>0</v>
      </c>
      <c r="U85" s="75">
        <f>VLOOKUP($A85,FoodLog!$A$1:$Z$10011,14,0)</f>
        <v>0</v>
      </c>
      <c r="V85" s="75">
        <f>VLOOKUP($A85,FoodLog!$A$1:$Z$10011,15,0)</f>
        <v>0</v>
      </c>
      <c r="W85" s="75">
        <f>VLOOKUP($A85,FoodLog!$A$1:$Z$10011,16,0)</f>
        <v>798.60872044700136</v>
      </c>
      <c r="X85" s="75">
        <f>VLOOKUP($A85,FoodLog!$A$1:$Z$10011,17,0)</f>
        <v>80</v>
      </c>
      <c r="Y85" s="75">
        <f>VLOOKUP($A85,FoodLog!$A$1:$Z$10011,18,0)</f>
        <v>477.30407413615825</v>
      </c>
      <c r="Z85" s="75">
        <f>VLOOKUP($A85,FoodLog!$A$1:$Z$10011,19,0)</f>
        <v>1355.9127945831597</v>
      </c>
      <c r="AA85" s="67">
        <f t="shared" si="37"/>
        <v>0.23867309777260357</v>
      </c>
      <c r="AB85" s="68">
        <f>Scale!C85</f>
        <v>0</v>
      </c>
    </row>
    <row r="86" spans="1:28" x14ac:dyDescent="0.25">
      <c r="A86" s="70">
        <f t="shared" si="38"/>
        <v>43075</v>
      </c>
      <c r="B86" s="71">
        <f t="shared" si="39"/>
        <v>84</v>
      </c>
      <c r="C86" s="72">
        <f t="shared" si="40"/>
        <v>175.86581272152242</v>
      </c>
      <c r="D86" s="80">
        <f t="shared" si="41"/>
        <v>149.15752316754944</v>
      </c>
      <c r="E86" s="81">
        <f t="shared" si="30"/>
        <v>26.708289553972975</v>
      </c>
      <c r="F86" s="82"/>
      <c r="G86" s="83">
        <f>C86*TDEE!$B$5</f>
        <v>2188.2988267272908</v>
      </c>
      <c r="H86" s="72">
        <f t="shared" si="42"/>
        <v>827.95697617316227</v>
      </c>
      <c r="I86" s="72">
        <f t="shared" si="43"/>
        <v>1360.3418505541285</v>
      </c>
      <c r="J86" s="63">
        <f t="shared" si="31"/>
        <v>0.23655913604947493</v>
      </c>
      <c r="K86" s="80">
        <f t="shared" si="32"/>
        <v>89.226419601996696</v>
      </c>
      <c r="L86" s="80">
        <v>20</v>
      </c>
      <c r="M86" s="59">
        <f>Protein_Amt!$B$6</f>
        <v>119.32601853403956</v>
      </c>
      <c r="N86" s="72">
        <f t="shared" si="33"/>
        <v>803.03777641797024</v>
      </c>
      <c r="O86" s="80">
        <f t="shared" si="34"/>
        <v>80</v>
      </c>
      <c r="P86" s="80">
        <f t="shared" si="35"/>
        <v>477.30407413615825</v>
      </c>
      <c r="Q86" s="73">
        <f t="shared" si="36"/>
        <v>1360.3418505541285</v>
      </c>
      <c r="S86" s="75">
        <f>VLOOKUP($A86,FoodLog!$A$1:$Z$10011,12,0)</f>
        <v>0</v>
      </c>
      <c r="T86" s="75">
        <f>VLOOKUP($A86,FoodLog!$A$1:$Z$10011,13,0)</f>
        <v>0</v>
      </c>
      <c r="U86" s="75">
        <f>VLOOKUP($A86,FoodLog!$A$1:$Z$10011,14,0)</f>
        <v>0</v>
      </c>
      <c r="V86" s="75">
        <f>VLOOKUP($A86,FoodLog!$A$1:$Z$10011,15,0)</f>
        <v>0</v>
      </c>
      <c r="W86" s="75">
        <f>VLOOKUP($A86,FoodLog!$A$1:$Z$10011,16,0)</f>
        <v>803.03777641797024</v>
      </c>
      <c r="X86" s="75">
        <f>VLOOKUP($A86,FoodLog!$A$1:$Z$10011,17,0)</f>
        <v>80</v>
      </c>
      <c r="Y86" s="75">
        <f>VLOOKUP($A86,FoodLog!$A$1:$Z$10011,18,0)</f>
        <v>477.30407413615825</v>
      </c>
      <c r="Z86" s="75">
        <f>VLOOKUP($A86,FoodLog!$A$1:$Z$10011,19,0)</f>
        <v>1360.3418505541285</v>
      </c>
      <c r="AA86" s="67">
        <f t="shared" si="37"/>
        <v>0.23655913604947493</v>
      </c>
      <c r="AB86" s="68">
        <f>Scale!C86</f>
        <v>0</v>
      </c>
    </row>
    <row r="87" spans="1:28" x14ac:dyDescent="0.25">
      <c r="A87" s="70">
        <f t="shared" si="38"/>
        <v>43076</v>
      </c>
      <c r="B87" s="71">
        <f t="shared" si="39"/>
        <v>85</v>
      </c>
      <c r="C87" s="72">
        <f t="shared" si="40"/>
        <v>175.62925358547295</v>
      </c>
      <c r="D87" s="80">
        <f t="shared" si="41"/>
        <v>149.15752316754944</v>
      </c>
      <c r="E87" s="81">
        <f t="shared" si="30"/>
        <v>26.47173041792351</v>
      </c>
      <c r="F87" s="82"/>
      <c r="G87" s="83">
        <f>C87*TDEE!$B$5</f>
        <v>2185.3553206992697</v>
      </c>
      <c r="H87" s="72">
        <f t="shared" si="42"/>
        <v>820.62364295562884</v>
      </c>
      <c r="I87" s="72">
        <f t="shared" si="43"/>
        <v>1364.7316777436408</v>
      </c>
      <c r="J87" s="63">
        <f t="shared" si="31"/>
        <v>0.23446389798732253</v>
      </c>
      <c r="K87" s="80">
        <f t="shared" si="32"/>
        <v>89.269733734164731</v>
      </c>
      <c r="L87" s="80">
        <v>21</v>
      </c>
      <c r="M87" s="59">
        <f>Protein_Amt!$B$6</f>
        <v>119.32601853403956</v>
      </c>
      <c r="N87" s="72">
        <f t="shared" si="33"/>
        <v>803.42760360748252</v>
      </c>
      <c r="O87" s="80">
        <f t="shared" si="34"/>
        <v>84</v>
      </c>
      <c r="P87" s="80">
        <f t="shared" si="35"/>
        <v>477.30407413615825</v>
      </c>
      <c r="Q87" s="73">
        <f t="shared" si="36"/>
        <v>1364.7316777436408</v>
      </c>
      <c r="S87" s="75">
        <f>VLOOKUP($A87,FoodLog!$A$1:$Z$10011,12,0)</f>
        <v>0</v>
      </c>
      <c r="T87" s="75">
        <f>VLOOKUP($A87,FoodLog!$A$1:$Z$10011,13,0)</f>
        <v>0</v>
      </c>
      <c r="U87" s="75">
        <f>VLOOKUP($A87,FoodLog!$A$1:$Z$10011,14,0)</f>
        <v>0</v>
      </c>
      <c r="V87" s="75">
        <f>VLOOKUP($A87,FoodLog!$A$1:$Z$10011,15,0)</f>
        <v>0</v>
      </c>
      <c r="W87" s="75">
        <f>VLOOKUP($A87,FoodLog!$A$1:$Z$10011,16,0)</f>
        <v>803.42760360748252</v>
      </c>
      <c r="X87" s="75">
        <f>VLOOKUP($A87,FoodLog!$A$1:$Z$10011,17,0)</f>
        <v>84</v>
      </c>
      <c r="Y87" s="75">
        <f>VLOOKUP($A87,FoodLog!$A$1:$Z$10011,18,0)</f>
        <v>477.30407413615825</v>
      </c>
      <c r="Z87" s="75">
        <f>VLOOKUP($A87,FoodLog!$A$1:$Z$10011,19,0)</f>
        <v>1364.7316777436408</v>
      </c>
      <c r="AA87" s="67">
        <f t="shared" si="37"/>
        <v>0.23446389798732253</v>
      </c>
      <c r="AB87" s="68">
        <f>Scale!C87</f>
        <v>0</v>
      </c>
    </row>
    <row r="88" spans="1:28" x14ac:dyDescent="0.25">
      <c r="A88" s="70">
        <f t="shared" si="38"/>
        <v>43077</v>
      </c>
      <c r="B88" s="71">
        <f t="shared" si="39"/>
        <v>86</v>
      </c>
      <c r="C88" s="72">
        <f t="shared" si="40"/>
        <v>175.39478968748563</v>
      </c>
      <c r="D88" s="80">
        <f t="shared" si="41"/>
        <v>149.15752316754944</v>
      </c>
      <c r="E88" s="81">
        <f t="shared" si="30"/>
        <v>26.237266519936185</v>
      </c>
      <c r="F88" s="82"/>
      <c r="G88" s="83">
        <f>C88*TDEE!$B$5</f>
        <v>2182.4378857246393</v>
      </c>
      <c r="H88" s="72">
        <f t="shared" si="42"/>
        <v>813.35526211802176</v>
      </c>
      <c r="I88" s="72">
        <f t="shared" si="43"/>
        <v>1369.0826236066175</v>
      </c>
      <c r="J88" s="63">
        <f t="shared" si="31"/>
        <v>0.23238721774800622</v>
      </c>
      <c r="K88" s="80">
        <f t="shared" si="32"/>
        <v>89.308727718939906</v>
      </c>
      <c r="L88" s="80">
        <v>22</v>
      </c>
      <c r="M88" s="59">
        <f>Protein_Amt!$B$6</f>
        <v>119.32601853403956</v>
      </c>
      <c r="N88" s="72">
        <f t="shared" si="33"/>
        <v>803.77854947045921</v>
      </c>
      <c r="O88" s="80">
        <f t="shared" si="34"/>
        <v>88</v>
      </c>
      <c r="P88" s="80">
        <f t="shared" si="35"/>
        <v>477.30407413615825</v>
      </c>
      <c r="Q88" s="73">
        <f t="shared" si="36"/>
        <v>1369.0826236066175</v>
      </c>
      <c r="S88" s="75">
        <f>VLOOKUP($A88,FoodLog!$A$1:$Z$10011,12,0)</f>
        <v>0</v>
      </c>
      <c r="T88" s="75">
        <f>VLOOKUP($A88,FoodLog!$A$1:$Z$10011,13,0)</f>
        <v>0</v>
      </c>
      <c r="U88" s="75">
        <f>VLOOKUP($A88,FoodLog!$A$1:$Z$10011,14,0)</f>
        <v>0</v>
      </c>
      <c r="V88" s="75">
        <f>VLOOKUP($A88,FoodLog!$A$1:$Z$10011,15,0)</f>
        <v>0</v>
      </c>
      <c r="W88" s="75">
        <f>VLOOKUP($A88,FoodLog!$A$1:$Z$10011,16,0)</f>
        <v>803.77854947045921</v>
      </c>
      <c r="X88" s="75">
        <f>VLOOKUP($A88,FoodLog!$A$1:$Z$10011,17,0)</f>
        <v>88</v>
      </c>
      <c r="Y88" s="75">
        <f>VLOOKUP($A88,FoodLog!$A$1:$Z$10011,18,0)</f>
        <v>477.30407413615825</v>
      </c>
      <c r="Z88" s="75">
        <f>VLOOKUP($A88,FoodLog!$A$1:$Z$10011,19,0)</f>
        <v>1369.0826236066175</v>
      </c>
      <c r="AA88" s="67">
        <f t="shared" si="37"/>
        <v>0.23238721774800622</v>
      </c>
      <c r="AB88" s="68">
        <f>Scale!C88</f>
        <v>0</v>
      </c>
    </row>
    <row r="89" spans="1:28" x14ac:dyDescent="0.25">
      <c r="A89" s="70">
        <f t="shared" si="38"/>
        <v>43078</v>
      </c>
      <c r="B89" s="71">
        <f t="shared" si="39"/>
        <v>87</v>
      </c>
      <c r="C89" s="72">
        <f t="shared" si="40"/>
        <v>175.16240246973763</v>
      </c>
      <c r="D89" s="80">
        <f t="shared" si="41"/>
        <v>149.15752316754944</v>
      </c>
      <c r="E89" s="81">
        <f t="shared" si="30"/>
        <v>26.004879302188186</v>
      </c>
      <c r="F89" s="82"/>
      <c r="G89" s="83">
        <f>C89*TDEE!$B$5</f>
        <v>2179.5462908883555</v>
      </c>
      <c r="H89" s="72">
        <f t="shared" si="42"/>
        <v>806.15125836783375</v>
      </c>
      <c r="I89" s="72">
        <f t="shared" si="43"/>
        <v>1373.3950325205219</v>
      </c>
      <c r="J89" s="63">
        <f t="shared" si="31"/>
        <v>0.23032893096223822</v>
      </c>
      <c r="K89" s="80">
        <f t="shared" si="32"/>
        <v>89.343439820484846</v>
      </c>
      <c r="L89" s="80">
        <v>23</v>
      </c>
      <c r="M89" s="59">
        <f>Protein_Amt!$B$6</f>
        <v>119.32601853403956</v>
      </c>
      <c r="N89" s="72">
        <f t="shared" si="33"/>
        <v>804.0909583843636</v>
      </c>
      <c r="O89" s="80">
        <f t="shared" si="34"/>
        <v>92</v>
      </c>
      <c r="P89" s="80">
        <f t="shared" si="35"/>
        <v>477.30407413615825</v>
      </c>
      <c r="Q89" s="73">
        <f t="shared" si="36"/>
        <v>1373.3950325205219</v>
      </c>
      <c r="S89" s="75">
        <f>VLOOKUP($A89,FoodLog!$A$1:$Z$10011,12,0)</f>
        <v>0</v>
      </c>
      <c r="T89" s="75">
        <f>VLOOKUP($A89,FoodLog!$A$1:$Z$10011,13,0)</f>
        <v>0</v>
      </c>
      <c r="U89" s="75">
        <f>VLOOKUP($A89,FoodLog!$A$1:$Z$10011,14,0)</f>
        <v>0</v>
      </c>
      <c r="V89" s="75">
        <f>VLOOKUP($A89,FoodLog!$A$1:$Z$10011,15,0)</f>
        <v>0</v>
      </c>
      <c r="W89" s="75">
        <f>VLOOKUP($A89,FoodLog!$A$1:$Z$10011,16,0)</f>
        <v>804.0909583843636</v>
      </c>
      <c r="X89" s="75">
        <f>VLOOKUP($A89,FoodLog!$A$1:$Z$10011,17,0)</f>
        <v>92</v>
      </c>
      <c r="Y89" s="75">
        <f>VLOOKUP($A89,FoodLog!$A$1:$Z$10011,18,0)</f>
        <v>477.30407413615825</v>
      </c>
      <c r="Z89" s="75">
        <f>VLOOKUP($A89,FoodLog!$A$1:$Z$10011,19,0)</f>
        <v>1373.3950325205219</v>
      </c>
      <c r="AA89" s="67">
        <f t="shared" si="37"/>
        <v>0.23032893096223822</v>
      </c>
      <c r="AB89" s="68">
        <f>Scale!C89</f>
        <v>0</v>
      </c>
    </row>
    <row r="90" spans="1:28" x14ac:dyDescent="0.25">
      <c r="A90" s="70">
        <f t="shared" si="38"/>
        <v>43079</v>
      </c>
      <c r="B90" s="71">
        <f t="shared" si="39"/>
        <v>88</v>
      </c>
      <c r="C90" s="72">
        <f t="shared" si="40"/>
        <v>174.9320735387754</v>
      </c>
      <c r="D90" s="80">
        <f t="shared" si="41"/>
        <v>149.15752316754944</v>
      </c>
      <c r="E90" s="81">
        <f t="shared" si="30"/>
        <v>25.774550371225956</v>
      </c>
      <c r="F90" s="82"/>
      <c r="G90" s="83">
        <f>C90*TDEE!$B$5</f>
        <v>2176.680307320622</v>
      </c>
      <c r="H90" s="72">
        <f t="shared" si="42"/>
        <v>799.01106150800467</v>
      </c>
      <c r="I90" s="72">
        <f t="shared" si="43"/>
        <v>1377.6692458126172</v>
      </c>
      <c r="J90" s="63">
        <f t="shared" si="31"/>
        <v>0.22828887471657278</v>
      </c>
      <c r="K90" s="80">
        <f t="shared" si="32"/>
        <v>89.373907964050986</v>
      </c>
      <c r="L90" s="80">
        <v>24</v>
      </c>
      <c r="M90" s="59">
        <f>Protein_Amt!$B$6</f>
        <v>119.32601853403956</v>
      </c>
      <c r="N90" s="72">
        <f t="shared" si="33"/>
        <v>804.36517167645889</v>
      </c>
      <c r="O90" s="80">
        <f t="shared" si="34"/>
        <v>96</v>
      </c>
      <c r="P90" s="80">
        <f t="shared" si="35"/>
        <v>477.30407413615825</v>
      </c>
      <c r="Q90" s="73">
        <f t="shared" si="36"/>
        <v>1377.6692458126172</v>
      </c>
      <c r="S90" s="75">
        <f>VLOOKUP($A90,FoodLog!$A$1:$Z$10011,12,0)</f>
        <v>0</v>
      </c>
      <c r="T90" s="75">
        <f>VLOOKUP($A90,FoodLog!$A$1:$Z$10011,13,0)</f>
        <v>0</v>
      </c>
      <c r="U90" s="75">
        <f>VLOOKUP($A90,FoodLog!$A$1:$Z$10011,14,0)</f>
        <v>0</v>
      </c>
      <c r="V90" s="75">
        <f>VLOOKUP($A90,FoodLog!$A$1:$Z$10011,15,0)</f>
        <v>0</v>
      </c>
      <c r="W90" s="75">
        <f>VLOOKUP($A90,FoodLog!$A$1:$Z$10011,16,0)</f>
        <v>804.36517167645889</v>
      </c>
      <c r="X90" s="75">
        <f>VLOOKUP($A90,FoodLog!$A$1:$Z$10011,17,0)</f>
        <v>96</v>
      </c>
      <c r="Y90" s="75">
        <f>VLOOKUP($A90,FoodLog!$A$1:$Z$10011,18,0)</f>
        <v>477.30407413615825</v>
      </c>
      <c r="Z90" s="75">
        <f>VLOOKUP($A90,FoodLog!$A$1:$Z$10011,19,0)</f>
        <v>1377.6692458126172</v>
      </c>
      <c r="AA90" s="67">
        <f t="shared" si="37"/>
        <v>0.22828887471657278</v>
      </c>
      <c r="AB90" s="68">
        <f>Scale!C90</f>
        <v>0</v>
      </c>
    </row>
    <row r="91" spans="1:28" x14ac:dyDescent="0.25">
      <c r="A91" s="70">
        <f t="shared" si="38"/>
        <v>43080</v>
      </c>
      <c r="B91" s="71">
        <f t="shared" si="39"/>
        <v>89</v>
      </c>
      <c r="C91" s="72">
        <f t="shared" si="40"/>
        <v>174.70378466405882</v>
      </c>
      <c r="D91" s="80">
        <f t="shared" si="41"/>
        <v>149.15752316754944</v>
      </c>
      <c r="E91" s="81">
        <f t="shared" si="30"/>
        <v>25.546261496509374</v>
      </c>
      <c r="F91" s="82"/>
      <c r="G91" s="83">
        <f>C91*TDEE!$B$5</f>
        <v>2173.8397081787739</v>
      </c>
      <c r="H91" s="72">
        <f t="shared" si="42"/>
        <v>791.93410639179058</v>
      </c>
      <c r="I91" s="72">
        <f t="shared" si="43"/>
        <v>1381.9056017869834</v>
      </c>
      <c r="J91" s="63">
        <f t="shared" si="31"/>
        <v>0.22626688754051161</v>
      </c>
      <c r="K91" s="80">
        <f t="shared" si="32"/>
        <v>89.400169738980566</v>
      </c>
      <c r="L91" s="80">
        <v>25</v>
      </c>
      <c r="M91" s="59">
        <f>Protein_Amt!$B$6</f>
        <v>119.32601853403956</v>
      </c>
      <c r="N91" s="72">
        <f t="shared" si="33"/>
        <v>804.60152765082512</v>
      </c>
      <c r="O91" s="80">
        <f t="shared" si="34"/>
        <v>100</v>
      </c>
      <c r="P91" s="80">
        <f t="shared" si="35"/>
        <v>477.30407413615825</v>
      </c>
      <c r="Q91" s="73">
        <f t="shared" si="36"/>
        <v>1381.9056017869834</v>
      </c>
      <c r="S91" s="75">
        <f>VLOOKUP($A91,FoodLog!$A$1:$Z$10011,12,0)</f>
        <v>0</v>
      </c>
      <c r="T91" s="75">
        <f>VLOOKUP($A91,FoodLog!$A$1:$Z$10011,13,0)</f>
        <v>0</v>
      </c>
      <c r="U91" s="75">
        <f>VLOOKUP($A91,FoodLog!$A$1:$Z$10011,14,0)</f>
        <v>0</v>
      </c>
      <c r="V91" s="75">
        <f>VLOOKUP($A91,FoodLog!$A$1:$Z$10011,15,0)</f>
        <v>0</v>
      </c>
      <c r="W91" s="75">
        <f>VLOOKUP($A91,FoodLog!$A$1:$Z$10011,16,0)</f>
        <v>804.60152765082512</v>
      </c>
      <c r="X91" s="75">
        <f>VLOOKUP($A91,FoodLog!$A$1:$Z$10011,17,0)</f>
        <v>100</v>
      </c>
      <c r="Y91" s="75">
        <f>VLOOKUP($A91,FoodLog!$A$1:$Z$10011,18,0)</f>
        <v>477.30407413615825</v>
      </c>
      <c r="Z91" s="75">
        <f>VLOOKUP($A91,FoodLog!$A$1:$Z$10011,19,0)</f>
        <v>1381.9056017869834</v>
      </c>
      <c r="AA91" s="67">
        <f t="shared" si="37"/>
        <v>0.22626688754051161</v>
      </c>
      <c r="AB91" s="68">
        <f>Scale!C91</f>
        <v>0</v>
      </c>
    </row>
    <row r="92" spans="1:28" x14ac:dyDescent="0.25">
      <c r="A92" s="70">
        <f t="shared" si="38"/>
        <v>43081</v>
      </c>
      <c r="B92" s="71">
        <f t="shared" si="39"/>
        <v>90</v>
      </c>
      <c r="C92" s="72">
        <f t="shared" si="40"/>
        <v>174.47751777651831</v>
      </c>
      <c r="D92" s="80">
        <f t="shared" si="41"/>
        <v>149.15752316754944</v>
      </c>
      <c r="E92" s="81">
        <f t="shared" si="30"/>
        <v>25.319994608968869</v>
      </c>
      <c r="F92" s="82"/>
      <c r="G92" s="83">
        <f>C92*TDEE!$B$5</f>
        <v>2171.024268629325</v>
      </c>
      <c r="H92" s="72">
        <f t="shared" si="42"/>
        <v>784.91983287803498</v>
      </c>
      <c r="I92" s="72">
        <f t="shared" si="43"/>
        <v>1386.1044357512901</v>
      </c>
      <c r="J92" s="63">
        <f t="shared" si="31"/>
        <v>0.22426280939372428</v>
      </c>
      <c r="K92" s="80">
        <f t="shared" si="32"/>
        <v>89.422262401681309</v>
      </c>
      <c r="L92" s="80">
        <v>26</v>
      </c>
      <c r="M92" s="59">
        <f>Protein_Amt!$B$6</f>
        <v>119.32601853403956</v>
      </c>
      <c r="N92" s="72">
        <f t="shared" si="33"/>
        <v>804.80036161513181</v>
      </c>
      <c r="O92" s="80">
        <f t="shared" si="34"/>
        <v>104</v>
      </c>
      <c r="P92" s="80">
        <f t="shared" si="35"/>
        <v>477.30407413615825</v>
      </c>
      <c r="Q92" s="73">
        <f t="shared" si="36"/>
        <v>1386.1044357512901</v>
      </c>
      <c r="S92" s="75">
        <f>VLOOKUP($A92,FoodLog!$A$1:$Z$10011,12,0)</f>
        <v>0</v>
      </c>
      <c r="T92" s="75">
        <f>VLOOKUP($A92,FoodLog!$A$1:$Z$10011,13,0)</f>
        <v>0</v>
      </c>
      <c r="U92" s="75">
        <f>VLOOKUP($A92,FoodLog!$A$1:$Z$10011,14,0)</f>
        <v>0</v>
      </c>
      <c r="V92" s="75">
        <f>VLOOKUP($A92,FoodLog!$A$1:$Z$10011,15,0)</f>
        <v>0</v>
      </c>
      <c r="W92" s="75">
        <f>VLOOKUP($A92,FoodLog!$A$1:$Z$10011,16,0)</f>
        <v>804.80036161513181</v>
      </c>
      <c r="X92" s="75">
        <f>VLOOKUP($A92,FoodLog!$A$1:$Z$10011,17,0)</f>
        <v>104</v>
      </c>
      <c r="Y92" s="75">
        <f>VLOOKUP($A92,FoodLog!$A$1:$Z$10011,18,0)</f>
        <v>477.30407413615825</v>
      </c>
      <c r="Z92" s="75">
        <f>VLOOKUP($A92,FoodLog!$A$1:$Z$10011,19,0)</f>
        <v>1386.1044357512901</v>
      </c>
      <c r="AA92" s="67">
        <f t="shared" si="37"/>
        <v>0.22426280939372428</v>
      </c>
      <c r="AB92" s="68">
        <f>Scale!C92</f>
        <v>0</v>
      </c>
    </row>
    <row r="93" spans="1:28" x14ac:dyDescent="0.25">
      <c r="A93" s="70">
        <f t="shared" si="38"/>
        <v>43082</v>
      </c>
      <c r="B93" s="71">
        <f t="shared" si="39"/>
        <v>91</v>
      </c>
      <c r="C93" s="72">
        <f t="shared" si="40"/>
        <v>174.25325496712458</v>
      </c>
      <c r="D93" s="80">
        <f t="shared" si="41"/>
        <v>149.15752316754944</v>
      </c>
      <c r="E93" s="81">
        <f t="shared" si="30"/>
        <v>25.095731799575134</v>
      </c>
      <c r="F93" s="82"/>
      <c r="G93" s="83">
        <f>C93*TDEE!$B$5</f>
        <v>2168.2337658301713</v>
      </c>
      <c r="H93" s="72">
        <f t="shared" si="42"/>
        <v>777.96768578682918</v>
      </c>
      <c r="I93" s="72">
        <f t="shared" si="43"/>
        <v>1390.2660800433421</v>
      </c>
      <c r="J93" s="63">
        <f t="shared" si="31"/>
        <v>0.22227648165337976</v>
      </c>
      <c r="K93" s="80">
        <f t="shared" si="32"/>
        <v>89.44022287857598</v>
      </c>
      <c r="L93" s="80">
        <v>27</v>
      </c>
      <c r="M93" s="59">
        <f>Protein_Amt!$B$6</f>
        <v>119.32601853403956</v>
      </c>
      <c r="N93" s="72">
        <f t="shared" si="33"/>
        <v>804.96200590718377</v>
      </c>
      <c r="O93" s="80">
        <f t="shared" si="34"/>
        <v>108</v>
      </c>
      <c r="P93" s="80">
        <f t="shared" si="35"/>
        <v>477.30407413615825</v>
      </c>
      <c r="Q93" s="73">
        <f t="shared" si="36"/>
        <v>1390.2660800433421</v>
      </c>
      <c r="S93" s="75">
        <f>VLOOKUP($A93,FoodLog!$A$1:$Z$10011,12,0)</f>
        <v>0</v>
      </c>
      <c r="T93" s="75">
        <f>VLOOKUP($A93,FoodLog!$A$1:$Z$10011,13,0)</f>
        <v>0</v>
      </c>
      <c r="U93" s="75">
        <f>VLOOKUP($A93,FoodLog!$A$1:$Z$10011,14,0)</f>
        <v>0</v>
      </c>
      <c r="V93" s="75">
        <f>VLOOKUP($A93,FoodLog!$A$1:$Z$10011,15,0)</f>
        <v>0</v>
      </c>
      <c r="W93" s="75">
        <f>VLOOKUP($A93,FoodLog!$A$1:$Z$10011,16,0)</f>
        <v>804.96200590718377</v>
      </c>
      <c r="X93" s="75">
        <f>VLOOKUP($A93,FoodLog!$A$1:$Z$10011,17,0)</f>
        <v>108</v>
      </c>
      <c r="Y93" s="75">
        <f>VLOOKUP($A93,FoodLog!$A$1:$Z$10011,18,0)</f>
        <v>477.30407413615825</v>
      </c>
      <c r="Z93" s="75">
        <f>VLOOKUP($A93,FoodLog!$A$1:$Z$10011,19,0)</f>
        <v>1390.2660800433421</v>
      </c>
      <c r="AA93" s="67">
        <f t="shared" si="37"/>
        <v>0.22227648165337976</v>
      </c>
      <c r="AB93" s="68">
        <f>Scale!C93</f>
        <v>0</v>
      </c>
    </row>
    <row r="94" spans="1:28" x14ac:dyDescent="0.25">
      <c r="A94" s="70">
        <f t="shared" si="38"/>
        <v>43083</v>
      </c>
      <c r="B94" s="71">
        <f t="shared" si="39"/>
        <v>92</v>
      </c>
      <c r="C94" s="72">
        <f t="shared" si="40"/>
        <v>174.03097848547119</v>
      </c>
      <c r="D94" s="80">
        <f t="shared" si="41"/>
        <v>149.15752316754944</v>
      </c>
      <c r="E94" s="81">
        <f t="shared" si="30"/>
        <v>24.873455317921753</v>
      </c>
      <c r="F94" s="82"/>
      <c r="G94" s="83">
        <f>C94*TDEE!$B$5</f>
        <v>2165.4679789129527</v>
      </c>
      <c r="H94" s="72">
        <f t="shared" si="42"/>
        <v>771.07711485557434</v>
      </c>
      <c r="I94" s="72">
        <f t="shared" si="43"/>
        <v>1394.3908640573784</v>
      </c>
      <c r="J94" s="63">
        <f t="shared" si="31"/>
        <v>0.22030774710159268</v>
      </c>
      <c r="K94" s="80">
        <f t="shared" si="32"/>
        <v>89.454087769024454</v>
      </c>
      <c r="L94" s="80">
        <v>28</v>
      </c>
      <c r="M94" s="59">
        <f>Protein_Amt!$B$6</f>
        <v>119.32601853403956</v>
      </c>
      <c r="N94" s="72">
        <f t="shared" si="33"/>
        <v>805.08678992122009</v>
      </c>
      <c r="O94" s="80">
        <f t="shared" si="34"/>
        <v>112</v>
      </c>
      <c r="P94" s="80">
        <f t="shared" si="35"/>
        <v>477.30407413615825</v>
      </c>
      <c r="Q94" s="73">
        <f t="shared" si="36"/>
        <v>1394.3908640573784</v>
      </c>
      <c r="S94" s="75">
        <f>VLOOKUP($A94,FoodLog!$A$1:$Z$10011,12,0)</f>
        <v>0</v>
      </c>
      <c r="T94" s="75">
        <f>VLOOKUP($A94,FoodLog!$A$1:$Z$10011,13,0)</f>
        <v>0</v>
      </c>
      <c r="U94" s="75">
        <f>VLOOKUP($A94,FoodLog!$A$1:$Z$10011,14,0)</f>
        <v>0</v>
      </c>
      <c r="V94" s="75">
        <f>VLOOKUP($A94,FoodLog!$A$1:$Z$10011,15,0)</f>
        <v>0</v>
      </c>
      <c r="W94" s="75">
        <f>VLOOKUP($A94,FoodLog!$A$1:$Z$10011,16,0)</f>
        <v>805.08678992122009</v>
      </c>
      <c r="X94" s="75">
        <f>VLOOKUP($A94,FoodLog!$A$1:$Z$10011,17,0)</f>
        <v>112</v>
      </c>
      <c r="Y94" s="75">
        <f>VLOOKUP($A94,FoodLog!$A$1:$Z$10011,18,0)</f>
        <v>477.30407413615825</v>
      </c>
      <c r="Z94" s="75">
        <f>VLOOKUP($A94,FoodLog!$A$1:$Z$10011,19,0)</f>
        <v>1394.3908640573784</v>
      </c>
      <c r="AA94" s="67">
        <f t="shared" si="37"/>
        <v>0.22030774710159268</v>
      </c>
      <c r="AB94" s="68">
        <f>Scale!C94</f>
        <v>0</v>
      </c>
    </row>
    <row r="95" spans="1:28" x14ac:dyDescent="0.25">
      <c r="A95" s="70">
        <f t="shared" si="38"/>
        <v>43084</v>
      </c>
      <c r="B95" s="71">
        <f t="shared" si="39"/>
        <v>93</v>
      </c>
      <c r="C95" s="72">
        <f t="shared" si="40"/>
        <v>173.81067073836959</v>
      </c>
      <c r="D95" s="80">
        <f t="shared" si="41"/>
        <v>149.15752316754944</v>
      </c>
      <c r="E95" s="81">
        <f t="shared" si="30"/>
        <v>24.653147570820153</v>
      </c>
      <c r="F95" s="82"/>
      <c r="G95" s="83">
        <f>C95*TDEE!$B$5</f>
        <v>2162.7266889655725</v>
      </c>
      <c r="H95" s="72">
        <f t="shared" si="42"/>
        <v>764.24757469542476</v>
      </c>
      <c r="I95" s="72">
        <f t="shared" si="43"/>
        <v>1398.4791142701479</v>
      </c>
      <c r="J95" s="63">
        <f t="shared" si="31"/>
        <v>0.21835644991297851</v>
      </c>
      <c r="K95" s="80">
        <f t="shared" si="32"/>
        <v>89.463893348221063</v>
      </c>
      <c r="L95" s="80">
        <v>29</v>
      </c>
      <c r="M95" s="59">
        <f>Protein_Amt!$B$6</f>
        <v>119.32601853403956</v>
      </c>
      <c r="N95" s="72">
        <f t="shared" si="33"/>
        <v>805.17504013398957</v>
      </c>
      <c r="O95" s="80">
        <f t="shared" si="34"/>
        <v>116</v>
      </c>
      <c r="P95" s="80">
        <f t="shared" si="35"/>
        <v>477.30407413615825</v>
      </c>
      <c r="Q95" s="73">
        <f t="shared" si="36"/>
        <v>1398.4791142701479</v>
      </c>
      <c r="S95" s="75">
        <f>VLOOKUP($A95,FoodLog!$A$1:$Z$10011,12,0)</f>
        <v>0</v>
      </c>
      <c r="T95" s="75">
        <f>VLOOKUP($A95,FoodLog!$A$1:$Z$10011,13,0)</f>
        <v>0</v>
      </c>
      <c r="U95" s="75">
        <f>VLOOKUP($A95,FoodLog!$A$1:$Z$10011,14,0)</f>
        <v>0</v>
      </c>
      <c r="V95" s="75">
        <f>VLOOKUP($A95,FoodLog!$A$1:$Z$10011,15,0)</f>
        <v>0</v>
      </c>
      <c r="W95" s="75">
        <f>VLOOKUP($A95,FoodLog!$A$1:$Z$10011,16,0)</f>
        <v>805.17504013398957</v>
      </c>
      <c r="X95" s="75">
        <f>VLOOKUP($A95,FoodLog!$A$1:$Z$10011,17,0)</f>
        <v>116</v>
      </c>
      <c r="Y95" s="75">
        <f>VLOOKUP($A95,FoodLog!$A$1:$Z$10011,18,0)</f>
        <v>477.30407413615825</v>
      </c>
      <c r="Z95" s="75">
        <f>VLOOKUP($A95,FoodLog!$A$1:$Z$10011,19,0)</f>
        <v>1398.4791142701479</v>
      </c>
      <c r="AA95" s="67">
        <f t="shared" si="37"/>
        <v>0.21835644991297851</v>
      </c>
      <c r="AB95" s="68">
        <f>Scale!C95</f>
        <v>0</v>
      </c>
    </row>
    <row r="96" spans="1:28" x14ac:dyDescent="0.25">
      <c r="A96" s="70">
        <f t="shared" si="38"/>
        <v>43085</v>
      </c>
      <c r="B96" s="71">
        <f t="shared" si="39"/>
        <v>94</v>
      </c>
      <c r="C96" s="72">
        <f t="shared" si="40"/>
        <v>173.59231428845661</v>
      </c>
      <c r="D96" s="80">
        <f t="shared" si="41"/>
        <v>149.15752316754944</v>
      </c>
      <c r="E96" s="81">
        <f t="shared" si="30"/>
        <v>24.434791120907164</v>
      </c>
      <c r="F96" s="82"/>
      <c r="G96" s="83">
        <f>C96*TDEE!$B$5</f>
        <v>2160.0096790148691</v>
      </c>
      <c r="H96" s="72">
        <f t="shared" si="42"/>
        <v>757.47852474812203</v>
      </c>
      <c r="I96" s="72">
        <f t="shared" si="43"/>
        <v>1402.5311542667471</v>
      </c>
      <c r="J96" s="63">
        <f t="shared" si="31"/>
        <v>0.21642243564232058</v>
      </c>
      <c r="K96" s="80">
        <f t="shared" si="32"/>
        <v>89.914120014509862</v>
      </c>
      <c r="L96" s="80">
        <v>29</v>
      </c>
      <c r="M96" s="59">
        <f>Protein_Amt!$B$6</f>
        <v>119.32601853403956</v>
      </c>
      <c r="N96" s="72">
        <f t="shared" si="33"/>
        <v>809.22708013058877</v>
      </c>
      <c r="O96" s="80">
        <f t="shared" si="34"/>
        <v>116</v>
      </c>
      <c r="P96" s="80">
        <f t="shared" si="35"/>
        <v>477.30407413615825</v>
      </c>
      <c r="Q96" s="73">
        <f t="shared" si="36"/>
        <v>1402.5311542667471</v>
      </c>
      <c r="S96" s="75">
        <f>VLOOKUP($A96,FoodLog!$A$1:$Z$10011,12,0)</f>
        <v>0</v>
      </c>
      <c r="T96" s="75">
        <f>VLOOKUP($A96,FoodLog!$A$1:$Z$10011,13,0)</f>
        <v>0</v>
      </c>
      <c r="U96" s="75">
        <f>VLOOKUP($A96,FoodLog!$A$1:$Z$10011,14,0)</f>
        <v>0</v>
      </c>
      <c r="V96" s="75">
        <f>VLOOKUP($A96,FoodLog!$A$1:$Z$10011,15,0)</f>
        <v>0</v>
      </c>
      <c r="W96" s="75">
        <f>VLOOKUP($A96,FoodLog!$A$1:$Z$10011,16,0)</f>
        <v>809.22708013058877</v>
      </c>
      <c r="X96" s="75">
        <f>VLOOKUP($A96,FoodLog!$A$1:$Z$10011,17,0)</f>
        <v>116</v>
      </c>
      <c r="Y96" s="75">
        <f>VLOOKUP($A96,FoodLog!$A$1:$Z$10011,18,0)</f>
        <v>477.30407413615825</v>
      </c>
      <c r="Z96" s="75">
        <f>VLOOKUP($A96,FoodLog!$A$1:$Z$10011,19,0)</f>
        <v>1402.5311542667471</v>
      </c>
      <c r="AA96" s="67">
        <f t="shared" si="37"/>
        <v>0.21642243564232058</v>
      </c>
      <c r="AB96" s="68">
        <f>Scale!C96</f>
        <v>0</v>
      </c>
    </row>
    <row r="97" spans="1:28" x14ac:dyDescent="0.25">
      <c r="A97" s="70">
        <f t="shared" si="38"/>
        <v>43086</v>
      </c>
      <c r="B97" s="71">
        <f t="shared" si="39"/>
        <v>95</v>
      </c>
      <c r="C97" s="72">
        <f t="shared" si="40"/>
        <v>173.37589185281428</v>
      </c>
      <c r="D97" s="80">
        <f t="shared" si="41"/>
        <v>149.15752316754944</v>
      </c>
      <c r="E97" s="81">
        <f t="shared" si="30"/>
        <v>24.218368685264835</v>
      </c>
      <c r="F97" s="82"/>
      <c r="G97" s="83">
        <f>C97*TDEE!$B$5</f>
        <v>2157.3167340094433</v>
      </c>
      <c r="H97" s="72">
        <f t="shared" si="42"/>
        <v>750.76942924320986</v>
      </c>
      <c r="I97" s="72">
        <f t="shared" si="43"/>
        <v>1406.5473047662335</v>
      </c>
      <c r="J97" s="63">
        <f t="shared" si="31"/>
        <v>0.21450555121234569</v>
      </c>
      <c r="K97" s="80">
        <f t="shared" si="32"/>
        <v>90.360358958897251</v>
      </c>
      <c r="L97" s="80">
        <v>29</v>
      </c>
      <c r="M97" s="59">
        <f>Protein_Amt!$B$6</f>
        <v>119.32601853403956</v>
      </c>
      <c r="N97" s="72">
        <f t="shared" si="33"/>
        <v>813.24323063007523</v>
      </c>
      <c r="O97" s="80">
        <f t="shared" si="34"/>
        <v>116</v>
      </c>
      <c r="P97" s="80">
        <f t="shared" si="35"/>
        <v>477.30407413615825</v>
      </c>
      <c r="Q97" s="73">
        <f t="shared" si="36"/>
        <v>1406.5473047662335</v>
      </c>
      <c r="S97" s="75">
        <f>VLOOKUP($A97,FoodLog!$A$1:$Z$10011,12,0)</f>
        <v>0</v>
      </c>
      <c r="T97" s="75">
        <f>VLOOKUP($A97,FoodLog!$A$1:$Z$10011,13,0)</f>
        <v>0</v>
      </c>
      <c r="U97" s="75">
        <f>VLOOKUP($A97,FoodLog!$A$1:$Z$10011,14,0)</f>
        <v>0</v>
      </c>
      <c r="V97" s="75">
        <f>VLOOKUP($A97,FoodLog!$A$1:$Z$10011,15,0)</f>
        <v>0</v>
      </c>
      <c r="W97" s="75">
        <f>VLOOKUP($A97,FoodLog!$A$1:$Z$10011,16,0)</f>
        <v>813.24323063007523</v>
      </c>
      <c r="X97" s="75">
        <f>VLOOKUP($A97,FoodLog!$A$1:$Z$10011,17,0)</f>
        <v>116</v>
      </c>
      <c r="Y97" s="75">
        <f>VLOOKUP($A97,FoodLog!$A$1:$Z$10011,18,0)</f>
        <v>477.30407413615825</v>
      </c>
      <c r="Z97" s="75">
        <f>VLOOKUP($A97,FoodLog!$A$1:$Z$10011,19,0)</f>
        <v>1406.5473047662335</v>
      </c>
      <c r="AA97" s="67">
        <f t="shared" si="37"/>
        <v>0.21450555121234569</v>
      </c>
      <c r="AB97" s="68">
        <f>Scale!C97</f>
        <v>0</v>
      </c>
    </row>
    <row r="98" spans="1:28" x14ac:dyDescent="0.25">
      <c r="A98" s="70">
        <f t="shared" si="38"/>
        <v>43087</v>
      </c>
      <c r="B98" s="71">
        <f t="shared" si="39"/>
        <v>96</v>
      </c>
      <c r="C98" s="72">
        <f t="shared" si="40"/>
        <v>173.16138630160194</v>
      </c>
      <c r="D98" s="80">
        <f t="shared" si="41"/>
        <v>149.15752316754944</v>
      </c>
      <c r="E98" s="81">
        <f t="shared" si="30"/>
        <v>24.003863134052494</v>
      </c>
      <c r="F98" s="82"/>
      <c r="G98" s="83">
        <f>C98*TDEE!$B$5</f>
        <v>2154.6476408026369</v>
      </c>
      <c r="H98" s="72">
        <f t="shared" si="42"/>
        <v>744.11975715562733</v>
      </c>
      <c r="I98" s="72">
        <f t="shared" si="43"/>
        <v>1410.5278836470097</v>
      </c>
      <c r="J98" s="63">
        <f t="shared" si="31"/>
        <v>0.2126056449016078</v>
      </c>
      <c r="K98" s="80">
        <f t="shared" si="32"/>
        <v>90.802645501205717</v>
      </c>
      <c r="L98" s="80">
        <v>29</v>
      </c>
      <c r="M98" s="59">
        <f>Protein_Amt!$B$6</f>
        <v>119.32601853403956</v>
      </c>
      <c r="N98" s="72">
        <f t="shared" si="33"/>
        <v>817.22380951085142</v>
      </c>
      <c r="O98" s="80">
        <f t="shared" si="34"/>
        <v>116</v>
      </c>
      <c r="P98" s="80">
        <f t="shared" si="35"/>
        <v>477.30407413615825</v>
      </c>
      <c r="Q98" s="73">
        <f t="shared" si="36"/>
        <v>1410.5278836470097</v>
      </c>
      <c r="S98" s="75">
        <f>VLOOKUP($A98,FoodLog!$A$1:$Z$10011,12,0)</f>
        <v>0</v>
      </c>
      <c r="T98" s="75">
        <f>VLOOKUP($A98,FoodLog!$A$1:$Z$10011,13,0)</f>
        <v>0</v>
      </c>
      <c r="U98" s="75">
        <f>VLOOKUP($A98,FoodLog!$A$1:$Z$10011,14,0)</f>
        <v>0</v>
      </c>
      <c r="V98" s="75">
        <f>VLOOKUP($A98,FoodLog!$A$1:$Z$10011,15,0)</f>
        <v>0</v>
      </c>
      <c r="W98" s="75">
        <f>VLOOKUP($A98,FoodLog!$A$1:$Z$10011,16,0)</f>
        <v>817.22380951085142</v>
      </c>
      <c r="X98" s="75">
        <f>VLOOKUP($A98,FoodLog!$A$1:$Z$10011,17,0)</f>
        <v>116</v>
      </c>
      <c r="Y98" s="75">
        <f>VLOOKUP($A98,FoodLog!$A$1:$Z$10011,18,0)</f>
        <v>477.30407413615825</v>
      </c>
      <c r="Z98" s="75">
        <f>VLOOKUP($A98,FoodLog!$A$1:$Z$10011,19,0)</f>
        <v>1410.5278836470097</v>
      </c>
      <c r="AA98" s="67">
        <f t="shared" si="37"/>
        <v>0.2126056449016078</v>
      </c>
      <c r="AB98" s="68">
        <f>Scale!C98</f>
        <v>0</v>
      </c>
    </row>
    <row r="99" spans="1:28" x14ac:dyDescent="0.25">
      <c r="A99" s="70">
        <f t="shared" si="38"/>
        <v>43088</v>
      </c>
      <c r="B99" s="71">
        <f t="shared" si="39"/>
        <v>97</v>
      </c>
      <c r="C99" s="72">
        <f t="shared" si="40"/>
        <v>172.94878065670034</v>
      </c>
      <c r="D99" s="80">
        <f t="shared" si="41"/>
        <v>149.15752316754944</v>
      </c>
      <c r="E99" s="81">
        <f t="shared" ref="E99:E130" si="44">C99-D99</f>
        <v>23.791257489150894</v>
      </c>
      <c r="F99" s="82"/>
      <c r="G99" s="83">
        <f>C99*TDEE!$B$5</f>
        <v>2152.0021881356629</v>
      </c>
      <c r="H99" s="72">
        <f t="shared" si="42"/>
        <v>737.52898216367771</v>
      </c>
      <c r="I99" s="72">
        <f t="shared" si="43"/>
        <v>1414.4732059719852</v>
      </c>
      <c r="J99" s="63">
        <f t="shared" ref="J99:J111" si="45">H99/3500</f>
        <v>0.21072256633247935</v>
      </c>
      <c r="K99" s="80">
        <f t="shared" ref="K99:K111" si="46">N99/9</f>
        <v>91.241014648425207</v>
      </c>
      <c r="L99" s="80">
        <v>29</v>
      </c>
      <c r="M99" s="59">
        <f>Protein_Amt!$B$6</f>
        <v>119.32601853403956</v>
      </c>
      <c r="N99" s="72">
        <f t="shared" ref="N99:N130" si="47">MAX(0,I99-(O99+P99))</f>
        <v>821.16913183582687</v>
      </c>
      <c r="O99" s="80">
        <f t="shared" ref="O99:O111" si="48">4*L99</f>
        <v>116</v>
      </c>
      <c r="P99" s="80">
        <f t="shared" ref="P99:P111" si="49">4*M99</f>
        <v>477.30407413615825</v>
      </c>
      <c r="Q99" s="73">
        <f t="shared" ref="Q99:Q130" si="50">SUM(N99:P99)</f>
        <v>1414.4732059719852</v>
      </c>
      <c r="S99" s="75">
        <f>VLOOKUP($A99,FoodLog!$A$1:$Z$10011,12,0)</f>
        <v>0</v>
      </c>
      <c r="T99" s="75">
        <f>VLOOKUP($A99,FoodLog!$A$1:$Z$10011,13,0)</f>
        <v>0</v>
      </c>
      <c r="U99" s="75">
        <f>VLOOKUP($A99,FoodLog!$A$1:$Z$10011,14,0)</f>
        <v>0</v>
      </c>
      <c r="V99" s="75">
        <f>VLOOKUP($A99,FoodLog!$A$1:$Z$10011,15,0)</f>
        <v>0</v>
      </c>
      <c r="W99" s="75">
        <f>VLOOKUP($A99,FoodLog!$A$1:$Z$10011,16,0)</f>
        <v>821.16913183582687</v>
      </c>
      <c r="X99" s="75">
        <f>VLOOKUP($A99,FoodLog!$A$1:$Z$10011,17,0)</f>
        <v>116</v>
      </c>
      <c r="Y99" s="75">
        <f>VLOOKUP($A99,FoodLog!$A$1:$Z$10011,18,0)</f>
        <v>477.30407413615825</v>
      </c>
      <c r="Z99" s="75">
        <f>VLOOKUP($A99,FoodLog!$A$1:$Z$10011,19,0)</f>
        <v>1414.4732059719852</v>
      </c>
      <c r="AA99" s="67">
        <f t="shared" ref="AA99:AA130" si="51">MIN($H99,($H99+Z99))/3500</f>
        <v>0.21072256633247935</v>
      </c>
      <c r="AB99" s="68">
        <f>Scale!C99</f>
        <v>0</v>
      </c>
    </row>
    <row r="100" spans="1:28" x14ac:dyDescent="0.25">
      <c r="A100" s="70">
        <f t="shared" ref="A100:A111" si="52">A99+1</f>
        <v>43089</v>
      </c>
      <c r="B100" s="71">
        <f t="shared" ref="B100:B111" si="53">B99+1</f>
        <v>98</v>
      </c>
      <c r="C100" s="72">
        <f t="shared" ref="C100:C111" si="54">C99-AA99</f>
        <v>172.73805809036784</v>
      </c>
      <c r="D100" s="80">
        <f t="shared" ref="D100:D111" si="55">$D$3</f>
        <v>149.15752316754944</v>
      </c>
      <c r="E100" s="81">
        <f t="shared" si="44"/>
        <v>23.580534922818401</v>
      </c>
      <c r="F100" s="82"/>
      <c r="G100" s="83">
        <f>C100*TDEE!$B$5</f>
        <v>2149.380166620881</v>
      </c>
      <c r="H100" s="72">
        <f t="shared" si="42"/>
        <v>730.99658260737044</v>
      </c>
      <c r="I100" s="72">
        <f t="shared" si="43"/>
        <v>1418.3835840135107</v>
      </c>
      <c r="J100" s="63">
        <f t="shared" si="45"/>
        <v>0.2088561664592487</v>
      </c>
      <c r="K100" s="80">
        <f t="shared" si="46"/>
        <v>91.675501097483604</v>
      </c>
      <c r="L100" s="80">
        <v>29</v>
      </c>
      <c r="M100" s="59">
        <f>Protein_Amt!$B$6</f>
        <v>119.32601853403956</v>
      </c>
      <c r="N100" s="72">
        <f t="shared" si="47"/>
        <v>825.07950987735239</v>
      </c>
      <c r="O100" s="80">
        <f t="shared" si="48"/>
        <v>116</v>
      </c>
      <c r="P100" s="80">
        <f t="shared" si="49"/>
        <v>477.30407413615825</v>
      </c>
      <c r="Q100" s="73">
        <f t="shared" si="50"/>
        <v>1418.3835840135107</v>
      </c>
      <c r="S100" s="75">
        <f>VLOOKUP($A100,FoodLog!$A$1:$Z$10011,12,0)</f>
        <v>0</v>
      </c>
      <c r="T100" s="75">
        <f>VLOOKUP($A100,FoodLog!$A$1:$Z$10011,13,0)</f>
        <v>0</v>
      </c>
      <c r="U100" s="75">
        <f>VLOOKUP($A100,FoodLog!$A$1:$Z$10011,14,0)</f>
        <v>0</v>
      </c>
      <c r="V100" s="75">
        <f>VLOOKUP($A100,FoodLog!$A$1:$Z$10011,15,0)</f>
        <v>0</v>
      </c>
      <c r="W100" s="75">
        <f>VLOOKUP($A100,FoodLog!$A$1:$Z$10011,16,0)</f>
        <v>825.07950987735239</v>
      </c>
      <c r="X100" s="75">
        <f>VLOOKUP($A100,FoodLog!$A$1:$Z$10011,17,0)</f>
        <v>116</v>
      </c>
      <c r="Y100" s="75">
        <f>VLOOKUP($A100,FoodLog!$A$1:$Z$10011,18,0)</f>
        <v>477.30407413615825</v>
      </c>
      <c r="Z100" s="75">
        <f>VLOOKUP($A100,FoodLog!$A$1:$Z$10011,19,0)</f>
        <v>1418.3835840135107</v>
      </c>
      <c r="AA100" s="67">
        <f t="shared" si="51"/>
        <v>0.2088561664592487</v>
      </c>
      <c r="AB100" s="68">
        <f>Scale!C100</f>
        <v>0</v>
      </c>
    </row>
    <row r="101" spans="1:28" x14ac:dyDescent="0.25">
      <c r="A101" s="70">
        <f t="shared" si="52"/>
        <v>43090</v>
      </c>
      <c r="B101" s="71">
        <f t="shared" si="53"/>
        <v>99</v>
      </c>
      <c r="C101" s="72">
        <f t="shared" si="54"/>
        <v>172.5292019239086</v>
      </c>
      <c r="D101" s="80">
        <f t="shared" si="55"/>
        <v>149.15752316754944</v>
      </c>
      <c r="E101" s="81">
        <f t="shared" si="44"/>
        <v>23.371678756359159</v>
      </c>
      <c r="F101" s="82"/>
      <c r="G101" s="83">
        <f>C101*TDEE!$B$5</f>
        <v>2146.781368725231</v>
      </c>
      <c r="H101" s="72">
        <f t="shared" si="42"/>
        <v>724.52204144713392</v>
      </c>
      <c r="I101" s="72">
        <f t="shared" si="43"/>
        <v>1422.2593272780971</v>
      </c>
      <c r="J101" s="63">
        <f t="shared" si="45"/>
        <v>0.20700629755632396</v>
      </c>
      <c r="K101" s="80">
        <f t="shared" si="46"/>
        <v>92.106139237993204</v>
      </c>
      <c r="L101" s="80">
        <v>29</v>
      </c>
      <c r="M101" s="59">
        <f>Protein_Amt!$B$6</f>
        <v>119.32601853403956</v>
      </c>
      <c r="N101" s="72">
        <f t="shared" si="47"/>
        <v>828.95525314193878</v>
      </c>
      <c r="O101" s="80">
        <f t="shared" si="48"/>
        <v>116</v>
      </c>
      <c r="P101" s="80">
        <f t="shared" si="49"/>
        <v>477.30407413615825</v>
      </c>
      <c r="Q101" s="73">
        <f t="shared" si="50"/>
        <v>1422.2593272780971</v>
      </c>
      <c r="S101" s="75">
        <f>VLOOKUP($A101,FoodLog!$A$1:$Z$10011,12,0)</f>
        <v>0</v>
      </c>
      <c r="T101" s="75">
        <f>VLOOKUP($A101,FoodLog!$A$1:$Z$10011,13,0)</f>
        <v>0</v>
      </c>
      <c r="U101" s="75">
        <f>VLOOKUP($A101,FoodLog!$A$1:$Z$10011,14,0)</f>
        <v>0</v>
      </c>
      <c r="V101" s="75">
        <f>VLOOKUP($A101,FoodLog!$A$1:$Z$10011,15,0)</f>
        <v>0</v>
      </c>
      <c r="W101" s="75">
        <f>VLOOKUP($A101,FoodLog!$A$1:$Z$10011,16,0)</f>
        <v>828.95525314193878</v>
      </c>
      <c r="X101" s="75">
        <f>VLOOKUP($A101,FoodLog!$A$1:$Z$10011,17,0)</f>
        <v>116</v>
      </c>
      <c r="Y101" s="75">
        <f>VLOOKUP($A101,FoodLog!$A$1:$Z$10011,18,0)</f>
        <v>477.30407413615825</v>
      </c>
      <c r="Z101" s="75">
        <f>VLOOKUP($A101,FoodLog!$A$1:$Z$10011,19,0)</f>
        <v>1422.2593272780971</v>
      </c>
      <c r="AA101" s="67">
        <f t="shared" si="51"/>
        <v>0.20700629755632396</v>
      </c>
      <c r="AB101" s="68">
        <f>Scale!C101</f>
        <v>0</v>
      </c>
    </row>
    <row r="102" spans="1:28" x14ac:dyDescent="0.25">
      <c r="A102" s="70">
        <f t="shared" si="52"/>
        <v>43091</v>
      </c>
      <c r="B102" s="71">
        <f t="shared" si="53"/>
        <v>100</v>
      </c>
      <c r="C102" s="72">
        <f t="shared" si="54"/>
        <v>172.32219562635228</v>
      </c>
      <c r="D102" s="80">
        <f t="shared" si="55"/>
        <v>149.15752316754944</v>
      </c>
      <c r="E102" s="81">
        <f t="shared" si="44"/>
        <v>23.164672458802841</v>
      </c>
      <c r="F102" s="82"/>
      <c r="G102" s="83">
        <f>C102*TDEE!$B$5</f>
        <v>2144.2055887537995</v>
      </c>
      <c r="H102" s="72">
        <f t="shared" si="42"/>
        <v>718.104846222888</v>
      </c>
      <c r="I102" s="72">
        <f t="shared" si="43"/>
        <v>1426.1007425309115</v>
      </c>
      <c r="J102" s="63">
        <f t="shared" si="45"/>
        <v>0.20517281320653943</v>
      </c>
      <c r="K102" s="80">
        <f t="shared" si="46"/>
        <v>92.532963154972578</v>
      </c>
      <c r="L102" s="80">
        <v>29</v>
      </c>
      <c r="M102" s="59">
        <f>Protein_Amt!$B$6</f>
        <v>119.32601853403956</v>
      </c>
      <c r="N102" s="72">
        <f t="shared" si="47"/>
        <v>832.79666839475317</v>
      </c>
      <c r="O102" s="80">
        <f t="shared" si="48"/>
        <v>116</v>
      </c>
      <c r="P102" s="80">
        <f t="shared" si="49"/>
        <v>477.30407413615825</v>
      </c>
      <c r="Q102" s="73">
        <f t="shared" si="50"/>
        <v>1426.1007425309115</v>
      </c>
      <c r="S102" s="75">
        <f>VLOOKUP($A102,FoodLog!$A$1:$Z$10011,12,0)</f>
        <v>0</v>
      </c>
      <c r="T102" s="75">
        <f>VLOOKUP($A102,FoodLog!$A$1:$Z$10011,13,0)</f>
        <v>0</v>
      </c>
      <c r="U102" s="75">
        <f>VLOOKUP($A102,FoodLog!$A$1:$Z$10011,14,0)</f>
        <v>0</v>
      </c>
      <c r="V102" s="75">
        <f>VLOOKUP($A102,FoodLog!$A$1:$Z$10011,15,0)</f>
        <v>0</v>
      </c>
      <c r="W102" s="75">
        <f>VLOOKUP($A102,FoodLog!$A$1:$Z$10011,16,0)</f>
        <v>832.79666839475317</v>
      </c>
      <c r="X102" s="75">
        <f>VLOOKUP($A102,FoodLog!$A$1:$Z$10011,17,0)</f>
        <v>116</v>
      </c>
      <c r="Y102" s="75">
        <f>VLOOKUP($A102,FoodLog!$A$1:$Z$10011,18,0)</f>
        <v>477.30407413615825</v>
      </c>
      <c r="Z102" s="75">
        <f>VLOOKUP($A102,FoodLog!$A$1:$Z$10011,19,0)</f>
        <v>1426.1007425309115</v>
      </c>
      <c r="AA102" s="67">
        <f t="shared" si="51"/>
        <v>0.20517281320653943</v>
      </c>
      <c r="AB102" s="68">
        <f>Scale!C102</f>
        <v>0</v>
      </c>
    </row>
    <row r="103" spans="1:28" x14ac:dyDescent="0.25">
      <c r="A103" s="70">
        <f t="shared" si="52"/>
        <v>43092</v>
      </c>
      <c r="B103" s="71">
        <f t="shared" si="53"/>
        <v>101</v>
      </c>
      <c r="C103" s="72">
        <f t="shared" si="54"/>
        <v>172.11702281314575</v>
      </c>
      <c r="D103" s="80">
        <f t="shared" si="55"/>
        <v>149.15752316754944</v>
      </c>
      <c r="E103" s="81">
        <f t="shared" si="44"/>
        <v>22.95949964559631</v>
      </c>
      <c r="F103" s="82"/>
      <c r="G103" s="83">
        <f>C103*TDEE!$B$5</f>
        <v>2141.6526228335433</v>
      </c>
      <c r="H103" s="72">
        <f t="shared" si="42"/>
        <v>711.74448901348558</v>
      </c>
      <c r="I103" s="72">
        <f t="shared" si="43"/>
        <v>1429.9081338200576</v>
      </c>
      <c r="J103" s="63">
        <f t="shared" si="45"/>
        <v>0.2033555682895673</v>
      </c>
      <c r="K103" s="80">
        <f t="shared" si="46"/>
        <v>92.956006631544369</v>
      </c>
      <c r="L103" s="80">
        <v>29</v>
      </c>
      <c r="M103" s="59">
        <f>Protein_Amt!$B$6</f>
        <v>119.32601853403956</v>
      </c>
      <c r="N103" s="72">
        <f t="shared" si="47"/>
        <v>836.60405968389932</v>
      </c>
      <c r="O103" s="80">
        <f t="shared" si="48"/>
        <v>116</v>
      </c>
      <c r="P103" s="80">
        <f t="shared" si="49"/>
        <v>477.30407413615825</v>
      </c>
      <c r="Q103" s="73">
        <f t="shared" si="50"/>
        <v>1429.9081338200576</v>
      </c>
      <c r="S103" s="75">
        <f>VLOOKUP($A103,FoodLog!$A$1:$Z$10011,12,0)</f>
        <v>0</v>
      </c>
      <c r="T103" s="75">
        <f>VLOOKUP($A103,FoodLog!$A$1:$Z$10011,13,0)</f>
        <v>0</v>
      </c>
      <c r="U103" s="75">
        <f>VLOOKUP($A103,FoodLog!$A$1:$Z$10011,14,0)</f>
        <v>0</v>
      </c>
      <c r="V103" s="75">
        <f>VLOOKUP($A103,FoodLog!$A$1:$Z$10011,15,0)</f>
        <v>0</v>
      </c>
      <c r="W103" s="75">
        <f>VLOOKUP($A103,FoodLog!$A$1:$Z$10011,16,0)</f>
        <v>836.60405968389932</v>
      </c>
      <c r="X103" s="75">
        <f>VLOOKUP($A103,FoodLog!$A$1:$Z$10011,17,0)</f>
        <v>116</v>
      </c>
      <c r="Y103" s="75">
        <f>VLOOKUP($A103,FoodLog!$A$1:$Z$10011,18,0)</f>
        <v>477.30407413615825</v>
      </c>
      <c r="Z103" s="75">
        <f>VLOOKUP($A103,FoodLog!$A$1:$Z$10011,19,0)</f>
        <v>1429.9081338200576</v>
      </c>
      <c r="AA103" s="67">
        <f t="shared" si="51"/>
        <v>0.2033555682895673</v>
      </c>
      <c r="AB103" s="68">
        <f>Scale!C103</f>
        <v>0</v>
      </c>
    </row>
    <row r="104" spans="1:28" x14ac:dyDescent="0.25">
      <c r="A104" s="70">
        <f t="shared" si="52"/>
        <v>43093</v>
      </c>
      <c r="B104" s="71">
        <f t="shared" si="53"/>
        <v>102</v>
      </c>
      <c r="C104" s="72">
        <f t="shared" si="54"/>
        <v>171.91366724485619</v>
      </c>
      <c r="D104" s="80">
        <f t="shared" si="55"/>
        <v>149.15752316754944</v>
      </c>
      <c r="E104" s="81">
        <f t="shared" si="44"/>
        <v>22.756144077306743</v>
      </c>
      <c r="F104" s="82"/>
      <c r="G104" s="83">
        <f>C104*TDEE!$B$5</f>
        <v>2139.122268897152</v>
      </c>
      <c r="H104" s="72">
        <f t="shared" si="42"/>
        <v>705.44046639650901</v>
      </c>
      <c r="I104" s="72">
        <f t="shared" si="43"/>
        <v>1433.681802500643</v>
      </c>
      <c r="J104" s="63">
        <f t="shared" si="45"/>
        <v>0.20155441897043114</v>
      </c>
      <c r="K104" s="80">
        <f t="shared" si="46"/>
        <v>93.375303151609415</v>
      </c>
      <c r="L104" s="80">
        <v>29</v>
      </c>
      <c r="M104" s="59">
        <f>Protein_Amt!$B$6</f>
        <v>119.32601853403956</v>
      </c>
      <c r="N104" s="72">
        <f t="shared" si="47"/>
        <v>840.37772836448471</v>
      </c>
      <c r="O104" s="80">
        <f t="shared" si="48"/>
        <v>116</v>
      </c>
      <c r="P104" s="80">
        <f t="shared" si="49"/>
        <v>477.30407413615825</v>
      </c>
      <c r="Q104" s="73">
        <f t="shared" si="50"/>
        <v>1433.681802500643</v>
      </c>
      <c r="S104" s="75">
        <f>VLOOKUP($A104,FoodLog!$A$1:$Z$10011,12,0)</f>
        <v>0</v>
      </c>
      <c r="T104" s="75">
        <f>VLOOKUP($A104,FoodLog!$A$1:$Z$10011,13,0)</f>
        <v>0</v>
      </c>
      <c r="U104" s="75">
        <f>VLOOKUP($A104,FoodLog!$A$1:$Z$10011,14,0)</f>
        <v>0</v>
      </c>
      <c r="V104" s="75">
        <f>VLOOKUP($A104,FoodLog!$A$1:$Z$10011,15,0)</f>
        <v>0</v>
      </c>
      <c r="W104" s="75">
        <f>VLOOKUP($A104,FoodLog!$A$1:$Z$10011,16,0)</f>
        <v>840.37772836448471</v>
      </c>
      <c r="X104" s="75">
        <f>VLOOKUP($A104,FoodLog!$A$1:$Z$10011,17,0)</f>
        <v>116</v>
      </c>
      <c r="Y104" s="75">
        <f>VLOOKUP($A104,FoodLog!$A$1:$Z$10011,18,0)</f>
        <v>477.30407413615825</v>
      </c>
      <c r="Z104" s="75">
        <f>VLOOKUP($A104,FoodLog!$A$1:$Z$10011,19,0)</f>
        <v>1433.681802500643</v>
      </c>
      <c r="AA104" s="67">
        <f t="shared" si="51"/>
        <v>0.20155441897043114</v>
      </c>
      <c r="AB104" s="68">
        <f>Scale!C104</f>
        <v>0</v>
      </c>
    </row>
    <row r="105" spans="1:28" x14ac:dyDescent="0.25">
      <c r="A105" s="70">
        <f t="shared" si="52"/>
        <v>43094</v>
      </c>
      <c r="B105" s="84">
        <f t="shared" si="53"/>
        <v>103</v>
      </c>
      <c r="C105" s="85">
        <f t="shared" si="54"/>
        <v>171.71211282588575</v>
      </c>
      <c r="D105" s="86">
        <f t="shared" si="55"/>
        <v>149.15752316754944</v>
      </c>
      <c r="E105" s="87">
        <f t="shared" si="44"/>
        <v>22.554589658336312</v>
      </c>
      <c r="F105" s="82"/>
      <c r="G105" s="88">
        <f>C105*TDEE!$B$5</f>
        <v>2136.6143266670547</v>
      </c>
      <c r="H105" s="86">
        <f t="shared" ref="H105:H111" si="56">E105*31</f>
        <v>699.19227940842563</v>
      </c>
      <c r="I105" s="86">
        <f t="shared" ref="I105:I111" si="57">G105-H105</f>
        <v>1437.4220472586289</v>
      </c>
      <c r="J105" s="63">
        <f t="shared" si="45"/>
        <v>0.19976922268812161</v>
      </c>
      <c r="K105" s="86">
        <f t="shared" si="46"/>
        <v>93.79088590249674</v>
      </c>
      <c r="L105" s="86">
        <v>29</v>
      </c>
      <c r="M105" s="59">
        <f>Protein_Amt!$B$6</f>
        <v>119.32601853403956</v>
      </c>
      <c r="N105" s="85">
        <f t="shared" si="47"/>
        <v>844.11797312247063</v>
      </c>
      <c r="O105" s="86">
        <f t="shared" si="48"/>
        <v>116</v>
      </c>
      <c r="P105" s="86">
        <f t="shared" si="49"/>
        <v>477.30407413615825</v>
      </c>
      <c r="Q105" s="89">
        <f t="shared" si="50"/>
        <v>1437.4220472586289</v>
      </c>
      <c r="S105" s="75">
        <f>VLOOKUP($A105,FoodLog!$A$1:$Z$10011,12,0)</f>
        <v>0</v>
      </c>
      <c r="T105" s="75">
        <f>VLOOKUP($A105,FoodLog!$A$1:$Z$10011,13,0)</f>
        <v>0</v>
      </c>
      <c r="U105" s="75">
        <f>VLOOKUP($A105,FoodLog!$A$1:$Z$10011,14,0)</f>
        <v>0</v>
      </c>
      <c r="V105" s="75">
        <f>VLOOKUP($A105,FoodLog!$A$1:$Z$10011,15,0)</f>
        <v>0</v>
      </c>
      <c r="W105" s="75">
        <f>VLOOKUP($A105,FoodLog!$A$1:$Z$10011,16,0)</f>
        <v>844.11797312247063</v>
      </c>
      <c r="X105" s="75">
        <f>VLOOKUP($A105,FoodLog!$A$1:$Z$10011,17,0)</f>
        <v>116</v>
      </c>
      <c r="Y105" s="75">
        <f>VLOOKUP($A105,FoodLog!$A$1:$Z$10011,18,0)</f>
        <v>477.30407413615825</v>
      </c>
      <c r="Z105" s="75">
        <f>VLOOKUP($A105,FoodLog!$A$1:$Z$10011,19,0)</f>
        <v>1437.4220472586289</v>
      </c>
      <c r="AA105" s="67">
        <f t="shared" si="51"/>
        <v>0.19976922268812161</v>
      </c>
      <c r="AB105" s="68">
        <f>Scale!C105</f>
        <v>0</v>
      </c>
    </row>
    <row r="106" spans="1:28" x14ac:dyDescent="0.25">
      <c r="A106" s="70">
        <f t="shared" si="52"/>
        <v>43095</v>
      </c>
      <c r="B106" s="84">
        <f t="shared" si="53"/>
        <v>104</v>
      </c>
      <c r="C106" s="85">
        <f t="shared" si="54"/>
        <v>171.51234360319762</v>
      </c>
      <c r="D106" s="86">
        <f t="shared" si="55"/>
        <v>149.15752316754944</v>
      </c>
      <c r="E106" s="87">
        <f t="shared" si="44"/>
        <v>22.354820435648179</v>
      </c>
      <c r="F106" s="82"/>
      <c r="G106" s="88">
        <f>C106*TDEE!$B$5</f>
        <v>2134.1285976395666</v>
      </c>
      <c r="H106" s="86">
        <f t="shared" si="56"/>
        <v>692.99943350509352</v>
      </c>
      <c r="I106" s="86">
        <f t="shared" si="57"/>
        <v>1441.1291641344731</v>
      </c>
      <c r="J106" s="63">
        <f t="shared" si="45"/>
        <v>0.19799983814431243</v>
      </c>
      <c r="K106" s="86">
        <f t="shared" si="46"/>
        <v>94.20278777759053</v>
      </c>
      <c r="L106" s="86">
        <v>29</v>
      </c>
      <c r="M106" s="59">
        <f>Protein_Amt!$B$6</f>
        <v>119.32601853403956</v>
      </c>
      <c r="N106" s="85">
        <f t="shared" si="47"/>
        <v>847.82508999831475</v>
      </c>
      <c r="O106" s="86">
        <f t="shared" si="48"/>
        <v>116</v>
      </c>
      <c r="P106" s="86">
        <f t="shared" si="49"/>
        <v>477.30407413615825</v>
      </c>
      <c r="Q106" s="89">
        <f t="shared" si="50"/>
        <v>1441.1291641344731</v>
      </c>
      <c r="S106" s="75">
        <f>VLOOKUP($A106,FoodLog!$A$1:$Z$10011,12,0)</f>
        <v>0</v>
      </c>
      <c r="T106" s="75">
        <f>VLOOKUP($A106,FoodLog!$A$1:$Z$10011,13,0)</f>
        <v>0</v>
      </c>
      <c r="U106" s="75">
        <f>VLOOKUP($A106,FoodLog!$A$1:$Z$10011,14,0)</f>
        <v>0</v>
      </c>
      <c r="V106" s="75">
        <f>VLOOKUP($A106,FoodLog!$A$1:$Z$10011,15,0)</f>
        <v>0</v>
      </c>
      <c r="W106" s="75">
        <f>VLOOKUP($A106,FoodLog!$A$1:$Z$10011,16,0)</f>
        <v>847.82508999831475</v>
      </c>
      <c r="X106" s="75">
        <f>VLOOKUP($A106,FoodLog!$A$1:$Z$10011,17,0)</f>
        <v>116</v>
      </c>
      <c r="Y106" s="75">
        <f>VLOOKUP($A106,FoodLog!$A$1:$Z$10011,18,0)</f>
        <v>477.30407413615825</v>
      </c>
      <c r="Z106" s="75">
        <f>VLOOKUP($A106,FoodLog!$A$1:$Z$10011,19,0)</f>
        <v>1441.1291641344731</v>
      </c>
      <c r="AA106" s="67">
        <f t="shared" si="51"/>
        <v>0.19799983814431243</v>
      </c>
      <c r="AB106" s="68">
        <f>Scale!C106</f>
        <v>0</v>
      </c>
    </row>
    <row r="107" spans="1:28" x14ac:dyDescent="0.25">
      <c r="A107" s="70">
        <f t="shared" si="52"/>
        <v>43096</v>
      </c>
      <c r="B107" s="84">
        <f t="shared" si="53"/>
        <v>105</v>
      </c>
      <c r="C107" s="85">
        <f t="shared" si="54"/>
        <v>171.31434376505331</v>
      </c>
      <c r="D107" s="86">
        <f t="shared" si="55"/>
        <v>149.15752316754944</v>
      </c>
      <c r="E107" s="87">
        <f t="shared" si="44"/>
        <v>22.156820597503867</v>
      </c>
      <c r="F107" s="82"/>
      <c r="G107" s="88">
        <f>C107*TDEE!$B$5</f>
        <v>2131.6648850691795</v>
      </c>
      <c r="H107" s="86">
        <f t="shared" si="56"/>
        <v>686.86143852261989</v>
      </c>
      <c r="I107" s="86">
        <f t="shared" si="57"/>
        <v>1444.8034465465596</v>
      </c>
      <c r="J107" s="63">
        <f t="shared" si="45"/>
        <v>0.19624612529217711</v>
      </c>
      <c r="K107" s="86">
        <f t="shared" si="46"/>
        <v>94.611041378933479</v>
      </c>
      <c r="L107" s="86">
        <v>29</v>
      </c>
      <c r="M107" s="59">
        <f>Protein_Amt!$B$6</f>
        <v>119.32601853403956</v>
      </c>
      <c r="N107" s="85">
        <f t="shared" si="47"/>
        <v>851.49937241040129</v>
      </c>
      <c r="O107" s="86">
        <f t="shared" si="48"/>
        <v>116</v>
      </c>
      <c r="P107" s="86">
        <f t="shared" si="49"/>
        <v>477.30407413615825</v>
      </c>
      <c r="Q107" s="89">
        <f t="shared" si="50"/>
        <v>1444.8034465465596</v>
      </c>
      <c r="S107" s="75">
        <f>VLOOKUP($A107,FoodLog!$A$1:$Z$10011,12,0)</f>
        <v>0</v>
      </c>
      <c r="T107" s="75">
        <f>VLOOKUP($A107,FoodLog!$A$1:$Z$10011,13,0)</f>
        <v>0</v>
      </c>
      <c r="U107" s="75">
        <f>VLOOKUP($A107,FoodLog!$A$1:$Z$10011,14,0)</f>
        <v>0</v>
      </c>
      <c r="V107" s="75">
        <f>VLOOKUP($A107,FoodLog!$A$1:$Z$10011,15,0)</f>
        <v>0</v>
      </c>
      <c r="W107" s="75">
        <f>VLOOKUP($A107,FoodLog!$A$1:$Z$10011,16,0)</f>
        <v>851.49937241040129</v>
      </c>
      <c r="X107" s="75">
        <f>VLOOKUP($A107,FoodLog!$A$1:$Z$10011,17,0)</f>
        <v>116</v>
      </c>
      <c r="Y107" s="75">
        <f>VLOOKUP($A107,FoodLog!$A$1:$Z$10011,18,0)</f>
        <v>477.30407413615825</v>
      </c>
      <c r="Z107" s="75">
        <f>VLOOKUP($A107,FoodLog!$A$1:$Z$10011,19,0)</f>
        <v>1444.8034465465596</v>
      </c>
      <c r="AA107" s="67">
        <f t="shared" si="51"/>
        <v>0.19624612529217711</v>
      </c>
      <c r="AB107" s="68">
        <f>Scale!C107</f>
        <v>0</v>
      </c>
    </row>
    <row r="108" spans="1:28" x14ac:dyDescent="0.25">
      <c r="A108" s="70">
        <f t="shared" si="52"/>
        <v>43097</v>
      </c>
      <c r="B108" s="84">
        <f t="shared" si="53"/>
        <v>106</v>
      </c>
      <c r="C108" s="85">
        <f t="shared" si="54"/>
        <v>171.11809763976112</v>
      </c>
      <c r="D108" s="86">
        <f t="shared" si="55"/>
        <v>149.15752316754944</v>
      </c>
      <c r="E108" s="87">
        <f t="shared" si="44"/>
        <v>21.960574472211675</v>
      </c>
      <c r="F108" s="82"/>
      <c r="G108" s="88">
        <f>C108*TDEE!$B$5</f>
        <v>2129.2229939529866</v>
      </c>
      <c r="H108" s="86">
        <f t="shared" si="56"/>
        <v>680.77780863856196</v>
      </c>
      <c r="I108" s="86">
        <f t="shared" si="57"/>
        <v>1448.4451853144246</v>
      </c>
      <c r="J108" s="63">
        <f t="shared" si="45"/>
        <v>0.19450794532530341</v>
      </c>
      <c r="K108" s="86">
        <f t="shared" si="46"/>
        <v>95.015679019807365</v>
      </c>
      <c r="L108" s="86">
        <v>29</v>
      </c>
      <c r="M108" s="59">
        <f>Protein_Amt!$B$6</f>
        <v>119.32601853403956</v>
      </c>
      <c r="N108" s="85">
        <f t="shared" si="47"/>
        <v>855.14111117826633</v>
      </c>
      <c r="O108" s="86">
        <f t="shared" si="48"/>
        <v>116</v>
      </c>
      <c r="P108" s="86">
        <f t="shared" si="49"/>
        <v>477.30407413615825</v>
      </c>
      <c r="Q108" s="89">
        <f t="shared" si="50"/>
        <v>1448.4451853144246</v>
      </c>
      <c r="S108" s="75">
        <f>VLOOKUP($A108,FoodLog!$A$1:$Z$10011,12,0)</f>
        <v>0</v>
      </c>
      <c r="T108" s="75">
        <f>VLOOKUP($A108,FoodLog!$A$1:$Z$10011,13,0)</f>
        <v>0</v>
      </c>
      <c r="U108" s="75">
        <f>VLOOKUP($A108,FoodLog!$A$1:$Z$10011,14,0)</f>
        <v>0</v>
      </c>
      <c r="V108" s="75">
        <f>VLOOKUP($A108,FoodLog!$A$1:$Z$10011,15,0)</f>
        <v>0</v>
      </c>
      <c r="W108" s="75">
        <f>VLOOKUP($A108,FoodLog!$A$1:$Z$10011,16,0)</f>
        <v>855.14111117826633</v>
      </c>
      <c r="X108" s="75">
        <f>VLOOKUP($A108,FoodLog!$A$1:$Z$10011,17,0)</f>
        <v>116</v>
      </c>
      <c r="Y108" s="75">
        <f>VLOOKUP($A108,FoodLog!$A$1:$Z$10011,18,0)</f>
        <v>477.30407413615825</v>
      </c>
      <c r="Z108" s="75">
        <f>VLOOKUP($A108,FoodLog!$A$1:$Z$10011,19,0)</f>
        <v>1448.4451853144246</v>
      </c>
      <c r="AA108" s="67">
        <f t="shared" si="51"/>
        <v>0.19450794532530341</v>
      </c>
      <c r="AB108" s="68">
        <f>Scale!C108</f>
        <v>0</v>
      </c>
    </row>
    <row r="109" spans="1:28" x14ac:dyDescent="0.25">
      <c r="A109" s="70">
        <f t="shared" si="52"/>
        <v>43098</v>
      </c>
      <c r="B109" s="84">
        <f t="shared" si="53"/>
        <v>107</v>
      </c>
      <c r="C109" s="85">
        <f t="shared" si="54"/>
        <v>170.9235896944358</v>
      </c>
      <c r="D109" s="86">
        <f t="shared" si="55"/>
        <v>149.15752316754944</v>
      </c>
      <c r="E109" s="87">
        <f t="shared" si="44"/>
        <v>21.766066526886362</v>
      </c>
      <c r="F109" s="82"/>
      <c r="G109" s="88">
        <f>C109*TDEE!$B$5</f>
        <v>2126.802731015252</v>
      </c>
      <c r="H109" s="86">
        <f t="shared" si="56"/>
        <v>674.74806233347726</v>
      </c>
      <c r="I109" s="86">
        <f t="shared" si="57"/>
        <v>1452.0546686817747</v>
      </c>
      <c r="J109" s="63">
        <f t="shared" si="45"/>
        <v>0.19278516066670778</v>
      </c>
      <c r="K109" s="86">
        <f t="shared" si="46"/>
        <v>95.416732727290707</v>
      </c>
      <c r="L109" s="86">
        <v>29</v>
      </c>
      <c r="M109" s="59">
        <f>Protein_Amt!$B$6</f>
        <v>119.32601853403956</v>
      </c>
      <c r="N109" s="85">
        <f t="shared" si="47"/>
        <v>858.75059454561642</v>
      </c>
      <c r="O109" s="86">
        <f t="shared" si="48"/>
        <v>116</v>
      </c>
      <c r="P109" s="86">
        <f t="shared" si="49"/>
        <v>477.30407413615825</v>
      </c>
      <c r="Q109" s="89">
        <f t="shared" si="50"/>
        <v>1452.0546686817747</v>
      </c>
      <c r="S109" s="75">
        <f>VLOOKUP($A109,FoodLog!$A$1:$Z$10011,12,0)</f>
        <v>0</v>
      </c>
      <c r="T109" s="75">
        <f>VLOOKUP($A109,FoodLog!$A$1:$Z$10011,13,0)</f>
        <v>0</v>
      </c>
      <c r="U109" s="75">
        <f>VLOOKUP($A109,FoodLog!$A$1:$Z$10011,14,0)</f>
        <v>0</v>
      </c>
      <c r="V109" s="75">
        <f>VLOOKUP($A109,FoodLog!$A$1:$Z$10011,15,0)</f>
        <v>0</v>
      </c>
      <c r="W109" s="75">
        <f>VLOOKUP($A109,FoodLog!$A$1:$Z$10011,16,0)</f>
        <v>858.75059454561642</v>
      </c>
      <c r="X109" s="75">
        <f>VLOOKUP($A109,FoodLog!$A$1:$Z$10011,17,0)</f>
        <v>116</v>
      </c>
      <c r="Y109" s="75">
        <f>VLOOKUP($A109,FoodLog!$A$1:$Z$10011,18,0)</f>
        <v>477.30407413615825</v>
      </c>
      <c r="Z109" s="75">
        <f>VLOOKUP($A109,FoodLog!$A$1:$Z$10011,19,0)</f>
        <v>1452.0546686817747</v>
      </c>
      <c r="AA109" s="67">
        <f t="shared" si="51"/>
        <v>0.19278516066670778</v>
      </c>
      <c r="AB109" s="68">
        <f>Scale!C109</f>
        <v>0</v>
      </c>
    </row>
    <row r="110" spans="1:28" x14ac:dyDescent="0.25">
      <c r="A110" s="70">
        <f t="shared" si="52"/>
        <v>43099</v>
      </c>
      <c r="B110" s="84">
        <f t="shared" si="53"/>
        <v>108</v>
      </c>
      <c r="C110" s="85">
        <f t="shared" si="54"/>
        <v>170.73080453376909</v>
      </c>
      <c r="D110" s="86">
        <f t="shared" si="55"/>
        <v>149.15752316754944</v>
      </c>
      <c r="E110" s="87">
        <f t="shared" si="44"/>
        <v>21.573281366219646</v>
      </c>
      <c r="F110" s="82"/>
      <c r="G110" s="88">
        <f>C110*TDEE!$B$5</f>
        <v>2124.4039046921084</v>
      </c>
      <c r="H110" s="86">
        <f t="shared" si="56"/>
        <v>668.77172235280909</v>
      </c>
      <c r="I110" s="86">
        <f t="shared" si="57"/>
        <v>1455.6321823392993</v>
      </c>
      <c r="J110" s="63">
        <f t="shared" si="45"/>
        <v>0.19107763495794544</v>
      </c>
      <c r="K110" s="86">
        <f t="shared" si="46"/>
        <v>95.814234244793454</v>
      </c>
      <c r="L110" s="86">
        <v>29</v>
      </c>
      <c r="M110" s="59">
        <f>Protein_Amt!$B$6</f>
        <v>119.32601853403956</v>
      </c>
      <c r="N110" s="85">
        <f t="shared" si="47"/>
        <v>862.32810820314103</v>
      </c>
      <c r="O110" s="86">
        <f t="shared" si="48"/>
        <v>116</v>
      </c>
      <c r="P110" s="86">
        <f t="shared" si="49"/>
        <v>477.30407413615825</v>
      </c>
      <c r="Q110" s="89">
        <f t="shared" si="50"/>
        <v>1455.6321823392993</v>
      </c>
      <c r="S110" s="75">
        <f>VLOOKUP($A110,FoodLog!$A$1:$Z$10011,12,0)</f>
        <v>0</v>
      </c>
      <c r="T110" s="75">
        <f>VLOOKUP($A110,FoodLog!$A$1:$Z$10011,13,0)</f>
        <v>0</v>
      </c>
      <c r="U110" s="75">
        <f>VLOOKUP($A110,FoodLog!$A$1:$Z$10011,14,0)</f>
        <v>0</v>
      </c>
      <c r="V110" s="75">
        <f>VLOOKUP($A110,FoodLog!$A$1:$Z$10011,15,0)</f>
        <v>0</v>
      </c>
      <c r="W110" s="75">
        <f>VLOOKUP($A110,FoodLog!$A$1:$Z$10011,16,0)</f>
        <v>862.32810820314103</v>
      </c>
      <c r="X110" s="75">
        <f>VLOOKUP($A110,FoodLog!$A$1:$Z$10011,17,0)</f>
        <v>116</v>
      </c>
      <c r="Y110" s="75">
        <f>VLOOKUP($A110,FoodLog!$A$1:$Z$10011,18,0)</f>
        <v>477.30407413615825</v>
      </c>
      <c r="Z110" s="75">
        <f>VLOOKUP($A110,FoodLog!$A$1:$Z$10011,19,0)</f>
        <v>1455.6321823392993</v>
      </c>
      <c r="AA110" s="67">
        <f t="shared" si="51"/>
        <v>0.19107763495794544</v>
      </c>
      <c r="AB110" s="68">
        <f>Scale!C110</f>
        <v>0</v>
      </c>
    </row>
    <row r="111" spans="1:28" x14ac:dyDescent="0.25">
      <c r="A111" s="70">
        <f t="shared" si="52"/>
        <v>43100</v>
      </c>
      <c r="B111" s="84">
        <f t="shared" si="53"/>
        <v>109</v>
      </c>
      <c r="C111" s="85">
        <f t="shared" si="54"/>
        <v>170.53972689881115</v>
      </c>
      <c r="D111" s="86">
        <f t="shared" si="55"/>
        <v>149.15752316754944</v>
      </c>
      <c r="E111" s="87">
        <f t="shared" si="44"/>
        <v>21.382203731261711</v>
      </c>
      <c r="F111" s="82"/>
      <c r="G111" s="88">
        <f>C111*TDEE!$B$5</f>
        <v>2122.0263251163988</v>
      </c>
      <c r="H111" s="86">
        <f t="shared" si="56"/>
        <v>662.84831566911305</v>
      </c>
      <c r="I111" s="86">
        <f t="shared" si="57"/>
        <v>1459.1780094472856</v>
      </c>
      <c r="J111" s="63">
        <f t="shared" si="45"/>
        <v>0.189385233048318</v>
      </c>
      <c r="K111" s="86">
        <f t="shared" si="46"/>
        <v>96.208215034569704</v>
      </c>
      <c r="L111" s="86">
        <v>29</v>
      </c>
      <c r="M111" s="59">
        <f>Protein_Amt!$B$6</f>
        <v>119.32601853403956</v>
      </c>
      <c r="N111" s="85">
        <f t="shared" si="47"/>
        <v>865.8739353111273</v>
      </c>
      <c r="O111" s="86">
        <f t="shared" si="48"/>
        <v>116</v>
      </c>
      <c r="P111" s="86">
        <f t="shared" si="49"/>
        <v>477.30407413615825</v>
      </c>
      <c r="Q111" s="89">
        <f t="shared" si="50"/>
        <v>1459.1780094472856</v>
      </c>
      <c r="S111" s="75">
        <f>VLOOKUP($A111,FoodLog!$A$1:$Z$10011,12,0)</f>
        <v>0</v>
      </c>
      <c r="T111" s="75">
        <f>VLOOKUP($A111,FoodLog!$A$1:$Z$10011,13,0)</f>
        <v>0</v>
      </c>
      <c r="U111" s="75">
        <f>VLOOKUP($A111,FoodLog!$A$1:$Z$10011,14,0)</f>
        <v>0</v>
      </c>
      <c r="V111" s="75">
        <f>VLOOKUP($A111,FoodLog!$A$1:$Z$10011,15,0)</f>
        <v>0</v>
      </c>
      <c r="W111" s="75">
        <f>VLOOKUP($A111,FoodLog!$A$1:$Z$10011,16,0)</f>
        <v>865.8739353111273</v>
      </c>
      <c r="X111" s="75">
        <f>VLOOKUP($A111,FoodLog!$A$1:$Z$10011,17,0)</f>
        <v>116</v>
      </c>
      <c r="Y111" s="75">
        <f>VLOOKUP($A111,FoodLog!$A$1:$Z$10011,18,0)</f>
        <v>477.30407413615825</v>
      </c>
      <c r="Z111" s="75">
        <f>VLOOKUP($A111,FoodLog!$A$1:$Z$10011,19,0)</f>
        <v>1459.1780094472856</v>
      </c>
      <c r="AA111" s="67">
        <f t="shared" si="51"/>
        <v>0.189385233048318</v>
      </c>
      <c r="AB111" s="68">
        <f>Scale!C111</f>
        <v>0</v>
      </c>
    </row>
  </sheetData>
  <mergeCells count="3">
    <mergeCell ref="G1:Q1"/>
    <mergeCell ref="S1:V1"/>
    <mergeCell ref="W1:Z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zoomScale="150" zoomScaleNormal="150" workbookViewId="0">
      <pane ySplit="2" topLeftCell="A24" activePane="bottomLeft" state="frozen"/>
      <selection pane="bottomLeft" activeCell="A35" sqref="A35"/>
    </sheetView>
  </sheetViews>
  <sheetFormatPr defaultRowHeight="15" x14ac:dyDescent="0.25"/>
  <cols>
    <col min="1" max="1" width="10.7109375" style="90" customWidth="1"/>
    <col min="2" max="2" width="4.5703125" style="90" customWidth="1"/>
    <col min="3" max="3" width="7.28515625" style="90" customWidth="1"/>
    <col min="4" max="4" width="4.85546875" style="90" customWidth="1"/>
    <col min="5" max="5" width="5.42578125" style="90" customWidth="1"/>
    <col min="6" max="6" width="6.42578125" style="90" customWidth="1"/>
    <col min="7" max="7" width="7.28515625" style="90" customWidth="1"/>
    <col min="8" max="8" width="6.85546875" style="90" customWidth="1"/>
    <col min="9" max="9" width="11.28515625" style="90" customWidth="1"/>
    <col min="10" max="10" width="6.7109375" style="90" customWidth="1"/>
    <col min="11" max="11" width="7.85546875" style="90" customWidth="1"/>
    <col min="12" max="12" width="7.28515625" style="90" customWidth="1"/>
    <col min="13" max="13" width="6.5703125" style="90" customWidth="1"/>
    <col min="14" max="14" width="5.85546875" style="90" customWidth="1"/>
    <col min="15" max="15" width="7.28515625" style="90" customWidth="1"/>
    <col min="16" max="1025" width="11.5703125" style="90" customWidth="1"/>
  </cols>
  <sheetData>
    <row r="1" spans="1:15" ht="13.9" customHeight="1" x14ac:dyDescent="0.25">
      <c r="A1" s="2" t="s">
        <v>80</v>
      </c>
      <c r="B1" s="2"/>
      <c r="C1" s="2"/>
      <c r="D1" s="2"/>
    </row>
    <row r="2" spans="1:15" ht="45" x14ac:dyDescent="0.25">
      <c r="A2" s="92" t="str">
        <f>LossChart!A2</f>
        <v>Date</v>
      </c>
      <c r="B2" s="92" t="str">
        <f>LossChart!B2</f>
        <v>Day</v>
      </c>
      <c r="C2" s="92" t="s">
        <v>5</v>
      </c>
      <c r="D2" s="92" t="s">
        <v>81</v>
      </c>
      <c r="E2" s="92" t="s">
        <v>82</v>
      </c>
      <c r="F2" s="92" t="s">
        <v>83</v>
      </c>
      <c r="G2" s="92" t="s">
        <v>84</v>
      </c>
      <c r="H2" s="92" t="s">
        <v>85</v>
      </c>
      <c r="I2" s="92" t="s">
        <v>86</v>
      </c>
      <c r="J2" s="92" t="s">
        <v>87</v>
      </c>
      <c r="K2" s="92" t="s">
        <v>88</v>
      </c>
      <c r="L2" s="92" t="s">
        <v>89</v>
      </c>
      <c r="M2" s="92" t="s">
        <v>90</v>
      </c>
      <c r="N2" s="92" t="s">
        <v>91</v>
      </c>
      <c r="O2" s="92" t="s">
        <v>92</v>
      </c>
    </row>
    <row r="3" spans="1:15" x14ac:dyDescent="0.25">
      <c r="A3" s="93">
        <f>LossChart!A3</f>
        <v>42992</v>
      </c>
      <c r="B3" s="90">
        <f>LossChart!B3</f>
        <v>1</v>
      </c>
      <c r="C3" s="94">
        <v>202.8</v>
      </c>
      <c r="D3" s="94">
        <v>27.8</v>
      </c>
      <c r="E3" s="94">
        <v>32</v>
      </c>
      <c r="F3" s="94">
        <v>36.9</v>
      </c>
      <c r="G3" s="94">
        <v>27.6</v>
      </c>
      <c r="H3" s="94">
        <v>2238</v>
      </c>
      <c r="I3" s="94">
        <v>0</v>
      </c>
      <c r="J3" s="95">
        <f>E3*$C3/100</f>
        <v>64.896000000000001</v>
      </c>
      <c r="K3" s="95">
        <f>F3*$C3/100</f>
        <v>74.833199999999991</v>
      </c>
      <c r="L3" s="95">
        <f>G3*$C3/100</f>
        <v>55.972800000000007</v>
      </c>
      <c r="M3" s="95">
        <v>0</v>
      </c>
      <c r="N3" s="95">
        <v>0</v>
      </c>
      <c r="O3" s="95">
        <v>0</v>
      </c>
    </row>
    <row r="4" spans="1:15" x14ac:dyDescent="0.25">
      <c r="A4" s="93">
        <f>LossChart!A4</f>
        <v>42993</v>
      </c>
      <c r="B4" s="90">
        <f>LossChart!B4</f>
        <v>2</v>
      </c>
      <c r="C4" s="94">
        <v>200.2</v>
      </c>
      <c r="D4" s="94"/>
      <c r="E4" s="94"/>
      <c r="F4" s="94"/>
      <c r="G4" s="94"/>
      <c r="H4" s="94"/>
      <c r="I4" s="94">
        <f t="shared" ref="I4:I35" si="0">C4-$C$3</f>
        <v>-2.6000000000000227</v>
      </c>
      <c r="J4" s="95"/>
      <c r="K4" s="95"/>
      <c r="L4" s="95"/>
      <c r="M4" s="95"/>
      <c r="N4" s="95"/>
      <c r="O4" s="95"/>
    </row>
    <row r="5" spans="1:15" x14ac:dyDescent="0.25">
      <c r="A5" s="93">
        <f>LossChart!A5</f>
        <v>42994</v>
      </c>
      <c r="B5" s="90">
        <f>LossChart!B5</f>
        <v>3</v>
      </c>
      <c r="C5" s="94">
        <v>198.4</v>
      </c>
      <c r="D5" s="94"/>
      <c r="E5" s="94"/>
      <c r="F5" s="94"/>
      <c r="G5" s="94"/>
      <c r="H5" s="94"/>
      <c r="I5" s="94">
        <f t="shared" si="0"/>
        <v>-4.4000000000000057</v>
      </c>
      <c r="J5" s="95"/>
      <c r="K5" s="95"/>
      <c r="L5" s="95"/>
      <c r="M5" s="95"/>
      <c r="N5" s="95"/>
      <c r="O5" s="95"/>
    </row>
    <row r="6" spans="1:15" x14ac:dyDescent="0.25">
      <c r="A6" s="93">
        <f>LossChart!A6</f>
        <v>42995</v>
      </c>
      <c r="B6" s="90">
        <f>LossChart!B6</f>
        <v>4</v>
      </c>
      <c r="C6" s="94">
        <v>199.4</v>
      </c>
      <c r="D6" s="94"/>
      <c r="E6" s="94"/>
      <c r="F6" s="94"/>
      <c r="G6" s="94"/>
      <c r="H6" s="94"/>
      <c r="I6" s="94">
        <f t="shared" si="0"/>
        <v>-3.4000000000000057</v>
      </c>
      <c r="J6" s="95"/>
      <c r="K6" s="95"/>
      <c r="L6" s="95"/>
      <c r="M6" s="95"/>
      <c r="N6" s="95"/>
      <c r="O6" s="95"/>
    </row>
    <row r="7" spans="1:15" x14ac:dyDescent="0.25">
      <c r="A7" s="93">
        <f>LossChart!A7</f>
        <v>42996</v>
      </c>
      <c r="B7" s="90">
        <f>LossChart!B7</f>
        <v>5</v>
      </c>
      <c r="C7" s="94">
        <v>200.3</v>
      </c>
      <c r="D7" s="94"/>
      <c r="E7" s="94"/>
      <c r="F7" s="94"/>
      <c r="G7" s="94"/>
      <c r="H7" s="94"/>
      <c r="I7" s="94">
        <f t="shared" si="0"/>
        <v>-2.5</v>
      </c>
      <c r="J7" s="95"/>
      <c r="K7" s="95"/>
      <c r="L7" s="95"/>
      <c r="M7" s="95"/>
      <c r="N7" s="95"/>
      <c r="O7" s="95"/>
    </row>
    <row r="8" spans="1:15" x14ac:dyDescent="0.25">
      <c r="A8" s="93">
        <f>LossChart!A8</f>
        <v>42997</v>
      </c>
      <c r="B8" s="90">
        <f>LossChart!B8</f>
        <v>6</v>
      </c>
      <c r="C8" s="94">
        <v>200.4</v>
      </c>
      <c r="D8" s="94"/>
      <c r="E8" s="94"/>
      <c r="F8" s="94"/>
      <c r="G8" s="94"/>
      <c r="H8" s="94"/>
      <c r="I8" s="94">
        <f t="shared" si="0"/>
        <v>-2.4000000000000057</v>
      </c>
      <c r="J8" s="95"/>
      <c r="K8" s="95"/>
      <c r="L8" s="95"/>
      <c r="M8" s="95"/>
      <c r="N8" s="95"/>
      <c r="O8" s="95"/>
    </row>
    <row r="9" spans="1:15" x14ac:dyDescent="0.25">
      <c r="A9" s="93">
        <f>LossChart!A9</f>
        <v>42998</v>
      </c>
      <c r="B9" s="90">
        <f>LossChart!B9</f>
        <v>7</v>
      </c>
      <c r="C9" s="94">
        <v>199.8</v>
      </c>
      <c r="D9" s="94">
        <v>27.4</v>
      </c>
      <c r="E9" s="94"/>
      <c r="F9" s="94"/>
      <c r="G9" s="94"/>
      <c r="H9" s="94"/>
      <c r="I9" s="94">
        <f t="shared" si="0"/>
        <v>-3</v>
      </c>
      <c r="J9" s="95"/>
      <c r="K9" s="95"/>
      <c r="L9" s="95"/>
      <c r="M9" s="95"/>
      <c r="N9" s="95"/>
      <c r="O9" s="95"/>
    </row>
    <row r="10" spans="1:15" x14ac:dyDescent="0.25">
      <c r="A10" s="93">
        <f>LossChart!A10</f>
        <v>42999</v>
      </c>
      <c r="B10" s="90">
        <f>LossChart!B10</f>
        <v>8</v>
      </c>
      <c r="C10" s="94">
        <v>199.8</v>
      </c>
      <c r="D10" s="94"/>
      <c r="E10" s="94"/>
      <c r="F10" s="94"/>
      <c r="G10" s="94"/>
      <c r="H10" s="94"/>
      <c r="I10" s="94">
        <f t="shared" si="0"/>
        <v>-3</v>
      </c>
      <c r="J10" s="95"/>
      <c r="K10" s="95"/>
      <c r="L10" s="95"/>
      <c r="M10" s="95"/>
      <c r="N10" s="95"/>
      <c r="O10" s="95"/>
    </row>
    <row r="11" spans="1:15" x14ac:dyDescent="0.25">
      <c r="A11" s="93">
        <f>LossChart!A11</f>
        <v>43000</v>
      </c>
      <c r="B11" s="90">
        <f>LossChart!B11</f>
        <v>9</v>
      </c>
      <c r="C11" s="94">
        <v>198.4</v>
      </c>
      <c r="D11" s="94"/>
      <c r="E11" s="94"/>
      <c r="F11" s="94"/>
      <c r="G11" s="94"/>
      <c r="H11" s="94"/>
      <c r="I11" s="94">
        <f t="shared" si="0"/>
        <v>-4.4000000000000057</v>
      </c>
      <c r="J11" s="95"/>
      <c r="K11" s="95"/>
      <c r="L11" s="95"/>
      <c r="M11" s="95"/>
      <c r="N11" s="95"/>
      <c r="O11" s="95"/>
    </row>
    <row r="12" spans="1:15" x14ac:dyDescent="0.25">
      <c r="A12" s="93">
        <f>LossChart!A12</f>
        <v>43001</v>
      </c>
      <c r="B12" s="90">
        <f>LossChart!B12</f>
        <v>10</v>
      </c>
      <c r="C12" s="96">
        <v>197.6</v>
      </c>
      <c r="D12" s="94"/>
      <c r="E12" s="94"/>
      <c r="F12" s="94"/>
      <c r="G12" s="94"/>
      <c r="H12" s="94"/>
      <c r="I12" s="94">
        <f t="shared" si="0"/>
        <v>-5.2000000000000171</v>
      </c>
      <c r="J12" s="95"/>
      <c r="K12" s="95"/>
      <c r="L12" s="95"/>
      <c r="M12" s="95"/>
      <c r="N12" s="95"/>
      <c r="O12" s="95"/>
    </row>
    <row r="13" spans="1:15" x14ac:dyDescent="0.25">
      <c r="A13" s="93">
        <f>LossChart!A13</f>
        <v>43002</v>
      </c>
      <c r="B13" s="90">
        <f>LossChart!B13</f>
        <v>11</v>
      </c>
      <c r="C13" s="96">
        <v>198</v>
      </c>
      <c r="D13" s="94"/>
      <c r="E13" s="94"/>
      <c r="F13" s="94"/>
      <c r="G13" s="94"/>
      <c r="H13" s="94"/>
      <c r="I13" s="94">
        <f t="shared" si="0"/>
        <v>-4.8000000000000114</v>
      </c>
      <c r="J13" s="95"/>
      <c r="K13" s="95"/>
      <c r="L13" s="95"/>
      <c r="M13" s="95"/>
      <c r="N13" s="95"/>
      <c r="O13" s="95"/>
    </row>
    <row r="14" spans="1:15" x14ac:dyDescent="0.25">
      <c r="A14" s="93">
        <f>LossChart!A14</f>
        <v>43003</v>
      </c>
      <c r="B14" s="90">
        <f>LossChart!B14</f>
        <v>12</v>
      </c>
      <c r="C14" s="96">
        <v>198</v>
      </c>
      <c r="D14" s="94"/>
      <c r="E14" s="94"/>
      <c r="F14" s="94"/>
      <c r="G14" s="94"/>
      <c r="H14" s="94"/>
      <c r="I14" s="94">
        <f t="shared" si="0"/>
        <v>-4.8000000000000114</v>
      </c>
      <c r="J14" s="95"/>
      <c r="K14" s="95"/>
      <c r="L14" s="95"/>
      <c r="M14" s="95"/>
      <c r="N14" s="95"/>
      <c r="O14" s="95"/>
    </row>
    <row r="15" spans="1:15" x14ac:dyDescent="0.25">
      <c r="A15" s="93">
        <f>LossChart!A15</f>
        <v>43004</v>
      </c>
      <c r="B15" s="90">
        <f>LossChart!B15</f>
        <v>13</v>
      </c>
      <c r="C15" s="96">
        <v>198.8</v>
      </c>
      <c r="D15" s="94">
        <v>27.2</v>
      </c>
      <c r="E15" s="94">
        <v>31.2</v>
      </c>
      <c r="F15" s="94">
        <v>37.700000000000003</v>
      </c>
      <c r="G15" s="94">
        <v>28.2</v>
      </c>
      <c r="H15" s="94">
        <v>2207</v>
      </c>
      <c r="I15" s="94">
        <f t="shared" si="0"/>
        <v>-4</v>
      </c>
      <c r="J15" s="95">
        <f>E15*$C15/100</f>
        <v>62.025600000000004</v>
      </c>
      <c r="K15" s="95">
        <f>F15*$C15/100</f>
        <v>74.947600000000008</v>
      </c>
      <c r="L15" s="95">
        <f>G15*$C15/100</f>
        <v>56.061599999999999</v>
      </c>
      <c r="M15" s="95">
        <f>J15-J$3</f>
        <v>-2.8703999999999965</v>
      </c>
      <c r="N15" s="95">
        <f>K15-K$3</f>
        <v>0.1144000000000176</v>
      </c>
      <c r="O15" s="95">
        <f>L15-L$3</f>
        <v>8.8799999999991996E-2</v>
      </c>
    </row>
    <row r="16" spans="1:15" x14ac:dyDescent="0.25">
      <c r="A16" s="93">
        <f>LossChart!A16</f>
        <v>43005</v>
      </c>
      <c r="B16" s="90">
        <f>LossChart!B16</f>
        <v>14</v>
      </c>
      <c r="C16" s="96">
        <v>198.6</v>
      </c>
      <c r="D16" s="94"/>
      <c r="E16" s="94"/>
      <c r="F16" s="94"/>
      <c r="G16" s="94"/>
      <c r="H16" s="94"/>
      <c r="I16" s="94">
        <f t="shared" si="0"/>
        <v>-4.2000000000000171</v>
      </c>
      <c r="J16" s="95"/>
      <c r="K16" s="95"/>
      <c r="L16" s="95"/>
      <c r="M16" s="95"/>
      <c r="N16" s="95"/>
      <c r="O16" s="95"/>
    </row>
    <row r="17" spans="1:15" x14ac:dyDescent="0.25">
      <c r="A17" s="93">
        <f>LossChart!A17</f>
        <v>43006</v>
      </c>
      <c r="B17" s="90">
        <f>LossChart!B17</f>
        <v>15</v>
      </c>
      <c r="C17" s="96">
        <v>198.2</v>
      </c>
      <c r="D17" s="94"/>
      <c r="E17" s="94"/>
      <c r="F17" s="94"/>
      <c r="G17" s="94"/>
      <c r="H17" s="94"/>
      <c r="I17" s="94">
        <f t="shared" si="0"/>
        <v>-4.6000000000000227</v>
      </c>
      <c r="J17" s="95"/>
      <c r="K17" s="95"/>
      <c r="L17" s="95"/>
      <c r="M17" s="95"/>
      <c r="N17" s="95"/>
      <c r="O17" s="95"/>
    </row>
    <row r="18" spans="1:15" x14ac:dyDescent="0.25">
      <c r="A18" s="93">
        <f>LossChart!A18</f>
        <v>43007</v>
      </c>
      <c r="B18" s="90">
        <f>LossChart!B18</f>
        <v>16</v>
      </c>
      <c r="C18" s="94">
        <v>197.2</v>
      </c>
      <c r="D18" s="94">
        <v>27</v>
      </c>
      <c r="E18" s="94">
        <v>30.9</v>
      </c>
      <c r="F18" s="94">
        <v>38</v>
      </c>
      <c r="G18" s="94">
        <v>28.4</v>
      </c>
      <c r="H18" s="94">
        <v>2195</v>
      </c>
      <c r="I18" s="94">
        <f t="shared" si="0"/>
        <v>-5.6000000000000227</v>
      </c>
      <c r="J18" s="95">
        <f>E18*$C18/100</f>
        <v>60.934799999999996</v>
      </c>
      <c r="K18" s="95">
        <f>F18*$C18/100</f>
        <v>74.935999999999993</v>
      </c>
      <c r="L18" s="95">
        <f>G18*$C18/100</f>
        <v>56.004799999999996</v>
      </c>
      <c r="M18" s="95">
        <f>J18-J$3</f>
        <v>-3.9612000000000052</v>
      </c>
      <c r="N18" s="95">
        <f>K18-K$3</f>
        <v>0.102800000000002</v>
      </c>
      <c r="O18" s="95">
        <f>L18-L$3</f>
        <v>3.199999999998937E-2</v>
      </c>
    </row>
    <row r="19" spans="1:15" x14ac:dyDescent="0.25">
      <c r="A19" s="93">
        <f>LossChart!A19</f>
        <v>43008</v>
      </c>
      <c r="B19" s="90">
        <f>LossChart!B19</f>
        <v>17</v>
      </c>
      <c r="C19" s="90">
        <v>197.8</v>
      </c>
      <c r="I19" s="94">
        <f t="shared" si="0"/>
        <v>-5</v>
      </c>
    </row>
    <row r="20" spans="1:15" x14ac:dyDescent="0.25">
      <c r="A20" s="93">
        <f>LossChart!A20</f>
        <v>43009</v>
      </c>
      <c r="B20" s="90">
        <f>LossChart!B20</f>
        <v>18</v>
      </c>
      <c r="C20" s="90">
        <v>197.8</v>
      </c>
      <c r="I20" s="94">
        <f t="shared" si="0"/>
        <v>-5</v>
      </c>
    </row>
    <row r="21" spans="1:15" x14ac:dyDescent="0.25">
      <c r="A21" s="93">
        <f>LossChart!A21</f>
        <v>43010</v>
      </c>
      <c r="B21" s="90">
        <f>LossChart!B21</f>
        <v>19</v>
      </c>
      <c r="C21" s="90">
        <v>197</v>
      </c>
      <c r="D21" s="90">
        <v>26.9</v>
      </c>
      <c r="E21" s="90">
        <v>31</v>
      </c>
      <c r="F21" s="90">
        <v>38</v>
      </c>
      <c r="G21" s="90">
        <v>28.5</v>
      </c>
      <c r="I21" s="94">
        <f t="shared" si="0"/>
        <v>-5.8000000000000114</v>
      </c>
      <c r="J21" s="95">
        <f>E21*$C21/100</f>
        <v>61.07</v>
      </c>
      <c r="K21" s="95">
        <f>F21*$C21/100</f>
        <v>74.86</v>
      </c>
      <c r="L21" s="95">
        <f>G21*$C21/100</f>
        <v>56.145000000000003</v>
      </c>
      <c r="M21" s="95">
        <f>J21-J$3</f>
        <v>-3.8260000000000005</v>
      </c>
      <c r="N21" s="95">
        <f>K21-K$3</f>
        <v>2.6800000000008595E-2</v>
      </c>
      <c r="O21" s="95">
        <f>L21-L$3</f>
        <v>0.17219999999999658</v>
      </c>
    </row>
    <row r="22" spans="1:15" x14ac:dyDescent="0.25">
      <c r="A22" s="93">
        <f>LossChart!A22</f>
        <v>43011</v>
      </c>
      <c r="B22" s="90">
        <f>LossChart!B22</f>
        <v>20</v>
      </c>
      <c r="C22" s="90">
        <v>197.2</v>
      </c>
      <c r="I22" s="94">
        <f t="shared" si="0"/>
        <v>-5.6000000000000227</v>
      </c>
    </row>
    <row r="23" spans="1:15" x14ac:dyDescent="0.25">
      <c r="A23" s="93">
        <f>LossChart!A23</f>
        <v>43012</v>
      </c>
      <c r="B23" s="90">
        <f>LossChart!B23</f>
        <v>21</v>
      </c>
      <c r="C23" s="90">
        <v>197.2</v>
      </c>
      <c r="I23" s="94">
        <f t="shared" si="0"/>
        <v>-5.6000000000000227</v>
      </c>
    </row>
    <row r="24" spans="1:15" x14ac:dyDescent="0.25">
      <c r="A24" s="93">
        <f>LossChart!A24</f>
        <v>43013</v>
      </c>
      <c r="B24" s="90">
        <f>LossChart!B24</f>
        <v>22</v>
      </c>
      <c r="C24" s="90">
        <v>194.8</v>
      </c>
      <c r="D24" s="90">
        <v>26.6</v>
      </c>
      <c r="E24" s="90">
        <v>30.8</v>
      </c>
      <c r="F24" s="90">
        <v>38</v>
      </c>
      <c r="G24" s="90">
        <v>28.8</v>
      </c>
      <c r="H24" s="90">
        <v>2190</v>
      </c>
      <c r="I24" s="94">
        <f t="shared" si="0"/>
        <v>-8</v>
      </c>
      <c r="J24" s="95">
        <f>E24*$C24/100</f>
        <v>59.998400000000004</v>
      </c>
      <c r="K24" s="95">
        <f>F24*$C24/100</f>
        <v>74.024000000000001</v>
      </c>
      <c r="L24" s="95">
        <f>G24*$C24/100</f>
        <v>56.10240000000001</v>
      </c>
      <c r="M24" s="95">
        <f>J24-J$3</f>
        <v>-4.8975999999999971</v>
      </c>
      <c r="N24" s="95">
        <f>K24-K$3</f>
        <v>-0.80919999999998993</v>
      </c>
      <c r="O24" s="95">
        <f>L24-L$3</f>
        <v>0.12960000000000349</v>
      </c>
    </row>
    <row r="25" spans="1:15" x14ac:dyDescent="0.25">
      <c r="A25" s="93">
        <f>LossChart!A25</f>
        <v>43014</v>
      </c>
      <c r="B25" s="90">
        <f>LossChart!B25</f>
        <v>23</v>
      </c>
      <c r="C25" s="90">
        <v>195</v>
      </c>
      <c r="I25" s="94">
        <f t="shared" si="0"/>
        <v>-7.8000000000000114</v>
      </c>
    </row>
    <row r="26" spans="1:15" x14ac:dyDescent="0.25">
      <c r="A26" s="93">
        <f>LossChart!A26</f>
        <v>43015</v>
      </c>
      <c r="B26" s="90">
        <f>LossChart!B26</f>
        <v>24</v>
      </c>
      <c r="C26" s="90">
        <v>196</v>
      </c>
      <c r="I26" s="94">
        <f t="shared" si="0"/>
        <v>-6.8000000000000114</v>
      </c>
    </row>
    <row r="27" spans="1:15" x14ac:dyDescent="0.25">
      <c r="A27" s="93">
        <f>LossChart!A27</f>
        <v>43016</v>
      </c>
      <c r="B27" s="90">
        <f>LossChart!B27</f>
        <v>25</v>
      </c>
      <c r="C27" s="90">
        <v>197</v>
      </c>
      <c r="I27" s="94">
        <f t="shared" si="0"/>
        <v>-5.8000000000000114</v>
      </c>
    </row>
    <row r="28" spans="1:15" x14ac:dyDescent="0.25">
      <c r="A28" s="93">
        <f>LossChart!A28</f>
        <v>43017</v>
      </c>
      <c r="B28" s="90">
        <f>LossChart!B28</f>
        <v>26</v>
      </c>
      <c r="C28" s="90">
        <v>198</v>
      </c>
      <c r="I28" s="94">
        <f t="shared" si="0"/>
        <v>-4.8000000000000114</v>
      </c>
    </row>
    <row r="29" spans="1:15" x14ac:dyDescent="0.25">
      <c r="A29" s="93">
        <f>LossChart!A29</f>
        <v>43018</v>
      </c>
      <c r="B29" s="90">
        <f>LossChart!B29</f>
        <v>27</v>
      </c>
      <c r="C29" s="90">
        <v>199.8</v>
      </c>
      <c r="I29" s="94">
        <f t="shared" si="0"/>
        <v>-3</v>
      </c>
    </row>
    <row r="30" spans="1:15" x14ac:dyDescent="0.25">
      <c r="A30" s="93">
        <f>LossChart!A30</f>
        <v>43019</v>
      </c>
      <c r="B30" s="90">
        <f>LossChart!B30</f>
        <v>28</v>
      </c>
      <c r="C30" s="90">
        <v>197.4</v>
      </c>
      <c r="I30" s="94">
        <f t="shared" si="0"/>
        <v>-5.4000000000000057</v>
      </c>
    </row>
    <row r="31" spans="1:15" x14ac:dyDescent="0.25">
      <c r="A31" s="93">
        <f>LossChart!A31</f>
        <v>43020</v>
      </c>
      <c r="B31" s="90">
        <f>LossChart!B31</f>
        <v>29</v>
      </c>
      <c r="C31" s="90">
        <v>194.4</v>
      </c>
      <c r="D31" s="90">
        <v>26.6</v>
      </c>
      <c r="E31" s="90">
        <v>30.8</v>
      </c>
      <c r="F31" s="90">
        <v>38</v>
      </c>
      <c r="G31" s="90">
        <v>28.8</v>
      </c>
      <c r="I31" s="94">
        <f t="shared" si="0"/>
        <v>-8.4000000000000057</v>
      </c>
      <c r="J31" s="95">
        <f>E31*$C31/100</f>
        <v>59.875200000000007</v>
      </c>
      <c r="K31" s="95">
        <f>F31*$C31/100</f>
        <v>73.872</v>
      </c>
      <c r="L31" s="95">
        <f>G31*$C31/100</f>
        <v>55.987200000000001</v>
      </c>
      <c r="M31" s="95">
        <f>J31-J$3</f>
        <v>-5.0207999999999942</v>
      </c>
      <c r="N31" s="95">
        <f>K31-K$3</f>
        <v>-0.96119999999999095</v>
      </c>
      <c r="O31" s="95">
        <f>L31-L$3</f>
        <v>1.4399999999994861E-2</v>
      </c>
    </row>
    <row r="32" spans="1:15" x14ac:dyDescent="0.25">
      <c r="A32" s="93">
        <f>LossChart!A32</f>
        <v>43021</v>
      </c>
      <c r="B32" s="90">
        <f>LossChart!B32</f>
        <v>30</v>
      </c>
      <c r="C32" s="90">
        <v>195</v>
      </c>
      <c r="I32" s="94">
        <f t="shared" si="0"/>
        <v>-7.8000000000000114</v>
      </c>
    </row>
    <row r="33" spans="1:15" x14ac:dyDescent="0.25">
      <c r="A33" s="93">
        <f>LossChart!A33</f>
        <v>43022</v>
      </c>
      <c r="B33" s="90">
        <f>LossChart!B33</f>
        <v>31</v>
      </c>
      <c r="C33" s="90">
        <v>196</v>
      </c>
      <c r="I33" s="94">
        <f t="shared" si="0"/>
        <v>-6.8000000000000114</v>
      </c>
    </row>
    <row r="34" spans="1:15" x14ac:dyDescent="0.25">
      <c r="A34" s="93">
        <f>LossChart!A34</f>
        <v>43023</v>
      </c>
      <c r="B34" s="90">
        <f>LossChart!B34</f>
        <v>32</v>
      </c>
      <c r="C34" s="90">
        <v>196.7</v>
      </c>
      <c r="I34" s="94">
        <f t="shared" si="0"/>
        <v>-6.1000000000000227</v>
      </c>
    </row>
    <row r="35" spans="1:15" x14ac:dyDescent="0.25">
      <c r="A35" s="93">
        <f>LossChart!A35</f>
        <v>43024</v>
      </c>
      <c r="B35" s="90">
        <f>LossChart!B35</f>
        <v>33</v>
      </c>
      <c r="C35" s="90">
        <v>194.4</v>
      </c>
      <c r="D35" s="90">
        <v>26.6</v>
      </c>
      <c r="E35" s="90">
        <v>30.8</v>
      </c>
      <c r="F35" s="90">
        <v>38</v>
      </c>
      <c r="G35" s="90">
        <v>28.8</v>
      </c>
      <c r="I35" s="94">
        <f t="shared" si="0"/>
        <v>-8.4000000000000057</v>
      </c>
      <c r="J35" s="95">
        <f>E35*$C35/100</f>
        <v>59.875200000000007</v>
      </c>
      <c r="K35" s="95">
        <f>F35*$C35/100</f>
        <v>73.872</v>
      </c>
      <c r="L35" s="95">
        <f>G35*$C35/100</f>
        <v>55.987200000000001</v>
      </c>
      <c r="M35" s="95">
        <f>J35-J$3</f>
        <v>-5.0207999999999942</v>
      </c>
      <c r="N35" s="95">
        <f>K35-K$3</f>
        <v>-0.96119999999999095</v>
      </c>
      <c r="O35" s="95">
        <f>L35-L$3</f>
        <v>1.4399999999994861E-2</v>
      </c>
    </row>
    <row r="36" spans="1:15" x14ac:dyDescent="0.25">
      <c r="A36" s="93">
        <f>LossChart!A36</f>
        <v>43025</v>
      </c>
      <c r="B36" s="90">
        <f>LossChart!B36</f>
        <v>34</v>
      </c>
      <c r="I36" s="94">
        <f t="shared" ref="I36:I67" si="1">C36-$C$3</f>
        <v>-202.8</v>
      </c>
    </row>
    <row r="37" spans="1:15" x14ac:dyDescent="0.25">
      <c r="A37" s="93">
        <f>LossChart!A37</f>
        <v>43026</v>
      </c>
      <c r="B37" s="90">
        <f>LossChart!B37</f>
        <v>35</v>
      </c>
      <c r="I37" s="94">
        <f t="shared" si="1"/>
        <v>-202.8</v>
      </c>
    </row>
    <row r="38" spans="1:15" x14ac:dyDescent="0.25">
      <c r="A38" s="93">
        <f>LossChart!A38</f>
        <v>43027</v>
      </c>
      <c r="B38" s="90">
        <f>LossChart!B38</f>
        <v>36</v>
      </c>
      <c r="I38" s="94">
        <f t="shared" si="1"/>
        <v>-202.8</v>
      </c>
    </row>
    <row r="39" spans="1:15" x14ac:dyDescent="0.25">
      <c r="A39" s="93">
        <f>LossChart!A39</f>
        <v>43028</v>
      </c>
      <c r="B39" s="90">
        <f>LossChart!B39</f>
        <v>37</v>
      </c>
      <c r="I39" s="94">
        <f t="shared" si="1"/>
        <v>-202.8</v>
      </c>
    </row>
    <row r="40" spans="1:15" x14ac:dyDescent="0.25">
      <c r="A40" s="93">
        <f>LossChart!A40</f>
        <v>43029</v>
      </c>
      <c r="B40" s="90">
        <f>LossChart!B40</f>
        <v>38</v>
      </c>
      <c r="I40" s="94">
        <f t="shared" si="1"/>
        <v>-202.8</v>
      </c>
    </row>
    <row r="41" spans="1:15" x14ac:dyDescent="0.25">
      <c r="A41" s="93">
        <f>LossChart!A41</f>
        <v>43030</v>
      </c>
      <c r="B41" s="90">
        <f>LossChart!B41</f>
        <v>39</v>
      </c>
      <c r="I41" s="94">
        <f t="shared" si="1"/>
        <v>-202.8</v>
      </c>
    </row>
    <row r="42" spans="1:15" x14ac:dyDescent="0.25">
      <c r="A42" s="93">
        <f>LossChart!A42</f>
        <v>43031</v>
      </c>
      <c r="B42" s="90">
        <f>LossChart!B42</f>
        <v>40</v>
      </c>
      <c r="I42" s="94">
        <f t="shared" si="1"/>
        <v>-202.8</v>
      </c>
    </row>
    <row r="43" spans="1:15" x14ac:dyDescent="0.25">
      <c r="A43" s="93">
        <f>LossChart!A43</f>
        <v>43032</v>
      </c>
      <c r="B43" s="90">
        <f>LossChart!B43</f>
        <v>41</v>
      </c>
      <c r="I43" s="94">
        <f t="shared" si="1"/>
        <v>-202.8</v>
      </c>
    </row>
    <row r="44" spans="1:15" x14ac:dyDescent="0.25">
      <c r="A44" s="93">
        <f>LossChart!A44</f>
        <v>43033</v>
      </c>
      <c r="B44" s="90">
        <f>LossChart!B44</f>
        <v>42</v>
      </c>
      <c r="I44" s="94">
        <f t="shared" si="1"/>
        <v>-202.8</v>
      </c>
    </row>
    <row r="45" spans="1:15" x14ac:dyDescent="0.25">
      <c r="A45" s="93">
        <f>LossChart!A45</f>
        <v>43034</v>
      </c>
      <c r="B45" s="90">
        <f>LossChart!B45</f>
        <v>43</v>
      </c>
      <c r="I45" s="94">
        <f t="shared" si="1"/>
        <v>-202.8</v>
      </c>
    </row>
    <row r="46" spans="1:15" x14ac:dyDescent="0.25">
      <c r="A46" s="93">
        <f>LossChart!A46</f>
        <v>43035</v>
      </c>
      <c r="B46" s="90">
        <f>LossChart!B46</f>
        <v>44</v>
      </c>
      <c r="I46" s="94">
        <f t="shared" si="1"/>
        <v>-202.8</v>
      </c>
    </row>
    <row r="47" spans="1:15" x14ac:dyDescent="0.25">
      <c r="A47" s="93">
        <f>LossChart!A47</f>
        <v>43036</v>
      </c>
      <c r="B47" s="90">
        <f>LossChart!B47</f>
        <v>45</v>
      </c>
      <c r="I47" s="94">
        <f t="shared" si="1"/>
        <v>-202.8</v>
      </c>
    </row>
    <row r="48" spans="1:15" x14ac:dyDescent="0.25">
      <c r="A48" s="93">
        <f>LossChart!A48</f>
        <v>43037</v>
      </c>
      <c r="B48" s="90">
        <f>LossChart!B48</f>
        <v>46</v>
      </c>
      <c r="I48" s="94">
        <f t="shared" si="1"/>
        <v>-202.8</v>
      </c>
    </row>
    <row r="49" spans="1:9" x14ac:dyDescent="0.25">
      <c r="A49" s="93">
        <f>LossChart!A49</f>
        <v>43038</v>
      </c>
      <c r="B49" s="90">
        <f>LossChart!B49</f>
        <v>47</v>
      </c>
      <c r="I49" s="94">
        <f t="shared" si="1"/>
        <v>-202.8</v>
      </c>
    </row>
    <row r="50" spans="1:9" x14ac:dyDescent="0.25">
      <c r="A50" s="93">
        <f>LossChart!A50</f>
        <v>43039</v>
      </c>
      <c r="B50" s="90">
        <f>LossChart!B50</f>
        <v>48</v>
      </c>
      <c r="I50" s="94">
        <f t="shared" si="1"/>
        <v>-202.8</v>
      </c>
    </row>
    <row r="51" spans="1:9" x14ac:dyDescent="0.25">
      <c r="A51" s="93">
        <f>LossChart!A51</f>
        <v>43040</v>
      </c>
      <c r="B51" s="90">
        <f>LossChart!B51</f>
        <v>49</v>
      </c>
      <c r="I51" s="94">
        <f t="shared" si="1"/>
        <v>-202.8</v>
      </c>
    </row>
    <row r="52" spans="1:9" x14ac:dyDescent="0.25">
      <c r="A52" s="93">
        <f>LossChart!A52</f>
        <v>43041</v>
      </c>
      <c r="B52" s="90">
        <f>LossChart!B52</f>
        <v>50</v>
      </c>
      <c r="I52" s="94">
        <f t="shared" si="1"/>
        <v>-202.8</v>
      </c>
    </row>
    <row r="53" spans="1:9" x14ac:dyDescent="0.25">
      <c r="A53" s="93">
        <f>LossChart!A53</f>
        <v>43042</v>
      </c>
      <c r="B53" s="90">
        <f>LossChart!B53</f>
        <v>51</v>
      </c>
      <c r="I53" s="94">
        <f t="shared" si="1"/>
        <v>-202.8</v>
      </c>
    </row>
    <row r="54" spans="1:9" x14ac:dyDescent="0.25">
      <c r="A54" s="93">
        <f>LossChart!A54</f>
        <v>43043</v>
      </c>
      <c r="B54" s="90">
        <f>LossChart!B54</f>
        <v>52</v>
      </c>
      <c r="I54" s="94">
        <f t="shared" si="1"/>
        <v>-202.8</v>
      </c>
    </row>
    <row r="55" spans="1:9" x14ac:dyDescent="0.25">
      <c r="A55" s="93">
        <f>LossChart!A55</f>
        <v>43044</v>
      </c>
      <c r="B55" s="90">
        <f>LossChart!B55</f>
        <v>53</v>
      </c>
      <c r="I55" s="94">
        <f t="shared" si="1"/>
        <v>-202.8</v>
      </c>
    </row>
    <row r="56" spans="1:9" x14ac:dyDescent="0.25">
      <c r="A56" s="93">
        <f>LossChart!A56</f>
        <v>43045</v>
      </c>
      <c r="B56" s="90">
        <f>LossChart!B56</f>
        <v>54</v>
      </c>
      <c r="I56" s="94">
        <f t="shared" si="1"/>
        <v>-202.8</v>
      </c>
    </row>
    <row r="57" spans="1:9" x14ac:dyDescent="0.25">
      <c r="A57" s="93">
        <f>LossChart!A57</f>
        <v>43046</v>
      </c>
      <c r="B57" s="90">
        <f>LossChart!B57</f>
        <v>55</v>
      </c>
      <c r="I57" s="94">
        <f t="shared" si="1"/>
        <v>-202.8</v>
      </c>
    </row>
    <row r="58" spans="1:9" x14ac:dyDescent="0.25">
      <c r="A58" s="93">
        <f>LossChart!A58</f>
        <v>43047</v>
      </c>
      <c r="B58" s="90">
        <f>LossChart!B58</f>
        <v>56</v>
      </c>
      <c r="I58" s="94">
        <f t="shared" si="1"/>
        <v>-202.8</v>
      </c>
    </row>
    <row r="59" spans="1:9" x14ac:dyDescent="0.25">
      <c r="A59" s="93">
        <f>LossChart!A59</f>
        <v>43048</v>
      </c>
      <c r="B59" s="90">
        <f>LossChart!B59</f>
        <v>57</v>
      </c>
      <c r="I59" s="94">
        <f t="shared" si="1"/>
        <v>-202.8</v>
      </c>
    </row>
    <row r="60" spans="1:9" x14ac:dyDescent="0.25">
      <c r="A60" s="93">
        <f>LossChart!A60</f>
        <v>43049</v>
      </c>
      <c r="B60" s="90">
        <f>LossChart!B60</f>
        <v>58</v>
      </c>
      <c r="I60" s="94">
        <f t="shared" si="1"/>
        <v>-202.8</v>
      </c>
    </row>
    <row r="61" spans="1:9" x14ac:dyDescent="0.25">
      <c r="A61" s="93">
        <f>LossChart!A61</f>
        <v>43050</v>
      </c>
      <c r="B61" s="90">
        <f>LossChart!B61</f>
        <v>59</v>
      </c>
      <c r="I61" s="94">
        <f t="shared" si="1"/>
        <v>-202.8</v>
      </c>
    </row>
    <row r="62" spans="1:9" x14ac:dyDescent="0.25">
      <c r="A62" s="93">
        <f>LossChart!A62</f>
        <v>43051</v>
      </c>
      <c r="B62" s="90">
        <f>LossChart!B62</f>
        <v>60</v>
      </c>
      <c r="I62" s="94">
        <f t="shared" si="1"/>
        <v>-202.8</v>
      </c>
    </row>
    <row r="63" spans="1:9" x14ac:dyDescent="0.25">
      <c r="A63" s="93">
        <f>LossChart!A63</f>
        <v>43052</v>
      </c>
      <c r="B63" s="90">
        <f>LossChart!B63</f>
        <v>61</v>
      </c>
      <c r="I63" s="94">
        <f t="shared" si="1"/>
        <v>-202.8</v>
      </c>
    </row>
    <row r="64" spans="1:9" x14ac:dyDescent="0.25">
      <c r="A64" s="93">
        <f>LossChart!A64</f>
        <v>43053</v>
      </c>
      <c r="B64" s="90">
        <f>LossChart!B64</f>
        <v>62</v>
      </c>
      <c r="I64" s="94">
        <f t="shared" si="1"/>
        <v>-202.8</v>
      </c>
    </row>
    <row r="65" spans="1:9" x14ac:dyDescent="0.25">
      <c r="A65" s="93">
        <f>LossChart!A65</f>
        <v>43054</v>
      </c>
      <c r="B65" s="90">
        <f>LossChart!B65</f>
        <v>63</v>
      </c>
      <c r="I65" s="94">
        <f t="shared" si="1"/>
        <v>-202.8</v>
      </c>
    </row>
    <row r="66" spans="1:9" x14ac:dyDescent="0.25">
      <c r="A66" s="93">
        <f>LossChart!A66</f>
        <v>43055</v>
      </c>
      <c r="B66" s="90">
        <f>LossChart!B66</f>
        <v>64</v>
      </c>
      <c r="I66" s="94">
        <f t="shared" si="1"/>
        <v>-202.8</v>
      </c>
    </row>
    <row r="67" spans="1:9" x14ac:dyDescent="0.25">
      <c r="A67" s="93">
        <f>LossChart!A67</f>
        <v>43056</v>
      </c>
      <c r="B67" s="90">
        <f>LossChart!B67</f>
        <v>65</v>
      </c>
      <c r="I67" s="94">
        <f t="shared" si="1"/>
        <v>-202.8</v>
      </c>
    </row>
    <row r="68" spans="1:9" x14ac:dyDescent="0.25">
      <c r="A68" s="93">
        <f>LossChart!A68</f>
        <v>43057</v>
      </c>
      <c r="B68" s="90">
        <f>LossChart!B68</f>
        <v>66</v>
      </c>
      <c r="I68" s="94">
        <f t="shared" ref="I68:I99" si="2">C68-$C$3</f>
        <v>-202.8</v>
      </c>
    </row>
    <row r="69" spans="1:9" x14ac:dyDescent="0.25">
      <c r="A69" s="93">
        <f>LossChart!A69</f>
        <v>43058</v>
      </c>
      <c r="B69" s="90">
        <f>LossChart!B69</f>
        <v>67</v>
      </c>
      <c r="I69" s="94">
        <f t="shared" si="2"/>
        <v>-202.8</v>
      </c>
    </row>
    <row r="70" spans="1:9" x14ac:dyDescent="0.25">
      <c r="A70" s="93">
        <f>LossChart!A70</f>
        <v>43059</v>
      </c>
      <c r="B70" s="90">
        <f>LossChart!B70</f>
        <v>68</v>
      </c>
      <c r="I70" s="94">
        <f t="shared" si="2"/>
        <v>-202.8</v>
      </c>
    </row>
    <row r="71" spans="1:9" x14ac:dyDescent="0.25">
      <c r="A71" s="93">
        <f>LossChart!A71</f>
        <v>43060</v>
      </c>
      <c r="B71" s="90">
        <f>LossChart!B71</f>
        <v>69</v>
      </c>
      <c r="I71" s="94">
        <f t="shared" si="2"/>
        <v>-202.8</v>
      </c>
    </row>
    <row r="72" spans="1:9" x14ac:dyDescent="0.25">
      <c r="A72" s="93">
        <f>LossChart!A72</f>
        <v>43061</v>
      </c>
      <c r="B72" s="90">
        <f>LossChart!B72</f>
        <v>70</v>
      </c>
      <c r="I72" s="94">
        <f t="shared" si="2"/>
        <v>-202.8</v>
      </c>
    </row>
    <row r="73" spans="1:9" x14ac:dyDescent="0.25">
      <c r="A73" s="93">
        <f>LossChart!A73</f>
        <v>43062</v>
      </c>
      <c r="B73" s="90">
        <f>LossChart!B73</f>
        <v>71</v>
      </c>
      <c r="I73" s="94">
        <f t="shared" si="2"/>
        <v>-202.8</v>
      </c>
    </row>
    <row r="74" spans="1:9" x14ac:dyDescent="0.25">
      <c r="A74" s="93">
        <f>LossChart!A74</f>
        <v>43063</v>
      </c>
      <c r="B74" s="90">
        <f>LossChart!B74</f>
        <v>72</v>
      </c>
      <c r="I74" s="94">
        <f t="shared" si="2"/>
        <v>-202.8</v>
      </c>
    </row>
    <row r="75" spans="1:9" x14ac:dyDescent="0.25">
      <c r="A75" s="93">
        <f>LossChart!A75</f>
        <v>43064</v>
      </c>
      <c r="B75" s="90">
        <f>LossChart!B75</f>
        <v>73</v>
      </c>
      <c r="I75" s="94">
        <f t="shared" si="2"/>
        <v>-202.8</v>
      </c>
    </row>
    <row r="76" spans="1:9" x14ac:dyDescent="0.25">
      <c r="A76" s="93">
        <f>LossChart!A76</f>
        <v>43065</v>
      </c>
      <c r="B76" s="90">
        <f>LossChart!B76</f>
        <v>74</v>
      </c>
      <c r="I76" s="94">
        <f t="shared" si="2"/>
        <v>-202.8</v>
      </c>
    </row>
    <row r="77" spans="1:9" x14ac:dyDescent="0.25">
      <c r="A77" s="93">
        <f>LossChart!A77</f>
        <v>43066</v>
      </c>
      <c r="B77" s="90">
        <f>LossChart!B77</f>
        <v>75</v>
      </c>
      <c r="I77" s="94">
        <f t="shared" si="2"/>
        <v>-202.8</v>
      </c>
    </row>
    <row r="78" spans="1:9" x14ac:dyDescent="0.25">
      <c r="A78" s="93">
        <f>LossChart!A78</f>
        <v>43067</v>
      </c>
      <c r="B78" s="90">
        <f>LossChart!B78</f>
        <v>76</v>
      </c>
      <c r="I78" s="94">
        <f t="shared" si="2"/>
        <v>-202.8</v>
      </c>
    </row>
    <row r="79" spans="1:9" x14ac:dyDescent="0.25">
      <c r="A79" s="93">
        <f>LossChart!A79</f>
        <v>43068</v>
      </c>
      <c r="B79" s="90">
        <f>LossChart!B79</f>
        <v>77</v>
      </c>
      <c r="I79" s="94">
        <f t="shared" si="2"/>
        <v>-202.8</v>
      </c>
    </row>
    <row r="80" spans="1:9" x14ac:dyDescent="0.25">
      <c r="A80" s="93">
        <f>LossChart!A80</f>
        <v>43069</v>
      </c>
      <c r="B80" s="90">
        <f>LossChart!B80</f>
        <v>78</v>
      </c>
      <c r="I80" s="94">
        <f t="shared" si="2"/>
        <v>-202.8</v>
      </c>
    </row>
    <row r="81" spans="1:9" x14ac:dyDescent="0.25">
      <c r="A81" s="93">
        <f>LossChart!A81</f>
        <v>43070</v>
      </c>
      <c r="B81" s="90">
        <f>LossChart!B81</f>
        <v>79</v>
      </c>
      <c r="I81" s="94">
        <f t="shared" si="2"/>
        <v>-202.8</v>
      </c>
    </row>
    <row r="82" spans="1:9" x14ac:dyDescent="0.25">
      <c r="A82" s="93">
        <f>LossChart!A82</f>
        <v>43071</v>
      </c>
      <c r="B82" s="90">
        <f>LossChart!B82</f>
        <v>80</v>
      </c>
      <c r="I82" s="94">
        <f t="shared" si="2"/>
        <v>-202.8</v>
      </c>
    </row>
    <row r="83" spans="1:9" x14ac:dyDescent="0.25">
      <c r="A83" s="93">
        <f>LossChart!A83</f>
        <v>43072</v>
      </c>
      <c r="B83" s="90">
        <f>LossChart!B83</f>
        <v>81</v>
      </c>
      <c r="I83" s="94">
        <f t="shared" si="2"/>
        <v>-202.8</v>
      </c>
    </row>
    <row r="84" spans="1:9" x14ac:dyDescent="0.25">
      <c r="A84" s="93">
        <f>LossChart!A84</f>
        <v>43073</v>
      </c>
      <c r="B84" s="90">
        <f>LossChart!B84</f>
        <v>82</v>
      </c>
      <c r="I84" s="94">
        <f t="shared" si="2"/>
        <v>-202.8</v>
      </c>
    </row>
    <row r="85" spans="1:9" x14ac:dyDescent="0.25">
      <c r="A85" s="93">
        <f>LossChart!A85</f>
        <v>43074</v>
      </c>
      <c r="B85" s="90">
        <f>LossChart!B85</f>
        <v>83</v>
      </c>
      <c r="I85" s="94">
        <f t="shared" si="2"/>
        <v>-202.8</v>
      </c>
    </row>
    <row r="86" spans="1:9" x14ac:dyDescent="0.25">
      <c r="A86" s="93">
        <f>LossChart!A86</f>
        <v>43075</v>
      </c>
      <c r="B86" s="90">
        <f>LossChart!B86</f>
        <v>84</v>
      </c>
      <c r="I86" s="94">
        <f t="shared" si="2"/>
        <v>-202.8</v>
      </c>
    </row>
    <row r="87" spans="1:9" x14ac:dyDescent="0.25">
      <c r="A87" s="93">
        <f>LossChart!A87</f>
        <v>43076</v>
      </c>
      <c r="B87" s="90">
        <f>LossChart!B87</f>
        <v>85</v>
      </c>
      <c r="I87" s="94">
        <f t="shared" si="2"/>
        <v>-202.8</v>
      </c>
    </row>
    <row r="88" spans="1:9" x14ac:dyDescent="0.25">
      <c r="A88" s="93">
        <f>LossChart!A88</f>
        <v>43077</v>
      </c>
      <c r="B88" s="90">
        <f>LossChart!B88</f>
        <v>86</v>
      </c>
      <c r="I88" s="94">
        <f t="shared" si="2"/>
        <v>-202.8</v>
      </c>
    </row>
    <row r="89" spans="1:9" x14ac:dyDescent="0.25">
      <c r="A89" s="93">
        <f>LossChart!A89</f>
        <v>43078</v>
      </c>
      <c r="B89" s="90">
        <f>LossChart!B89</f>
        <v>87</v>
      </c>
      <c r="I89" s="94">
        <f t="shared" si="2"/>
        <v>-202.8</v>
      </c>
    </row>
    <row r="90" spans="1:9" x14ac:dyDescent="0.25">
      <c r="A90" s="93">
        <f>LossChart!A90</f>
        <v>43079</v>
      </c>
      <c r="B90" s="90">
        <f>LossChart!B90</f>
        <v>88</v>
      </c>
      <c r="I90" s="94">
        <f t="shared" si="2"/>
        <v>-202.8</v>
      </c>
    </row>
    <row r="91" spans="1:9" x14ac:dyDescent="0.25">
      <c r="A91" s="93">
        <f>LossChart!A91</f>
        <v>43080</v>
      </c>
      <c r="B91" s="90">
        <f>LossChart!B91</f>
        <v>89</v>
      </c>
      <c r="I91" s="94">
        <f t="shared" si="2"/>
        <v>-202.8</v>
      </c>
    </row>
    <row r="92" spans="1:9" x14ac:dyDescent="0.25">
      <c r="A92" s="93">
        <f>LossChart!A92</f>
        <v>43081</v>
      </c>
      <c r="B92" s="90">
        <f>LossChart!B92</f>
        <v>90</v>
      </c>
      <c r="I92" s="94">
        <f t="shared" si="2"/>
        <v>-202.8</v>
      </c>
    </row>
    <row r="93" spans="1:9" x14ac:dyDescent="0.25">
      <c r="A93" s="93">
        <f>LossChart!A93</f>
        <v>43082</v>
      </c>
      <c r="B93" s="90">
        <f>LossChart!B93</f>
        <v>91</v>
      </c>
      <c r="I93" s="94">
        <f t="shared" si="2"/>
        <v>-202.8</v>
      </c>
    </row>
    <row r="94" spans="1:9" x14ac:dyDescent="0.25">
      <c r="A94" s="93">
        <f>LossChart!A94</f>
        <v>43083</v>
      </c>
      <c r="B94" s="90">
        <f>LossChart!B94</f>
        <v>92</v>
      </c>
      <c r="I94" s="94">
        <f t="shared" si="2"/>
        <v>-202.8</v>
      </c>
    </row>
    <row r="95" spans="1:9" x14ac:dyDescent="0.25">
      <c r="A95" s="93">
        <f>LossChart!A95</f>
        <v>43084</v>
      </c>
      <c r="B95" s="90">
        <f>LossChart!B95</f>
        <v>93</v>
      </c>
      <c r="I95" s="94">
        <f t="shared" si="2"/>
        <v>-202.8</v>
      </c>
    </row>
    <row r="96" spans="1:9" x14ac:dyDescent="0.25">
      <c r="A96" s="93">
        <f>LossChart!A96</f>
        <v>43085</v>
      </c>
      <c r="B96" s="90">
        <f>LossChart!B96</f>
        <v>94</v>
      </c>
      <c r="I96" s="94">
        <f t="shared" si="2"/>
        <v>-202.8</v>
      </c>
    </row>
    <row r="97" spans="1:9" x14ac:dyDescent="0.25">
      <c r="A97" s="93">
        <f>LossChart!A97</f>
        <v>43086</v>
      </c>
      <c r="B97" s="90">
        <f>LossChart!B97</f>
        <v>95</v>
      </c>
      <c r="I97" s="94">
        <f t="shared" si="2"/>
        <v>-202.8</v>
      </c>
    </row>
    <row r="98" spans="1:9" x14ac:dyDescent="0.25">
      <c r="A98" s="93">
        <f>LossChart!A98</f>
        <v>43087</v>
      </c>
      <c r="B98" s="90">
        <f>LossChart!B98</f>
        <v>96</v>
      </c>
      <c r="I98" s="94">
        <f t="shared" si="2"/>
        <v>-202.8</v>
      </c>
    </row>
    <row r="99" spans="1:9" x14ac:dyDescent="0.25">
      <c r="A99" s="93">
        <f>LossChart!A99</f>
        <v>43088</v>
      </c>
      <c r="B99" s="90">
        <f>LossChart!B99</f>
        <v>97</v>
      </c>
      <c r="I99" s="94">
        <f t="shared" si="2"/>
        <v>-202.8</v>
      </c>
    </row>
    <row r="100" spans="1:9" x14ac:dyDescent="0.25">
      <c r="A100" s="93">
        <f>LossChart!A100</f>
        <v>43089</v>
      </c>
      <c r="B100" s="90">
        <f>LossChart!B100</f>
        <v>98</v>
      </c>
      <c r="I100" s="94">
        <f t="shared" ref="I100:I111" si="3">C100-$C$3</f>
        <v>-202.8</v>
      </c>
    </row>
    <row r="101" spans="1:9" x14ac:dyDescent="0.25">
      <c r="A101" s="93">
        <f>LossChart!A101</f>
        <v>43090</v>
      </c>
      <c r="B101" s="90">
        <f>LossChart!B101</f>
        <v>99</v>
      </c>
      <c r="I101" s="94">
        <f t="shared" si="3"/>
        <v>-202.8</v>
      </c>
    </row>
    <row r="102" spans="1:9" x14ac:dyDescent="0.25">
      <c r="A102" s="93">
        <f>LossChart!A102</f>
        <v>43091</v>
      </c>
      <c r="B102" s="90">
        <f>LossChart!B102</f>
        <v>100</v>
      </c>
      <c r="I102" s="94">
        <f t="shared" si="3"/>
        <v>-202.8</v>
      </c>
    </row>
    <row r="103" spans="1:9" x14ac:dyDescent="0.25">
      <c r="A103" s="93">
        <f>LossChart!A103</f>
        <v>43092</v>
      </c>
      <c r="B103" s="90">
        <f>LossChart!B103</f>
        <v>101</v>
      </c>
      <c r="I103" s="94">
        <f t="shared" si="3"/>
        <v>-202.8</v>
      </c>
    </row>
    <row r="104" spans="1:9" x14ac:dyDescent="0.25">
      <c r="A104" s="93">
        <f>LossChart!A104</f>
        <v>43093</v>
      </c>
      <c r="B104" s="90">
        <f>LossChart!B104</f>
        <v>102</v>
      </c>
      <c r="I104" s="94">
        <f t="shared" si="3"/>
        <v>-202.8</v>
      </c>
    </row>
    <row r="105" spans="1:9" x14ac:dyDescent="0.25">
      <c r="A105" s="93">
        <f>LossChart!A105</f>
        <v>43094</v>
      </c>
      <c r="B105" s="90">
        <f>LossChart!B105</f>
        <v>103</v>
      </c>
      <c r="I105" s="94">
        <f t="shared" si="3"/>
        <v>-202.8</v>
      </c>
    </row>
    <row r="106" spans="1:9" x14ac:dyDescent="0.25">
      <c r="A106" s="93">
        <f>LossChart!A106</f>
        <v>43095</v>
      </c>
      <c r="B106" s="90">
        <f>LossChart!B106</f>
        <v>104</v>
      </c>
      <c r="I106" s="94">
        <f t="shared" si="3"/>
        <v>-202.8</v>
      </c>
    </row>
    <row r="107" spans="1:9" x14ac:dyDescent="0.25">
      <c r="A107" s="93">
        <f>LossChart!A107</f>
        <v>43096</v>
      </c>
      <c r="B107" s="90">
        <f>LossChart!B107</f>
        <v>105</v>
      </c>
      <c r="I107" s="94">
        <f t="shared" si="3"/>
        <v>-202.8</v>
      </c>
    </row>
    <row r="108" spans="1:9" x14ac:dyDescent="0.25">
      <c r="A108" s="93">
        <f>LossChart!A108</f>
        <v>43097</v>
      </c>
      <c r="B108" s="90">
        <f>LossChart!B108</f>
        <v>106</v>
      </c>
      <c r="I108" s="94">
        <f t="shared" si="3"/>
        <v>-202.8</v>
      </c>
    </row>
    <row r="109" spans="1:9" x14ac:dyDescent="0.25">
      <c r="A109" s="93">
        <f>LossChart!A109</f>
        <v>43098</v>
      </c>
      <c r="B109" s="90">
        <f>LossChart!B109</f>
        <v>107</v>
      </c>
      <c r="I109" s="94">
        <f t="shared" si="3"/>
        <v>-202.8</v>
      </c>
    </row>
    <row r="110" spans="1:9" x14ac:dyDescent="0.25">
      <c r="A110" s="93">
        <f>LossChart!A110</f>
        <v>43099</v>
      </c>
      <c r="B110" s="90">
        <f>LossChart!B110</f>
        <v>108</v>
      </c>
      <c r="I110" s="94">
        <f t="shared" si="3"/>
        <v>-202.8</v>
      </c>
    </row>
    <row r="111" spans="1:9" x14ac:dyDescent="0.25">
      <c r="A111" s="93">
        <f>LossChart!A111</f>
        <v>43100</v>
      </c>
      <c r="B111" s="90">
        <f>LossChart!B111</f>
        <v>109</v>
      </c>
      <c r="I111" s="94">
        <f t="shared" si="3"/>
        <v>-202.8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3"/>
  <sheetViews>
    <sheetView tabSelected="1" zoomScale="150" zoomScaleNormal="150" workbookViewId="0">
      <pane ySplit="1" topLeftCell="A365" activePane="bottomLeft" state="frozen"/>
      <selection pane="bottomLeft" activeCell="A369" sqref="A369"/>
    </sheetView>
  </sheetViews>
  <sheetFormatPr defaultRowHeight="15" x14ac:dyDescent="0.25"/>
  <cols>
    <col min="1" max="1" width="11.14062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28515625" customWidth="1"/>
    <col min="8" max="8" width="6.425781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4" width="6.5703125" customWidth="1"/>
    <col min="15" max="15" width="6.425781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7" ht="45" x14ac:dyDescent="0.25">
      <c r="A1" s="26" t="s">
        <v>63</v>
      </c>
      <c r="B1" s="26" t="s">
        <v>93</v>
      </c>
      <c r="C1" s="26" t="s">
        <v>94</v>
      </c>
      <c r="D1" s="97" t="str">
        <f>FoodDB!$C$1</f>
        <v>Fat
(g)</v>
      </c>
      <c r="E1" s="97" t="str">
        <f>FoodDB!$D$1</f>
        <v xml:space="preserve"> Carbs
(g)</v>
      </c>
      <c r="F1" s="97" t="str">
        <f>FoodDB!$E$1</f>
        <v>Protein
(g)</v>
      </c>
      <c r="G1" s="97" t="str">
        <f>FoodDB!$F$1</f>
        <v>Fat
(Cal)</v>
      </c>
      <c r="H1" s="97" t="str">
        <f>FoodDB!$G$1</f>
        <v>Carb
(Cal)</v>
      </c>
      <c r="I1" s="97" t="str">
        <f>FoodDB!$H$1</f>
        <v>Protein
(Cal)</v>
      </c>
      <c r="J1" s="97" t="str">
        <f>FoodDB!$I$1</f>
        <v>Total
Calories</v>
      </c>
      <c r="K1" s="97"/>
      <c r="L1" s="26"/>
      <c r="M1" s="26"/>
      <c r="N1" s="26"/>
      <c r="O1" s="26"/>
      <c r="Q1" s="26"/>
    </row>
    <row r="2" spans="1:17" x14ac:dyDescent="0.25">
      <c r="A2" s="98">
        <v>42992</v>
      </c>
      <c r="B2" s="99" t="s">
        <v>95</v>
      </c>
      <c r="C2" s="100">
        <v>1</v>
      </c>
      <c r="D2">
        <f>$C2*VLOOKUP($B2,FoodDB!$A$2:$I$1018,3,0)</f>
        <v>0.5</v>
      </c>
      <c r="E2">
        <f>$C2*VLOOKUP($B2,FoodDB!$A$2:$I$1018,4,0)</f>
        <v>0</v>
      </c>
      <c r="F2">
        <f>$C2*VLOOKUP($B2,FoodDB!$A$2:$I$1018,5,0)</f>
        <v>50</v>
      </c>
      <c r="G2">
        <f>$C2*VLOOKUP($B2,FoodDB!$A$2:$I$1018,6,0)</f>
        <v>4.5</v>
      </c>
      <c r="H2">
        <f>$C2*VLOOKUP($B2,FoodDB!$A$2:$I$1018,7,0)</f>
        <v>0</v>
      </c>
      <c r="I2">
        <f>$C2*VLOOKUP($B2,FoodDB!$A$2:$I$1018,8,0)</f>
        <v>200</v>
      </c>
      <c r="J2">
        <f>$C2*VLOOKUP($B2,FoodDB!$A$2:$I$1018,9,0)</f>
        <v>204.5</v>
      </c>
      <c r="L2" s="101"/>
      <c r="M2" s="101"/>
      <c r="N2" s="101"/>
      <c r="O2" s="101"/>
    </row>
    <row r="3" spans="1:17" x14ac:dyDescent="0.25">
      <c r="B3" s="99" t="s">
        <v>96</v>
      </c>
      <c r="C3" s="100">
        <v>14</v>
      </c>
      <c r="D3">
        <f>$C3*VLOOKUP($B3,FoodDB!$A$2:$I$1018,3,0)</f>
        <v>0</v>
      </c>
      <c r="E3">
        <f>$C3*VLOOKUP($B3,FoodDB!$A$2:$I$1018,4,0)</f>
        <v>9</v>
      </c>
      <c r="F3">
        <f>$C3*VLOOKUP($B3,FoodDB!$A$2:$I$1018,5,0)</f>
        <v>4.5</v>
      </c>
      <c r="G3">
        <f>$C3*VLOOKUP($B3,FoodDB!$A$2:$I$1018,6,0)</f>
        <v>0</v>
      </c>
      <c r="H3">
        <f>$C3*VLOOKUP($B3,FoodDB!$A$2:$I$1018,7,0)</f>
        <v>36</v>
      </c>
      <c r="I3">
        <f>$C3*VLOOKUP($B3,FoodDB!$A$2:$I$1018,8,0)</f>
        <v>18</v>
      </c>
      <c r="J3">
        <f>$C3*VLOOKUP($B3,FoodDB!$A$2:$I$1018,9,0)</f>
        <v>54.000000000000007</v>
      </c>
      <c r="L3" s="101"/>
      <c r="M3" s="101"/>
      <c r="N3" s="101"/>
      <c r="O3" s="101"/>
    </row>
    <row r="4" spans="1:17" x14ac:dyDescent="0.25">
      <c r="B4" s="99" t="s">
        <v>95</v>
      </c>
      <c r="C4" s="100">
        <v>1</v>
      </c>
      <c r="D4">
        <f>$C4*VLOOKUP($B4,FoodDB!$A$2:$I$1018,3,0)</f>
        <v>0.5</v>
      </c>
      <c r="E4">
        <f>$C4*VLOOKUP($B4,FoodDB!$A$2:$I$1018,4,0)</f>
        <v>0</v>
      </c>
      <c r="F4">
        <f>$C4*VLOOKUP($B4,FoodDB!$A$2:$I$1018,5,0)</f>
        <v>50</v>
      </c>
      <c r="G4">
        <f>$C4*VLOOKUP($B4,FoodDB!$A$2:$I$1018,6,0)</f>
        <v>4.5</v>
      </c>
      <c r="H4">
        <f>$C4*VLOOKUP($B4,FoodDB!$A$2:$I$1018,7,0)</f>
        <v>0</v>
      </c>
      <c r="I4">
        <f>$C4*VLOOKUP($B4,FoodDB!$A$2:$I$1018,8,0)</f>
        <v>200</v>
      </c>
      <c r="J4">
        <f>$C4*VLOOKUP($B4,FoodDB!$A$2:$I$1018,9,0)</f>
        <v>204.5</v>
      </c>
      <c r="L4" s="101"/>
      <c r="M4" s="101"/>
      <c r="N4" s="101"/>
      <c r="O4" s="101"/>
    </row>
    <row r="5" spans="1:17" x14ac:dyDescent="0.25">
      <c r="B5" s="99" t="s">
        <v>97</v>
      </c>
      <c r="C5" s="100">
        <v>2</v>
      </c>
      <c r="D5">
        <f>$C5*VLOOKUP($B5,FoodDB!$A$2:$I$1018,3,0)</f>
        <v>18</v>
      </c>
      <c r="E5">
        <f>$C5*VLOOKUP($B5,FoodDB!$A$2:$I$1018,4,0)</f>
        <v>4</v>
      </c>
      <c r="F5">
        <f>$C5*VLOOKUP($B5,FoodDB!$A$2:$I$1018,5,0)</f>
        <v>9.4</v>
      </c>
      <c r="G5">
        <f>$C5*VLOOKUP($B5,FoodDB!$A$2:$I$1018,6,0)</f>
        <v>162</v>
      </c>
      <c r="H5">
        <f>$C5*VLOOKUP($B5,FoodDB!$A$2:$I$1018,7,0)</f>
        <v>16</v>
      </c>
      <c r="I5">
        <f>$C5*VLOOKUP($B5,FoodDB!$A$2:$I$1018,8,0)</f>
        <v>37.6</v>
      </c>
      <c r="J5">
        <f>$C5*VLOOKUP($B5,FoodDB!$A$2:$I$1018,9,0)</f>
        <v>215.6</v>
      </c>
      <c r="L5" s="101"/>
      <c r="M5" s="101"/>
      <c r="N5" s="101"/>
      <c r="O5" s="101"/>
    </row>
    <row r="6" spans="1:17" x14ac:dyDescent="0.25">
      <c r="A6" t="s">
        <v>98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L6" s="102"/>
      <c r="M6" s="102"/>
      <c r="N6" s="102"/>
      <c r="O6" s="102"/>
    </row>
    <row r="8" spans="1:17" ht="45" x14ac:dyDescent="0.25">
      <c r="A8" s="26" t="s">
        <v>63</v>
      </c>
      <c r="B8" s="26" t="s">
        <v>93</v>
      </c>
      <c r="C8" s="26" t="s">
        <v>94</v>
      </c>
      <c r="D8" s="97" t="str">
        <f>FoodDB!$C$1</f>
        <v>Fat
(g)</v>
      </c>
      <c r="E8" s="97" t="str">
        <f>FoodDB!$D$1</f>
        <v xml:space="preserve"> Carbs
(g)</v>
      </c>
      <c r="F8" s="97" t="str">
        <f>FoodDB!$E$1</f>
        <v>Protein
(g)</v>
      </c>
      <c r="G8" s="97" t="str">
        <f>FoodDB!$F$1</f>
        <v>Fat
(Cal)</v>
      </c>
      <c r="H8" s="97" t="str">
        <f>FoodDB!$G$1</f>
        <v>Carb
(Cal)</v>
      </c>
      <c r="I8" s="97" t="str">
        <f>FoodDB!$H$1</f>
        <v>Protein
(Cal)</v>
      </c>
      <c r="J8" s="97" t="str">
        <f>FoodDB!$I$1</f>
        <v>Total
Calories</v>
      </c>
      <c r="K8" s="97"/>
      <c r="L8" s="26"/>
      <c r="M8" s="26"/>
      <c r="N8" s="26"/>
      <c r="O8" s="26"/>
      <c r="Q8" s="26"/>
    </row>
    <row r="9" spans="1:17" x14ac:dyDescent="0.25">
      <c r="A9" s="98">
        <v>42993</v>
      </c>
      <c r="B9" s="99" t="s">
        <v>95</v>
      </c>
      <c r="C9" s="100">
        <v>1.5</v>
      </c>
      <c r="D9">
        <f>$C9*VLOOKUP($B9,FoodDB!$A$2:$I$1018,3,0)</f>
        <v>0.75</v>
      </c>
      <c r="E9">
        <f>$C9*VLOOKUP($B9,FoodDB!$A$2:$I$1018,4,0)</f>
        <v>0</v>
      </c>
      <c r="F9">
        <f>$C9*VLOOKUP($B9,FoodDB!$A$2:$I$1018,5,0)</f>
        <v>75</v>
      </c>
      <c r="G9">
        <f>$C9*VLOOKUP($B9,FoodDB!$A$2:$I$1018,6,0)</f>
        <v>6.75</v>
      </c>
      <c r="H9">
        <f>$C9*VLOOKUP($B9,FoodDB!$A$2:$I$1018,7,0)</f>
        <v>0</v>
      </c>
      <c r="I9">
        <f>$C9*VLOOKUP($B9,FoodDB!$A$2:$I$1018,8,0)</f>
        <v>300</v>
      </c>
      <c r="J9">
        <f>$C9*VLOOKUP($B9,FoodDB!$A$2:$I$1018,9,0)</f>
        <v>306.75</v>
      </c>
    </row>
    <row r="10" spans="1:17" x14ac:dyDescent="0.25">
      <c r="B10" s="99" t="s">
        <v>99</v>
      </c>
      <c r="C10" s="100">
        <v>3</v>
      </c>
      <c r="D10">
        <f>$C10*VLOOKUP($B10,FoodDB!$A$2:$I$1018,3,0)</f>
        <v>18.54</v>
      </c>
      <c r="E10">
        <f>$C10*VLOOKUP($B10,FoodDB!$A$2:$I$1018,4,0)</f>
        <v>0</v>
      </c>
      <c r="F10">
        <f>$C10*VLOOKUP($B10,FoodDB!$A$2:$I$1018,5,0)</f>
        <v>25.56</v>
      </c>
      <c r="G10">
        <f>$C10*VLOOKUP($B10,FoodDB!$A$2:$I$1018,6,0)</f>
        <v>166.85999999999999</v>
      </c>
      <c r="H10">
        <f>$C10*VLOOKUP($B10,FoodDB!$A$2:$I$1018,7,0)</f>
        <v>0</v>
      </c>
      <c r="I10">
        <f>$C10*VLOOKUP($B10,FoodDB!$A$2:$I$1018,8,0)</f>
        <v>102.24</v>
      </c>
      <c r="J10">
        <f>$C10*VLOOKUP($B10,FoodDB!$A$2:$I$1018,9,0)</f>
        <v>269.09999999999997</v>
      </c>
    </row>
    <row r="11" spans="1:17" x14ac:dyDescent="0.25">
      <c r="A11" t="s">
        <v>98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L11" s="102"/>
      <c r="M11" s="102"/>
      <c r="N11" s="102"/>
      <c r="O11" s="102"/>
    </row>
    <row r="13" spans="1:17" ht="45" x14ac:dyDescent="0.25">
      <c r="A13" s="26" t="s">
        <v>63</v>
      </c>
      <c r="B13" s="26" t="s">
        <v>93</v>
      </c>
      <c r="C13" s="26" t="s">
        <v>94</v>
      </c>
      <c r="D13" s="97" t="str">
        <f>FoodDB!$C$1</f>
        <v>Fat
(g)</v>
      </c>
      <c r="E13" s="97" t="str">
        <f>FoodDB!$D$1</f>
        <v xml:space="preserve"> Carbs
(g)</v>
      </c>
      <c r="F13" s="97" t="str">
        <f>FoodDB!$E$1</f>
        <v>Protein
(g)</v>
      </c>
      <c r="G13" s="97" t="str">
        <f>FoodDB!$F$1</f>
        <v>Fat
(Cal)</v>
      </c>
      <c r="H13" s="97" t="str">
        <f>FoodDB!$G$1</f>
        <v>Carb
(Cal)</v>
      </c>
      <c r="I13" s="97" t="str">
        <f>FoodDB!$H$1</f>
        <v>Protein
(Cal)</v>
      </c>
      <c r="J13" s="97" t="str">
        <f>FoodDB!$I$1</f>
        <v>Total
Calories</v>
      </c>
      <c r="K13" s="97"/>
      <c r="L13" s="26"/>
      <c r="M13" s="26"/>
      <c r="N13" s="26"/>
      <c r="O13" s="26"/>
    </row>
    <row r="14" spans="1:17" x14ac:dyDescent="0.25">
      <c r="A14" s="98">
        <v>42994</v>
      </c>
      <c r="B14" s="99" t="s">
        <v>95</v>
      </c>
      <c r="C14" s="100">
        <v>1</v>
      </c>
      <c r="D14">
        <f>$C14*VLOOKUP($B14,FoodDB!$A$2:$I$1018,3,0)</f>
        <v>0.5</v>
      </c>
      <c r="E14">
        <f>$C14*VLOOKUP($B14,FoodDB!$A$2:$I$1018,4,0)</f>
        <v>0</v>
      </c>
      <c r="F14">
        <f>$C14*VLOOKUP($B14,FoodDB!$A$2:$I$1018,5,0)</f>
        <v>50</v>
      </c>
      <c r="G14">
        <f>$C14*VLOOKUP($B14,FoodDB!$A$2:$I$1018,6,0)</f>
        <v>4.5</v>
      </c>
      <c r="H14">
        <f>$C14*VLOOKUP($B14,FoodDB!$A$2:$I$1018,7,0)</f>
        <v>0</v>
      </c>
      <c r="I14">
        <f>$C14*VLOOKUP($B14,FoodDB!$A$2:$I$1018,8,0)</f>
        <v>200</v>
      </c>
      <c r="J14">
        <f>$C14*VLOOKUP($B14,FoodDB!$A$2:$I$1018,9,0)</f>
        <v>204.5</v>
      </c>
    </row>
    <row r="15" spans="1:17" x14ac:dyDescent="0.25">
      <c r="B15" s="99" t="s">
        <v>100</v>
      </c>
      <c r="C15" s="100">
        <v>7</v>
      </c>
      <c r="D15">
        <f>$C15*VLOOKUP($B15,FoodDB!$A$2:$I$1018,3,0)</f>
        <v>0</v>
      </c>
      <c r="E15">
        <f>$C15*VLOOKUP($B15,FoodDB!$A$2:$I$1018,4,0)</f>
        <v>7</v>
      </c>
      <c r="F15">
        <f>$C15*VLOOKUP($B15,FoodDB!$A$2:$I$1018,5,0)</f>
        <v>7</v>
      </c>
      <c r="G15">
        <f>$C15*VLOOKUP($B15,FoodDB!$A$2:$I$1018,6,0)</f>
        <v>0</v>
      </c>
      <c r="H15">
        <f>$C15*VLOOKUP($B15,FoodDB!$A$2:$I$1018,7,0)</f>
        <v>28</v>
      </c>
      <c r="I15">
        <f>$C15*VLOOKUP($B15,FoodDB!$A$2:$I$1018,8,0)</f>
        <v>28</v>
      </c>
      <c r="J15">
        <f>$C15*VLOOKUP($B15,FoodDB!$A$2:$I$1018,9,0)</f>
        <v>56</v>
      </c>
    </row>
    <row r="16" spans="1:17" x14ac:dyDescent="0.25">
      <c r="B16" s="99" t="s">
        <v>99</v>
      </c>
      <c r="C16">
        <v>5</v>
      </c>
      <c r="D16">
        <f>$C16*VLOOKUP($B16,FoodDB!$A$2:$I$1018,3,0)</f>
        <v>30.9</v>
      </c>
      <c r="E16">
        <f>$C16*VLOOKUP($B16,FoodDB!$A$2:$I$1018,4,0)</f>
        <v>0</v>
      </c>
      <c r="F16">
        <f>$C16*VLOOKUP($B16,FoodDB!$A$2:$I$1018,5,0)</f>
        <v>42.599999999999994</v>
      </c>
      <c r="G16">
        <f>$C16*VLOOKUP($B16,FoodDB!$A$2:$I$1018,6,0)</f>
        <v>278.09999999999997</v>
      </c>
      <c r="H16">
        <f>$C16*VLOOKUP($B16,FoodDB!$A$2:$I$1018,7,0)</f>
        <v>0</v>
      </c>
      <c r="I16">
        <f>$C16*VLOOKUP($B16,FoodDB!$A$2:$I$1018,8,0)</f>
        <v>170.39999999999998</v>
      </c>
      <c r="J16">
        <f>$C16*VLOOKUP($B16,FoodDB!$A$2:$I$1018,9,0)</f>
        <v>448.49999999999994</v>
      </c>
    </row>
    <row r="17" spans="1:15" x14ac:dyDescent="0.25">
      <c r="A17" t="s">
        <v>98</v>
      </c>
      <c r="G17">
        <f>SUM(G14:G16)</f>
        <v>282.59999999999997</v>
      </c>
      <c r="H17">
        <f>SUM(H14:H16)</f>
        <v>28</v>
      </c>
      <c r="I17">
        <f>SUM(I14:I16)</f>
        <v>398.4</v>
      </c>
      <c r="J17">
        <f>SUM(J14:J16)</f>
        <v>709</v>
      </c>
      <c r="L17" s="102"/>
      <c r="M17" s="102"/>
      <c r="N17" s="102"/>
      <c r="O17" s="102"/>
    </row>
    <row r="19" spans="1:15" ht="45" x14ac:dyDescent="0.25">
      <c r="A19" s="26" t="s">
        <v>63</v>
      </c>
      <c r="B19" s="26" t="s">
        <v>93</v>
      </c>
      <c r="C19" s="26" t="s">
        <v>94</v>
      </c>
      <c r="D19" s="97" t="str">
        <f>FoodDB!$C$1</f>
        <v>Fat
(g)</v>
      </c>
      <c r="E19" s="97" t="str">
        <f>FoodDB!$D$1</f>
        <v xml:space="preserve"> Carbs
(g)</v>
      </c>
      <c r="F19" s="97" t="str">
        <f>FoodDB!$E$1</f>
        <v>Protein
(g)</v>
      </c>
      <c r="G19" s="97" t="str">
        <f>FoodDB!$F$1</f>
        <v>Fat
(Cal)</v>
      </c>
      <c r="H19" s="97" t="str">
        <f>FoodDB!$G$1</f>
        <v>Carb
(Cal)</v>
      </c>
      <c r="I19" s="97" t="str">
        <f>FoodDB!$H$1</f>
        <v>Protein
(Cal)</v>
      </c>
      <c r="J19" s="97" t="str">
        <f>FoodDB!$I$1</f>
        <v>Total
Calories</v>
      </c>
      <c r="K19" s="97"/>
    </row>
    <row r="20" spans="1:15" x14ac:dyDescent="0.25">
      <c r="A20" s="98">
        <f>A14+1</f>
        <v>42995</v>
      </c>
      <c r="B20" s="99" t="s">
        <v>95</v>
      </c>
      <c r="C20" s="100">
        <v>2</v>
      </c>
      <c r="D20">
        <f>$C20*VLOOKUP($B20,FoodDB!$A$2:$I$1018,3,0)</f>
        <v>1</v>
      </c>
      <c r="E20">
        <f>$C20*VLOOKUP($B20,FoodDB!$A$2:$I$1018,4,0)</f>
        <v>0</v>
      </c>
      <c r="F20">
        <f>$C20*VLOOKUP($B20,FoodDB!$A$2:$I$1018,5,0)</f>
        <v>100</v>
      </c>
      <c r="G20">
        <f>$C20*VLOOKUP($B20,FoodDB!$A$2:$I$1018,6,0)</f>
        <v>9</v>
      </c>
      <c r="H20">
        <f>$C20*VLOOKUP($B20,FoodDB!$A$2:$I$1018,7,0)</f>
        <v>0</v>
      </c>
      <c r="I20">
        <f>$C20*VLOOKUP($B20,FoodDB!$A$2:$I$1018,8,0)</f>
        <v>400</v>
      </c>
      <c r="J20">
        <f>$C20*VLOOKUP($B20,FoodDB!$A$2:$I$1018,9,0)</f>
        <v>409</v>
      </c>
    </row>
    <row r="21" spans="1:15" x14ac:dyDescent="0.25">
      <c r="B21" s="99" t="s">
        <v>100</v>
      </c>
      <c r="C21" s="100">
        <v>14</v>
      </c>
      <c r="D21">
        <f>$C21*VLOOKUP($B21,FoodDB!$A$2:$I$1018,3,0)</f>
        <v>0</v>
      </c>
      <c r="E21">
        <f>$C21*VLOOKUP($B21,FoodDB!$A$2:$I$1018,4,0)</f>
        <v>14</v>
      </c>
      <c r="F21">
        <f>$C21*VLOOKUP($B21,FoodDB!$A$2:$I$1018,5,0)</f>
        <v>14</v>
      </c>
      <c r="G21">
        <f>$C21*VLOOKUP($B21,FoodDB!$A$2:$I$1018,6,0)</f>
        <v>0</v>
      </c>
      <c r="H21">
        <f>$C21*VLOOKUP($B21,FoodDB!$A$2:$I$1018,7,0)</f>
        <v>56</v>
      </c>
      <c r="I21">
        <f>$C21*VLOOKUP($B21,FoodDB!$A$2:$I$1018,8,0)</f>
        <v>56</v>
      </c>
      <c r="J21">
        <f>$C21*VLOOKUP($B21,FoodDB!$A$2:$I$1018,9,0)</f>
        <v>112</v>
      </c>
    </row>
    <row r="22" spans="1:15" x14ac:dyDescent="0.25">
      <c r="B22" s="99" t="s">
        <v>101</v>
      </c>
      <c r="C22" s="100">
        <v>0</v>
      </c>
      <c r="D22">
        <f>$C22*VLOOKUP($B22,FoodDB!$A$2:$I$1018,3,0)</f>
        <v>0</v>
      </c>
      <c r="E22">
        <f>$C22*VLOOKUP($B22,FoodDB!$A$2:$I$1018,4,0)</f>
        <v>0</v>
      </c>
      <c r="F22">
        <f>$C22*VLOOKUP($B22,FoodDB!$A$2:$I$1018,5,0)</f>
        <v>0</v>
      </c>
      <c r="G22">
        <f>$C22*VLOOKUP($B22,FoodDB!$A$2:$I$1018,6,0)</f>
        <v>0</v>
      </c>
      <c r="H22">
        <f>$C22*VLOOKUP($B22,FoodDB!$A$2:$I$1018,7,0)</f>
        <v>0</v>
      </c>
      <c r="I22">
        <f>$C22*VLOOKUP($B22,FoodDB!$A$2:$I$1018,8,0)</f>
        <v>0</v>
      </c>
      <c r="J22">
        <f>$C22*VLOOKUP($B22,FoodDB!$A$2:$I$1018,9,0)</f>
        <v>0</v>
      </c>
    </row>
    <row r="23" spans="1:15" x14ac:dyDescent="0.25">
      <c r="B23" s="99" t="s">
        <v>99</v>
      </c>
      <c r="C23">
        <v>3</v>
      </c>
      <c r="D23">
        <f>$C23*VLOOKUP($B23,FoodDB!$A$2:$I$1018,3,0)</f>
        <v>18.54</v>
      </c>
      <c r="E23">
        <f>$C23*VLOOKUP($B23,FoodDB!$A$2:$I$1018,4,0)</f>
        <v>0</v>
      </c>
      <c r="F23">
        <f>$C23*VLOOKUP($B23,FoodDB!$A$2:$I$1018,5,0)</f>
        <v>25.56</v>
      </c>
      <c r="G23">
        <f>$C23*VLOOKUP($B23,FoodDB!$A$2:$I$1018,6,0)</f>
        <v>166.85999999999999</v>
      </c>
      <c r="H23">
        <f>$C23*VLOOKUP($B23,FoodDB!$A$2:$I$1018,7,0)</f>
        <v>0</v>
      </c>
      <c r="I23">
        <f>$C23*VLOOKUP($B23,FoodDB!$A$2:$I$1018,8,0)</f>
        <v>102.24</v>
      </c>
      <c r="J23">
        <f>$C23*VLOOKUP($B23,FoodDB!$A$2:$I$1018,9,0)</f>
        <v>269.09999999999997</v>
      </c>
    </row>
    <row r="24" spans="1:15" x14ac:dyDescent="0.25">
      <c r="A24" t="s">
        <v>98</v>
      </c>
      <c r="G24">
        <f>SUM(G20:G23)</f>
        <v>175.85999999999999</v>
      </c>
      <c r="H24">
        <f>SUM(H20:H23)</f>
        <v>56</v>
      </c>
      <c r="I24">
        <f>SUM(I20:I23)</f>
        <v>558.24</v>
      </c>
      <c r="J24">
        <f>SUM(G24:I24)</f>
        <v>790.1</v>
      </c>
    </row>
    <row r="25" spans="1:15" x14ac:dyDescent="0.25">
      <c r="A25" t="s">
        <v>102</v>
      </c>
      <c r="B25" t="s">
        <v>103</v>
      </c>
      <c r="E25" s="103"/>
      <c r="F25" s="103"/>
      <c r="G25" s="103">
        <f>LossChart!N5</f>
        <v>309.25101658121139</v>
      </c>
      <c r="H25" s="103">
        <f>LossChart!O5</f>
        <v>80</v>
      </c>
      <c r="I25" s="103">
        <f>LossChart!P5</f>
        <v>477.30407413615825</v>
      </c>
      <c r="J25" s="103">
        <f>LossChart!Q5</f>
        <v>866.55509071736969</v>
      </c>
      <c r="K25" s="103"/>
    </row>
    <row r="26" spans="1:15" x14ac:dyDescent="0.25">
      <c r="A26" t="s">
        <v>104</v>
      </c>
      <c r="G26">
        <f>G25-G24</f>
        <v>133.3910165812114</v>
      </c>
      <c r="H26">
        <f>H25-H24</f>
        <v>24</v>
      </c>
      <c r="I26">
        <f>I25-I24</f>
        <v>-80.93592586384176</v>
      </c>
      <c r="J26">
        <f>J25-J24</f>
        <v>76.455090717369671</v>
      </c>
    </row>
    <row r="28" spans="1:15" ht="45" x14ac:dyDescent="0.25">
      <c r="A28" s="26" t="s">
        <v>63</v>
      </c>
      <c r="B28" s="26" t="s">
        <v>93</v>
      </c>
      <c r="C28" s="26" t="s">
        <v>94</v>
      </c>
      <c r="D28" s="97" t="str">
        <f>FoodDB!$C$1</f>
        <v>Fat
(g)</v>
      </c>
      <c r="E28" s="97" t="str">
        <f>FoodDB!$D$1</f>
        <v xml:space="preserve"> Carbs
(g)</v>
      </c>
      <c r="F28" s="97" t="str">
        <f>FoodDB!$E$1</f>
        <v>Protein
(g)</v>
      </c>
      <c r="G28" s="97" t="str">
        <f>FoodDB!$F$1</f>
        <v>Fat
(Cal)</v>
      </c>
      <c r="H28" s="97" t="str">
        <f>FoodDB!$G$1</f>
        <v>Carb
(Cal)</v>
      </c>
      <c r="I28" s="97" t="str">
        <f>FoodDB!$H$1</f>
        <v>Protein
(Cal)</v>
      </c>
      <c r="J28" s="97" t="str">
        <f>FoodDB!$I$1</f>
        <v>Total
Calories</v>
      </c>
      <c r="K28" s="97"/>
    </row>
    <row r="29" spans="1:15" x14ac:dyDescent="0.25">
      <c r="A29" s="98">
        <f>A20+1</f>
        <v>42996</v>
      </c>
      <c r="B29" s="99" t="s">
        <v>105</v>
      </c>
      <c r="C29" s="100">
        <v>1.2</v>
      </c>
      <c r="D29">
        <f>$C29*VLOOKUP($B29,FoodDB!$A$2:$I$1018,3,0)</f>
        <v>0.96</v>
      </c>
      <c r="E29">
        <f>$C29*VLOOKUP($B29,FoodDB!$A$2:$I$1018,4,0)</f>
        <v>0</v>
      </c>
      <c r="F29">
        <f>$C29*VLOOKUP($B29,FoodDB!$A$2:$I$1018,5,0)</f>
        <v>40.799999999999997</v>
      </c>
      <c r="G29">
        <f>$C29*VLOOKUP($B29,FoodDB!$A$2:$I$1018,6,0)</f>
        <v>8.64</v>
      </c>
      <c r="H29">
        <f>$C29*VLOOKUP($B29,FoodDB!$A$2:$I$1018,7,0)</f>
        <v>0</v>
      </c>
      <c r="I29">
        <f>$C29*VLOOKUP($B29,FoodDB!$A$2:$I$1018,8,0)</f>
        <v>163.19999999999999</v>
      </c>
      <c r="J29">
        <f>$C29*VLOOKUP($B29,FoodDB!$A$2:$I$1018,9,0)</f>
        <v>171.83999999999997</v>
      </c>
    </row>
    <row r="30" spans="1:15" x14ac:dyDescent="0.25">
      <c r="B30" s="99" t="s">
        <v>95</v>
      </c>
      <c r="C30" s="100">
        <v>1</v>
      </c>
      <c r="D30">
        <f>$C30*VLOOKUP($B30,FoodDB!$A$2:$I$1018,3,0)</f>
        <v>0.5</v>
      </c>
      <c r="E30">
        <f>$C30*VLOOKUP($B30,FoodDB!$A$2:$I$1018,4,0)</f>
        <v>0</v>
      </c>
      <c r="F30">
        <f>$C30*VLOOKUP($B30,FoodDB!$A$2:$I$1018,5,0)</f>
        <v>50</v>
      </c>
      <c r="G30">
        <f>$C30*VLOOKUP($B30,FoodDB!$A$2:$I$1018,6,0)</f>
        <v>4.5</v>
      </c>
      <c r="H30">
        <f>$C30*VLOOKUP($B30,FoodDB!$A$2:$I$1018,7,0)</f>
        <v>0</v>
      </c>
      <c r="I30">
        <f>$C30*VLOOKUP($B30,FoodDB!$A$2:$I$1018,8,0)</f>
        <v>200</v>
      </c>
      <c r="J30">
        <f>$C30*VLOOKUP($B30,FoodDB!$A$2:$I$1018,9,0)</f>
        <v>204.5</v>
      </c>
    </row>
    <row r="31" spans="1:15" x14ac:dyDescent="0.25">
      <c r="B31" s="99" t="s">
        <v>96</v>
      </c>
      <c r="C31" s="100">
        <v>12</v>
      </c>
      <c r="D31">
        <f>$C31*VLOOKUP($B31,FoodDB!$A$2:$I$1018,3,0)</f>
        <v>0</v>
      </c>
      <c r="E31">
        <f>$C31*VLOOKUP($B31,FoodDB!$A$2:$I$1018,4,0)</f>
        <v>7.7142857142857153</v>
      </c>
      <c r="F31">
        <f>$C31*VLOOKUP($B31,FoodDB!$A$2:$I$1018,5,0)</f>
        <v>3.8571428571428577</v>
      </c>
      <c r="G31">
        <f>$C31*VLOOKUP($B31,FoodDB!$A$2:$I$1018,6,0)</f>
        <v>0</v>
      </c>
      <c r="H31">
        <f>$C31*VLOOKUP($B31,FoodDB!$A$2:$I$1018,7,0)</f>
        <v>30.857142857142861</v>
      </c>
      <c r="I31">
        <f>$C31*VLOOKUP($B31,FoodDB!$A$2:$I$1018,8,0)</f>
        <v>15.428571428571431</v>
      </c>
      <c r="J31">
        <f>$C31*VLOOKUP($B31,FoodDB!$A$2:$I$1018,9,0)</f>
        <v>46.285714285714292</v>
      </c>
    </row>
    <row r="32" spans="1:15" x14ac:dyDescent="0.25">
      <c r="B32" s="99" t="s">
        <v>99</v>
      </c>
      <c r="C32" s="100">
        <v>4</v>
      </c>
      <c r="D32">
        <f>$C32*VLOOKUP($B32,FoodDB!$A$2:$I$1018,3,0)</f>
        <v>24.72</v>
      </c>
      <c r="E32">
        <f>$C32*VLOOKUP($B32,FoodDB!$A$2:$I$1018,4,0)</f>
        <v>0</v>
      </c>
      <c r="F32">
        <f>$C32*VLOOKUP($B32,FoodDB!$A$2:$I$1018,5,0)</f>
        <v>34.08</v>
      </c>
      <c r="G32">
        <f>$C32*VLOOKUP($B32,FoodDB!$A$2:$I$1018,6,0)</f>
        <v>222.48</v>
      </c>
      <c r="H32">
        <f>$C32*VLOOKUP($B32,FoodDB!$A$2:$I$1018,7,0)</f>
        <v>0</v>
      </c>
      <c r="I32">
        <f>$C32*VLOOKUP($B32,FoodDB!$A$2:$I$1018,8,0)</f>
        <v>136.32</v>
      </c>
      <c r="J32">
        <f>$C32*VLOOKUP($B32,FoodDB!$A$2:$I$1018,9,0)</f>
        <v>358.79999999999995</v>
      </c>
    </row>
    <row r="33" spans="1:11" x14ac:dyDescent="0.25">
      <c r="B33" s="99" t="s">
        <v>100</v>
      </c>
      <c r="C33">
        <v>7</v>
      </c>
      <c r="D33">
        <f>$C33*VLOOKUP($B33,FoodDB!$A$2:$I$1018,3,0)</f>
        <v>0</v>
      </c>
      <c r="E33">
        <f>$C33*VLOOKUP($B33,FoodDB!$A$2:$I$1018,4,0)</f>
        <v>7</v>
      </c>
      <c r="F33">
        <f>$C33*VLOOKUP($B33,FoodDB!$A$2:$I$1018,5,0)</f>
        <v>7</v>
      </c>
      <c r="G33">
        <f>$C33*VLOOKUP($B33,FoodDB!$A$2:$I$1018,6,0)</f>
        <v>0</v>
      </c>
      <c r="H33">
        <f>$C33*VLOOKUP($B33,FoodDB!$A$2:$I$1018,7,0)</f>
        <v>28</v>
      </c>
      <c r="I33">
        <f>$C33*VLOOKUP($B33,FoodDB!$A$2:$I$1018,8,0)</f>
        <v>28</v>
      </c>
      <c r="J33">
        <f>$C33*VLOOKUP($B33,FoodDB!$A$2:$I$1018,9,0)</f>
        <v>56</v>
      </c>
    </row>
    <row r="34" spans="1:11" x14ac:dyDescent="0.25">
      <c r="A34" t="s">
        <v>98</v>
      </c>
      <c r="G34">
        <f>SUM(G29:G33)</f>
        <v>235.62</v>
      </c>
      <c r="H34">
        <f>SUM(H29:H33)</f>
        <v>58.857142857142861</v>
      </c>
      <c r="I34">
        <f>SUM(I29:I33)</f>
        <v>542.94857142857143</v>
      </c>
      <c r="J34">
        <f>SUM(G34:I34)</f>
        <v>837.42571428571432</v>
      </c>
    </row>
    <row r="35" spans="1:11" x14ac:dyDescent="0.25">
      <c r="A35" t="s">
        <v>102</v>
      </c>
      <c r="B35" t="s">
        <v>103</v>
      </c>
      <c r="E35" s="103"/>
      <c r="F35" s="103"/>
      <c r="G35" s="103">
        <f>LossChart!N7</f>
        <v>325.42477510031995</v>
      </c>
      <c r="H35" s="103">
        <f>LossChart!O7</f>
        <v>80</v>
      </c>
      <c r="I35" s="103">
        <f>LossChart!P7</f>
        <v>477.30407413615825</v>
      </c>
      <c r="J35" s="103">
        <f>LossChart!Q7</f>
        <v>882.72884923647825</v>
      </c>
      <c r="K35" s="103"/>
    </row>
    <row r="36" spans="1:11" x14ac:dyDescent="0.25">
      <c r="A36" t="s">
        <v>104</v>
      </c>
      <c r="G36">
        <f>G35-G34</f>
        <v>89.804775100319944</v>
      </c>
      <c r="H36">
        <f>H35-H34</f>
        <v>21.142857142857139</v>
      </c>
      <c r="I36">
        <f>I35-I34</f>
        <v>-65.644497292413178</v>
      </c>
      <c r="J36">
        <f>J35-J34</f>
        <v>45.303134950763933</v>
      </c>
    </row>
    <row r="38" spans="1:11" ht="45" x14ac:dyDescent="0.25">
      <c r="A38" s="26" t="s">
        <v>63</v>
      </c>
      <c r="B38" s="26" t="s">
        <v>93</v>
      </c>
      <c r="C38" s="26" t="s">
        <v>94</v>
      </c>
      <c r="D38" s="97" t="str">
        <f>FoodDB!$C$1</f>
        <v>Fat
(g)</v>
      </c>
      <c r="E38" s="97" t="str">
        <f>FoodDB!$D$1</f>
        <v xml:space="preserve"> Carbs
(g)</v>
      </c>
      <c r="F38" s="97" t="str">
        <f>FoodDB!$E$1</f>
        <v>Protein
(g)</v>
      </c>
      <c r="G38" s="97" t="str">
        <f>FoodDB!$F$1</f>
        <v>Fat
(Cal)</v>
      </c>
      <c r="H38" s="97" t="str">
        <f>FoodDB!$G$1</f>
        <v>Carb
(Cal)</v>
      </c>
      <c r="I38" s="97" t="str">
        <f>FoodDB!$H$1</f>
        <v>Protein
(Cal)</v>
      </c>
      <c r="J38" s="97" t="str">
        <f>FoodDB!$I$1</f>
        <v>Total
Calories</v>
      </c>
      <c r="K38" s="97"/>
    </row>
    <row r="39" spans="1:11" x14ac:dyDescent="0.25">
      <c r="A39" s="98">
        <f>A29+1</f>
        <v>42997</v>
      </c>
      <c r="B39" s="99" t="s">
        <v>105</v>
      </c>
      <c r="C39" s="100">
        <v>1.1000000000000001</v>
      </c>
      <c r="D39">
        <f>$C39*VLOOKUP($B39,FoodDB!$A$2:$I$1018,3,0)</f>
        <v>0.88000000000000012</v>
      </c>
      <c r="E39">
        <f>$C39*VLOOKUP($B39,FoodDB!$A$2:$I$1018,4,0)</f>
        <v>0</v>
      </c>
      <c r="F39">
        <f>$C39*VLOOKUP($B39,FoodDB!$A$2:$I$1018,5,0)</f>
        <v>37.400000000000006</v>
      </c>
      <c r="G39">
        <f>$C39*VLOOKUP($B39,FoodDB!$A$2:$I$1018,6,0)</f>
        <v>7.9200000000000008</v>
      </c>
      <c r="H39">
        <f>$C39*VLOOKUP($B39,FoodDB!$A$2:$I$1018,7,0)</f>
        <v>0</v>
      </c>
      <c r="I39">
        <f>$C39*VLOOKUP($B39,FoodDB!$A$2:$I$1018,8,0)</f>
        <v>149.60000000000002</v>
      </c>
      <c r="J39">
        <f>$C39*VLOOKUP($B39,FoodDB!$A$2:$I$1018,9,0)</f>
        <v>157.52000000000001</v>
      </c>
    </row>
    <row r="40" spans="1:11" x14ac:dyDescent="0.25">
      <c r="B40" s="99" t="s">
        <v>95</v>
      </c>
      <c r="C40" s="100">
        <v>1</v>
      </c>
      <c r="D40">
        <f>$C40*VLOOKUP($B40,FoodDB!$A$2:$I$1018,3,0)</f>
        <v>0.5</v>
      </c>
      <c r="E40">
        <f>$C40*VLOOKUP($B40,FoodDB!$A$2:$I$1018,4,0)</f>
        <v>0</v>
      </c>
      <c r="F40">
        <f>$C40*VLOOKUP($B40,FoodDB!$A$2:$I$1018,5,0)</f>
        <v>50</v>
      </c>
      <c r="G40">
        <f>$C40*VLOOKUP($B40,FoodDB!$A$2:$I$1018,6,0)</f>
        <v>4.5</v>
      </c>
      <c r="H40">
        <f>$C40*VLOOKUP($B40,FoodDB!$A$2:$I$1018,7,0)</f>
        <v>0</v>
      </c>
      <c r="I40">
        <f>$C40*VLOOKUP($B40,FoodDB!$A$2:$I$1018,8,0)</f>
        <v>200</v>
      </c>
      <c r="J40">
        <f>$C40*VLOOKUP($B40,FoodDB!$A$2:$I$1018,9,0)</f>
        <v>204.5</v>
      </c>
    </row>
    <row r="41" spans="1:11" x14ac:dyDescent="0.25">
      <c r="B41" s="99" t="s">
        <v>106</v>
      </c>
      <c r="C41" s="100">
        <v>4</v>
      </c>
      <c r="D41">
        <f>$C41*VLOOKUP($B41,FoodDB!$A$2:$I$1018,3,0)</f>
        <v>0.4</v>
      </c>
      <c r="E41">
        <f>$C41*VLOOKUP($B41,FoodDB!$A$2:$I$1018,4,0)</f>
        <v>7.2</v>
      </c>
      <c r="F41">
        <f>$C41*VLOOKUP($B41,FoodDB!$A$2:$I$1018,5,0)</f>
        <v>8.8000000000000007</v>
      </c>
      <c r="G41">
        <f>$C41*VLOOKUP($B41,FoodDB!$A$2:$I$1018,6,0)</f>
        <v>3.6</v>
      </c>
      <c r="H41">
        <f>$C41*VLOOKUP($B41,FoodDB!$A$2:$I$1018,7,0)</f>
        <v>28.8</v>
      </c>
      <c r="I41">
        <f>$C41*VLOOKUP($B41,FoodDB!$A$2:$I$1018,8,0)</f>
        <v>35.200000000000003</v>
      </c>
      <c r="J41">
        <f>$C41*VLOOKUP($B41,FoodDB!$A$2:$I$1018,9,0)</f>
        <v>67.599999999999994</v>
      </c>
    </row>
    <row r="42" spans="1:11" x14ac:dyDescent="0.25">
      <c r="B42" s="99" t="s">
        <v>99</v>
      </c>
      <c r="C42" s="100">
        <v>4</v>
      </c>
      <c r="D42">
        <f>$C42*VLOOKUP($B42,FoodDB!$A$2:$I$1018,3,0)</f>
        <v>24.72</v>
      </c>
      <c r="E42">
        <f>$C42*VLOOKUP($B42,FoodDB!$A$2:$I$1018,4,0)</f>
        <v>0</v>
      </c>
      <c r="F42">
        <f>$C42*VLOOKUP($B42,FoodDB!$A$2:$I$1018,5,0)</f>
        <v>34.08</v>
      </c>
      <c r="G42">
        <f>$C42*VLOOKUP($B42,FoodDB!$A$2:$I$1018,6,0)</f>
        <v>222.48</v>
      </c>
      <c r="H42">
        <f>$C42*VLOOKUP($B42,FoodDB!$A$2:$I$1018,7,0)</f>
        <v>0</v>
      </c>
      <c r="I42">
        <f>$C42*VLOOKUP($B42,FoodDB!$A$2:$I$1018,8,0)</f>
        <v>136.32</v>
      </c>
      <c r="J42">
        <f>$C42*VLOOKUP($B42,FoodDB!$A$2:$I$1018,9,0)</f>
        <v>358.79999999999995</v>
      </c>
    </row>
    <row r="43" spans="1:11" x14ac:dyDescent="0.25">
      <c r="B43" s="99" t="s">
        <v>100</v>
      </c>
      <c r="C43">
        <v>7</v>
      </c>
      <c r="D43">
        <f>$C43*VLOOKUP($B43,FoodDB!$A$2:$I$1018,3,0)</f>
        <v>0</v>
      </c>
      <c r="E43">
        <f>$C43*VLOOKUP($B43,FoodDB!$A$2:$I$1018,4,0)</f>
        <v>7</v>
      </c>
      <c r="F43">
        <f>$C43*VLOOKUP($B43,FoodDB!$A$2:$I$1018,5,0)</f>
        <v>7</v>
      </c>
      <c r="G43">
        <f>$C43*VLOOKUP($B43,FoodDB!$A$2:$I$1018,6,0)</f>
        <v>0</v>
      </c>
      <c r="H43">
        <f>$C43*VLOOKUP($B43,FoodDB!$A$2:$I$1018,7,0)</f>
        <v>28</v>
      </c>
      <c r="I43">
        <f>$C43*VLOOKUP($B43,FoodDB!$A$2:$I$1018,8,0)</f>
        <v>28</v>
      </c>
      <c r="J43">
        <f>$C43*VLOOKUP($B43,FoodDB!$A$2:$I$1018,9,0)</f>
        <v>56</v>
      </c>
    </row>
    <row r="44" spans="1:11" x14ac:dyDescent="0.25">
      <c r="A44" t="s">
        <v>98</v>
      </c>
      <c r="G44">
        <f>SUM(G39:G43)</f>
        <v>238.5</v>
      </c>
      <c r="H44">
        <f>SUM(H39:H43)</f>
        <v>56.8</v>
      </c>
      <c r="I44">
        <f>SUM(I39:I43)</f>
        <v>549.12</v>
      </c>
      <c r="J44">
        <f>SUM(G44:I44)</f>
        <v>844.42000000000007</v>
      </c>
    </row>
    <row r="45" spans="1:11" x14ac:dyDescent="0.25">
      <c r="A45" t="s">
        <v>102</v>
      </c>
      <c r="B45" t="s">
        <v>103</v>
      </c>
      <c r="E45" s="103"/>
      <c r="F45" s="103"/>
      <c r="G45" s="103">
        <f>LossChart!N8</f>
        <v>334.0448888729311</v>
      </c>
      <c r="H45" s="103">
        <f>LossChart!O8</f>
        <v>80</v>
      </c>
      <c r="I45" s="103">
        <f>LossChart!P8</f>
        <v>477.30407413615825</v>
      </c>
      <c r="J45" s="103">
        <f>LossChart!Q8</f>
        <v>891.3489630090894</v>
      </c>
      <c r="K45" s="103"/>
    </row>
    <row r="46" spans="1:11" x14ac:dyDescent="0.25">
      <c r="A46" t="s">
        <v>104</v>
      </c>
      <c r="G46">
        <f>G45-G44</f>
        <v>95.544888872931097</v>
      </c>
      <c r="H46">
        <f>H45-H44</f>
        <v>23.200000000000003</v>
      </c>
      <c r="I46">
        <f>I45-I44</f>
        <v>-71.815925863841755</v>
      </c>
      <c r="J46">
        <f>J45-J44</f>
        <v>46.92896300908933</v>
      </c>
    </row>
    <row r="48" spans="1:11" ht="45" x14ac:dyDescent="0.25">
      <c r="A48" s="26" t="s">
        <v>63</v>
      </c>
      <c r="B48" s="26" t="s">
        <v>93</v>
      </c>
      <c r="C48" s="26" t="s">
        <v>94</v>
      </c>
      <c r="D48" s="97" t="str">
        <f>FoodDB!$C$1</f>
        <v>Fat
(g)</v>
      </c>
      <c r="E48" s="97" t="str">
        <f>FoodDB!$D$1</f>
        <v xml:space="preserve"> Carbs
(g)</v>
      </c>
      <c r="F48" s="97" t="str">
        <f>FoodDB!$E$1</f>
        <v>Protein
(g)</v>
      </c>
      <c r="G48" s="97" t="str">
        <f>FoodDB!$F$1</f>
        <v>Fat
(Cal)</v>
      </c>
      <c r="H48" s="97" t="str">
        <f>FoodDB!$G$1</f>
        <v>Carb
(Cal)</v>
      </c>
      <c r="I48" s="97" t="str">
        <f>FoodDB!$H$1</f>
        <v>Protein
(Cal)</v>
      </c>
      <c r="J48" s="97" t="str">
        <f>FoodDB!$I$1</f>
        <v>Total
Calories</v>
      </c>
      <c r="K48" s="97"/>
    </row>
    <row r="49" spans="1:11" x14ac:dyDescent="0.25">
      <c r="A49" s="98">
        <f>A39+1</f>
        <v>42998</v>
      </c>
      <c r="B49" s="99" t="s">
        <v>105</v>
      </c>
      <c r="C49" s="100">
        <v>1.1000000000000001</v>
      </c>
      <c r="D49">
        <f>$C49*VLOOKUP($B49,FoodDB!$A$2:$I$1018,3,0)</f>
        <v>0.88000000000000012</v>
      </c>
      <c r="E49">
        <f>$C49*VLOOKUP($B49,FoodDB!$A$2:$I$1018,4,0)</f>
        <v>0</v>
      </c>
      <c r="F49">
        <f>$C49*VLOOKUP($B49,FoodDB!$A$2:$I$1018,5,0)</f>
        <v>37.400000000000006</v>
      </c>
      <c r="G49">
        <f>$C49*VLOOKUP($B49,FoodDB!$A$2:$I$1018,6,0)</f>
        <v>7.9200000000000008</v>
      </c>
      <c r="H49">
        <f>$C49*VLOOKUP($B49,FoodDB!$A$2:$I$1018,7,0)</f>
        <v>0</v>
      </c>
      <c r="I49">
        <f>$C49*VLOOKUP($B49,FoodDB!$A$2:$I$1018,8,0)</f>
        <v>149.60000000000002</v>
      </c>
      <c r="J49">
        <f>$C49*VLOOKUP($B49,FoodDB!$A$2:$I$1018,9,0)</f>
        <v>157.52000000000001</v>
      </c>
    </row>
    <row r="50" spans="1:11" x14ac:dyDescent="0.25">
      <c r="B50" s="99" t="s">
        <v>95</v>
      </c>
      <c r="C50" s="100">
        <v>1</v>
      </c>
      <c r="D50">
        <f>$C50*VLOOKUP($B50,FoodDB!$A$2:$I$1018,3,0)</f>
        <v>0.5</v>
      </c>
      <c r="E50">
        <f>$C50*VLOOKUP($B50,FoodDB!$A$2:$I$1018,4,0)</f>
        <v>0</v>
      </c>
      <c r="F50">
        <f>$C50*VLOOKUP($B50,FoodDB!$A$2:$I$1018,5,0)</f>
        <v>50</v>
      </c>
      <c r="G50">
        <f>$C50*VLOOKUP($B50,FoodDB!$A$2:$I$1018,6,0)</f>
        <v>4.5</v>
      </c>
      <c r="H50">
        <f>$C50*VLOOKUP($B50,FoodDB!$A$2:$I$1018,7,0)</f>
        <v>0</v>
      </c>
      <c r="I50">
        <f>$C50*VLOOKUP($B50,FoodDB!$A$2:$I$1018,8,0)</f>
        <v>200</v>
      </c>
      <c r="J50">
        <f>$C50*VLOOKUP($B50,FoodDB!$A$2:$I$1018,9,0)</f>
        <v>204.5</v>
      </c>
    </row>
    <row r="51" spans="1:11" x14ac:dyDescent="0.25">
      <c r="B51" s="99" t="s">
        <v>96</v>
      </c>
      <c r="C51" s="100">
        <v>8</v>
      </c>
      <c r="D51">
        <f>$C51*VLOOKUP($B51,FoodDB!$A$2:$I$1018,3,0)</f>
        <v>0</v>
      </c>
      <c r="E51">
        <f>$C51*VLOOKUP($B51,FoodDB!$A$2:$I$1018,4,0)</f>
        <v>5.1428571428571432</v>
      </c>
      <c r="F51">
        <f>$C51*VLOOKUP($B51,FoodDB!$A$2:$I$1018,5,0)</f>
        <v>2.5714285714285716</v>
      </c>
      <c r="G51">
        <f>$C51*VLOOKUP($B51,FoodDB!$A$2:$I$1018,6,0)</f>
        <v>0</v>
      </c>
      <c r="H51">
        <f>$C51*VLOOKUP($B51,FoodDB!$A$2:$I$1018,7,0)</f>
        <v>20.571428571428573</v>
      </c>
      <c r="I51">
        <f>$C51*VLOOKUP($B51,FoodDB!$A$2:$I$1018,8,0)</f>
        <v>10.285714285714286</v>
      </c>
      <c r="J51">
        <f>$C51*VLOOKUP($B51,FoodDB!$A$2:$I$1018,9,0)</f>
        <v>30.857142857142861</v>
      </c>
    </row>
    <row r="52" spans="1:11" x14ac:dyDescent="0.25">
      <c r="B52" s="99" t="s">
        <v>99</v>
      </c>
      <c r="C52" s="100">
        <v>4</v>
      </c>
      <c r="D52">
        <f>$C52*VLOOKUP($B52,FoodDB!$A$2:$I$1018,3,0)</f>
        <v>24.72</v>
      </c>
      <c r="E52">
        <f>$C52*VLOOKUP($B52,FoodDB!$A$2:$I$1018,4,0)</f>
        <v>0</v>
      </c>
      <c r="F52">
        <f>$C52*VLOOKUP($B52,FoodDB!$A$2:$I$1018,5,0)</f>
        <v>34.08</v>
      </c>
      <c r="G52">
        <f>$C52*VLOOKUP($B52,FoodDB!$A$2:$I$1018,6,0)</f>
        <v>222.48</v>
      </c>
      <c r="H52">
        <f>$C52*VLOOKUP($B52,FoodDB!$A$2:$I$1018,7,0)</f>
        <v>0</v>
      </c>
      <c r="I52">
        <f>$C52*VLOOKUP($B52,FoodDB!$A$2:$I$1018,8,0)</f>
        <v>136.32</v>
      </c>
      <c r="J52">
        <f>$C52*VLOOKUP($B52,FoodDB!$A$2:$I$1018,9,0)</f>
        <v>358.79999999999995</v>
      </c>
    </row>
    <row r="53" spans="1:11" x14ac:dyDescent="0.25">
      <c r="B53" s="99" t="s">
        <v>97</v>
      </c>
      <c r="C53" s="100">
        <v>2</v>
      </c>
      <c r="D53">
        <f>$C53*VLOOKUP($B53,FoodDB!$A$2:$I$1018,3,0)</f>
        <v>18</v>
      </c>
      <c r="E53">
        <f>$C53*VLOOKUP($B53,FoodDB!$A$2:$I$1018,4,0)</f>
        <v>4</v>
      </c>
      <c r="F53">
        <f>$C53*VLOOKUP($B53,FoodDB!$A$2:$I$1018,5,0)</f>
        <v>9.4</v>
      </c>
      <c r="G53">
        <f>$C53*VLOOKUP($B53,FoodDB!$A$2:$I$1018,6,0)</f>
        <v>162</v>
      </c>
      <c r="H53">
        <f>$C53*VLOOKUP($B53,FoodDB!$A$2:$I$1018,7,0)</f>
        <v>16</v>
      </c>
      <c r="I53">
        <f>$C53*VLOOKUP($B53,FoodDB!$A$2:$I$1018,8,0)</f>
        <v>37.6</v>
      </c>
      <c r="J53">
        <f>$C53*VLOOKUP($B53,FoodDB!$A$2:$I$1018,9,0)</f>
        <v>215.6</v>
      </c>
    </row>
    <row r="54" spans="1:11" x14ac:dyDescent="0.25">
      <c r="B54" s="99" t="s">
        <v>107</v>
      </c>
      <c r="C54" s="100">
        <v>1</v>
      </c>
      <c r="D54">
        <f>$C54*VLOOKUP($B54,FoodDB!$A$2:$I$1018,3,0)</f>
        <v>0.5</v>
      </c>
      <c r="E54">
        <f>$C54*VLOOKUP($B54,FoodDB!$A$2:$I$1018,4,0)</f>
        <v>0</v>
      </c>
      <c r="F54">
        <f>$C54*VLOOKUP($B54,FoodDB!$A$2:$I$1018,5,0)</f>
        <v>0</v>
      </c>
      <c r="G54">
        <f>$C54*VLOOKUP($B54,FoodDB!$A$2:$I$1018,6,0)</f>
        <v>4.5</v>
      </c>
      <c r="H54">
        <f>$C54*VLOOKUP($B54,FoodDB!$A$2:$I$1018,7,0)</f>
        <v>0</v>
      </c>
      <c r="I54">
        <f>$C54*VLOOKUP($B54,FoodDB!$A$2:$I$1018,8,0)</f>
        <v>0</v>
      </c>
      <c r="J54">
        <f>$C54*VLOOKUP($B54,FoodDB!$A$2:$I$1018,9,0)</f>
        <v>4.5</v>
      </c>
    </row>
    <row r="55" spans="1:11" x14ac:dyDescent="0.25">
      <c r="B55" s="99" t="s">
        <v>100</v>
      </c>
      <c r="C55">
        <v>7</v>
      </c>
      <c r="D55">
        <f>$C55*VLOOKUP($B55,FoodDB!$A$2:$I$1018,3,0)</f>
        <v>0</v>
      </c>
      <c r="E55">
        <f>$C55*VLOOKUP($B55,FoodDB!$A$2:$I$1018,4,0)</f>
        <v>7</v>
      </c>
      <c r="F55">
        <f>$C55*VLOOKUP($B55,FoodDB!$A$2:$I$1018,5,0)</f>
        <v>7</v>
      </c>
      <c r="G55">
        <f>$C55*VLOOKUP($B55,FoodDB!$A$2:$I$1018,6,0)</f>
        <v>0</v>
      </c>
      <c r="H55">
        <f>$C55*VLOOKUP($B55,FoodDB!$A$2:$I$1018,7,0)</f>
        <v>28</v>
      </c>
      <c r="I55">
        <f>$C55*VLOOKUP($B55,FoodDB!$A$2:$I$1018,8,0)</f>
        <v>28</v>
      </c>
      <c r="J55">
        <f>$C55*VLOOKUP($B55,FoodDB!$A$2:$I$1018,9,0)</f>
        <v>56</v>
      </c>
    </row>
    <row r="56" spans="1:11" x14ac:dyDescent="0.25">
      <c r="A56" t="s">
        <v>98</v>
      </c>
      <c r="G56">
        <f>SUM(G49:G55)</f>
        <v>401.4</v>
      </c>
      <c r="H56">
        <f>SUM(H49:H55)</f>
        <v>64.571428571428569</v>
      </c>
      <c r="I56">
        <f>SUM(I49:I55)</f>
        <v>561.80571428571432</v>
      </c>
      <c r="J56">
        <f>SUM(G56:I56)</f>
        <v>1027.7771428571427</v>
      </c>
    </row>
    <row r="57" spans="1:11" x14ac:dyDescent="0.25">
      <c r="A57" t="s">
        <v>102</v>
      </c>
      <c r="B57" t="s">
        <v>103</v>
      </c>
      <c r="E57" s="103"/>
      <c r="F57" s="103"/>
      <c r="G57" s="103">
        <f>VLOOKUP($A49,LossChart!$A$3:$AB$105,14,0)</f>
        <v>342.58865306641405</v>
      </c>
      <c r="H57" s="103">
        <f>VLOOKUP($A49,LossChart!$A$3:$AB$105,15,0)</f>
        <v>80</v>
      </c>
      <c r="I57" s="103">
        <f>VLOOKUP($A49,LossChart!$A$3:$AB$105,16,0)</f>
        <v>477.30407413615825</v>
      </c>
      <c r="J57" s="103">
        <f>VLOOKUP($A49,LossChart!$A$3:$AB$105,17,0)</f>
        <v>899.89272720257236</v>
      </c>
      <c r="K57" s="103"/>
    </row>
    <row r="58" spans="1:11" x14ac:dyDescent="0.25">
      <c r="A58" t="s">
        <v>104</v>
      </c>
      <c r="G58">
        <f>G57-G56</f>
        <v>-58.811346933585924</v>
      </c>
      <c r="H58">
        <f>H57-H56</f>
        <v>15.428571428571431</v>
      </c>
      <c r="I58">
        <f>I57-I56</f>
        <v>-84.501640149556067</v>
      </c>
      <c r="J58">
        <f>J57-J56</f>
        <v>-127.88441565457038</v>
      </c>
    </row>
    <row r="60" spans="1:11" ht="45" x14ac:dyDescent="0.25">
      <c r="A60" s="26" t="s">
        <v>63</v>
      </c>
      <c r="B60" s="26" t="s">
        <v>93</v>
      </c>
      <c r="C60" s="26" t="s">
        <v>94</v>
      </c>
      <c r="D60" s="97" t="str">
        <f>FoodDB!$C$1</f>
        <v>Fat
(g)</v>
      </c>
      <c r="E60" s="97" t="str">
        <f>FoodDB!$D$1</f>
        <v xml:space="preserve"> Carbs
(g)</v>
      </c>
      <c r="F60" s="97" t="str">
        <f>FoodDB!$E$1</f>
        <v>Protein
(g)</v>
      </c>
      <c r="G60" s="97" t="str">
        <f>FoodDB!$F$1</f>
        <v>Fat
(Cal)</v>
      </c>
      <c r="H60" s="97" t="str">
        <f>FoodDB!$G$1</f>
        <v>Carb
(Cal)</v>
      </c>
      <c r="I60" s="97" t="str">
        <f>FoodDB!$H$1</f>
        <v>Protein
(Cal)</v>
      </c>
      <c r="J60" s="97" t="str">
        <f>FoodDB!$I$1</f>
        <v>Total
Calories</v>
      </c>
      <c r="K60" s="97"/>
    </row>
    <row r="61" spans="1:11" x14ac:dyDescent="0.25">
      <c r="A61" s="98">
        <f>A49+1</f>
        <v>42999</v>
      </c>
      <c r="B61" s="99" t="s">
        <v>95</v>
      </c>
      <c r="C61" s="100">
        <v>1</v>
      </c>
      <c r="D61">
        <f>$C61*VLOOKUP($B61,FoodDB!$A$2:$I$1018,3,0)</f>
        <v>0.5</v>
      </c>
      <c r="E61">
        <f>$C61*VLOOKUP($B61,FoodDB!$A$2:$I$1018,4,0)</f>
        <v>0</v>
      </c>
      <c r="F61">
        <f>$C61*VLOOKUP($B61,FoodDB!$A$2:$I$1018,5,0)</f>
        <v>50</v>
      </c>
      <c r="G61">
        <f>$C61*VLOOKUP($B61,FoodDB!$A$2:$I$1018,6,0)</f>
        <v>4.5</v>
      </c>
      <c r="H61">
        <f>$C61*VLOOKUP($B61,FoodDB!$A$2:$I$1018,7,0)</f>
        <v>0</v>
      </c>
      <c r="I61">
        <f>$C61*VLOOKUP($B61,FoodDB!$A$2:$I$1018,8,0)</f>
        <v>200</v>
      </c>
      <c r="J61">
        <f>$C61*VLOOKUP($B61,FoodDB!$A$2:$I$1018,9,0)</f>
        <v>204.5</v>
      </c>
    </row>
    <row r="62" spans="1:11" x14ac:dyDescent="0.25">
      <c r="B62" s="99" t="s">
        <v>99</v>
      </c>
      <c r="C62" s="100">
        <v>3</v>
      </c>
      <c r="D62">
        <f>$C62*VLOOKUP($B62,FoodDB!$A$2:$I$1018,3,0)</f>
        <v>18.54</v>
      </c>
      <c r="E62">
        <f>$C62*VLOOKUP($B62,FoodDB!$A$2:$I$1018,4,0)</f>
        <v>0</v>
      </c>
      <c r="F62">
        <f>$C62*VLOOKUP($B62,FoodDB!$A$2:$I$1018,5,0)</f>
        <v>25.56</v>
      </c>
      <c r="G62">
        <f>$C62*VLOOKUP($B62,FoodDB!$A$2:$I$1018,6,0)</f>
        <v>166.85999999999999</v>
      </c>
      <c r="H62">
        <f>$C62*VLOOKUP($B62,FoodDB!$A$2:$I$1018,7,0)</f>
        <v>0</v>
      </c>
      <c r="I62">
        <f>$C62*VLOOKUP($B62,FoodDB!$A$2:$I$1018,8,0)</f>
        <v>102.24</v>
      </c>
      <c r="J62">
        <f>$C62*VLOOKUP($B62,FoodDB!$A$2:$I$1018,9,0)</f>
        <v>269.09999999999997</v>
      </c>
    </row>
    <row r="63" spans="1:11" x14ac:dyDescent="0.25">
      <c r="B63" s="99" t="s">
        <v>105</v>
      </c>
      <c r="C63" s="100">
        <v>1</v>
      </c>
      <c r="D63">
        <f>$C63*VLOOKUP($B63,FoodDB!$A$2:$I$1018,3,0)</f>
        <v>0.8</v>
      </c>
      <c r="E63">
        <f>$C63*VLOOKUP($B63,FoodDB!$A$2:$I$1018,4,0)</f>
        <v>0</v>
      </c>
      <c r="F63">
        <f>$C63*VLOOKUP($B63,FoodDB!$A$2:$I$1018,5,0)</f>
        <v>34</v>
      </c>
      <c r="G63">
        <f>$C63*VLOOKUP($B63,FoodDB!$A$2:$I$1018,6,0)</f>
        <v>7.2</v>
      </c>
      <c r="H63">
        <f>$C63*VLOOKUP($B63,FoodDB!$A$2:$I$1018,7,0)</f>
        <v>0</v>
      </c>
      <c r="I63">
        <f>$C63*VLOOKUP($B63,FoodDB!$A$2:$I$1018,8,0)</f>
        <v>136</v>
      </c>
      <c r="J63">
        <f>$C63*VLOOKUP($B63,FoodDB!$A$2:$I$1018,9,0)</f>
        <v>143.19999999999999</v>
      </c>
    </row>
    <row r="64" spans="1:11" x14ac:dyDescent="0.25">
      <c r="B64" s="99" t="s">
        <v>100</v>
      </c>
      <c r="C64" s="100">
        <v>7</v>
      </c>
      <c r="D64">
        <f>$C64*VLOOKUP($B64,FoodDB!$A$2:$I$1018,3,0)</f>
        <v>0</v>
      </c>
      <c r="E64">
        <f>$C64*VLOOKUP($B64,FoodDB!$A$2:$I$1018,4,0)</f>
        <v>7</v>
      </c>
      <c r="F64">
        <f>$C64*VLOOKUP($B64,FoodDB!$A$2:$I$1018,5,0)</f>
        <v>7</v>
      </c>
      <c r="G64">
        <f>$C64*VLOOKUP($B64,FoodDB!$A$2:$I$1018,6,0)</f>
        <v>0</v>
      </c>
      <c r="H64">
        <f>$C64*VLOOKUP($B64,FoodDB!$A$2:$I$1018,7,0)</f>
        <v>28</v>
      </c>
      <c r="I64">
        <f>$C64*VLOOKUP($B64,FoodDB!$A$2:$I$1018,8,0)</f>
        <v>28</v>
      </c>
      <c r="J64">
        <f>$C64*VLOOKUP($B64,FoodDB!$A$2:$I$1018,9,0)</f>
        <v>56</v>
      </c>
    </row>
    <row r="65" spans="1:11" x14ac:dyDescent="0.25">
      <c r="B65" s="99" t="s">
        <v>97</v>
      </c>
      <c r="C65" s="100">
        <v>2</v>
      </c>
      <c r="D65">
        <f>$C65*VLOOKUP($B65,FoodDB!$A$2:$I$1018,3,0)</f>
        <v>18</v>
      </c>
      <c r="E65">
        <f>$C65*VLOOKUP($B65,FoodDB!$A$2:$I$1018,4,0)</f>
        <v>4</v>
      </c>
      <c r="F65">
        <f>$C65*VLOOKUP($B65,FoodDB!$A$2:$I$1018,5,0)</f>
        <v>9.4</v>
      </c>
      <c r="G65">
        <f>$C65*VLOOKUP($B65,FoodDB!$A$2:$I$1018,6,0)</f>
        <v>162</v>
      </c>
      <c r="H65">
        <f>$C65*VLOOKUP($B65,FoodDB!$A$2:$I$1018,7,0)</f>
        <v>16</v>
      </c>
      <c r="I65">
        <f>$C65*VLOOKUP($B65,FoodDB!$A$2:$I$1018,8,0)</f>
        <v>37.6</v>
      </c>
      <c r="J65">
        <f>$C65*VLOOKUP($B65,FoodDB!$A$2:$I$1018,9,0)</f>
        <v>215.6</v>
      </c>
    </row>
    <row r="66" spans="1:11" x14ac:dyDescent="0.25">
      <c r="B66" s="99" t="s">
        <v>108</v>
      </c>
      <c r="C66" s="100">
        <v>0</v>
      </c>
      <c r="D66">
        <f>$C66*VLOOKUP($B66,FoodDB!$A$2:$I$1018,3,0)</f>
        <v>0</v>
      </c>
      <c r="E66">
        <f>$C66*VLOOKUP($B66,FoodDB!$A$2:$I$1018,4,0)</f>
        <v>0</v>
      </c>
      <c r="F66">
        <f>$C66*VLOOKUP($B66,FoodDB!$A$2:$I$1018,5,0)</f>
        <v>0</v>
      </c>
      <c r="G66">
        <f>$C66*VLOOKUP($B66,FoodDB!$A$2:$I$1018,6,0)</f>
        <v>0</v>
      </c>
      <c r="H66">
        <f>$C66*VLOOKUP($B66,FoodDB!$A$2:$I$1018,7,0)</f>
        <v>0</v>
      </c>
      <c r="I66">
        <f>$C66*VLOOKUP($B66,FoodDB!$A$2:$I$1018,8,0)</f>
        <v>0</v>
      </c>
      <c r="J66">
        <f>$C66*VLOOKUP($B66,FoodDB!$A$2:$I$1018,9,0)</f>
        <v>0</v>
      </c>
    </row>
    <row r="67" spans="1:11" x14ac:dyDescent="0.25">
      <c r="B67" s="99" t="s">
        <v>108</v>
      </c>
      <c r="C67" s="100">
        <v>0</v>
      </c>
      <c r="D67">
        <f>$C67*VLOOKUP($B67,FoodDB!$A$2:$I$1018,3,0)</f>
        <v>0</v>
      </c>
      <c r="E67">
        <f>$C67*VLOOKUP($B67,FoodDB!$A$2:$I$1018,4,0)</f>
        <v>0</v>
      </c>
      <c r="F67">
        <f>$C67*VLOOKUP($B67,FoodDB!$A$2:$I$1018,5,0)</f>
        <v>0</v>
      </c>
      <c r="G67">
        <f>$C67*VLOOKUP($B67,FoodDB!$A$2:$I$1018,6,0)</f>
        <v>0</v>
      </c>
      <c r="H67">
        <f>$C67*VLOOKUP($B67,FoodDB!$A$2:$I$1018,7,0)</f>
        <v>0</v>
      </c>
      <c r="I67">
        <f>$C67*VLOOKUP($B67,FoodDB!$A$2:$I$1018,8,0)</f>
        <v>0</v>
      </c>
      <c r="J67">
        <f>$C67*VLOOKUP($B67,FoodDB!$A$2:$I$1018,9,0)</f>
        <v>0</v>
      </c>
    </row>
    <row r="68" spans="1:11" x14ac:dyDescent="0.25">
      <c r="A68" t="s">
        <v>98</v>
      </c>
      <c r="G68">
        <f>SUM(G61:G67)</f>
        <v>340.55999999999995</v>
      </c>
      <c r="H68">
        <f>SUM(H61:H67)</f>
        <v>44</v>
      </c>
      <c r="I68">
        <f>SUM(I61:I67)</f>
        <v>503.84000000000003</v>
      </c>
      <c r="J68">
        <f>SUM(G68:I68)</f>
        <v>888.4</v>
      </c>
    </row>
    <row r="69" spans="1:11" x14ac:dyDescent="0.25">
      <c r="A69" t="s">
        <v>102</v>
      </c>
      <c r="B69" t="s">
        <v>103</v>
      </c>
      <c r="E69" s="103"/>
      <c r="F69" s="103"/>
      <c r="G69" s="103">
        <f>VLOOKUP($A61,LossChart!$A$3:$AB$105,14,0)</f>
        <v>350.37870085593295</v>
      </c>
      <c r="H69" s="103">
        <f>VLOOKUP($A61,LossChart!$A$3:$AB$105,15,0)</f>
        <v>80</v>
      </c>
      <c r="I69" s="103">
        <f>VLOOKUP($A61,LossChart!$A$3:$AB$105,16,0)</f>
        <v>477.30407413615825</v>
      </c>
      <c r="J69" s="103">
        <f>VLOOKUP($A61,LossChart!$A$3:$AB$105,17,0)</f>
        <v>907.68277499209125</v>
      </c>
      <c r="K69" s="103"/>
    </row>
    <row r="70" spans="1:11" x14ac:dyDescent="0.25">
      <c r="A70" t="s">
        <v>104</v>
      </c>
      <c r="G70">
        <f>G69-G68</f>
        <v>9.8187008559330025</v>
      </c>
      <c r="H70">
        <f>H69-H68</f>
        <v>36</v>
      </c>
      <c r="I70">
        <f>I69-I68</f>
        <v>-26.535925863841783</v>
      </c>
      <c r="J70">
        <f>J69-J68</f>
        <v>19.282774992091277</v>
      </c>
    </row>
    <row r="72" spans="1:11" ht="45" x14ac:dyDescent="0.25">
      <c r="A72" s="26" t="s">
        <v>63</v>
      </c>
      <c r="B72" s="26" t="s">
        <v>93</v>
      </c>
      <c r="C72" s="26" t="s">
        <v>94</v>
      </c>
      <c r="D72" s="97" t="str">
        <f>FoodDB!$C$1</f>
        <v>Fat
(g)</v>
      </c>
      <c r="E72" s="97" t="str">
        <f>FoodDB!$D$1</f>
        <v xml:space="preserve"> Carbs
(g)</v>
      </c>
      <c r="F72" s="97" t="str">
        <f>FoodDB!$E$1</f>
        <v>Protein
(g)</v>
      </c>
      <c r="G72" s="97" t="str">
        <f>FoodDB!$F$1</f>
        <v>Fat
(Cal)</v>
      </c>
      <c r="H72" s="97" t="str">
        <f>FoodDB!$G$1</f>
        <v>Carb
(Cal)</v>
      </c>
      <c r="I72" s="97" t="str">
        <f>FoodDB!$H$1</f>
        <v>Protein
(Cal)</v>
      </c>
      <c r="J72" s="97" t="str">
        <f>FoodDB!$I$1</f>
        <v>Total
Calories</v>
      </c>
      <c r="K72" s="97"/>
    </row>
    <row r="73" spans="1:11" x14ac:dyDescent="0.25">
      <c r="A73" s="98">
        <f>A61+1</f>
        <v>43000</v>
      </c>
      <c r="B73" s="99" t="s">
        <v>105</v>
      </c>
      <c r="C73" s="100">
        <v>3.3</v>
      </c>
      <c r="D73">
        <f>$C73*VLOOKUP($B73,FoodDB!$A$2:$I$1018,3,0)</f>
        <v>2.64</v>
      </c>
      <c r="E73">
        <f>$C73*VLOOKUP($B73,FoodDB!$A$2:$I$1018,4,0)</f>
        <v>0</v>
      </c>
      <c r="F73">
        <f>$C73*VLOOKUP($B73,FoodDB!$A$2:$I$1018,5,0)</f>
        <v>112.19999999999999</v>
      </c>
      <c r="G73">
        <f>$C73*VLOOKUP($B73,FoodDB!$A$2:$I$1018,6,0)</f>
        <v>23.759999999999998</v>
      </c>
      <c r="H73">
        <f>$C73*VLOOKUP($B73,FoodDB!$A$2:$I$1018,7,0)</f>
        <v>0</v>
      </c>
      <c r="I73">
        <f>$C73*VLOOKUP($B73,FoodDB!$A$2:$I$1018,8,0)</f>
        <v>448.79999999999995</v>
      </c>
      <c r="J73">
        <f>$C73*VLOOKUP($B73,FoodDB!$A$2:$I$1018,9,0)</f>
        <v>472.55999999999995</v>
      </c>
    </row>
    <row r="74" spans="1:11" x14ac:dyDescent="0.25">
      <c r="B74" s="99" t="s">
        <v>96</v>
      </c>
      <c r="C74" s="100">
        <v>20</v>
      </c>
      <c r="D74">
        <f>$C74*VLOOKUP($B74,FoodDB!$A$2:$I$1018,3,0)</f>
        <v>0</v>
      </c>
      <c r="E74">
        <f>$C74*VLOOKUP($B74,FoodDB!$A$2:$I$1018,4,0)</f>
        <v>12.857142857142858</v>
      </c>
      <c r="F74">
        <f>$C74*VLOOKUP($B74,FoodDB!$A$2:$I$1018,5,0)</f>
        <v>6.4285714285714288</v>
      </c>
      <c r="G74">
        <f>$C74*VLOOKUP($B74,FoodDB!$A$2:$I$1018,6,0)</f>
        <v>0</v>
      </c>
      <c r="H74">
        <f>$C74*VLOOKUP($B74,FoodDB!$A$2:$I$1018,7,0)</f>
        <v>51.428571428571431</v>
      </c>
      <c r="I74">
        <f>$C74*VLOOKUP($B74,FoodDB!$A$2:$I$1018,8,0)</f>
        <v>25.714285714285715</v>
      </c>
      <c r="J74">
        <f>$C74*VLOOKUP($B74,FoodDB!$A$2:$I$1018,9,0)</f>
        <v>77.142857142857153</v>
      </c>
    </row>
    <row r="75" spans="1:11" x14ac:dyDescent="0.25">
      <c r="B75" s="99" t="s">
        <v>107</v>
      </c>
      <c r="C75" s="100">
        <v>3</v>
      </c>
      <c r="D75">
        <f>$C75*VLOOKUP($B75,FoodDB!$A$2:$I$1018,3,0)</f>
        <v>1.5</v>
      </c>
      <c r="E75">
        <f>$C75*VLOOKUP($B75,FoodDB!$A$2:$I$1018,4,0)</f>
        <v>0</v>
      </c>
      <c r="F75">
        <f>$C75*VLOOKUP($B75,FoodDB!$A$2:$I$1018,5,0)</f>
        <v>0</v>
      </c>
      <c r="G75">
        <f>$C75*VLOOKUP($B75,FoodDB!$A$2:$I$1018,6,0)</f>
        <v>13.5</v>
      </c>
      <c r="H75">
        <f>$C75*VLOOKUP($B75,FoodDB!$A$2:$I$1018,7,0)</f>
        <v>0</v>
      </c>
      <c r="I75">
        <f>$C75*VLOOKUP($B75,FoodDB!$A$2:$I$1018,8,0)</f>
        <v>0</v>
      </c>
      <c r="J75">
        <f>$C75*VLOOKUP($B75,FoodDB!$A$2:$I$1018,9,0)</f>
        <v>13.5</v>
      </c>
    </row>
    <row r="76" spans="1:11" x14ac:dyDescent="0.25">
      <c r="B76" s="99" t="s">
        <v>100</v>
      </c>
      <c r="C76" s="100">
        <v>7</v>
      </c>
      <c r="D76">
        <f>$C76*VLOOKUP($B76,FoodDB!$A$2:$I$1018,3,0)</f>
        <v>0</v>
      </c>
      <c r="E76">
        <f>$C76*VLOOKUP($B76,FoodDB!$A$2:$I$1018,4,0)</f>
        <v>7</v>
      </c>
      <c r="F76">
        <f>$C76*VLOOKUP($B76,FoodDB!$A$2:$I$1018,5,0)</f>
        <v>7</v>
      </c>
      <c r="G76">
        <f>$C76*VLOOKUP($B76,FoodDB!$A$2:$I$1018,6,0)</f>
        <v>0</v>
      </c>
      <c r="H76">
        <f>$C76*VLOOKUP($B76,FoodDB!$A$2:$I$1018,7,0)</f>
        <v>28</v>
      </c>
      <c r="I76">
        <f>$C76*VLOOKUP($B76,FoodDB!$A$2:$I$1018,8,0)</f>
        <v>28</v>
      </c>
      <c r="J76">
        <f>$C76*VLOOKUP($B76,FoodDB!$A$2:$I$1018,9,0)</f>
        <v>56</v>
      </c>
    </row>
    <row r="77" spans="1:11" x14ac:dyDescent="0.25">
      <c r="B77" s="99" t="s">
        <v>109</v>
      </c>
      <c r="C77" s="100">
        <v>4</v>
      </c>
      <c r="D77">
        <f>$C77*VLOOKUP($B77,FoodDB!$A$2:$I$1018,3,0)</f>
        <v>48</v>
      </c>
      <c r="E77">
        <f>$C77*VLOOKUP($B77,FoodDB!$A$2:$I$1018,4,0)</f>
        <v>0</v>
      </c>
      <c r="F77">
        <f>$C77*VLOOKUP($B77,FoodDB!$A$2:$I$1018,5,0)</f>
        <v>0</v>
      </c>
      <c r="G77">
        <f>$C77*VLOOKUP($B77,FoodDB!$A$2:$I$1018,6,0)</f>
        <v>432</v>
      </c>
      <c r="H77">
        <f>$C77*VLOOKUP($B77,FoodDB!$A$2:$I$1018,7,0)</f>
        <v>0</v>
      </c>
      <c r="I77">
        <f>$C77*VLOOKUP($B77,FoodDB!$A$2:$I$1018,8,0)</f>
        <v>0</v>
      </c>
      <c r="J77">
        <f>$C77*VLOOKUP($B77,FoodDB!$A$2:$I$1018,9,0)</f>
        <v>432</v>
      </c>
    </row>
    <row r="78" spans="1:11" x14ac:dyDescent="0.25">
      <c r="B78" s="99" t="s">
        <v>108</v>
      </c>
      <c r="C78" s="100">
        <v>0</v>
      </c>
      <c r="D78">
        <f>$C78*VLOOKUP($B78,FoodDB!$A$2:$I$1018,3,0)</f>
        <v>0</v>
      </c>
      <c r="E78">
        <f>$C78*VLOOKUP($B78,FoodDB!$A$2:$I$1018,4,0)</f>
        <v>0</v>
      </c>
      <c r="F78">
        <f>$C78*VLOOKUP($B78,FoodDB!$A$2:$I$1018,5,0)</f>
        <v>0</v>
      </c>
      <c r="G78">
        <f>$C78*VLOOKUP($B78,FoodDB!$A$2:$I$1018,6,0)</f>
        <v>0</v>
      </c>
      <c r="H78">
        <f>$C78*VLOOKUP($B78,FoodDB!$A$2:$I$1018,7,0)</f>
        <v>0</v>
      </c>
      <c r="I78">
        <f>$C78*VLOOKUP($B78,FoodDB!$A$2:$I$1018,8,0)</f>
        <v>0</v>
      </c>
      <c r="J78">
        <f>$C78*VLOOKUP($B78,FoodDB!$A$2:$I$1018,9,0)</f>
        <v>0</v>
      </c>
    </row>
    <row r="79" spans="1:11" x14ac:dyDescent="0.25">
      <c r="B79" s="99" t="s">
        <v>108</v>
      </c>
      <c r="C79" s="100">
        <v>0</v>
      </c>
      <c r="D79">
        <f>$C79*VLOOKUP($B79,FoodDB!$A$2:$I$1018,3,0)</f>
        <v>0</v>
      </c>
      <c r="E79">
        <f>$C79*VLOOKUP($B79,FoodDB!$A$2:$I$1018,4,0)</f>
        <v>0</v>
      </c>
      <c r="F79">
        <f>$C79*VLOOKUP($B79,FoodDB!$A$2:$I$1018,5,0)</f>
        <v>0</v>
      </c>
      <c r="G79">
        <f>$C79*VLOOKUP($B79,FoodDB!$A$2:$I$1018,6,0)</f>
        <v>0</v>
      </c>
      <c r="H79">
        <f>$C79*VLOOKUP($B79,FoodDB!$A$2:$I$1018,7,0)</f>
        <v>0</v>
      </c>
      <c r="I79">
        <f>$C79*VLOOKUP($B79,FoodDB!$A$2:$I$1018,8,0)</f>
        <v>0</v>
      </c>
      <c r="J79">
        <f>$C79*VLOOKUP($B79,FoodDB!$A$2:$I$1018,9,0)</f>
        <v>0</v>
      </c>
    </row>
    <row r="80" spans="1:11" x14ac:dyDescent="0.25">
      <c r="A80" t="s">
        <v>98</v>
      </c>
      <c r="D80">
        <f>G80/9</f>
        <v>52.14</v>
      </c>
      <c r="E80">
        <f>H80/4</f>
        <v>19.857142857142858</v>
      </c>
      <c r="F80">
        <f>I80/4</f>
        <v>125.62857142857142</v>
      </c>
      <c r="G80">
        <f>SUM(G73:G79)</f>
        <v>469.26</v>
      </c>
      <c r="H80">
        <f>SUM(H73:H79)</f>
        <v>79.428571428571431</v>
      </c>
      <c r="I80">
        <f>SUM(I73:I79)</f>
        <v>502.51428571428568</v>
      </c>
      <c r="J80">
        <f>SUM(G80:I80)</f>
        <v>1051.2028571428571</v>
      </c>
    </row>
    <row r="81" spans="1:23" x14ac:dyDescent="0.25">
      <c r="A81" t="s">
        <v>102</v>
      </c>
      <c r="B81" t="s">
        <v>103</v>
      </c>
      <c r="E81" s="103"/>
      <c r="F81" s="103"/>
      <c r="G81" s="103">
        <f>VLOOKUP($A73,LossChart!$A$3:$AB$105,14,0)</f>
        <v>358.77779414328052</v>
      </c>
      <c r="H81" s="103">
        <f>VLOOKUP($A73,LossChart!$A$3:$AB$105,15,0)</f>
        <v>80</v>
      </c>
      <c r="I81" s="103">
        <f>VLOOKUP($A73,LossChart!$A$3:$AB$105,16,0)</f>
        <v>477.30407413615825</v>
      </c>
      <c r="J81" s="103">
        <f>VLOOKUP($A73,LossChart!$A$3:$AB$105,17,0)</f>
        <v>916.08186827943882</v>
      </c>
      <c r="K81" s="103"/>
    </row>
    <row r="82" spans="1:23" x14ac:dyDescent="0.25">
      <c r="A82" t="s">
        <v>104</v>
      </c>
      <c r="G82">
        <f>G81-G80</f>
        <v>-110.48220585671947</v>
      </c>
      <c r="H82">
        <f>H81-H80</f>
        <v>0.5714285714285694</v>
      </c>
      <c r="I82">
        <f>I81-I80</f>
        <v>-25.210211578127428</v>
      </c>
      <c r="J82">
        <f>J81-J80</f>
        <v>-135.12098886341823</v>
      </c>
    </row>
    <row r="84" spans="1:23" ht="45" x14ac:dyDescent="0.25">
      <c r="A84" s="26" t="s">
        <v>63</v>
      </c>
      <c r="B84" s="26" t="s">
        <v>93</v>
      </c>
      <c r="C84" s="26" t="s">
        <v>94</v>
      </c>
      <c r="D84" s="97" t="str">
        <f>FoodDB!$C$1</f>
        <v>Fat
(g)</v>
      </c>
      <c r="E84" s="97" t="str">
        <f>FoodDB!$D$1</f>
        <v xml:space="preserve"> Carbs
(g)</v>
      </c>
      <c r="F84" s="97" t="str">
        <f>FoodDB!$E$1</f>
        <v>Protein
(g)</v>
      </c>
      <c r="G84" s="97" t="str">
        <f>FoodDB!$F$1</f>
        <v>Fat
(Cal)</v>
      </c>
      <c r="H84" s="97" t="str">
        <f>FoodDB!$G$1</f>
        <v>Carb
(Cal)</v>
      </c>
      <c r="I84" s="97" t="str">
        <f>FoodDB!$H$1</f>
        <v>Protein
(Cal)</v>
      </c>
      <c r="J84" s="97" t="str">
        <f>FoodDB!$I$1</f>
        <v>Total
Calories</v>
      </c>
      <c r="K84" s="97"/>
      <c r="L84" s="97" t="s">
        <v>110</v>
      </c>
      <c r="M84" s="97" t="s">
        <v>111</v>
      </c>
      <c r="N84" s="97" t="s">
        <v>112</v>
      </c>
      <c r="O84" s="97" t="s">
        <v>113</v>
      </c>
      <c r="P84" s="97" t="s">
        <v>114</v>
      </c>
      <c r="Q84" s="97" t="s">
        <v>115</v>
      </c>
      <c r="R84" s="97" t="s">
        <v>116</v>
      </c>
      <c r="S84" s="97" t="s">
        <v>117</v>
      </c>
      <c r="T84" s="97" t="s">
        <v>118</v>
      </c>
      <c r="U84" s="97" t="s">
        <v>119</v>
      </c>
      <c r="V84" s="97" t="s">
        <v>120</v>
      </c>
      <c r="W84" s="97" t="s">
        <v>121</v>
      </c>
    </row>
    <row r="85" spans="1:23" x14ac:dyDescent="0.25">
      <c r="A85" s="98">
        <f>A73+1</f>
        <v>43001</v>
      </c>
      <c r="B85" s="99" t="s">
        <v>122</v>
      </c>
      <c r="C85" s="100">
        <v>2</v>
      </c>
      <c r="D85">
        <f>$C85*VLOOKUP($B85,FoodDB!$A$2:$I$1018,3,0)</f>
        <v>36</v>
      </c>
      <c r="E85">
        <f>$C85*VLOOKUP($B85,FoodDB!$A$2:$I$1018,4,0)</f>
        <v>0</v>
      </c>
      <c r="F85">
        <f>$C85*VLOOKUP($B85,FoodDB!$A$2:$I$1018,5,0)</f>
        <v>52</v>
      </c>
      <c r="G85">
        <f>$C85*VLOOKUP($B85,FoodDB!$A$2:$I$1018,6,0)</f>
        <v>324</v>
      </c>
      <c r="H85">
        <f>$C85*VLOOKUP($B85,FoodDB!$A$2:$I$1018,7,0)</f>
        <v>0</v>
      </c>
      <c r="I85">
        <f>$C85*VLOOKUP($B85,FoodDB!$A$2:$I$1018,8,0)</f>
        <v>208</v>
      </c>
      <c r="J85">
        <f>$C85*VLOOKUP($B85,FoodDB!$A$2:$I$1018,9,0)</f>
        <v>532</v>
      </c>
      <c r="L85">
        <f>SUM(G85:G91)</f>
        <v>493.92</v>
      </c>
      <c r="M85">
        <f>SUM(H85:H91)</f>
        <v>28</v>
      </c>
      <c r="N85">
        <f>SUM(I85:I91)</f>
        <v>469.6</v>
      </c>
      <c r="O85">
        <f>SUM(L85:N85)</f>
        <v>991.5200000000001</v>
      </c>
      <c r="P85" s="103">
        <f>VLOOKUP($A85,LossChart!$A$3:$AB$105,14,0)</f>
        <v>366.38608409249559</v>
      </c>
      <c r="Q85" s="103">
        <f>VLOOKUP($A85,LossChart!$A$3:$AB$105,15,0)</f>
        <v>80</v>
      </c>
      <c r="R85" s="103">
        <f>VLOOKUP($A85,LossChart!$A$3:$AB$105,16,0)</f>
        <v>477.30407413615825</v>
      </c>
      <c r="S85" s="103">
        <f>VLOOKUP($A85,LossChart!$A$3:$AB$105,17,0)</f>
        <v>923.6901582286539</v>
      </c>
      <c r="T85" s="103">
        <f>P85-L85</f>
        <v>-127.53391590750442</v>
      </c>
      <c r="U85" s="103">
        <f>Q85-M85</f>
        <v>52</v>
      </c>
      <c r="V85" s="103">
        <f>R85-N85</f>
        <v>7.7040741361582263</v>
      </c>
      <c r="W85" s="103">
        <f>S85-O85</f>
        <v>-67.829841771346196</v>
      </c>
    </row>
    <row r="86" spans="1:23" x14ac:dyDescent="0.25">
      <c r="B86" s="99" t="s">
        <v>123</v>
      </c>
      <c r="C86" s="100">
        <v>3</v>
      </c>
      <c r="D86">
        <f>$C86*VLOOKUP($B86,FoodDB!$A$2:$I$1018,3,0)</f>
        <v>18</v>
      </c>
      <c r="E86">
        <f>$C86*VLOOKUP($B86,FoodDB!$A$2:$I$1018,4,0)</f>
        <v>0</v>
      </c>
      <c r="F86">
        <f>$C86*VLOOKUP($B86,FoodDB!$A$2:$I$1018,5,0)</f>
        <v>21</v>
      </c>
      <c r="G86">
        <f>$C86*VLOOKUP($B86,FoodDB!$A$2:$I$1018,6,0)</f>
        <v>162</v>
      </c>
      <c r="H86">
        <f>$C86*VLOOKUP($B86,FoodDB!$A$2:$I$1018,7,0)</f>
        <v>0</v>
      </c>
      <c r="I86">
        <f>$C86*VLOOKUP($B86,FoodDB!$A$2:$I$1018,8,0)</f>
        <v>84</v>
      </c>
      <c r="J86">
        <f>$C86*VLOOKUP($B86,FoodDB!$A$2:$I$1018,9,0)</f>
        <v>246</v>
      </c>
    </row>
    <row r="87" spans="1:23" x14ac:dyDescent="0.25">
      <c r="B87" s="99" t="s">
        <v>105</v>
      </c>
      <c r="C87" s="100">
        <v>1.1000000000000001</v>
      </c>
      <c r="D87">
        <f>$C87*VLOOKUP($B87,FoodDB!$A$2:$I$1018,3,0)</f>
        <v>0.88000000000000012</v>
      </c>
      <c r="E87">
        <f>$C87*VLOOKUP($B87,FoodDB!$A$2:$I$1018,4,0)</f>
        <v>0</v>
      </c>
      <c r="F87">
        <f>$C87*VLOOKUP($B87,FoodDB!$A$2:$I$1018,5,0)</f>
        <v>37.400000000000006</v>
      </c>
      <c r="G87">
        <f>$C87*VLOOKUP($B87,FoodDB!$A$2:$I$1018,6,0)</f>
        <v>7.9200000000000008</v>
      </c>
      <c r="H87">
        <f>$C87*VLOOKUP($B87,FoodDB!$A$2:$I$1018,7,0)</f>
        <v>0</v>
      </c>
      <c r="I87">
        <f>$C87*VLOOKUP($B87,FoodDB!$A$2:$I$1018,8,0)</f>
        <v>149.60000000000002</v>
      </c>
      <c r="J87">
        <f>$C87*VLOOKUP($B87,FoodDB!$A$2:$I$1018,9,0)</f>
        <v>157.52000000000001</v>
      </c>
    </row>
    <row r="88" spans="1:23" x14ac:dyDescent="0.25">
      <c r="B88" s="99" t="s">
        <v>100</v>
      </c>
      <c r="C88" s="100">
        <v>7</v>
      </c>
      <c r="D88">
        <f>$C88*VLOOKUP($B88,FoodDB!$A$2:$I$1018,3,0)</f>
        <v>0</v>
      </c>
      <c r="E88">
        <f>$C88*VLOOKUP($B88,FoodDB!$A$2:$I$1018,4,0)</f>
        <v>7</v>
      </c>
      <c r="F88">
        <f>$C88*VLOOKUP($B88,FoodDB!$A$2:$I$1018,5,0)</f>
        <v>7</v>
      </c>
      <c r="G88">
        <f>$C88*VLOOKUP($B88,FoodDB!$A$2:$I$1018,6,0)</f>
        <v>0</v>
      </c>
      <c r="H88">
        <f>$C88*VLOOKUP($B88,FoodDB!$A$2:$I$1018,7,0)</f>
        <v>28</v>
      </c>
      <c r="I88">
        <f>$C88*VLOOKUP($B88,FoodDB!$A$2:$I$1018,8,0)</f>
        <v>28</v>
      </c>
      <c r="J88">
        <f>$C88*VLOOKUP($B88,FoodDB!$A$2:$I$1018,9,0)</f>
        <v>56</v>
      </c>
    </row>
    <row r="89" spans="1:23" x14ac:dyDescent="0.25">
      <c r="B89" s="99" t="s">
        <v>108</v>
      </c>
      <c r="C89" s="100">
        <v>0</v>
      </c>
      <c r="D89">
        <f>$C89*VLOOKUP($B89,FoodDB!$A$2:$I$1018,3,0)</f>
        <v>0</v>
      </c>
      <c r="E89">
        <f>$C89*VLOOKUP($B89,FoodDB!$A$2:$I$1018,4,0)</f>
        <v>0</v>
      </c>
      <c r="F89">
        <f>$C89*VLOOKUP($B89,FoodDB!$A$2:$I$1018,5,0)</f>
        <v>0</v>
      </c>
      <c r="G89">
        <f>$C89*VLOOKUP($B89,FoodDB!$A$2:$I$1018,6,0)</f>
        <v>0</v>
      </c>
      <c r="H89">
        <f>$C89*VLOOKUP($B89,FoodDB!$A$2:$I$1018,7,0)</f>
        <v>0</v>
      </c>
      <c r="I89">
        <f>$C89*VLOOKUP($B89,FoodDB!$A$2:$I$1018,8,0)</f>
        <v>0</v>
      </c>
      <c r="J89">
        <f>$C89*VLOOKUP($B89,FoodDB!$A$2:$I$1018,9,0)</f>
        <v>0</v>
      </c>
    </row>
    <row r="90" spans="1:23" x14ac:dyDescent="0.25">
      <c r="B90" s="99" t="s">
        <v>108</v>
      </c>
      <c r="C90" s="100">
        <v>0</v>
      </c>
      <c r="D90">
        <f>$C90*VLOOKUP($B90,FoodDB!$A$2:$I$1018,3,0)</f>
        <v>0</v>
      </c>
      <c r="E90">
        <f>$C90*VLOOKUP($B90,FoodDB!$A$2:$I$1018,4,0)</f>
        <v>0</v>
      </c>
      <c r="F90">
        <f>$C90*VLOOKUP($B90,FoodDB!$A$2:$I$1018,5,0)</f>
        <v>0</v>
      </c>
      <c r="G90">
        <f>$C90*VLOOKUP($B90,FoodDB!$A$2:$I$1018,6,0)</f>
        <v>0</v>
      </c>
      <c r="H90">
        <f>$C90*VLOOKUP($B90,FoodDB!$A$2:$I$1018,7,0)</f>
        <v>0</v>
      </c>
      <c r="I90">
        <f>$C90*VLOOKUP($B90,FoodDB!$A$2:$I$1018,8,0)</f>
        <v>0</v>
      </c>
      <c r="J90">
        <f>$C90*VLOOKUP($B90,FoodDB!$A$2:$I$1018,9,0)</f>
        <v>0</v>
      </c>
    </row>
    <row r="91" spans="1:23" x14ac:dyDescent="0.25">
      <c r="B91" s="99" t="s">
        <v>108</v>
      </c>
      <c r="C91" s="100">
        <v>0</v>
      </c>
      <c r="D91">
        <f>$C91*VLOOKUP($B91,FoodDB!$A$2:$I$1018,3,0)</f>
        <v>0</v>
      </c>
      <c r="E91">
        <f>$C91*VLOOKUP($B91,FoodDB!$A$2:$I$1018,4,0)</f>
        <v>0</v>
      </c>
      <c r="F91">
        <f>$C91*VLOOKUP($B91,FoodDB!$A$2:$I$1018,5,0)</f>
        <v>0</v>
      </c>
      <c r="G91">
        <f>$C91*VLOOKUP($B91,FoodDB!$A$2:$I$1018,6,0)</f>
        <v>0</v>
      </c>
      <c r="H91">
        <f>$C91*VLOOKUP($B91,FoodDB!$A$2:$I$1018,7,0)</f>
        <v>0</v>
      </c>
      <c r="I91">
        <f>$C91*VLOOKUP($B91,FoodDB!$A$2:$I$1018,8,0)</f>
        <v>0</v>
      </c>
      <c r="J91">
        <f>$C91*VLOOKUP($B91,FoodDB!$A$2:$I$1018,9,0)</f>
        <v>0</v>
      </c>
    </row>
    <row r="92" spans="1:23" x14ac:dyDescent="0.25">
      <c r="A92" t="s">
        <v>98</v>
      </c>
      <c r="G92">
        <f>SUM(G85:G91)</f>
        <v>493.92</v>
      </c>
      <c r="H92">
        <f>SUM(H85:H91)</f>
        <v>28</v>
      </c>
      <c r="I92">
        <f>SUM(I85:I91)</f>
        <v>469.6</v>
      </c>
      <c r="J92">
        <f>SUM(G92:I92)</f>
        <v>991.5200000000001</v>
      </c>
    </row>
    <row r="93" spans="1:23" x14ac:dyDescent="0.25">
      <c r="A93" t="s">
        <v>102</v>
      </c>
      <c r="B93" t="s">
        <v>103</v>
      </c>
      <c r="E93" s="103"/>
      <c r="F93" s="103"/>
      <c r="G93" s="103">
        <f>VLOOKUP($A85,LossChart!$A$3:$AB$105,14,0)</f>
        <v>366.38608409249559</v>
      </c>
      <c r="H93" s="103">
        <f>VLOOKUP($A85,LossChart!$A$3:$AB$105,15,0)</f>
        <v>80</v>
      </c>
      <c r="I93" s="103">
        <f>VLOOKUP($A85,LossChart!$A$3:$AB$105,16,0)</f>
        <v>477.30407413615825</v>
      </c>
      <c r="J93" s="103">
        <f>VLOOKUP($A85,LossChart!$A$3:$AB$105,17,0)</f>
        <v>923.6901582286539</v>
      </c>
      <c r="K93" s="103"/>
    </row>
    <row r="94" spans="1:23" x14ac:dyDescent="0.25">
      <c r="A94" t="s">
        <v>104</v>
      </c>
      <c r="G94">
        <f>G93-G92</f>
        <v>-127.53391590750442</v>
      </c>
      <c r="H94">
        <f>H93-H92</f>
        <v>52</v>
      </c>
      <c r="I94">
        <f>I93-I92</f>
        <v>7.7040741361582263</v>
      </c>
      <c r="J94">
        <f>J93-J92</f>
        <v>-67.829841771346196</v>
      </c>
    </row>
    <row r="96" spans="1:23" ht="60" x14ac:dyDescent="0.25">
      <c r="A96" s="26" t="s">
        <v>63</v>
      </c>
      <c r="B96" s="26" t="s">
        <v>93</v>
      </c>
      <c r="C96" s="26" t="s">
        <v>94</v>
      </c>
      <c r="D96" s="97" t="str">
        <f>FoodDB!$C$1</f>
        <v>Fat
(g)</v>
      </c>
      <c r="E96" s="97" t="str">
        <f>FoodDB!$D$1</f>
        <v xml:space="preserve"> Carbs
(g)</v>
      </c>
      <c r="F96" s="97" t="str">
        <f>FoodDB!$E$1</f>
        <v>Protein
(g)</v>
      </c>
      <c r="G96" s="97" t="str">
        <f>FoodDB!$F$1</f>
        <v>Fat
(Cal)</v>
      </c>
      <c r="H96" s="97" t="str">
        <f>FoodDB!$G$1</f>
        <v>Carb
(Cal)</v>
      </c>
      <c r="I96" s="97" t="str">
        <f>FoodDB!$H$1</f>
        <v>Protein
(Cal)</v>
      </c>
      <c r="J96" s="97" t="str">
        <f>FoodDB!$I$1</f>
        <v>Total
Calories</v>
      </c>
      <c r="K96" s="97"/>
      <c r="L96" s="97" t="s">
        <v>110</v>
      </c>
      <c r="M96" s="97" t="s">
        <v>111</v>
      </c>
      <c r="N96" s="97" t="s">
        <v>112</v>
      </c>
      <c r="O96" s="97" t="s">
        <v>113</v>
      </c>
      <c r="P96" s="97" t="s">
        <v>118</v>
      </c>
      <c r="Q96" s="97" t="s">
        <v>119</v>
      </c>
      <c r="R96" s="97" t="s">
        <v>120</v>
      </c>
      <c r="S96" s="97" t="s">
        <v>121</v>
      </c>
      <c r="T96" s="97"/>
      <c r="U96" s="97"/>
      <c r="V96" s="97"/>
      <c r="W96" s="97"/>
    </row>
    <row r="97" spans="1:23" x14ac:dyDescent="0.25">
      <c r="A97" s="98">
        <f>A85+1</f>
        <v>43002</v>
      </c>
      <c r="B97" s="99" t="s">
        <v>105</v>
      </c>
      <c r="C97" s="100">
        <v>1.2</v>
      </c>
      <c r="D97">
        <f>$C97*VLOOKUP($B97,FoodDB!$A$2:$I$1018,3,0)</f>
        <v>0.96</v>
      </c>
      <c r="E97">
        <f>$C97*VLOOKUP($B97,FoodDB!$A$2:$I$1018,4,0)</f>
        <v>0</v>
      </c>
      <c r="F97">
        <f>$C97*VLOOKUP($B97,FoodDB!$A$2:$I$1018,5,0)</f>
        <v>40.799999999999997</v>
      </c>
      <c r="G97">
        <f>$C97*VLOOKUP($B97,FoodDB!$A$2:$I$1018,6,0)</f>
        <v>8.64</v>
      </c>
      <c r="H97">
        <f>$C97*VLOOKUP($B97,FoodDB!$A$2:$I$1018,7,0)</f>
        <v>0</v>
      </c>
      <c r="I97">
        <f>$C97*VLOOKUP($B97,FoodDB!$A$2:$I$1018,8,0)</f>
        <v>163.19999999999999</v>
      </c>
      <c r="J97">
        <f>$C97*VLOOKUP($B97,FoodDB!$A$2:$I$1018,9,0)</f>
        <v>171.83999999999997</v>
      </c>
      <c r="L97">
        <f>SUM(G97:G103)</f>
        <v>402.12</v>
      </c>
      <c r="M97">
        <f>SUM(H97:H103)</f>
        <v>80.571428571428569</v>
      </c>
      <c r="N97">
        <f>SUM(I97:I103)</f>
        <v>455.40571428571428</v>
      </c>
      <c r="O97">
        <f>SUM(L97:N97)</f>
        <v>938.0971428571429</v>
      </c>
      <c r="P97" s="103">
        <f>VLOOKUP($A97,LossChart!$A$3:$AB$105,14,0)-L97</f>
        <v>-27.836236064127775</v>
      </c>
      <c r="Q97" s="103">
        <f>VLOOKUP($A97,LossChart!$A$3:$AB$105,15,0)-M97</f>
        <v>-0.5714285714285694</v>
      </c>
      <c r="R97" s="103">
        <f>VLOOKUP($A97,LossChart!$A$3:$AB$105,16,0)-N97</f>
        <v>21.898359850443967</v>
      </c>
      <c r="S97" s="103">
        <f>VLOOKUP($A97,LossChart!$A$3:$AB$105,17,0)-O97</f>
        <v>-6.5093047851123629</v>
      </c>
      <c r="T97" s="103"/>
      <c r="U97" s="103"/>
      <c r="V97" s="103"/>
      <c r="W97" s="103"/>
    </row>
    <row r="98" spans="1:23" x14ac:dyDescent="0.25">
      <c r="B98" s="99" t="s">
        <v>99</v>
      </c>
      <c r="C98" s="100">
        <v>4</v>
      </c>
      <c r="D98">
        <f>$C98*VLOOKUP($B98,FoodDB!$A$2:$I$1018,3,0)</f>
        <v>24.72</v>
      </c>
      <c r="E98">
        <f>$C98*VLOOKUP($B98,FoodDB!$A$2:$I$1018,4,0)</f>
        <v>0</v>
      </c>
      <c r="F98">
        <f>$C98*VLOOKUP($B98,FoodDB!$A$2:$I$1018,5,0)</f>
        <v>34.08</v>
      </c>
      <c r="G98">
        <f>$C98*VLOOKUP($B98,FoodDB!$A$2:$I$1018,6,0)</f>
        <v>222.48</v>
      </c>
      <c r="H98">
        <f>$C98*VLOOKUP($B98,FoodDB!$A$2:$I$1018,7,0)</f>
        <v>0</v>
      </c>
      <c r="I98">
        <f>$C98*VLOOKUP($B98,FoodDB!$A$2:$I$1018,8,0)</f>
        <v>136.32</v>
      </c>
      <c r="J98">
        <f>$C98*VLOOKUP($B98,FoodDB!$A$2:$I$1018,9,0)</f>
        <v>358.79999999999995</v>
      </c>
    </row>
    <row r="99" spans="1:23" x14ac:dyDescent="0.25">
      <c r="B99" s="99" t="s">
        <v>100</v>
      </c>
      <c r="C99" s="100">
        <v>7</v>
      </c>
      <c r="D99">
        <f>$C99*VLOOKUP($B99,FoodDB!$A$2:$I$1018,3,0)</f>
        <v>0</v>
      </c>
      <c r="E99">
        <f>$C99*VLOOKUP($B99,FoodDB!$A$2:$I$1018,4,0)</f>
        <v>7</v>
      </c>
      <c r="F99">
        <f>$C99*VLOOKUP($B99,FoodDB!$A$2:$I$1018,5,0)</f>
        <v>7</v>
      </c>
      <c r="G99">
        <f>$C99*VLOOKUP($B99,FoodDB!$A$2:$I$1018,6,0)</f>
        <v>0</v>
      </c>
      <c r="H99">
        <f>$C99*VLOOKUP($B99,FoodDB!$A$2:$I$1018,7,0)</f>
        <v>28</v>
      </c>
      <c r="I99">
        <f>$C99*VLOOKUP($B99,FoodDB!$A$2:$I$1018,8,0)</f>
        <v>28</v>
      </c>
      <c r="J99">
        <f>$C99*VLOOKUP($B99,FoodDB!$A$2:$I$1018,9,0)</f>
        <v>56</v>
      </c>
    </row>
    <row r="100" spans="1:23" x14ac:dyDescent="0.25">
      <c r="B100" s="99" t="s">
        <v>97</v>
      </c>
      <c r="C100" s="100">
        <v>2</v>
      </c>
      <c r="D100">
        <f>$C100*VLOOKUP($B100,FoodDB!$A$2:$I$1018,3,0)</f>
        <v>18</v>
      </c>
      <c r="E100">
        <f>$C100*VLOOKUP($B100,FoodDB!$A$2:$I$1018,4,0)</f>
        <v>4</v>
      </c>
      <c r="F100">
        <f>$C100*VLOOKUP($B100,FoodDB!$A$2:$I$1018,5,0)</f>
        <v>9.4</v>
      </c>
      <c r="G100">
        <f>$C100*VLOOKUP($B100,FoodDB!$A$2:$I$1018,6,0)</f>
        <v>162</v>
      </c>
      <c r="H100">
        <f>$C100*VLOOKUP($B100,FoodDB!$A$2:$I$1018,7,0)</f>
        <v>16</v>
      </c>
      <c r="I100">
        <f>$C100*VLOOKUP($B100,FoodDB!$A$2:$I$1018,8,0)</f>
        <v>37.6</v>
      </c>
      <c r="J100">
        <f>$C100*VLOOKUP($B100,FoodDB!$A$2:$I$1018,9,0)</f>
        <v>215.6</v>
      </c>
    </row>
    <row r="101" spans="1:23" x14ac:dyDescent="0.25">
      <c r="B101" s="99" t="s">
        <v>96</v>
      </c>
      <c r="C101" s="100">
        <v>8</v>
      </c>
      <c r="D101">
        <f>$C101*VLOOKUP($B101,FoodDB!$A$2:$I$1018,3,0)</f>
        <v>0</v>
      </c>
      <c r="E101">
        <f>$C101*VLOOKUP($B101,FoodDB!$A$2:$I$1018,4,0)</f>
        <v>5.1428571428571432</v>
      </c>
      <c r="F101">
        <f>$C101*VLOOKUP($B101,FoodDB!$A$2:$I$1018,5,0)</f>
        <v>2.5714285714285716</v>
      </c>
      <c r="G101">
        <f>$C101*VLOOKUP($B101,FoodDB!$A$2:$I$1018,6,0)</f>
        <v>0</v>
      </c>
      <c r="H101">
        <f>$C101*VLOOKUP($B101,FoodDB!$A$2:$I$1018,7,0)</f>
        <v>20.571428571428573</v>
      </c>
      <c r="I101">
        <f>$C101*VLOOKUP($B101,FoodDB!$A$2:$I$1018,8,0)</f>
        <v>10.285714285714286</v>
      </c>
      <c r="J101">
        <f>$C101*VLOOKUP($B101,FoodDB!$A$2:$I$1018,9,0)</f>
        <v>30.857142857142861</v>
      </c>
    </row>
    <row r="102" spans="1:23" x14ac:dyDescent="0.25">
      <c r="B102" s="99" t="s">
        <v>124</v>
      </c>
      <c r="C102" s="100">
        <v>2</v>
      </c>
      <c r="D102">
        <f>$C102*VLOOKUP($B102,FoodDB!$A$2:$I$1018,3,0)</f>
        <v>1</v>
      </c>
      <c r="E102">
        <f>$C102*VLOOKUP($B102,FoodDB!$A$2:$I$1018,4,0)</f>
        <v>4</v>
      </c>
      <c r="F102">
        <f>$C102*VLOOKUP($B102,FoodDB!$A$2:$I$1018,5,0)</f>
        <v>20</v>
      </c>
      <c r="G102">
        <f>$C102*VLOOKUP($B102,FoodDB!$A$2:$I$1018,6,0)</f>
        <v>9</v>
      </c>
      <c r="H102">
        <f>$C102*VLOOKUP($B102,FoodDB!$A$2:$I$1018,7,0)</f>
        <v>16</v>
      </c>
      <c r="I102">
        <f>$C102*VLOOKUP($B102,FoodDB!$A$2:$I$1018,8,0)</f>
        <v>80</v>
      </c>
      <c r="J102">
        <f>$C102*VLOOKUP($B102,FoodDB!$A$2:$I$1018,9,0)</f>
        <v>105</v>
      </c>
    </row>
    <row r="103" spans="1:23" x14ac:dyDescent="0.25">
      <c r="B103" s="99" t="s">
        <v>108</v>
      </c>
      <c r="C103" s="100">
        <v>0</v>
      </c>
      <c r="D103">
        <f>$C103*VLOOKUP($B103,FoodDB!$A$2:$I$1018,3,0)</f>
        <v>0</v>
      </c>
      <c r="E103">
        <f>$C103*VLOOKUP($B103,FoodDB!$A$2:$I$1018,4,0)</f>
        <v>0</v>
      </c>
      <c r="F103">
        <f>$C103*VLOOKUP($B103,FoodDB!$A$2:$I$1018,5,0)</f>
        <v>0</v>
      </c>
      <c r="G103">
        <f>$C103*VLOOKUP($B103,FoodDB!$A$2:$I$1018,6,0)</f>
        <v>0</v>
      </c>
      <c r="H103">
        <f>$C103*VLOOKUP($B103,FoodDB!$A$2:$I$1018,7,0)</f>
        <v>0</v>
      </c>
      <c r="I103">
        <f>$C103*VLOOKUP($B103,FoodDB!$A$2:$I$1018,8,0)</f>
        <v>0</v>
      </c>
      <c r="J103">
        <f>$C103*VLOOKUP($B103,FoodDB!$A$2:$I$1018,9,0)</f>
        <v>0</v>
      </c>
    </row>
    <row r="104" spans="1:23" x14ac:dyDescent="0.25">
      <c r="A104" t="s">
        <v>98</v>
      </c>
      <c r="G104">
        <f>SUM(G97:G103)</f>
        <v>402.12</v>
      </c>
      <c r="H104">
        <f>SUM(H97:H103)</f>
        <v>80.571428571428569</v>
      </c>
      <c r="I104">
        <f>SUM(I97:I103)</f>
        <v>455.40571428571428</v>
      </c>
      <c r="J104">
        <f>SUM(G104:I104)</f>
        <v>938.0971428571429</v>
      </c>
    </row>
    <row r="105" spans="1:23" x14ac:dyDescent="0.25">
      <c r="A105" t="s">
        <v>102</v>
      </c>
      <c r="B105" t="s">
        <v>103</v>
      </c>
      <c r="E105" s="103"/>
      <c r="F105" s="103"/>
      <c r="G105" s="103">
        <f>VLOOKUP($A97,LossChart!$A$3:$AB$105,14,0)</f>
        <v>374.28376393587223</v>
      </c>
      <c r="H105" s="103">
        <f>VLOOKUP($A97,LossChart!$A$3:$AB$105,15,0)</f>
        <v>80</v>
      </c>
      <c r="I105" s="103">
        <f>VLOOKUP($A97,LossChart!$A$3:$AB$105,16,0)</f>
        <v>477.30407413615825</v>
      </c>
      <c r="J105" s="103">
        <f>VLOOKUP($A97,LossChart!$A$3:$AB$105,17,0)</f>
        <v>931.58783807203054</v>
      </c>
      <c r="K105" s="103"/>
    </row>
    <row r="106" spans="1:23" x14ac:dyDescent="0.25">
      <c r="A106" t="s">
        <v>104</v>
      </c>
      <c r="G106">
        <f>G105-G104</f>
        <v>-27.836236064127775</v>
      </c>
      <c r="H106">
        <f>H105-H104</f>
        <v>-0.5714285714285694</v>
      </c>
      <c r="I106">
        <f>I105-I104</f>
        <v>21.898359850443967</v>
      </c>
      <c r="J106">
        <f>J105-J104</f>
        <v>-6.5093047851123629</v>
      </c>
    </row>
    <row r="108" spans="1:23" ht="60" x14ac:dyDescent="0.25">
      <c r="A108" s="26" t="s">
        <v>63</v>
      </c>
      <c r="B108" s="26" t="s">
        <v>93</v>
      </c>
      <c r="C108" s="26" t="s">
        <v>94</v>
      </c>
      <c r="D108" s="97" t="str">
        <f>FoodDB!$C$1</f>
        <v>Fat
(g)</v>
      </c>
      <c r="E108" s="97" t="str">
        <f>FoodDB!$D$1</f>
        <v xml:space="preserve"> Carbs
(g)</v>
      </c>
      <c r="F108" s="97" t="str">
        <f>FoodDB!$E$1</f>
        <v>Protein
(g)</v>
      </c>
      <c r="G108" s="97" t="str">
        <f>FoodDB!$F$1</f>
        <v>Fat
(Cal)</v>
      </c>
      <c r="H108" s="97" t="str">
        <f>FoodDB!$G$1</f>
        <v>Carb
(Cal)</v>
      </c>
      <c r="I108" s="97" t="str">
        <f>FoodDB!$H$1</f>
        <v>Protein
(Cal)</v>
      </c>
      <c r="J108" s="97" t="str">
        <f>FoodDB!$I$1</f>
        <v>Total
Calories</v>
      </c>
      <c r="K108" s="97"/>
      <c r="L108" s="97" t="s">
        <v>110</v>
      </c>
      <c r="M108" s="97" t="s">
        <v>111</v>
      </c>
      <c r="N108" s="97" t="s">
        <v>112</v>
      </c>
      <c r="O108" s="97" t="s">
        <v>113</v>
      </c>
      <c r="P108" s="97" t="s">
        <v>118</v>
      </c>
      <c r="Q108" s="97" t="s">
        <v>119</v>
      </c>
      <c r="R108" s="97" t="s">
        <v>120</v>
      </c>
      <c r="S108" s="97" t="s">
        <v>121</v>
      </c>
      <c r="T108" s="97"/>
      <c r="U108" s="97"/>
      <c r="V108" s="97"/>
      <c r="W108" s="97"/>
    </row>
    <row r="109" spans="1:23" x14ac:dyDescent="0.25">
      <c r="A109" s="98">
        <f>A97+1</f>
        <v>43003</v>
      </c>
      <c r="B109" s="99" t="s">
        <v>95</v>
      </c>
      <c r="C109" s="100">
        <v>1</v>
      </c>
      <c r="D109">
        <f>$C109*VLOOKUP($B109,FoodDB!$A$2:$I$1018,3,0)</f>
        <v>0.5</v>
      </c>
      <c r="E109">
        <f>$C109*VLOOKUP($B109,FoodDB!$A$2:$I$1018,4,0)</f>
        <v>0</v>
      </c>
      <c r="F109">
        <f>$C109*VLOOKUP($B109,FoodDB!$A$2:$I$1018,5,0)</f>
        <v>50</v>
      </c>
      <c r="G109">
        <f>$C109*VLOOKUP($B109,FoodDB!$A$2:$I$1018,6,0)</f>
        <v>4.5</v>
      </c>
      <c r="H109">
        <f>$C109*VLOOKUP($B109,FoodDB!$A$2:$I$1018,7,0)</f>
        <v>0</v>
      </c>
      <c r="I109">
        <f>$C109*VLOOKUP($B109,FoodDB!$A$2:$I$1018,8,0)</f>
        <v>200</v>
      </c>
      <c r="J109">
        <f>$C109*VLOOKUP($B109,FoodDB!$A$2:$I$1018,9,0)</f>
        <v>204.5</v>
      </c>
      <c r="L109">
        <f>SUM(G109:G115)</f>
        <v>462.59999999999997</v>
      </c>
      <c r="M109">
        <f>SUM(H109:H115)</f>
        <v>52.571428571428569</v>
      </c>
      <c r="N109">
        <f>SUM(I109:I115)</f>
        <v>498.28571428571428</v>
      </c>
      <c r="O109">
        <f>SUM(L109:N109)</f>
        <v>1013.4571428571428</v>
      </c>
      <c r="P109" s="103">
        <f>VLOOKUP($A109,LossChart!$A$3:$AB$105,14,0)-L109</f>
        <v>-80.163385663969677</v>
      </c>
      <c r="Q109" s="103">
        <f>VLOOKUP($A109,LossChart!$A$3:$AB$105,15,0)-M109</f>
        <v>27.428571428571431</v>
      </c>
      <c r="R109" s="103">
        <f>VLOOKUP($A109,LossChart!$A$3:$AB$105,16,0)-N109</f>
        <v>-20.981640149556029</v>
      </c>
      <c r="S109" s="103">
        <f>VLOOKUP($A109,LossChart!$A$3:$AB$105,17,0)-O109</f>
        <v>-73.716454384954204</v>
      </c>
      <c r="T109" s="103"/>
      <c r="U109" s="103"/>
      <c r="V109" s="103"/>
      <c r="W109" s="103"/>
    </row>
    <row r="110" spans="1:23" x14ac:dyDescent="0.25">
      <c r="B110" s="99" t="s">
        <v>99</v>
      </c>
      <c r="C110" s="100">
        <v>5</v>
      </c>
      <c r="D110">
        <f>$C110*VLOOKUP($B110,FoodDB!$A$2:$I$1018,3,0)</f>
        <v>30.9</v>
      </c>
      <c r="E110">
        <f>$C110*VLOOKUP($B110,FoodDB!$A$2:$I$1018,4,0)</f>
        <v>0</v>
      </c>
      <c r="F110">
        <f>$C110*VLOOKUP($B110,FoodDB!$A$2:$I$1018,5,0)</f>
        <v>42.599999999999994</v>
      </c>
      <c r="G110">
        <f>$C110*VLOOKUP($B110,FoodDB!$A$2:$I$1018,6,0)</f>
        <v>278.09999999999997</v>
      </c>
      <c r="H110">
        <f>$C110*VLOOKUP($B110,FoodDB!$A$2:$I$1018,7,0)</f>
        <v>0</v>
      </c>
      <c r="I110">
        <f>$C110*VLOOKUP($B110,FoodDB!$A$2:$I$1018,8,0)</f>
        <v>170.39999999999998</v>
      </c>
      <c r="J110">
        <f>$C110*VLOOKUP($B110,FoodDB!$A$2:$I$1018,9,0)</f>
        <v>448.49999999999994</v>
      </c>
    </row>
    <row r="111" spans="1:23" x14ac:dyDescent="0.25">
      <c r="B111" s="99" t="s">
        <v>107</v>
      </c>
      <c r="C111" s="100">
        <v>2</v>
      </c>
      <c r="D111">
        <f>$C111*VLOOKUP($B111,FoodDB!$A$2:$I$1018,3,0)</f>
        <v>1</v>
      </c>
      <c r="E111">
        <f>$C111*VLOOKUP($B111,FoodDB!$A$2:$I$1018,4,0)</f>
        <v>0</v>
      </c>
      <c r="F111">
        <f>$C111*VLOOKUP($B111,FoodDB!$A$2:$I$1018,5,0)</f>
        <v>0</v>
      </c>
      <c r="G111">
        <f>$C111*VLOOKUP($B111,FoodDB!$A$2:$I$1018,6,0)</f>
        <v>9</v>
      </c>
      <c r="H111">
        <f>$C111*VLOOKUP($B111,FoodDB!$A$2:$I$1018,7,0)</f>
        <v>0</v>
      </c>
      <c r="I111">
        <f>$C111*VLOOKUP($B111,FoodDB!$A$2:$I$1018,8,0)</f>
        <v>0</v>
      </c>
      <c r="J111">
        <f>$C111*VLOOKUP($B111,FoodDB!$A$2:$I$1018,9,0)</f>
        <v>9</v>
      </c>
    </row>
    <row r="112" spans="1:23" x14ac:dyDescent="0.25">
      <c r="B112" s="99" t="s">
        <v>124</v>
      </c>
      <c r="C112" s="100">
        <v>2</v>
      </c>
      <c r="D112">
        <f>$C112*VLOOKUP($B112,FoodDB!$A$2:$I$1018,3,0)</f>
        <v>1</v>
      </c>
      <c r="E112">
        <f>$C112*VLOOKUP($B112,FoodDB!$A$2:$I$1018,4,0)</f>
        <v>4</v>
      </c>
      <c r="F112">
        <f>$C112*VLOOKUP($B112,FoodDB!$A$2:$I$1018,5,0)</f>
        <v>20</v>
      </c>
      <c r="G112">
        <f>$C112*VLOOKUP($B112,FoodDB!$A$2:$I$1018,6,0)</f>
        <v>9</v>
      </c>
      <c r="H112">
        <f>$C112*VLOOKUP($B112,FoodDB!$A$2:$I$1018,7,0)</f>
        <v>16</v>
      </c>
      <c r="I112">
        <f>$C112*VLOOKUP($B112,FoodDB!$A$2:$I$1018,8,0)</f>
        <v>80</v>
      </c>
      <c r="J112">
        <f>$C112*VLOOKUP($B112,FoodDB!$A$2:$I$1018,9,0)</f>
        <v>105</v>
      </c>
    </row>
    <row r="113" spans="1:19" x14ac:dyDescent="0.25">
      <c r="B113" s="99" t="s">
        <v>96</v>
      </c>
      <c r="C113" s="100">
        <v>8</v>
      </c>
      <c r="D113">
        <f>$C113*VLOOKUP($B113,FoodDB!$A$2:$I$1018,3,0)</f>
        <v>0</v>
      </c>
      <c r="E113">
        <f>$C113*VLOOKUP($B113,FoodDB!$A$2:$I$1018,4,0)</f>
        <v>5.1428571428571432</v>
      </c>
      <c r="F113">
        <f>$C113*VLOOKUP($B113,FoodDB!$A$2:$I$1018,5,0)</f>
        <v>2.5714285714285716</v>
      </c>
      <c r="G113">
        <f>$C113*VLOOKUP($B113,FoodDB!$A$2:$I$1018,6,0)</f>
        <v>0</v>
      </c>
      <c r="H113">
        <f>$C113*VLOOKUP($B113,FoodDB!$A$2:$I$1018,7,0)</f>
        <v>20.571428571428573</v>
      </c>
      <c r="I113">
        <f>$C113*VLOOKUP($B113,FoodDB!$A$2:$I$1018,8,0)</f>
        <v>10.285714285714286</v>
      </c>
      <c r="J113">
        <f>$C113*VLOOKUP($B113,FoodDB!$A$2:$I$1018,9,0)</f>
        <v>30.857142857142861</v>
      </c>
    </row>
    <row r="114" spans="1:19" x14ac:dyDescent="0.25">
      <c r="B114" s="99" t="s">
        <v>97</v>
      </c>
      <c r="C114" s="100">
        <v>2</v>
      </c>
      <c r="D114">
        <f>$C114*VLOOKUP($B114,FoodDB!$A$2:$I$1018,3,0)</f>
        <v>18</v>
      </c>
      <c r="E114">
        <f>$C114*VLOOKUP($B114,FoodDB!$A$2:$I$1018,4,0)</f>
        <v>4</v>
      </c>
      <c r="F114">
        <f>$C114*VLOOKUP($B114,FoodDB!$A$2:$I$1018,5,0)</f>
        <v>9.4</v>
      </c>
      <c r="G114">
        <f>$C114*VLOOKUP($B114,FoodDB!$A$2:$I$1018,6,0)</f>
        <v>162</v>
      </c>
      <c r="H114">
        <f>$C114*VLOOKUP($B114,FoodDB!$A$2:$I$1018,7,0)</f>
        <v>16</v>
      </c>
      <c r="I114">
        <f>$C114*VLOOKUP($B114,FoodDB!$A$2:$I$1018,8,0)</f>
        <v>37.6</v>
      </c>
      <c r="J114">
        <f>$C114*VLOOKUP($B114,FoodDB!$A$2:$I$1018,9,0)</f>
        <v>215.6</v>
      </c>
    </row>
    <row r="115" spans="1:19" x14ac:dyDescent="0.25">
      <c r="B115" s="99" t="s">
        <v>108</v>
      </c>
      <c r="C115" s="100">
        <v>0</v>
      </c>
      <c r="D115">
        <f>$C115*VLOOKUP($B115,FoodDB!$A$2:$I$1018,3,0)</f>
        <v>0</v>
      </c>
      <c r="E115">
        <f>$C115*VLOOKUP($B115,FoodDB!$A$2:$I$1018,4,0)</f>
        <v>0</v>
      </c>
      <c r="F115">
        <f>$C115*VLOOKUP($B115,FoodDB!$A$2:$I$1018,5,0)</f>
        <v>0</v>
      </c>
      <c r="G115">
        <f>$C115*VLOOKUP($B115,FoodDB!$A$2:$I$1018,6,0)</f>
        <v>0</v>
      </c>
      <c r="H115">
        <f>$C115*VLOOKUP($B115,FoodDB!$A$2:$I$1018,7,0)</f>
        <v>0</v>
      </c>
      <c r="I115">
        <f>$C115*VLOOKUP($B115,FoodDB!$A$2:$I$1018,8,0)</f>
        <v>0</v>
      </c>
      <c r="J115">
        <f>$C115*VLOOKUP($B115,FoodDB!$A$2:$I$1018,9,0)</f>
        <v>0</v>
      </c>
    </row>
    <row r="116" spans="1:19" x14ac:dyDescent="0.25">
      <c r="A116" t="s">
        <v>98</v>
      </c>
      <c r="G116">
        <f>SUM(G109:G115)</f>
        <v>462.59999999999997</v>
      </c>
      <c r="H116">
        <f>SUM(H109:H115)</f>
        <v>52.571428571428569</v>
      </c>
      <c r="I116">
        <f>SUM(I109:I115)</f>
        <v>498.28571428571428</v>
      </c>
      <c r="J116">
        <f>SUM(G116:I116)</f>
        <v>1013.4571428571428</v>
      </c>
    </row>
    <row r="117" spans="1:19" x14ac:dyDescent="0.25">
      <c r="A117" t="s">
        <v>102</v>
      </c>
      <c r="B117" t="s">
        <v>103</v>
      </c>
      <c r="E117" s="103"/>
      <c r="F117" s="103"/>
      <c r="G117" s="103">
        <f>VLOOKUP($A109,LossChart!$A$3:$AB$105,14,0)</f>
        <v>382.43661433603029</v>
      </c>
      <c r="H117" s="103">
        <f>VLOOKUP($A109,LossChart!$A$3:$AB$105,15,0)</f>
        <v>80</v>
      </c>
      <c r="I117" s="103">
        <f>VLOOKUP($A109,LossChart!$A$3:$AB$105,16,0)</f>
        <v>477.30407413615825</v>
      </c>
      <c r="J117" s="103">
        <f>VLOOKUP($A109,LossChart!$A$3:$AB$105,17,0)</f>
        <v>939.74068847218859</v>
      </c>
      <c r="K117" s="103"/>
    </row>
    <row r="118" spans="1:19" x14ac:dyDescent="0.25">
      <c r="A118" t="s">
        <v>104</v>
      </c>
      <c r="G118">
        <f>G117-G116</f>
        <v>-80.163385663969677</v>
      </c>
      <c r="H118">
        <f>H117-H116</f>
        <v>27.428571428571431</v>
      </c>
      <c r="I118">
        <f>I117-I116</f>
        <v>-20.981640149556029</v>
      </c>
      <c r="J118">
        <f>J117-J116</f>
        <v>-73.716454384954204</v>
      </c>
    </row>
    <row r="120" spans="1:19" ht="60" x14ac:dyDescent="0.25">
      <c r="A120" s="26" t="s">
        <v>63</v>
      </c>
      <c r="B120" s="26" t="s">
        <v>93</v>
      </c>
      <c r="C120" s="26" t="s">
        <v>94</v>
      </c>
      <c r="D120" s="97" t="str">
        <f>FoodDB!$C$1</f>
        <v>Fat
(g)</v>
      </c>
      <c r="E120" s="97" t="str">
        <f>FoodDB!$D$1</f>
        <v xml:space="preserve"> Carbs
(g)</v>
      </c>
      <c r="F120" s="97" t="str">
        <f>FoodDB!$E$1</f>
        <v>Protein
(g)</v>
      </c>
      <c r="G120" s="97" t="str">
        <f>FoodDB!$F$1</f>
        <v>Fat
(Cal)</v>
      </c>
      <c r="H120" s="97" t="str">
        <f>FoodDB!$G$1</f>
        <v>Carb
(Cal)</v>
      </c>
      <c r="I120" s="97" t="str">
        <f>FoodDB!$H$1</f>
        <v>Protein
(Cal)</v>
      </c>
      <c r="J120" s="97" t="str">
        <f>FoodDB!$I$1</f>
        <v>Total
Calories</v>
      </c>
      <c r="K120" s="97"/>
      <c r="L120" s="97" t="s">
        <v>110</v>
      </c>
      <c r="M120" s="97" t="s">
        <v>111</v>
      </c>
      <c r="N120" s="97" t="s">
        <v>112</v>
      </c>
      <c r="O120" s="97" t="s">
        <v>113</v>
      </c>
      <c r="P120" s="97" t="s">
        <v>118</v>
      </c>
      <c r="Q120" s="97" t="s">
        <v>119</v>
      </c>
      <c r="R120" s="97" t="s">
        <v>120</v>
      </c>
      <c r="S120" s="97" t="s">
        <v>121</v>
      </c>
    </row>
    <row r="121" spans="1:19" x14ac:dyDescent="0.25">
      <c r="A121" s="98">
        <f>A109+1</f>
        <v>43004</v>
      </c>
      <c r="B121" s="99" t="s">
        <v>125</v>
      </c>
      <c r="C121" s="100">
        <v>2</v>
      </c>
      <c r="D121">
        <f>$C121*VLOOKUP($B121,FoodDB!$A$2:$I$1018,3,0)</f>
        <v>3</v>
      </c>
      <c r="E121">
        <f>$C121*VLOOKUP($B121,FoodDB!$A$2:$I$1018,4,0)</f>
        <v>6</v>
      </c>
      <c r="F121">
        <f>$C121*VLOOKUP($B121,FoodDB!$A$2:$I$1018,5,0)</f>
        <v>50</v>
      </c>
      <c r="G121">
        <f>$C121*VLOOKUP($B121,FoodDB!$A$2:$I$1018,6,0)</f>
        <v>27</v>
      </c>
      <c r="H121">
        <f>$C121*VLOOKUP($B121,FoodDB!$A$2:$I$1018,7,0)</f>
        <v>24</v>
      </c>
      <c r="I121">
        <f>$C121*VLOOKUP($B121,FoodDB!$A$2:$I$1018,8,0)</f>
        <v>200</v>
      </c>
      <c r="J121">
        <f>$C121*VLOOKUP($B121,FoodDB!$A$2:$I$1018,9,0)</f>
        <v>251</v>
      </c>
      <c r="L121">
        <f>SUM(G121:G127)</f>
        <v>469.34999999999997</v>
      </c>
      <c r="M121">
        <f>SUM(H121:H127)</f>
        <v>60.571428571428569</v>
      </c>
      <c r="N121">
        <f>SUM(I121:I127)</f>
        <v>518.28571428571422</v>
      </c>
      <c r="O121">
        <f>SUM(L121:N121)</f>
        <v>1048.2071428571428</v>
      </c>
      <c r="P121" s="103">
        <f>VLOOKUP($A121,LossChart!$A$3:$AB$105,14,0)-L121</f>
        <v>-79.189078475006966</v>
      </c>
      <c r="Q121" s="103">
        <f>VLOOKUP($A121,LossChart!$A$3:$AB$105,15,0)-M121</f>
        <v>19.428571428571431</v>
      </c>
      <c r="R121" s="103">
        <f>VLOOKUP($A121,LossChart!$A$3:$AB$105,16,0)-N121</f>
        <v>-40.981640149555972</v>
      </c>
      <c r="S121" s="103">
        <f>VLOOKUP($A121,LossChart!$A$3:$AB$105,17,0)-O121</f>
        <v>-100.74214719599149</v>
      </c>
    </row>
    <row r="122" spans="1:19" x14ac:dyDescent="0.25">
      <c r="B122" s="99" t="s">
        <v>95</v>
      </c>
      <c r="C122" s="100">
        <v>0.5</v>
      </c>
      <c r="D122">
        <f>$C122*VLOOKUP($B122,FoodDB!$A$2:$I$1018,3,0)</f>
        <v>0.25</v>
      </c>
      <c r="E122">
        <f>$C122*VLOOKUP($B122,FoodDB!$A$2:$I$1018,4,0)</f>
        <v>0</v>
      </c>
      <c r="F122">
        <f>$C122*VLOOKUP($B122,FoodDB!$A$2:$I$1018,5,0)</f>
        <v>25</v>
      </c>
      <c r="G122">
        <f>$C122*VLOOKUP($B122,FoodDB!$A$2:$I$1018,6,0)</f>
        <v>2.25</v>
      </c>
      <c r="H122">
        <f>$C122*VLOOKUP($B122,FoodDB!$A$2:$I$1018,7,0)</f>
        <v>0</v>
      </c>
      <c r="I122">
        <f>$C122*VLOOKUP($B122,FoodDB!$A$2:$I$1018,8,0)</f>
        <v>100</v>
      </c>
      <c r="J122">
        <f>$C122*VLOOKUP($B122,FoodDB!$A$2:$I$1018,9,0)</f>
        <v>102.25</v>
      </c>
    </row>
    <row r="123" spans="1:19" x14ac:dyDescent="0.25">
      <c r="B123" s="99" t="s">
        <v>99</v>
      </c>
      <c r="C123" s="100">
        <v>5</v>
      </c>
      <c r="D123">
        <f>$C123*VLOOKUP($B123,FoodDB!$A$2:$I$1018,3,0)</f>
        <v>30.9</v>
      </c>
      <c r="E123">
        <f>$C123*VLOOKUP($B123,FoodDB!$A$2:$I$1018,4,0)</f>
        <v>0</v>
      </c>
      <c r="F123">
        <f>$C123*VLOOKUP($B123,FoodDB!$A$2:$I$1018,5,0)</f>
        <v>42.599999999999994</v>
      </c>
      <c r="G123">
        <f>$C123*VLOOKUP($B123,FoodDB!$A$2:$I$1018,6,0)</f>
        <v>278.09999999999997</v>
      </c>
      <c r="H123">
        <f>$C123*VLOOKUP($B123,FoodDB!$A$2:$I$1018,7,0)</f>
        <v>0</v>
      </c>
      <c r="I123">
        <f>$C123*VLOOKUP($B123,FoodDB!$A$2:$I$1018,8,0)</f>
        <v>170.39999999999998</v>
      </c>
      <c r="J123">
        <f>$C123*VLOOKUP($B123,FoodDB!$A$2:$I$1018,9,0)</f>
        <v>448.49999999999994</v>
      </c>
    </row>
    <row r="124" spans="1:19" x14ac:dyDescent="0.25">
      <c r="B124" s="99" t="s">
        <v>96</v>
      </c>
      <c r="C124" s="100">
        <v>8</v>
      </c>
      <c r="D124">
        <f>$C124*VLOOKUP($B124,FoodDB!$A$2:$I$1018,3,0)</f>
        <v>0</v>
      </c>
      <c r="E124">
        <f>$C124*VLOOKUP($B124,FoodDB!$A$2:$I$1018,4,0)</f>
        <v>5.1428571428571432</v>
      </c>
      <c r="F124">
        <f>$C124*VLOOKUP($B124,FoodDB!$A$2:$I$1018,5,0)</f>
        <v>2.5714285714285716</v>
      </c>
      <c r="G124">
        <f>$C124*VLOOKUP($B124,FoodDB!$A$2:$I$1018,6,0)</f>
        <v>0</v>
      </c>
      <c r="H124">
        <f>$C124*VLOOKUP($B124,FoodDB!$A$2:$I$1018,7,0)</f>
        <v>20.571428571428573</v>
      </c>
      <c r="I124">
        <f>$C124*VLOOKUP($B124,FoodDB!$A$2:$I$1018,8,0)</f>
        <v>10.285714285714286</v>
      </c>
      <c r="J124">
        <f>$C124*VLOOKUP($B124,FoodDB!$A$2:$I$1018,9,0)</f>
        <v>30.857142857142861</v>
      </c>
    </row>
    <row r="125" spans="1:19" x14ac:dyDescent="0.25">
      <c r="B125" s="99" t="s">
        <v>97</v>
      </c>
      <c r="C125" s="100">
        <v>2</v>
      </c>
      <c r="D125">
        <f>$C125*VLOOKUP($B125,FoodDB!$A$2:$I$1018,3,0)</f>
        <v>18</v>
      </c>
      <c r="E125">
        <f>$C125*VLOOKUP($B125,FoodDB!$A$2:$I$1018,4,0)</f>
        <v>4</v>
      </c>
      <c r="F125">
        <f>$C125*VLOOKUP($B125,FoodDB!$A$2:$I$1018,5,0)</f>
        <v>9.4</v>
      </c>
      <c r="G125">
        <f>$C125*VLOOKUP($B125,FoodDB!$A$2:$I$1018,6,0)</f>
        <v>162</v>
      </c>
      <c r="H125">
        <f>$C125*VLOOKUP($B125,FoodDB!$A$2:$I$1018,7,0)</f>
        <v>16</v>
      </c>
      <c r="I125">
        <f>$C125*VLOOKUP($B125,FoodDB!$A$2:$I$1018,8,0)</f>
        <v>37.6</v>
      </c>
      <c r="J125">
        <f>$C125*VLOOKUP($B125,FoodDB!$A$2:$I$1018,9,0)</f>
        <v>215.6</v>
      </c>
    </row>
    <row r="126" spans="1:19" x14ac:dyDescent="0.25">
      <c r="B126" s="99" t="s">
        <v>108</v>
      </c>
      <c r="C126" s="100">
        <v>0</v>
      </c>
      <c r="D126">
        <f>$C126*VLOOKUP($B126,FoodDB!$A$2:$I$1018,3,0)</f>
        <v>0</v>
      </c>
      <c r="E126">
        <f>$C126*VLOOKUP($B126,FoodDB!$A$2:$I$1018,4,0)</f>
        <v>0</v>
      </c>
      <c r="F126">
        <f>$C126*VLOOKUP($B126,FoodDB!$A$2:$I$1018,5,0)</f>
        <v>0</v>
      </c>
      <c r="G126">
        <f>$C126*VLOOKUP($B126,FoodDB!$A$2:$I$1018,6,0)</f>
        <v>0</v>
      </c>
      <c r="H126">
        <f>$C126*VLOOKUP($B126,FoodDB!$A$2:$I$1018,7,0)</f>
        <v>0</v>
      </c>
      <c r="I126">
        <f>$C126*VLOOKUP($B126,FoodDB!$A$2:$I$1018,8,0)</f>
        <v>0</v>
      </c>
      <c r="J126">
        <f>$C126*VLOOKUP($B126,FoodDB!$A$2:$I$1018,9,0)</f>
        <v>0</v>
      </c>
    </row>
    <row r="127" spans="1:19" x14ac:dyDescent="0.25">
      <c r="B127" s="99" t="s">
        <v>108</v>
      </c>
      <c r="C127" s="100">
        <v>0</v>
      </c>
      <c r="D127">
        <f>$C127*VLOOKUP($B127,FoodDB!$A$2:$I$1018,3,0)</f>
        <v>0</v>
      </c>
      <c r="E127">
        <f>$C127*VLOOKUP($B127,FoodDB!$A$2:$I$1018,4,0)</f>
        <v>0</v>
      </c>
      <c r="F127">
        <f>$C127*VLOOKUP($B127,FoodDB!$A$2:$I$1018,5,0)</f>
        <v>0</v>
      </c>
      <c r="G127">
        <f>$C127*VLOOKUP($B127,FoodDB!$A$2:$I$1018,6,0)</f>
        <v>0</v>
      </c>
      <c r="H127">
        <f>$C127*VLOOKUP($B127,FoodDB!$A$2:$I$1018,7,0)</f>
        <v>0</v>
      </c>
      <c r="I127">
        <f>$C127*VLOOKUP($B127,FoodDB!$A$2:$I$1018,8,0)</f>
        <v>0</v>
      </c>
      <c r="J127">
        <f>$C127*VLOOKUP($B127,FoodDB!$A$2:$I$1018,9,0)</f>
        <v>0</v>
      </c>
    </row>
    <row r="129" spans="1:23" ht="60" x14ac:dyDescent="0.25">
      <c r="A129" s="26" t="s">
        <v>63</v>
      </c>
      <c r="B129" s="26" t="s">
        <v>93</v>
      </c>
      <c r="C129" s="26" t="s">
        <v>94</v>
      </c>
      <c r="D129" s="97" t="str">
        <f>FoodDB!$C$1</f>
        <v>Fat
(g)</v>
      </c>
      <c r="E129" s="97" t="str">
        <f>FoodDB!$D$1</f>
        <v xml:space="preserve"> Carbs
(g)</v>
      </c>
      <c r="F129" s="97" t="str">
        <f>FoodDB!$E$1</f>
        <v>Protein
(g)</v>
      </c>
      <c r="G129" s="97" t="str">
        <f>FoodDB!$F$1</f>
        <v>Fat
(Cal)</v>
      </c>
      <c r="H129" s="97" t="str">
        <f>FoodDB!$G$1</f>
        <v>Carb
(Cal)</v>
      </c>
      <c r="I129" s="97" t="str">
        <f>FoodDB!$H$1</f>
        <v>Protein
(Cal)</v>
      </c>
      <c r="J129" s="97" t="str">
        <f>FoodDB!$I$1</f>
        <v>Total
Calories</v>
      </c>
      <c r="K129" s="97"/>
      <c r="L129" s="97" t="s">
        <v>110</v>
      </c>
      <c r="M129" s="97" t="s">
        <v>111</v>
      </c>
      <c r="N129" s="97" t="s">
        <v>112</v>
      </c>
      <c r="O129" s="97" t="s">
        <v>113</v>
      </c>
      <c r="P129" s="97" t="s">
        <v>118</v>
      </c>
      <c r="Q129" s="97" t="s">
        <v>119</v>
      </c>
      <c r="R129" s="97" t="s">
        <v>120</v>
      </c>
      <c r="S129" s="97" t="s">
        <v>121</v>
      </c>
      <c r="T129" s="97"/>
      <c r="U129" s="97"/>
      <c r="V129" s="97"/>
      <c r="W129" s="97"/>
    </row>
    <row r="130" spans="1:23" x14ac:dyDescent="0.25">
      <c r="A130" s="98">
        <f>A121+1</f>
        <v>43005</v>
      </c>
      <c r="B130" s="99" t="s">
        <v>125</v>
      </c>
      <c r="C130" s="100">
        <v>1</v>
      </c>
      <c r="D130">
        <f>$C130*VLOOKUP($B130,FoodDB!$A$2:$I$1018,3,0)</f>
        <v>1.5</v>
      </c>
      <c r="E130">
        <f>$C130*VLOOKUP($B130,FoodDB!$A$2:$I$1018,4,0)</f>
        <v>3</v>
      </c>
      <c r="F130">
        <f>$C130*VLOOKUP($B130,FoodDB!$A$2:$I$1018,5,0)</f>
        <v>25</v>
      </c>
      <c r="G130">
        <f>$C130*VLOOKUP($B130,FoodDB!$A$2:$I$1018,6,0)</f>
        <v>13.5</v>
      </c>
      <c r="H130">
        <f>$C130*VLOOKUP($B130,FoodDB!$A$2:$I$1018,7,0)</f>
        <v>12</v>
      </c>
      <c r="I130">
        <f>$C130*VLOOKUP($B130,FoodDB!$A$2:$I$1018,8,0)</f>
        <v>100</v>
      </c>
      <c r="J130">
        <f>$C130*VLOOKUP($B130,FoodDB!$A$2:$I$1018,9,0)</f>
        <v>125.5</v>
      </c>
      <c r="L130">
        <f>SUM(G130:G136)</f>
        <v>452.07</v>
      </c>
      <c r="M130">
        <f>SUM(H130:H136)</f>
        <v>20</v>
      </c>
      <c r="N130">
        <f>SUM(I130:I136)</f>
        <v>525.6</v>
      </c>
      <c r="O130">
        <f>SUM(L130:N130)</f>
        <v>997.67000000000007</v>
      </c>
      <c r="P130" s="103">
        <f>VLOOKUP($A130,LossChart!$A$3:$AB$105,14,0)-L130</f>
        <v>-54.396476778783892</v>
      </c>
      <c r="Q130" s="103">
        <f>VLOOKUP($A130,LossChart!$A$3:$AB$105,15,0)-M130</f>
        <v>60</v>
      </c>
      <c r="R130" s="103">
        <f>VLOOKUP($A130,LossChart!$A$3:$AB$105,16,0)-N130</f>
        <v>-48.295925863841774</v>
      </c>
      <c r="S130" s="103">
        <f>VLOOKUP($A130,LossChart!$A$3:$AB$105,17,0)-O130</f>
        <v>-42.692402642625666</v>
      </c>
      <c r="T130" s="103"/>
      <c r="U130" s="103"/>
      <c r="V130" s="103"/>
      <c r="W130" s="103"/>
    </row>
    <row r="131" spans="1:23" x14ac:dyDescent="0.25">
      <c r="B131" s="99" t="s">
        <v>95</v>
      </c>
      <c r="C131" s="100">
        <v>0.5</v>
      </c>
      <c r="D131">
        <f>$C131*VLOOKUP($B131,FoodDB!$A$2:$I$1018,3,0)</f>
        <v>0.25</v>
      </c>
      <c r="E131">
        <f>$C131*VLOOKUP($B131,FoodDB!$A$2:$I$1018,4,0)</f>
        <v>0</v>
      </c>
      <c r="F131">
        <f>$C131*VLOOKUP($B131,FoodDB!$A$2:$I$1018,5,0)</f>
        <v>25</v>
      </c>
      <c r="G131">
        <f>$C131*VLOOKUP($B131,FoodDB!$A$2:$I$1018,6,0)</f>
        <v>2.25</v>
      </c>
      <c r="H131">
        <f>$C131*VLOOKUP($B131,FoodDB!$A$2:$I$1018,7,0)</f>
        <v>0</v>
      </c>
      <c r="I131">
        <f>$C131*VLOOKUP($B131,FoodDB!$A$2:$I$1018,8,0)</f>
        <v>100</v>
      </c>
      <c r="J131">
        <f>$C131*VLOOKUP($B131,FoodDB!$A$2:$I$1018,9,0)</f>
        <v>102.25</v>
      </c>
    </row>
    <row r="132" spans="1:23" x14ac:dyDescent="0.25">
      <c r="B132" s="99" t="s">
        <v>105</v>
      </c>
      <c r="C132" s="100">
        <v>1.1000000000000001</v>
      </c>
      <c r="D132">
        <f>$C132*VLOOKUP($B132,FoodDB!$A$2:$I$1018,3,0)</f>
        <v>0.88000000000000012</v>
      </c>
      <c r="E132">
        <f>$C132*VLOOKUP($B132,FoodDB!$A$2:$I$1018,4,0)</f>
        <v>0</v>
      </c>
      <c r="F132">
        <f>$C132*VLOOKUP($B132,FoodDB!$A$2:$I$1018,5,0)</f>
        <v>37.400000000000006</v>
      </c>
      <c r="G132">
        <f>$C132*VLOOKUP($B132,FoodDB!$A$2:$I$1018,6,0)</f>
        <v>7.9200000000000008</v>
      </c>
      <c r="H132">
        <f>$C132*VLOOKUP($B132,FoodDB!$A$2:$I$1018,7,0)</f>
        <v>0</v>
      </c>
      <c r="I132">
        <f>$C132*VLOOKUP($B132,FoodDB!$A$2:$I$1018,8,0)</f>
        <v>149.60000000000002</v>
      </c>
      <c r="J132">
        <f>$C132*VLOOKUP($B132,FoodDB!$A$2:$I$1018,9,0)</f>
        <v>157.52000000000001</v>
      </c>
    </row>
    <row r="133" spans="1:23" x14ac:dyDescent="0.25">
      <c r="B133" s="99" t="s">
        <v>126</v>
      </c>
      <c r="C133" s="100">
        <v>1</v>
      </c>
      <c r="D133">
        <f>$C133*VLOOKUP($B133,FoodDB!$A$2:$I$1018,3,0)</f>
        <v>3.6</v>
      </c>
      <c r="E133">
        <f>$C133*VLOOKUP($B133,FoodDB!$A$2:$I$1018,4,0)</f>
        <v>0</v>
      </c>
      <c r="F133">
        <f>$C133*VLOOKUP($B133,FoodDB!$A$2:$I$1018,5,0)</f>
        <v>31</v>
      </c>
      <c r="G133">
        <f>$C133*VLOOKUP($B133,FoodDB!$A$2:$I$1018,6,0)</f>
        <v>32.4</v>
      </c>
      <c r="H133">
        <f>$C133*VLOOKUP($B133,FoodDB!$A$2:$I$1018,7,0)</f>
        <v>0</v>
      </c>
      <c r="I133">
        <f>$C133*VLOOKUP($B133,FoodDB!$A$2:$I$1018,8,0)</f>
        <v>124</v>
      </c>
      <c r="J133">
        <f>$C133*VLOOKUP($B133,FoodDB!$A$2:$I$1018,9,0)</f>
        <v>156.4</v>
      </c>
    </row>
    <row r="134" spans="1:23" x14ac:dyDescent="0.25">
      <c r="B134" s="99" t="s">
        <v>127</v>
      </c>
      <c r="C134" s="100">
        <v>1</v>
      </c>
      <c r="D134">
        <f>$C134*VLOOKUP($B134,FoodDB!$A$2:$I$1018,3,0)</f>
        <v>15</v>
      </c>
      <c r="E134">
        <f>$C134*VLOOKUP($B134,FoodDB!$A$2:$I$1018,4,0)</f>
        <v>2</v>
      </c>
      <c r="F134">
        <f>$C134*VLOOKUP($B134,FoodDB!$A$2:$I$1018,5,0)</f>
        <v>7</v>
      </c>
      <c r="G134">
        <f>$C134*VLOOKUP($B134,FoodDB!$A$2:$I$1018,6,0)</f>
        <v>135</v>
      </c>
      <c r="H134">
        <f>$C134*VLOOKUP($B134,FoodDB!$A$2:$I$1018,7,0)</f>
        <v>8</v>
      </c>
      <c r="I134">
        <f>$C134*VLOOKUP($B134,FoodDB!$A$2:$I$1018,8,0)</f>
        <v>28</v>
      </c>
      <c r="J134">
        <f>$C134*VLOOKUP($B134,FoodDB!$A$2:$I$1018,9,0)</f>
        <v>171</v>
      </c>
    </row>
    <row r="135" spans="1:23" x14ac:dyDescent="0.25">
      <c r="B135" s="99" t="s">
        <v>109</v>
      </c>
      <c r="C135" s="100">
        <v>2</v>
      </c>
      <c r="D135">
        <f>$C135*VLOOKUP($B135,FoodDB!$A$2:$I$1018,3,0)</f>
        <v>24</v>
      </c>
      <c r="E135">
        <f>$C135*VLOOKUP($B135,FoodDB!$A$2:$I$1018,4,0)</f>
        <v>0</v>
      </c>
      <c r="F135">
        <f>$C135*VLOOKUP($B135,FoodDB!$A$2:$I$1018,5,0)</f>
        <v>0</v>
      </c>
      <c r="G135">
        <f>$C135*VLOOKUP($B135,FoodDB!$A$2:$I$1018,6,0)</f>
        <v>216</v>
      </c>
      <c r="H135">
        <f>$C135*VLOOKUP($B135,FoodDB!$A$2:$I$1018,7,0)</f>
        <v>0</v>
      </c>
      <c r="I135">
        <f>$C135*VLOOKUP($B135,FoodDB!$A$2:$I$1018,8,0)</f>
        <v>0</v>
      </c>
      <c r="J135">
        <f>$C135*VLOOKUP($B135,FoodDB!$A$2:$I$1018,9,0)</f>
        <v>216</v>
      </c>
    </row>
    <row r="136" spans="1:23" x14ac:dyDescent="0.25">
      <c r="B136" s="99" t="s">
        <v>101</v>
      </c>
      <c r="C136" s="100">
        <v>1</v>
      </c>
      <c r="D136">
        <f>$C136*VLOOKUP($B136,FoodDB!$A$2:$I$1018,3,0)</f>
        <v>5</v>
      </c>
      <c r="E136">
        <f>$C136*VLOOKUP($B136,FoodDB!$A$2:$I$1018,4,0)</f>
        <v>0</v>
      </c>
      <c r="F136">
        <f>$C136*VLOOKUP($B136,FoodDB!$A$2:$I$1018,5,0)</f>
        <v>6</v>
      </c>
      <c r="G136">
        <f>$C136*VLOOKUP($B136,FoodDB!$A$2:$I$1018,6,0)</f>
        <v>45</v>
      </c>
      <c r="H136">
        <f>$C136*VLOOKUP($B136,FoodDB!$A$2:$I$1018,7,0)</f>
        <v>0</v>
      </c>
      <c r="I136">
        <f>$C136*VLOOKUP($B136,FoodDB!$A$2:$I$1018,8,0)</f>
        <v>24</v>
      </c>
      <c r="J136">
        <f>$C136*VLOOKUP($B136,FoodDB!$A$2:$I$1018,9,0)</f>
        <v>69</v>
      </c>
    </row>
    <row r="137" spans="1:23" x14ac:dyDescent="0.25">
      <c r="A137" t="s">
        <v>98</v>
      </c>
      <c r="G137">
        <f>SUM(G130:G136)</f>
        <v>452.07</v>
      </c>
      <c r="H137">
        <f>SUM(H130:H136)</f>
        <v>20</v>
      </c>
      <c r="I137">
        <f>SUM(I130:I136)</f>
        <v>525.6</v>
      </c>
      <c r="J137">
        <f>SUM(G137:I137)</f>
        <v>997.67000000000007</v>
      </c>
    </row>
    <row r="138" spans="1:23" x14ac:dyDescent="0.25">
      <c r="A138" t="s">
        <v>102</v>
      </c>
      <c r="B138" t="s">
        <v>103</v>
      </c>
      <c r="E138" s="103"/>
      <c r="F138" s="103"/>
      <c r="G138" s="103">
        <f>VLOOKUP($A130,LossChart!$A$3:$AB$105,14,0)</f>
        <v>397.6735232212161</v>
      </c>
      <c r="H138" s="103">
        <f>VLOOKUP($A130,LossChart!$A$3:$AB$105,15,0)</f>
        <v>80</v>
      </c>
      <c r="I138" s="103">
        <f>VLOOKUP($A130,LossChart!$A$3:$AB$105,16,0)</f>
        <v>477.30407413615825</v>
      </c>
      <c r="J138" s="103">
        <f>VLOOKUP($A130,LossChart!$A$3:$AB$105,17,0)</f>
        <v>954.97759735737441</v>
      </c>
      <c r="K138" s="103"/>
    </row>
    <row r="139" spans="1:23" x14ac:dyDescent="0.25">
      <c r="A139" t="s">
        <v>104</v>
      </c>
      <c r="G139">
        <f>G138-G137</f>
        <v>-54.396476778783892</v>
      </c>
      <c r="H139">
        <f>H138-H137</f>
        <v>60</v>
      </c>
      <c r="I139">
        <f>I138-I137</f>
        <v>-48.295925863841774</v>
      </c>
      <c r="J139">
        <f>J138-J137</f>
        <v>-42.692402642625666</v>
      </c>
    </row>
    <row r="141" spans="1:23" ht="60" x14ac:dyDescent="0.25">
      <c r="A141" s="26" t="s">
        <v>63</v>
      </c>
      <c r="B141" s="26" t="s">
        <v>93</v>
      </c>
      <c r="C141" s="26" t="s">
        <v>94</v>
      </c>
      <c r="D141" s="97" t="str">
        <f>FoodDB!$C$1</f>
        <v>Fat
(g)</v>
      </c>
      <c r="E141" s="97" t="str">
        <f>FoodDB!$D$1</f>
        <v xml:space="preserve"> Carbs
(g)</v>
      </c>
      <c r="F141" s="97" t="str">
        <f>FoodDB!$E$1</f>
        <v>Protein
(g)</v>
      </c>
      <c r="G141" s="97" t="str">
        <f>FoodDB!$F$1</f>
        <v>Fat
(Cal)</v>
      </c>
      <c r="H141" s="97" t="str">
        <f>FoodDB!$G$1</f>
        <v>Carb
(Cal)</v>
      </c>
      <c r="I141" s="97" t="str">
        <f>FoodDB!$H$1</f>
        <v>Protein
(Cal)</v>
      </c>
      <c r="J141" s="97" t="str">
        <f>FoodDB!$I$1</f>
        <v>Total
Calories</v>
      </c>
      <c r="K141" s="97"/>
      <c r="L141" s="97" t="s">
        <v>110</v>
      </c>
      <c r="M141" s="97" t="s">
        <v>111</v>
      </c>
      <c r="N141" s="97" t="s">
        <v>112</v>
      </c>
      <c r="O141" s="97" t="s">
        <v>113</v>
      </c>
      <c r="P141" s="97" t="s">
        <v>118</v>
      </c>
      <c r="Q141" s="97" t="s">
        <v>119</v>
      </c>
      <c r="R141" s="97" t="s">
        <v>120</v>
      </c>
      <c r="S141" s="97" t="s">
        <v>121</v>
      </c>
      <c r="T141" s="97"/>
      <c r="U141" s="97"/>
      <c r="V141" s="97"/>
      <c r="W141" s="97"/>
    </row>
    <row r="142" spans="1:23" x14ac:dyDescent="0.25">
      <c r="A142" s="98">
        <f>A130+1</f>
        <v>43006</v>
      </c>
      <c r="B142" s="99" t="s">
        <v>125</v>
      </c>
      <c r="C142" s="100">
        <v>1</v>
      </c>
      <c r="D142">
        <f>$C142*VLOOKUP($B142,FoodDB!$A$2:$I$1018,3,0)</f>
        <v>1.5</v>
      </c>
      <c r="E142">
        <f>$C142*VLOOKUP($B142,FoodDB!$A$2:$I$1018,4,0)</f>
        <v>3</v>
      </c>
      <c r="F142">
        <f>$C142*VLOOKUP($B142,FoodDB!$A$2:$I$1018,5,0)</f>
        <v>25</v>
      </c>
      <c r="G142">
        <f>$C142*VLOOKUP($B142,FoodDB!$A$2:$I$1018,6,0)</f>
        <v>13.5</v>
      </c>
      <c r="H142">
        <f>$C142*VLOOKUP($B142,FoodDB!$A$2:$I$1018,7,0)</f>
        <v>12</v>
      </c>
      <c r="I142">
        <f>$C142*VLOOKUP($B142,FoodDB!$A$2:$I$1018,8,0)</f>
        <v>100</v>
      </c>
      <c r="J142">
        <f>$C142*VLOOKUP($B142,FoodDB!$A$2:$I$1018,9,0)</f>
        <v>125.5</v>
      </c>
      <c r="L142">
        <f>SUM(G142:G148)</f>
        <v>519.75</v>
      </c>
      <c r="M142">
        <f>SUM(H142:H148)</f>
        <v>55.542857142857144</v>
      </c>
      <c r="N142">
        <f>SUM(I142:I148)</f>
        <v>463.37142857142857</v>
      </c>
      <c r="O142">
        <f>SUM(L142:N142)</f>
        <v>1038.6642857142858</v>
      </c>
      <c r="P142" s="103">
        <f>VLOOKUP($A142,LossChart!$A$3:$AB$105,14,0)-L142</f>
        <v>-114.32263557234091</v>
      </c>
      <c r="Q142" s="103">
        <f>VLOOKUP($A142,LossChart!$A$3:$AB$105,15,0)-M142</f>
        <v>24.457142857142856</v>
      </c>
      <c r="R142" s="103">
        <f>VLOOKUP($A142,LossChart!$A$3:$AB$105,16,0)-N142</f>
        <v>13.932645564729683</v>
      </c>
      <c r="S142" s="103">
        <f>VLOOKUP($A142,LossChart!$A$3:$AB$105,17,0)-O142</f>
        <v>-75.932847150468433</v>
      </c>
      <c r="T142" s="103"/>
      <c r="U142" s="103"/>
      <c r="V142" s="103"/>
      <c r="W142" s="103"/>
    </row>
    <row r="143" spans="1:23" x14ac:dyDescent="0.25">
      <c r="B143" s="99" t="s">
        <v>95</v>
      </c>
      <c r="C143" s="100">
        <v>0.5</v>
      </c>
      <c r="D143">
        <f>$C143*VLOOKUP($B143,FoodDB!$A$2:$I$1018,3,0)</f>
        <v>0.25</v>
      </c>
      <c r="E143">
        <f>$C143*VLOOKUP($B143,FoodDB!$A$2:$I$1018,4,0)</f>
        <v>0</v>
      </c>
      <c r="F143">
        <f>$C143*VLOOKUP($B143,FoodDB!$A$2:$I$1018,5,0)</f>
        <v>25</v>
      </c>
      <c r="G143">
        <f>$C143*VLOOKUP($B143,FoodDB!$A$2:$I$1018,6,0)</f>
        <v>2.25</v>
      </c>
      <c r="H143">
        <f>$C143*VLOOKUP($B143,FoodDB!$A$2:$I$1018,7,0)</f>
        <v>0</v>
      </c>
      <c r="I143">
        <f>$C143*VLOOKUP($B143,FoodDB!$A$2:$I$1018,8,0)</f>
        <v>100</v>
      </c>
      <c r="J143">
        <f>$C143*VLOOKUP($B143,FoodDB!$A$2:$I$1018,9,0)</f>
        <v>102.25</v>
      </c>
    </row>
    <row r="144" spans="1:23" x14ac:dyDescent="0.25">
      <c r="B144" s="99" t="s">
        <v>126</v>
      </c>
      <c r="C144" s="100">
        <v>2</v>
      </c>
      <c r="D144">
        <f>$C144*VLOOKUP($B144,FoodDB!$A$2:$I$1018,3,0)</f>
        <v>7.2</v>
      </c>
      <c r="E144">
        <f>$C144*VLOOKUP($B144,FoodDB!$A$2:$I$1018,4,0)</f>
        <v>0</v>
      </c>
      <c r="F144">
        <f>$C144*VLOOKUP($B144,FoodDB!$A$2:$I$1018,5,0)</f>
        <v>62</v>
      </c>
      <c r="G144">
        <f>$C144*VLOOKUP($B144,FoodDB!$A$2:$I$1018,6,0)</f>
        <v>64.8</v>
      </c>
      <c r="H144">
        <f>$C144*VLOOKUP($B144,FoodDB!$A$2:$I$1018,7,0)</f>
        <v>0</v>
      </c>
      <c r="I144">
        <f>$C144*VLOOKUP($B144,FoodDB!$A$2:$I$1018,8,0)</f>
        <v>248</v>
      </c>
      <c r="J144">
        <f>$C144*VLOOKUP($B144,FoodDB!$A$2:$I$1018,9,0)</f>
        <v>312.8</v>
      </c>
    </row>
    <row r="145" spans="1:23" x14ac:dyDescent="0.25">
      <c r="B145" s="99" t="s">
        <v>128</v>
      </c>
      <c r="C145" s="100">
        <v>4</v>
      </c>
      <c r="D145">
        <f>$C145*VLOOKUP($B145,FoodDB!$A$2:$I$1018,3,0)</f>
        <v>0.8</v>
      </c>
      <c r="E145">
        <f>$C145*VLOOKUP($B145,FoodDB!$A$2:$I$1018,4,0)</f>
        <v>9.6</v>
      </c>
      <c r="F145">
        <f>$C145*VLOOKUP($B145,FoodDB!$A$2:$I$1018,5,0)</f>
        <v>3.2</v>
      </c>
      <c r="G145">
        <f>$C145*VLOOKUP($B145,FoodDB!$A$2:$I$1018,6,0)</f>
        <v>7.2</v>
      </c>
      <c r="H145">
        <f>$C145*VLOOKUP($B145,FoodDB!$A$2:$I$1018,7,0)</f>
        <v>38.4</v>
      </c>
      <c r="I145">
        <f>$C145*VLOOKUP($B145,FoodDB!$A$2:$I$1018,8,0)</f>
        <v>12.8</v>
      </c>
      <c r="J145">
        <f>$C145*VLOOKUP($B145,FoodDB!$A$2:$I$1018,9,0)</f>
        <v>58.400000000000006</v>
      </c>
    </row>
    <row r="146" spans="1:23" x14ac:dyDescent="0.25">
      <c r="B146" s="99" t="s">
        <v>96</v>
      </c>
      <c r="C146" s="100">
        <v>2</v>
      </c>
      <c r="D146">
        <v>0.4</v>
      </c>
      <c r="E146">
        <v>3.4</v>
      </c>
      <c r="F146">
        <v>2.8</v>
      </c>
      <c r="G146">
        <f>$C146*VLOOKUP($B146,FoodDB!$A$2:$I$1018,6,0)</f>
        <v>0</v>
      </c>
      <c r="H146">
        <f>$C146*VLOOKUP($B146,FoodDB!$A$2:$I$1018,7,0)</f>
        <v>5.1428571428571432</v>
      </c>
      <c r="I146">
        <f>$C146*VLOOKUP($B146,FoodDB!$A$2:$I$1018,8,0)</f>
        <v>2.5714285714285716</v>
      </c>
      <c r="J146">
        <f>$C146*VLOOKUP($B146,FoodDB!$A$2:$I$1018,9,0)</f>
        <v>7.7142857142857153</v>
      </c>
    </row>
    <row r="147" spans="1:23" x14ac:dyDescent="0.25">
      <c r="B147" s="99" t="s">
        <v>109</v>
      </c>
      <c r="C147" s="100">
        <v>4</v>
      </c>
      <c r="D147">
        <f>$C147*VLOOKUP($B147,FoodDB!$A$2:$I$1018,3,0)</f>
        <v>48</v>
      </c>
      <c r="E147">
        <f>$C147*VLOOKUP($B147,FoodDB!$A$2:$I$1018,4,0)</f>
        <v>0</v>
      </c>
      <c r="F147">
        <f>$C147*VLOOKUP($B147,FoodDB!$A$2:$I$1018,5,0)</f>
        <v>0</v>
      </c>
      <c r="G147">
        <f>$C147*VLOOKUP($B147,FoodDB!$A$2:$I$1018,6,0)</f>
        <v>432</v>
      </c>
      <c r="H147">
        <f>$C147*VLOOKUP($B147,FoodDB!$A$2:$I$1018,7,0)</f>
        <v>0</v>
      </c>
      <c r="I147">
        <f>$C147*VLOOKUP($B147,FoodDB!$A$2:$I$1018,8,0)</f>
        <v>0</v>
      </c>
      <c r="J147">
        <f>$C147*VLOOKUP($B147,FoodDB!$A$2:$I$1018,9,0)</f>
        <v>432</v>
      </c>
    </row>
    <row r="148" spans="1:23" x14ac:dyDescent="0.25">
      <c r="B148" s="99" t="s">
        <v>108</v>
      </c>
      <c r="C148" s="100">
        <v>0</v>
      </c>
      <c r="D148">
        <f>$C148*VLOOKUP($B148,FoodDB!$A$2:$I$1018,3,0)</f>
        <v>0</v>
      </c>
      <c r="E148">
        <f>$C148*VLOOKUP($B148,FoodDB!$A$2:$I$1018,4,0)</f>
        <v>0</v>
      </c>
      <c r="F148">
        <f>$C148*VLOOKUP($B148,FoodDB!$A$2:$I$1018,5,0)</f>
        <v>0</v>
      </c>
      <c r="G148">
        <f>$C148*VLOOKUP($B148,FoodDB!$A$2:$I$1018,6,0)</f>
        <v>0</v>
      </c>
      <c r="H148">
        <f>$C148*VLOOKUP($B148,FoodDB!$A$2:$I$1018,7,0)</f>
        <v>0</v>
      </c>
      <c r="I148">
        <f>$C148*VLOOKUP($B148,FoodDB!$A$2:$I$1018,8,0)</f>
        <v>0</v>
      </c>
      <c r="J148">
        <f>$C148*VLOOKUP($B148,FoodDB!$A$2:$I$1018,9,0)</f>
        <v>0</v>
      </c>
    </row>
    <row r="149" spans="1:23" x14ac:dyDescent="0.25">
      <c r="A149" t="s">
        <v>98</v>
      </c>
      <c r="G149">
        <f>SUM(G142:G148)</f>
        <v>519.75</v>
      </c>
      <c r="H149">
        <f>SUM(H142:H148)</f>
        <v>55.542857142857144</v>
      </c>
      <c r="I149">
        <f>SUM(I142:I148)</f>
        <v>463.37142857142857</v>
      </c>
      <c r="J149">
        <f>SUM(G149:I149)</f>
        <v>1038.6642857142858</v>
      </c>
    </row>
    <row r="150" spans="1:23" x14ac:dyDescent="0.25">
      <c r="A150" t="s">
        <v>102</v>
      </c>
      <c r="B150" t="s">
        <v>103</v>
      </c>
      <c r="E150" s="103"/>
      <c r="F150" s="103"/>
      <c r="G150" s="103">
        <f>VLOOKUP($A142,LossChart!$A$3:$AB$105,14,0)</f>
        <v>405.42736442765909</v>
      </c>
      <c r="H150" s="103">
        <f>VLOOKUP($A142,LossChart!$A$3:$AB$105,15,0)</f>
        <v>80</v>
      </c>
      <c r="I150" s="103">
        <f>VLOOKUP($A142,LossChart!$A$3:$AB$105,16,0)</f>
        <v>477.30407413615825</v>
      </c>
      <c r="J150" s="103">
        <f>VLOOKUP($A142,LossChart!$A$3:$AB$105,17,0)</f>
        <v>962.73143856381739</v>
      </c>
      <c r="K150" s="103"/>
    </row>
    <row r="151" spans="1:23" x14ac:dyDescent="0.25">
      <c r="A151" t="s">
        <v>104</v>
      </c>
      <c r="G151">
        <f>G150-G149</f>
        <v>-114.32263557234091</v>
      </c>
      <c r="H151">
        <f>H150-H149</f>
        <v>24.457142857142856</v>
      </c>
      <c r="I151">
        <f>I150-I149</f>
        <v>13.932645564729683</v>
      </c>
      <c r="J151">
        <f>J150-J149</f>
        <v>-75.932847150468433</v>
      </c>
    </row>
    <row r="153" spans="1:23" ht="60" x14ac:dyDescent="0.25">
      <c r="A153" s="26" t="s">
        <v>63</v>
      </c>
      <c r="B153" s="26" t="s">
        <v>93</v>
      </c>
      <c r="C153" s="26" t="s">
        <v>94</v>
      </c>
      <c r="D153" s="97" t="str">
        <f>FoodDB!$C$1</f>
        <v>Fat
(g)</v>
      </c>
      <c r="E153" s="97" t="str">
        <f>FoodDB!$D$1</f>
        <v xml:space="preserve"> Carbs
(g)</v>
      </c>
      <c r="F153" s="97" t="str">
        <f>FoodDB!$E$1</f>
        <v>Protein
(g)</v>
      </c>
      <c r="G153" s="97" t="str">
        <f>FoodDB!$F$1</f>
        <v>Fat
(Cal)</v>
      </c>
      <c r="H153" s="97" t="str">
        <f>FoodDB!$G$1</f>
        <v>Carb
(Cal)</v>
      </c>
      <c r="I153" s="97" t="str">
        <f>FoodDB!$H$1</f>
        <v>Protein
(Cal)</v>
      </c>
      <c r="J153" s="97" t="str">
        <f>FoodDB!$I$1</f>
        <v>Total
Calories</v>
      </c>
      <c r="K153" s="97"/>
      <c r="L153" s="97" t="s">
        <v>110</v>
      </c>
      <c r="M153" s="97" t="s">
        <v>111</v>
      </c>
      <c r="N153" s="97" t="s">
        <v>112</v>
      </c>
      <c r="O153" s="97" t="s">
        <v>113</v>
      </c>
      <c r="P153" s="97" t="s">
        <v>118</v>
      </c>
      <c r="Q153" s="97" t="s">
        <v>119</v>
      </c>
      <c r="R153" s="97" t="s">
        <v>120</v>
      </c>
      <c r="S153" s="97" t="s">
        <v>121</v>
      </c>
      <c r="T153" s="97"/>
      <c r="U153" s="97"/>
      <c r="V153" s="97"/>
      <c r="W153" s="97"/>
    </row>
    <row r="154" spans="1:23" x14ac:dyDescent="0.25">
      <c r="A154" s="98">
        <f>A142+1</f>
        <v>43007</v>
      </c>
      <c r="B154" s="99" t="s">
        <v>126</v>
      </c>
      <c r="C154" s="100">
        <v>2</v>
      </c>
      <c r="D154">
        <f>$C154*VLOOKUP($B154,FoodDB!$A$2:$I$1018,3,0)</f>
        <v>7.2</v>
      </c>
      <c r="E154">
        <f>$C154*VLOOKUP($B154,FoodDB!$A$2:$I$1018,4,0)</f>
        <v>0</v>
      </c>
      <c r="F154">
        <f>$C154*VLOOKUP($B154,FoodDB!$A$2:$I$1018,5,0)</f>
        <v>62</v>
      </c>
      <c r="G154">
        <f>$C154*VLOOKUP($B154,FoodDB!$A$2:$I$1018,6,0)</f>
        <v>64.8</v>
      </c>
      <c r="H154">
        <f>$C154*VLOOKUP($B154,FoodDB!$A$2:$I$1018,7,0)</f>
        <v>0</v>
      </c>
      <c r="I154">
        <f>$C154*VLOOKUP($B154,FoodDB!$A$2:$I$1018,8,0)</f>
        <v>248</v>
      </c>
      <c r="J154">
        <f>$C154*VLOOKUP($B154,FoodDB!$A$2:$I$1018,9,0)</f>
        <v>312.8</v>
      </c>
      <c r="L154">
        <f>SUM(G154:G161)</f>
        <v>526.5</v>
      </c>
      <c r="M154">
        <f>SUM(H154:H161)</f>
        <v>65.485714285714295</v>
      </c>
      <c r="N154">
        <f>SUM(I154:I161)</f>
        <v>509.94285714285712</v>
      </c>
      <c r="O154">
        <f>SUM(L154:N154)</f>
        <v>1101.9285714285713</v>
      </c>
      <c r="P154" s="103">
        <f>VLOOKUP($A154,LossChart!$A$3:$AB$105,14,0)-L154</f>
        <v>-113.5637120539061</v>
      </c>
      <c r="Q154" s="103">
        <f>VLOOKUP($A154,LossChart!$A$3:$AB$105,15,0)-M154</f>
        <v>14.514285714285705</v>
      </c>
      <c r="R154" s="103">
        <f>VLOOKUP($A154,LossChart!$A$3:$AB$105,16,0)-N154</f>
        <v>-32.638783006698873</v>
      </c>
      <c r="S154" s="103">
        <f>VLOOKUP($A154,LossChart!$A$3:$AB$105,17,0)-O154</f>
        <v>-131.68820934631913</v>
      </c>
      <c r="T154" s="103"/>
      <c r="U154" s="103"/>
      <c r="V154" s="103"/>
      <c r="W154" s="103"/>
    </row>
    <row r="155" spans="1:23" x14ac:dyDescent="0.25">
      <c r="B155" s="99" t="s">
        <v>128</v>
      </c>
      <c r="C155" s="100">
        <v>2</v>
      </c>
      <c r="D155">
        <f>$C155*VLOOKUP($B155,FoodDB!$A$2:$I$1018,3,0)</f>
        <v>0.4</v>
      </c>
      <c r="E155">
        <f>$C155*VLOOKUP($B155,FoodDB!$A$2:$I$1018,4,0)</f>
        <v>4.8</v>
      </c>
      <c r="F155">
        <f>$C155*VLOOKUP($B155,FoodDB!$A$2:$I$1018,5,0)</f>
        <v>1.6</v>
      </c>
      <c r="G155">
        <f>$C155*VLOOKUP($B155,FoodDB!$A$2:$I$1018,6,0)</f>
        <v>3.6</v>
      </c>
      <c r="H155">
        <f>$C155*VLOOKUP($B155,FoodDB!$A$2:$I$1018,7,0)</f>
        <v>19.2</v>
      </c>
      <c r="I155">
        <f>$C155*VLOOKUP($B155,FoodDB!$A$2:$I$1018,8,0)</f>
        <v>6.4</v>
      </c>
      <c r="J155">
        <f>$C155*VLOOKUP($B155,FoodDB!$A$2:$I$1018,9,0)</f>
        <v>29.200000000000003</v>
      </c>
    </row>
    <row r="156" spans="1:23" x14ac:dyDescent="0.25">
      <c r="B156" s="99" t="s">
        <v>96</v>
      </c>
      <c r="C156" s="100">
        <v>4</v>
      </c>
      <c r="D156">
        <f>$C156*VLOOKUP($B156,FoodDB!$A$2:$I$1018,3,0)</f>
        <v>0</v>
      </c>
      <c r="E156">
        <f>$C156*VLOOKUP($B156,FoodDB!$A$2:$I$1018,4,0)</f>
        <v>2.5714285714285716</v>
      </c>
      <c r="F156">
        <f>$C156*VLOOKUP($B156,FoodDB!$A$2:$I$1018,5,0)</f>
        <v>1.2857142857142858</v>
      </c>
      <c r="G156">
        <f>$C156*VLOOKUP($B156,FoodDB!$A$2:$I$1018,6,0)</f>
        <v>0</v>
      </c>
      <c r="H156">
        <f>$C156*VLOOKUP($B156,FoodDB!$A$2:$I$1018,7,0)</f>
        <v>10.285714285714286</v>
      </c>
      <c r="I156">
        <f>$C156*VLOOKUP($B156,FoodDB!$A$2:$I$1018,8,0)</f>
        <v>5.1428571428571432</v>
      </c>
      <c r="J156">
        <f>$C156*VLOOKUP($B156,FoodDB!$A$2:$I$1018,9,0)</f>
        <v>15.428571428571431</v>
      </c>
    </row>
    <row r="157" spans="1:23" x14ac:dyDescent="0.25">
      <c r="B157" s="99" t="s">
        <v>100</v>
      </c>
      <c r="C157" s="100">
        <v>7</v>
      </c>
      <c r="D157">
        <f>$C157*VLOOKUP($B157,FoodDB!$A$2:$I$1018,3,0)</f>
        <v>0</v>
      </c>
      <c r="E157">
        <f>$C157*VLOOKUP($B157,FoodDB!$A$2:$I$1018,4,0)</f>
        <v>7</v>
      </c>
      <c r="F157">
        <f>$C157*VLOOKUP($B157,FoodDB!$A$2:$I$1018,5,0)</f>
        <v>7</v>
      </c>
      <c r="G157">
        <f>$C157*VLOOKUP($B157,FoodDB!$A$2:$I$1018,6,0)</f>
        <v>0</v>
      </c>
      <c r="H157">
        <f>$C157*VLOOKUP($B157,FoodDB!$A$2:$I$1018,7,0)</f>
        <v>28</v>
      </c>
      <c r="I157">
        <f>$C157*VLOOKUP($B157,FoodDB!$A$2:$I$1018,8,0)</f>
        <v>28</v>
      </c>
      <c r="J157">
        <f>$C157*VLOOKUP($B157,FoodDB!$A$2:$I$1018,9,0)</f>
        <v>56</v>
      </c>
    </row>
    <row r="158" spans="1:23" x14ac:dyDescent="0.25">
      <c r="B158" s="99" t="s">
        <v>99</v>
      </c>
      <c r="C158" s="100">
        <v>5</v>
      </c>
      <c r="D158">
        <f>$C158*VLOOKUP($B158,FoodDB!$A$2:$I$1018,3,0)</f>
        <v>30.9</v>
      </c>
      <c r="E158">
        <f>$C158*VLOOKUP($B158,FoodDB!$A$2:$I$1018,4,0)</f>
        <v>0</v>
      </c>
      <c r="F158">
        <f>$C158*VLOOKUP($B158,FoodDB!$A$2:$I$1018,5,0)</f>
        <v>42.599999999999994</v>
      </c>
      <c r="G158">
        <f>$C158*VLOOKUP($B158,FoodDB!$A$2:$I$1018,6,0)</f>
        <v>278.09999999999997</v>
      </c>
      <c r="H158">
        <f>$C158*VLOOKUP($B158,FoodDB!$A$2:$I$1018,7,0)</f>
        <v>0</v>
      </c>
      <c r="I158">
        <f>$C158*VLOOKUP($B158,FoodDB!$A$2:$I$1018,8,0)</f>
        <v>170.39999999999998</v>
      </c>
      <c r="J158">
        <f>$C158*VLOOKUP($B158,FoodDB!$A$2:$I$1018,9,0)</f>
        <v>448.49999999999994</v>
      </c>
    </row>
    <row r="159" spans="1:23" x14ac:dyDescent="0.25">
      <c r="B159" s="99" t="s">
        <v>108</v>
      </c>
      <c r="C159" s="100">
        <v>2</v>
      </c>
      <c r="D159">
        <f>$C159*VLOOKUP($B159,FoodDB!$A$2:$I$1018,3,0)</f>
        <v>0</v>
      </c>
      <c r="E159">
        <f>$C159*VLOOKUP($B159,FoodDB!$A$2:$I$1018,4,0)</f>
        <v>0</v>
      </c>
      <c r="F159">
        <f>$C159*VLOOKUP($B159,FoodDB!$A$2:$I$1018,5,0)</f>
        <v>0</v>
      </c>
      <c r="G159">
        <f>$C159*VLOOKUP($B159,FoodDB!$A$2:$I$1018,6,0)</f>
        <v>0</v>
      </c>
      <c r="H159">
        <f>$C159*VLOOKUP($B159,FoodDB!$A$2:$I$1018,7,0)</f>
        <v>0</v>
      </c>
      <c r="I159">
        <f>$C159*VLOOKUP($B159,FoodDB!$A$2:$I$1018,8,0)</f>
        <v>0</v>
      </c>
      <c r="J159">
        <f>$C159*VLOOKUP($B159,FoodDB!$A$2:$I$1018,9,0)</f>
        <v>0</v>
      </c>
    </row>
    <row r="160" spans="1:23" x14ac:dyDescent="0.25">
      <c r="B160" s="99" t="s">
        <v>127</v>
      </c>
      <c r="C160" s="100">
        <v>1</v>
      </c>
      <c r="D160">
        <f>$C160*VLOOKUP($B160,FoodDB!$A$2:$I$1018,3,0)</f>
        <v>15</v>
      </c>
      <c r="E160">
        <f>$C160*VLOOKUP($B160,FoodDB!$A$2:$I$1018,4,0)</f>
        <v>2</v>
      </c>
      <c r="F160">
        <f>$C160*VLOOKUP($B160,FoodDB!$A$2:$I$1018,5,0)</f>
        <v>7</v>
      </c>
      <c r="G160">
        <f>$C160*VLOOKUP($B160,FoodDB!$A$2:$I$1018,6,0)</f>
        <v>135</v>
      </c>
      <c r="H160">
        <f>$C160*VLOOKUP($B160,FoodDB!$A$2:$I$1018,7,0)</f>
        <v>8</v>
      </c>
      <c r="I160">
        <f>$C160*VLOOKUP($B160,FoodDB!$A$2:$I$1018,8,0)</f>
        <v>28</v>
      </c>
      <c r="J160">
        <f>$C160*VLOOKUP($B160,FoodDB!$A$2:$I$1018,9,0)</f>
        <v>171</v>
      </c>
    </row>
    <row r="161" spans="1:23" x14ac:dyDescent="0.25">
      <c r="B161" s="99" t="s">
        <v>101</v>
      </c>
      <c r="C161" s="100">
        <v>1</v>
      </c>
      <c r="D161">
        <f>$C161*VLOOKUP($B161,FoodDB!$A$2:$I$1018,3,0)</f>
        <v>5</v>
      </c>
      <c r="E161">
        <f>$C161*VLOOKUP($B161,FoodDB!$A$2:$I$1018,4,0)</f>
        <v>0</v>
      </c>
      <c r="F161">
        <f>$C161*VLOOKUP($B161,FoodDB!$A$2:$I$1018,5,0)</f>
        <v>6</v>
      </c>
      <c r="G161">
        <f>$C161*VLOOKUP($B161,FoodDB!$A$2:$I$1018,6,0)</f>
        <v>45</v>
      </c>
      <c r="H161">
        <f>$C161*VLOOKUP($B161,FoodDB!$A$2:$I$1018,7,0)</f>
        <v>0</v>
      </c>
      <c r="I161">
        <f>$C161*VLOOKUP($B161,FoodDB!$A$2:$I$1018,8,0)</f>
        <v>24</v>
      </c>
      <c r="J161">
        <f>$C161*VLOOKUP($B161,FoodDB!$A$2:$I$1018,9,0)</f>
        <v>69</v>
      </c>
    </row>
    <row r="162" spans="1:23" x14ac:dyDescent="0.25">
      <c r="A162" t="s">
        <v>98</v>
      </c>
      <c r="G162">
        <f>SUM(G154:G161)</f>
        <v>526.5</v>
      </c>
      <c r="H162">
        <f>SUM(H154:H161)</f>
        <v>65.485714285714295</v>
      </c>
      <c r="I162">
        <f>SUM(I154:I161)</f>
        <v>509.94285714285712</v>
      </c>
      <c r="J162">
        <f>SUM(G162:I162)</f>
        <v>1101.9285714285713</v>
      </c>
    </row>
    <row r="163" spans="1:23" x14ac:dyDescent="0.25">
      <c r="A163" t="s">
        <v>102</v>
      </c>
      <c r="B163" t="s">
        <v>103</v>
      </c>
      <c r="E163" s="103"/>
      <c r="F163" s="103"/>
      <c r="G163" s="103">
        <f>VLOOKUP($A154,LossChart!$A$3:$AB$105,14,0)</f>
        <v>412.9362879460939</v>
      </c>
      <c r="H163" s="103">
        <f>VLOOKUP($A154,LossChart!$A$3:$AB$105,15,0)</f>
        <v>80</v>
      </c>
      <c r="I163" s="103">
        <f>VLOOKUP($A154,LossChart!$A$3:$AB$105,16,0)</f>
        <v>477.30407413615825</v>
      </c>
      <c r="J163" s="103">
        <f>VLOOKUP($A154,LossChart!$A$3:$AB$105,17,0)</f>
        <v>970.2403620822522</v>
      </c>
      <c r="K163" s="103"/>
    </row>
    <row r="164" spans="1:23" x14ac:dyDescent="0.25">
      <c r="A164" t="s">
        <v>104</v>
      </c>
      <c r="G164">
        <f>G163-G162</f>
        <v>-113.5637120539061</v>
      </c>
      <c r="H164">
        <f>H163-H162</f>
        <v>14.514285714285705</v>
      </c>
      <c r="I164">
        <f>I163-I162</f>
        <v>-32.638783006698873</v>
      </c>
      <c r="J164">
        <f>J163-J162</f>
        <v>-131.68820934631913</v>
      </c>
    </row>
    <row r="166" spans="1:23" ht="60" x14ac:dyDescent="0.25">
      <c r="A166" s="26" t="s">
        <v>63</v>
      </c>
      <c r="B166" s="26" t="s">
        <v>93</v>
      </c>
      <c r="C166" s="26" t="s">
        <v>94</v>
      </c>
      <c r="D166" s="97" t="str">
        <f>FoodDB!$C$1</f>
        <v>Fat
(g)</v>
      </c>
      <c r="E166" s="97" t="str">
        <f>FoodDB!$D$1</f>
        <v xml:space="preserve"> Carbs
(g)</v>
      </c>
      <c r="F166" s="97" t="str">
        <f>FoodDB!$E$1</f>
        <v>Protein
(g)</v>
      </c>
      <c r="G166" s="97" t="str">
        <f>FoodDB!$F$1</f>
        <v>Fat
(Cal)</v>
      </c>
      <c r="H166" s="97" t="str">
        <f>FoodDB!$G$1</f>
        <v>Carb
(Cal)</v>
      </c>
      <c r="I166" s="97" t="str">
        <f>FoodDB!$H$1</f>
        <v>Protein
(Cal)</v>
      </c>
      <c r="J166" s="97" t="str">
        <f>FoodDB!$I$1</f>
        <v>Total
Calories</v>
      </c>
      <c r="K166" s="97"/>
      <c r="L166" s="97" t="s">
        <v>110</v>
      </c>
      <c r="M166" s="97" t="s">
        <v>111</v>
      </c>
      <c r="N166" s="97" t="s">
        <v>112</v>
      </c>
      <c r="O166" s="97" t="s">
        <v>113</v>
      </c>
      <c r="P166" s="97" t="s">
        <v>118</v>
      </c>
      <c r="Q166" s="97" t="s">
        <v>119</v>
      </c>
      <c r="R166" s="97" t="s">
        <v>120</v>
      </c>
      <c r="S166" s="97" t="s">
        <v>121</v>
      </c>
      <c r="T166" s="97"/>
      <c r="U166" s="97"/>
      <c r="V166" s="97"/>
      <c r="W166" s="97"/>
    </row>
    <row r="167" spans="1:23" x14ac:dyDescent="0.25">
      <c r="A167" s="98">
        <f>A154+1</f>
        <v>43008</v>
      </c>
      <c r="B167" s="99" t="s">
        <v>126</v>
      </c>
      <c r="C167" s="100">
        <v>2.5</v>
      </c>
      <c r="D167" s="103">
        <f>$C167*VLOOKUP($B167,FoodDB!$A$2:$I$1018,3,0)</f>
        <v>9</v>
      </c>
      <c r="E167" s="103">
        <f>$C167*VLOOKUP($B167,FoodDB!$A$2:$I$1018,4,0)</f>
        <v>0</v>
      </c>
      <c r="F167" s="103">
        <f>$C167*VLOOKUP($B167,FoodDB!$A$2:$I$1018,5,0)</f>
        <v>77.5</v>
      </c>
      <c r="G167" s="103">
        <f>$C167*VLOOKUP($B167,FoodDB!$A$2:$I$1018,6,0)</f>
        <v>81</v>
      </c>
      <c r="H167" s="103">
        <f>$C167*VLOOKUP($B167,FoodDB!$A$2:$I$1018,7,0)</f>
        <v>0</v>
      </c>
      <c r="I167" s="103">
        <f>$C167*VLOOKUP($B167,FoodDB!$A$2:$I$1018,8,0)</f>
        <v>310</v>
      </c>
      <c r="J167" s="103">
        <f>$C167*VLOOKUP($B167,FoodDB!$A$2:$I$1018,9,0)</f>
        <v>391</v>
      </c>
      <c r="L167" s="103">
        <f>SUM(G167:G174)</f>
        <v>483.48</v>
      </c>
      <c r="M167" s="103">
        <f>SUM(H167:H174)</f>
        <v>43.714285714285715</v>
      </c>
      <c r="N167" s="103">
        <f>SUM(I167:I174)</f>
        <v>530.17714285714283</v>
      </c>
      <c r="O167" s="103">
        <f>SUM(L167:N167)</f>
        <v>1057.3714285714286</v>
      </c>
      <c r="P167" s="103">
        <f>VLOOKUP($A167,LossChart!$A$3:$AB$105,14,0)-L167</f>
        <v>-63.396911027125498</v>
      </c>
      <c r="Q167" s="103">
        <f>VLOOKUP($A167,LossChart!$A$3:$AB$105,15,0)-M167</f>
        <v>36.285714285714285</v>
      </c>
      <c r="R167" s="103">
        <f>VLOOKUP($A167,LossChart!$A$3:$AB$105,16,0)-N167</f>
        <v>-52.873068720984577</v>
      </c>
      <c r="S167" s="103">
        <f>VLOOKUP($A167,LossChart!$A$3:$AB$105,17,0)-O167</f>
        <v>-79.984265462395797</v>
      </c>
      <c r="T167" s="103"/>
      <c r="U167" s="103"/>
      <c r="V167" s="103"/>
      <c r="W167" s="103"/>
    </row>
    <row r="168" spans="1:23" x14ac:dyDescent="0.25">
      <c r="B168" s="99" t="s">
        <v>99</v>
      </c>
      <c r="C168" s="100">
        <v>4</v>
      </c>
      <c r="D168" s="103">
        <f>$C168*VLOOKUP($B168,FoodDB!$A$2:$I$1018,3,0)</f>
        <v>24.72</v>
      </c>
      <c r="E168" s="103">
        <f>$C168*VLOOKUP($B168,FoodDB!$A$2:$I$1018,4,0)</f>
        <v>0</v>
      </c>
      <c r="F168" s="103">
        <f>$C168*VLOOKUP($B168,FoodDB!$A$2:$I$1018,5,0)</f>
        <v>34.08</v>
      </c>
      <c r="G168" s="103">
        <f>$C168*VLOOKUP($B168,FoodDB!$A$2:$I$1018,6,0)</f>
        <v>222.48</v>
      </c>
      <c r="H168" s="103">
        <f>$C168*VLOOKUP($B168,FoodDB!$A$2:$I$1018,7,0)</f>
        <v>0</v>
      </c>
      <c r="I168" s="103">
        <f>$C168*VLOOKUP($B168,FoodDB!$A$2:$I$1018,8,0)</f>
        <v>136.32</v>
      </c>
      <c r="J168" s="103">
        <f>$C168*VLOOKUP($B168,FoodDB!$A$2:$I$1018,9,0)</f>
        <v>358.79999999999995</v>
      </c>
    </row>
    <row r="169" spans="1:23" x14ac:dyDescent="0.25">
      <c r="B169" s="99" t="s">
        <v>100</v>
      </c>
      <c r="C169" s="100">
        <v>7</v>
      </c>
      <c r="D169" s="103">
        <f>$C169*VLOOKUP($B169,FoodDB!$A$2:$I$1018,3,0)</f>
        <v>0</v>
      </c>
      <c r="E169" s="103">
        <f>$C169*VLOOKUP($B169,FoodDB!$A$2:$I$1018,4,0)</f>
        <v>7</v>
      </c>
      <c r="F169" s="103">
        <f>$C169*VLOOKUP($B169,FoodDB!$A$2:$I$1018,5,0)</f>
        <v>7</v>
      </c>
      <c r="G169" s="103">
        <f>$C169*VLOOKUP($B169,FoodDB!$A$2:$I$1018,6,0)</f>
        <v>0</v>
      </c>
      <c r="H169" s="103">
        <f>$C169*VLOOKUP($B169,FoodDB!$A$2:$I$1018,7,0)</f>
        <v>28</v>
      </c>
      <c r="I169" s="103">
        <f>$C169*VLOOKUP($B169,FoodDB!$A$2:$I$1018,8,0)</f>
        <v>28</v>
      </c>
      <c r="J169" s="103">
        <f>$C169*VLOOKUP($B169,FoodDB!$A$2:$I$1018,9,0)</f>
        <v>56</v>
      </c>
    </row>
    <row r="170" spans="1:23" x14ac:dyDescent="0.25">
      <c r="B170" s="99" t="s">
        <v>96</v>
      </c>
      <c r="C170" s="100">
        <v>3</v>
      </c>
      <c r="D170" s="103">
        <f>$C170*VLOOKUP($B170,FoodDB!$A$2:$I$1018,3,0)</f>
        <v>0</v>
      </c>
      <c r="E170" s="103">
        <f>$C170*VLOOKUP($B170,FoodDB!$A$2:$I$1018,4,0)</f>
        <v>1.9285714285714288</v>
      </c>
      <c r="F170" s="103">
        <f>$C170*VLOOKUP($B170,FoodDB!$A$2:$I$1018,5,0)</f>
        <v>0.96428571428571441</v>
      </c>
      <c r="G170" s="103">
        <f>$C170*VLOOKUP($B170,FoodDB!$A$2:$I$1018,6,0)</f>
        <v>0</v>
      </c>
      <c r="H170" s="103">
        <f>$C170*VLOOKUP($B170,FoodDB!$A$2:$I$1018,7,0)</f>
        <v>7.7142857142857153</v>
      </c>
      <c r="I170" s="103">
        <f>$C170*VLOOKUP($B170,FoodDB!$A$2:$I$1018,8,0)</f>
        <v>3.8571428571428577</v>
      </c>
      <c r="J170" s="103">
        <f>$C170*VLOOKUP($B170,FoodDB!$A$2:$I$1018,9,0)</f>
        <v>11.571428571428573</v>
      </c>
    </row>
    <row r="171" spans="1:23" x14ac:dyDescent="0.25">
      <c r="B171" s="99" t="s">
        <v>109</v>
      </c>
      <c r="C171" s="100">
        <v>0</v>
      </c>
      <c r="D171" s="103">
        <f>$C171*VLOOKUP($B171,FoodDB!$A$2:$I$1018,3,0)</f>
        <v>0</v>
      </c>
      <c r="E171" s="103">
        <f>$C171*VLOOKUP($B171,FoodDB!$A$2:$I$1018,4,0)</f>
        <v>0</v>
      </c>
      <c r="F171" s="103">
        <f>$C171*VLOOKUP($B171,FoodDB!$A$2:$I$1018,5,0)</f>
        <v>0</v>
      </c>
      <c r="G171" s="103">
        <f>$C171*VLOOKUP($B171,FoodDB!$A$2:$I$1018,6,0)</f>
        <v>0</v>
      </c>
      <c r="H171" s="103">
        <f>$C171*VLOOKUP($B171,FoodDB!$A$2:$I$1018,7,0)</f>
        <v>0</v>
      </c>
      <c r="I171" s="103">
        <f>$C171*VLOOKUP($B171,FoodDB!$A$2:$I$1018,8,0)</f>
        <v>0</v>
      </c>
      <c r="J171" s="103">
        <f>$C171*VLOOKUP($B171,FoodDB!$A$2:$I$1018,9,0)</f>
        <v>0</v>
      </c>
    </row>
    <row r="172" spans="1:23" x14ac:dyDescent="0.25">
      <c r="B172" s="99" t="s">
        <v>127</v>
      </c>
      <c r="C172" s="100">
        <v>1</v>
      </c>
      <c r="D172" s="103">
        <f>$C172*VLOOKUP($B172,FoodDB!$A$2:$I$1018,3,0)</f>
        <v>15</v>
      </c>
      <c r="E172" s="103">
        <f>$C172*VLOOKUP($B172,FoodDB!$A$2:$I$1018,4,0)</f>
        <v>2</v>
      </c>
      <c r="F172" s="103">
        <f>$C172*VLOOKUP($B172,FoodDB!$A$2:$I$1018,5,0)</f>
        <v>7</v>
      </c>
      <c r="G172" s="103">
        <f>$C172*VLOOKUP($B172,FoodDB!$A$2:$I$1018,6,0)</f>
        <v>135</v>
      </c>
      <c r="H172" s="103">
        <f>$C172*VLOOKUP($B172,FoodDB!$A$2:$I$1018,7,0)</f>
        <v>8</v>
      </c>
      <c r="I172" s="103">
        <f>$C172*VLOOKUP($B172,FoodDB!$A$2:$I$1018,8,0)</f>
        <v>28</v>
      </c>
      <c r="J172" s="103">
        <f>$C172*VLOOKUP($B172,FoodDB!$A$2:$I$1018,9,0)</f>
        <v>171</v>
      </c>
    </row>
    <row r="173" spans="1:23" x14ac:dyDescent="0.25">
      <c r="B173" s="99" t="s">
        <v>101</v>
      </c>
      <c r="C173" s="100">
        <v>1</v>
      </c>
      <c r="D173" s="103">
        <f>$C173*VLOOKUP($B173,FoodDB!$A$2:$I$1018,3,0)</f>
        <v>5</v>
      </c>
      <c r="E173" s="103">
        <f>$C173*VLOOKUP($B173,FoodDB!$A$2:$I$1018,4,0)</f>
        <v>0</v>
      </c>
      <c r="F173" s="103">
        <f>$C173*VLOOKUP($B173,FoodDB!$A$2:$I$1018,5,0)</f>
        <v>6</v>
      </c>
      <c r="G173" s="103">
        <f>$C173*VLOOKUP($B173,FoodDB!$A$2:$I$1018,6,0)</f>
        <v>45</v>
      </c>
      <c r="H173" s="103">
        <f>$C173*VLOOKUP($B173,FoodDB!$A$2:$I$1018,7,0)</f>
        <v>0</v>
      </c>
      <c r="I173" s="103">
        <f>$C173*VLOOKUP($B173,FoodDB!$A$2:$I$1018,8,0)</f>
        <v>24</v>
      </c>
      <c r="J173" s="103">
        <f>$C173*VLOOKUP($B173,FoodDB!$A$2:$I$1018,9,0)</f>
        <v>69</v>
      </c>
    </row>
    <row r="174" spans="1:23" x14ac:dyDescent="0.25">
      <c r="B174" s="99" t="s">
        <v>108</v>
      </c>
      <c r="C174" s="100">
        <v>0</v>
      </c>
      <c r="D174" s="103">
        <f>$C174*VLOOKUP($B174,FoodDB!$A$2:$I$1018,3,0)</f>
        <v>0</v>
      </c>
      <c r="E174" s="103">
        <f>$C174*VLOOKUP($B174,FoodDB!$A$2:$I$1018,4,0)</f>
        <v>0</v>
      </c>
      <c r="F174" s="103">
        <f>$C174*VLOOKUP($B174,FoodDB!$A$2:$I$1018,5,0)</f>
        <v>0</v>
      </c>
      <c r="G174" s="103">
        <f>$C174*VLOOKUP($B174,FoodDB!$A$2:$I$1018,6,0)</f>
        <v>0</v>
      </c>
      <c r="H174" s="103">
        <f>$C174*VLOOKUP($B174,FoodDB!$A$2:$I$1018,7,0)</f>
        <v>0</v>
      </c>
      <c r="I174" s="103">
        <f>$C174*VLOOKUP($B174,FoodDB!$A$2:$I$1018,8,0)</f>
        <v>0</v>
      </c>
      <c r="J174" s="103">
        <f>$C174*VLOOKUP($B174,FoodDB!$A$2:$I$1018,9,0)</f>
        <v>0</v>
      </c>
    </row>
    <row r="175" spans="1:23" x14ac:dyDescent="0.25">
      <c r="A175" t="s">
        <v>98</v>
      </c>
      <c r="D175" s="103"/>
      <c r="E175" s="103"/>
      <c r="F175" s="103"/>
      <c r="G175" s="103">
        <f>SUM(G167:G174)</f>
        <v>483.48</v>
      </c>
      <c r="H175" s="103">
        <f>SUM(H167:H174)</f>
        <v>43.714285714285715</v>
      </c>
      <c r="I175" s="103">
        <f>SUM(I167:I174)</f>
        <v>530.17714285714283</v>
      </c>
      <c r="J175" s="103">
        <f>SUM(G175:I175)</f>
        <v>1057.3714285714286</v>
      </c>
    </row>
    <row r="176" spans="1:23" x14ac:dyDescent="0.25">
      <c r="A176" t="s">
        <v>102</v>
      </c>
      <c r="B176" t="s">
        <v>103</v>
      </c>
      <c r="D176" s="103"/>
      <c r="E176" s="103"/>
      <c r="F176" s="103"/>
      <c r="G176" s="103">
        <f>VLOOKUP($A167,LossChart!$A$3:$AB$105,14,0)</f>
        <v>420.08308897287452</v>
      </c>
      <c r="H176" s="103">
        <f>VLOOKUP($A167,LossChart!$A$3:$AB$105,15,0)</f>
        <v>80</v>
      </c>
      <c r="I176" s="103">
        <f>VLOOKUP($A167,LossChart!$A$3:$AB$105,16,0)</f>
        <v>477.30407413615825</v>
      </c>
      <c r="J176" s="103">
        <f>VLOOKUP($A167,LossChart!$A$3:$AB$105,17,0)</f>
        <v>977.38716310903283</v>
      </c>
      <c r="K176" s="103"/>
    </row>
    <row r="177" spans="1:23" x14ac:dyDescent="0.25">
      <c r="A177" t="s">
        <v>104</v>
      </c>
      <c r="D177" s="103"/>
      <c r="E177" s="103"/>
      <c r="F177" s="103"/>
      <c r="G177" s="103">
        <f>G176-G175</f>
        <v>-63.396911027125498</v>
      </c>
      <c r="H177" s="103">
        <f>H176-H175</f>
        <v>36.285714285714285</v>
      </c>
      <c r="I177" s="103">
        <f>I176-I175</f>
        <v>-52.873068720984577</v>
      </c>
      <c r="J177" s="103">
        <f>J176-J175</f>
        <v>-79.984265462395797</v>
      </c>
    </row>
    <row r="179" spans="1:23" ht="60" x14ac:dyDescent="0.25">
      <c r="A179" s="26" t="s">
        <v>63</v>
      </c>
      <c r="B179" s="26" t="s">
        <v>93</v>
      </c>
      <c r="C179" s="26" t="s">
        <v>94</v>
      </c>
      <c r="D179" s="97" t="str">
        <f>FoodDB!$C$1</f>
        <v>Fat
(g)</v>
      </c>
      <c r="E179" s="97" t="str">
        <f>FoodDB!$D$1</f>
        <v xml:space="preserve"> Carbs
(g)</v>
      </c>
      <c r="F179" s="97" t="str">
        <f>FoodDB!$E$1</f>
        <v>Protein
(g)</v>
      </c>
      <c r="G179" s="97" t="str">
        <f>FoodDB!$F$1</f>
        <v>Fat
(Cal)</v>
      </c>
      <c r="H179" s="97" t="str">
        <f>FoodDB!$G$1</f>
        <v>Carb
(Cal)</v>
      </c>
      <c r="I179" s="97" t="str">
        <f>FoodDB!$H$1</f>
        <v>Protein
(Cal)</v>
      </c>
      <c r="J179" s="97" t="str">
        <f>FoodDB!$I$1</f>
        <v>Total
Calories</v>
      </c>
      <c r="K179" s="97"/>
      <c r="L179" s="97" t="s">
        <v>110</v>
      </c>
      <c r="M179" s="97" t="s">
        <v>111</v>
      </c>
      <c r="N179" s="97" t="s">
        <v>112</v>
      </c>
      <c r="O179" s="97" t="s">
        <v>113</v>
      </c>
      <c r="P179" s="97" t="s">
        <v>118</v>
      </c>
      <c r="Q179" s="97" t="s">
        <v>119</v>
      </c>
      <c r="R179" s="97" t="s">
        <v>120</v>
      </c>
      <c r="S179" s="97" t="s">
        <v>121</v>
      </c>
      <c r="T179" s="97"/>
      <c r="U179" s="97"/>
      <c r="V179" s="97"/>
      <c r="W179" s="97"/>
    </row>
    <row r="180" spans="1:23" x14ac:dyDescent="0.25">
      <c r="A180" s="98">
        <f>A167+1</f>
        <v>43009</v>
      </c>
      <c r="B180" s="99" t="s">
        <v>100</v>
      </c>
      <c r="C180" s="100">
        <v>7</v>
      </c>
      <c r="D180">
        <f>$C180*VLOOKUP($B180,FoodDB!$A$2:$I$1018,3,0)</f>
        <v>0</v>
      </c>
      <c r="E180">
        <f>$C180*VLOOKUP($B180,FoodDB!$A$2:$I$1018,4,0)</f>
        <v>7</v>
      </c>
      <c r="F180">
        <f>$C180*VLOOKUP($B180,FoodDB!$A$2:$I$1018,5,0)</f>
        <v>7</v>
      </c>
      <c r="G180">
        <f>$C180*VLOOKUP($B180,FoodDB!$A$2:$I$1018,6,0)</f>
        <v>0</v>
      </c>
      <c r="H180">
        <f>$C180*VLOOKUP($B180,FoodDB!$A$2:$I$1018,7,0)</f>
        <v>28</v>
      </c>
      <c r="I180">
        <f>$C180*VLOOKUP($B180,FoodDB!$A$2:$I$1018,8,0)</f>
        <v>28</v>
      </c>
      <c r="J180">
        <f>$C180*VLOOKUP($B180,FoodDB!$A$2:$I$1018,9,0)</f>
        <v>56</v>
      </c>
      <c r="L180">
        <f>SUM(G180:G186)</f>
        <v>504.9</v>
      </c>
      <c r="M180">
        <f>SUM(H180:H186)</f>
        <v>51.714285714285715</v>
      </c>
      <c r="N180">
        <f>SUM(I180:I186)</f>
        <v>487.85714285714283</v>
      </c>
      <c r="O180">
        <f>SUM(L180:N180)</f>
        <v>1044.4714285714285</v>
      </c>
      <c r="P180" s="103">
        <f>VLOOKUP($A180,LossChart!$A$3:$AB$105,14,0)-L180</f>
        <v>-77.45927597113598</v>
      </c>
      <c r="Q180" s="103">
        <f>VLOOKUP($A180,LossChart!$A$3:$AB$105,15,0)-M180</f>
        <v>28.285714285714285</v>
      </c>
      <c r="R180" s="103">
        <f>VLOOKUP($A180,LossChart!$A$3:$AB$105,16,0)-N180</f>
        <v>-10.553068720984584</v>
      </c>
      <c r="S180" s="103">
        <f>VLOOKUP($A180,LossChart!$A$3:$AB$105,17,0)-O180</f>
        <v>-59.72663040640623</v>
      </c>
      <c r="T180" s="103"/>
      <c r="U180" s="103"/>
      <c r="V180" s="103"/>
      <c r="W180" s="103"/>
    </row>
    <row r="181" spans="1:23" x14ac:dyDescent="0.25">
      <c r="B181" s="99" t="s">
        <v>99</v>
      </c>
      <c r="C181" s="100">
        <v>5</v>
      </c>
      <c r="D181">
        <f>$C181*VLOOKUP($B181,FoodDB!$A$2:$I$1018,3,0)</f>
        <v>30.9</v>
      </c>
      <c r="E181">
        <f>$C181*VLOOKUP($B181,FoodDB!$A$2:$I$1018,4,0)</f>
        <v>0</v>
      </c>
      <c r="F181">
        <f>$C181*VLOOKUP($B181,FoodDB!$A$2:$I$1018,5,0)</f>
        <v>42.599999999999994</v>
      </c>
      <c r="G181">
        <f>$C181*VLOOKUP($B181,FoodDB!$A$2:$I$1018,6,0)</f>
        <v>278.09999999999997</v>
      </c>
      <c r="H181">
        <f>$C181*VLOOKUP($B181,FoodDB!$A$2:$I$1018,7,0)</f>
        <v>0</v>
      </c>
      <c r="I181">
        <f>$C181*VLOOKUP($B181,FoodDB!$A$2:$I$1018,8,0)</f>
        <v>170.39999999999998</v>
      </c>
      <c r="J181">
        <f>$C181*VLOOKUP($B181,FoodDB!$A$2:$I$1018,9,0)</f>
        <v>448.49999999999994</v>
      </c>
    </row>
    <row r="182" spans="1:23" x14ac:dyDescent="0.25">
      <c r="B182" s="99" t="s">
        <v>126</v>
      </c>
      <c r="C182" s="100">
        <v>2</v>
      </c>
      <c r="D182">
        <f>$C182*VLOOKUP($B182,FoodDB!$A$2:$I$1018,3,0)</f>
        <v>7.2</v>
      </c>
      <c r="E182">
        <f>$C182*VLOOKUP($B182,FoodDB!$A$2:$I$1018,4,0)</f>
        <v>0</v>
      </c>
      <c r="F182">
        <f>$C182*VLOOKUP($B182,FoodDB!$A$2:$I$1018,5,0)</f>
        <v>62</v>
      </c>
      <c r="G182">
        <f>$C182*VLOOKUP($B182,FoodDB!$A$2:$I$1018,6,0)</f>
        <v>64.8</v>
      </c>
      <c r="H182">
        <f>$C182*VLOOKUP($B182,FoodDB!$A$2:$I$1018,7,0)</f>
        <v>0</v>
      </c>
      <c r="I182">
        <f>$C182*VLOOKUP($B182,FoodDB!$A$2:$I$1018,8,0)</f>
        <v>248</v>
      </c>
      <c r="J182">
        <f>$C182*VLOOKUP($B182,FoodDB!$A$2:$I$1018,9,0)</f>
        <v>312.8</v>
      </c>
    </row>
    <row r="183" spans="1:23" x14ac:dyDescent="0.25">
      <c r="B183" s="99" t="s">
        <v>96</v>
      </c>
      <c r="C183" s="100">
        <v>3</v>
      </c>
      <c r="D183">
        <f>$C183*VLOOKUP($B183,FoodDB!$A$2:$I$1018,3,0)</f>
        <v>0</v>
      </c>
      <c r="E183">
        <f>$C183*VLOOKUP($B183,FoodDB!$A$2:$I$1018,4,0)</f>
        <v>1.9285714285714288</v>
      </c>
      <c r="F183">
        <f>$C183*VLOOKUP($B183,FoodDB!$A$2:$I$1018,5,0)</f>
        <v>0.96428571428571441</v>
      </c>
      <c r="G183">
        <f>$C183*VLOOKUP($B183,FoodDB!$A$2:$I$1018,6,0)</f>
        <v>0</v>
      </c>
      <c r="H183">
        <f>$C183*VLOOKUP($B183,FoodDB!$A$2:$I$1018,7,0)</f>
        <v>7.7142857142857153</v>
      </c>
      <c r="I183">
        <f>$C183*VLOOKUP($B183,FoodDB!$A$2:$I$1018,8,0)</f>
        <v>3.8571428571428577</v>
      </c>
      <c r="J183">
        <f>$C183*VLOOKUP($B183,FoodDB!$A$2:$I$1018,9,0)</f>
        <v>11.571428571428573</v>
      </c>
    </row>
    <row r="184" spans="1:23" x14ac:dyDescent="0.25">
      <c r="B184" s="99" t="s">
        <v>97</v>
      </c>
      <c r="C184" s="100">
        <v>2</v>
      </c>
      <c r="D184">
        <f>$C184*VLOOKUP($B184,FoodDB!$A$2:$I$1018,3,0)</f>
        <v>18</v>
      </c>
      <c r="E184">
        <f>$C184*VLOOKUP($B184,FoodDB!$A$2:$I$1018,4,0)</f>
        <v>4</v>
      </c>
      <c r="F184">
        <f>$C184*VLOOKUP($B184,FoodDB!$A$2:$I$1018,5,0)</f>
        <v>9.4</v>
      </c>
      <c r="G184">
        <f>$C184*VLOOKUP($B184,FoodDB!$A$2:$I$1018,6,0)</f>
        <v>162</v>
      </c>
      <c r="H184">
        <f>$C184*VLOOKUP($B184,FoodDB!$A$2:$I$1018,7,0)</f>
        <v>16</v>
      </c>
      <c r="I184">
        <f>$C184*VLOOKUP($B184,FoodDB!$A$2:$I$1018,8,0)</f>
        <v>37.6</v>
      </c>
      <c r="J184">
        <f>$C184*VLOOKUP($B184,FoodDB!$A$2:$I$1018,9,0)</f>
        <v>215.6</v>
      </c>
    </row>
    <row r="185" spans="1:23" x14ac:dyDescent="0.25">
      <c r="B185" s="99" t="s">
        <v>108</v>
      </c>
      <c r="C185" s="100">
        <v>0</v>
      </c>
      <c r="D185">
        <f>$C185*VLOOKUP($B185,FoodDB!$A$2:$I$1018,3,0)</f>
        <v>0</v>
      </c>
      <c r="E185">
        <f>$C185*VLOOKUP($B185,FoodDB!$A$2:$I$1018,4,0)</f>
        <v>0</v>
      </c>
      <c r="F185">
        <f>$C185*VLOOKUP($B185,FoodDB!$A$2:$I$1018,5,0)</f>
        <v>0</v>
      </c>
      <c r="G185">
        <f>$C185*VLOOKUP($B185,FoodDB!$A$2:$I$1018,6,0)</f>
        <v>0</v>
      </c>
      <c r="H185">
        <f>$C185*VLOOKUP($B185,FoodDB!$A$2:$I$1018,7,0)</f>
        <v>0</v>
      </c>
      <c r="I185">
        <f>$C185*VLOOKUP($B185,FoodDB!$A$2:$I$1018,8,0)</f>
        <v>0</v>
      </c>
      <c r="J185">
        <f>$C185*VLOOKUP($B185,FoodDB!$A$2:$I$1018,9,0)</f>
        <v>0</v>
      </c>
    </row>
    <row r="186" spans="1:23" x14ac:dyDescent="0.25">
      <c r="B186" s="99" t="s">
        <v>108</v>
      </c>
      <c r="C186" s="100">
        <v>0</v>
      </c>
      <c r="D186">
        <f>$C186*VLOOKUP($B186,FoodDB!$A$2:$I$1018,3,0)</f>
        <v>0</v>
      </c>
      <c r="E186">
        <f>$C186*VLOOKUP($B186,FoodDB!$A$2:$I$1018,4,0)</f>
        <v>0</v>
      </c>
      <c r="F186">
        <f>$C186*VLOOKUP($B186,FoodDB!$A$2:$I$1018,5,0)</f>
        <v>0</v>
      </c>
      <c r="G186">
        <f>$C186*VLOOKUP($B186,FoodDB!$A$2:$I$1018,6,0)</f>
        <v>0</v>
      </c>
      <c r="H186">
        <f>$C186*VLOOKUP($B186,FoodDB!$A$2:$I$1018,7,0)</f>
        <v>0</v>
      </c>
      <c r="I186">
        <f>$C186*VLOOKUP($B186,FoodDB!$A$2:$I$1018,8,0)</f>
        <v>0</v>
      </c>
      <c r="J186">
        <f>$C186*VLOOKUP($B186,FoodDB!$A$2:$I$1018,9,0)</f>
        <v>0</v>
      </c>
    </row>
    <row r="187" spans="1:23" x14ac:dyDescent="0.25">
      <c r="A187" t="s">
        <v>98</v>
      </c>
      <c r="G187">
        <f>SUM(G180:G186)</f>
        <v>504.9</v>
      </c>
      <c r="H187">
        <f>SUM(H180:H186)</f>
        <v>51.714285714285715</v>
      </c>
      <c r="I187">
        <f>SUM(I180:I186)</f>
        <v>487.85714285714283</v>
      </c>
      <c r="J187">
        <f>SUM(G187:I187)</f>
        <v>1044.4714285714285</v>
      </c>
    </row>
    <row r="188" spans="1:23" x14ac:dyDescent="0.25">
      <c r="A188" t="s">
        <v>102</v>
      </c>
      <c r="B188" t="s">
        <v>103</v>
      </c>
      <c r="E188" s="103"/>
      <c r="F188" s="103"/>
      <c r="G188" s="103">
        <f>VLOOKUP($A180,LossChart!$A$3:$AB$105,14,0)</f>
        <v>427.440724028864</v>
      </c>
      <c r="H188" s="103">
        <f>VLOOKUP($A180,LossChart!$A$3:$AB$105,15,0)</f>
        <v>80</v>
      </c>
      <c r="I188" s="103">
        <f>VLOOKUP($A180,LossChart!$A$3:$AB$105,16,0)</f>
        <v>477.30407413615825</v>
      </c>
      <c r="J188" s="103">
        <f>VLOOKUP($A180,LossChart!$A$3:$AB$105,17,0)</f>
        <v>984.7447981650223</v>
      </c>
      <c r="K188" s="103"/>
    </row>
    <row r="189" spans="1:23" x14ac:dyDescent="0.25">
      <c r="A189" t="s">
        <v>104</v>
      </c>
      <c r="G189">
        <f>G188-G187</f>
        <v>-77.45927597113598</v>
      </c>
      <c r="H189">
        <f>H188-H187</f>
        <v>28.285714285714285</v>
      </c>
      <c r="I189">
        <f>I188-I187</f>
        <v>-10.553068720984584</v>
      </c>
      <c r="J189">
        <f>J188-J187</f>
        <v>-59.72663040640623</v>
      </c>
    </row>
    <row r="191" spans="1:23" ht="60" x14ac:dyDescent="0.25">
      <c r="A191" s="26" t="s">
        <v>63</v>
      </c>
      <c r="B191" s="26" t="s">
        <v>93</v>
      </c>
      <c r="C191" s="26" t="s">
        <v>94</v>
      </c>
      <c r="D191" s="97" t="str">
        <f>FoodDB!$C$1</f>
        <v>Fat
(g)</v>
      </c>
      <c r="E191" s="97" t="str">
        <f>FoodDB!$D$1</f>
        <v xml:space="preserve"> Carbs
(g)</v>
      </c>
      <c r="F191" s="97" t="str">
        <f>FoodDB!$E$1</f>
        <v>Protein
(g)</v>
      </c>
      <c r="G191" s="97" t="str">
        <f>FoodDB!$F$1</f>
        <v>Fat
(Cal)</v>
      </c>
      <c r="H191" s="97" t="str">
        <f>FoodDB!$G$1</f>
        <v>Carb
(Cal)</v>
      </c>
      <c r="I191" s="97" t="str">
        <f>FoodDB!$H$1</f>
        <v>Protein
(Cal)</v>
      </c>
      <c r="J191" s="97" t="str">
        <f>FoodDB!$I$1</f>
        <v>Total
Calories</v>
      </c>
      <c r="K191" s="97"/>
      <c r="L191" s="97" t="s">
        <v>110</v>
      </c>
      <c r="M191" s="97" t="s">
        <v>111</v>
      </c>
      <c r="N191" s="97" t="s">
        <v>112</v>
      </c>
      <c r="O191" s="97" t="s">
        <v>113</v>
      </c>
      <c r="P191" s="97" t="s">
        <v>118</v>
      </c>
      <c r="Q191" s="97" t="s">
        <v>119</v>
      </c>
      <c r="R191" s="97" t="s">
        <v>120</v>
      </c>
      <c r="S191" s="97" t="s">
        <v>121</v>
      </c>
      <c r="T191" s="97"/>
      <c r="U191" s="97"/>
      <c r="V191" s="97"/>
      <c r="W191" s="97"/>
    </row>
    <row r="192" spans="1:23" x14ac:dyDescent="0.25">
      <c r="A192" s="98">
        <f>A180+1</f>
        <v>43010</v>
      </c>
      <c r="B192" s="99" t="s">
        <v>100</v>
      </c>
      <c r="C192" s="100">
        <v>7</v>
      </c>
      <c r="D192">
        <f>$C192*VLOOKUP($B192,FoodDB!$A$2:$I$1018,3,0)</f>
        <v>0</v>
      </c>
      <c r="E192">
        <f>$C192*VLOOKUP($B192,FoodDB!$A$2:$I$1018,4,0)</f>
        <v>7</v>
      </c>
      <c r="F192">
        <f>$C192*VLOOKUP($B192,FoodDB!$A$2:$I$1018,5,0)</f>
        <v>7</v>
      </c>
      <c r="G192">
        <f>$C192*VLOOKUP($B192,FoodDB!$A$2:$I$1018,6,0)</f>
        <v>0</v>
      </c>
      <c r="H192">
        <f>$C192*VLOOKUP($B192,FoodDB!$A$2:$I$1018,7,0)</f>
        <v>28</v>
      </c>
      <c r="I192">
        <f>$C192*VLOOKUP($B192,FoodDB!$A$2:$I$1018,8,0)</f>
        <v>28</v>
      </c>
      <c r="J192">
        <f>$C192*VLOOKUP($B192,FoodDB!$A$2:$I$1018,9,0)</f>
        <v>56</v>
      </c>
      <c r="L192">
        <f>SUM(G192:G198)</f>
        <v>504.9</v>
      </c>
      <c r="M192">
        <f>SUM(H192:H198)</f>
        <v>51.714285714285715</v>
      </c>
      <c r="N192">
        <f>SUM(I192:I198)</f>
        <v>487.85714285714283</v>
      </c>
      <c r="O192">
        <f>SUM(L192:N192)</f>
        <v>1044.4714285714285</v>
      </c>
      <c r="P192" s="103">
        <f>VLOOKUP($A192,LossChart!$A$3:$AB$105,14,0)-L192</f>
        <v>-70.059402575942954</v>
      </c>
      <c r="Q192" s="103">
        <f>VLOOKUP($A192,LossChart!$A$3:$AB$105,15,0)-M192</f>
        <v>28.285714285714285</v>
      </c>
      <c r="R192" s="103">
        <f>VLOOKUP($A192,LossChart!$A$3:$AB$105,16,0)-N192</f>
        <v>-10.553068720984584</v>
      </c>
      <c r="S192" s="103">
        <f>VLOOKUP($A192,LossChart!$A$3:$AB$105,17,0)-O192</f>
        <v>-52.326757011213203</v>
      </c>
      <c r="T192" s="103"/>
      <c r="U192" s="103"/>
      <c r="V192" s="103"/>
      <c r="W192" s="103"/>
    </row>
    <row r="193" spans="1:23" x14ac:dyDescent="0.25">
      <c r="B193" s="99" t="s">
        <v>99</v>
      </c>
      <c r="C193" s="100">
        <v>5</v>
      </c>
      <c r="D193">
        <f>$C193*VLOOKUP($B193,FoodDB!$A$2:$I$1018,3,0)</f>
        <v>30.9</v>
      </c>
      <c r="E193">
        <f>$C193*VLOOKUP($B193,FoodDB!$A$2:$I$1018,4,0)</f>
        <v>0</v>
      </c>
      <c r="F193">
        <f>$C193*VLOOKUP($B193,FoodDB!$A$2:$I$1018,5,0)</f>
        <v>42.599999999999994</v>
      </c>
      <c r="G193">
        <f>$C193*VLOOKUP($B193,FoodDB!$A$2:$I$1018,6,0)</f>
        <v>278.09999999999997</v>
      </c>
      <c r="H193">
        <f>$C193*VLOOKUP($B193,FoodDB!$A$2:$I$1018,7,0)</f>
        <v>0</v>
      </c>
      <c r="I193">
        <f>$C193*VLOOKUP($B193,FoodDB!$A$2:$I$1018,8,0)</f>
        <v>170.39999999999998</v>
      </c>
      <c r="J193">
        <f>$C193*VLOOKUP($B193,FoodDB!$A$2:$I$1018,9,0)</f>
        <v>448.49999999999994</v>
      </c>
    </row>
    <row r="194" spans="1:23" x14ac:dyDescent="0.25">
      <c r="B194" s="99" t="s">
        <v>126</v>
      </c>
      <c r="C194" s="100">
        <v>2</v>
      </c>
      <c r="D194">
        <f>$C194*VLOOKUP($B194,FoodDB!$A$2:$I$1018,3,0)</f>
        <v>7.2</v>
      </c>
      <c r="E194">
        <f>$C194*VLOOKUP($B194,FoodDB!$A$2:$I$1018,4,0)</f>
        <v>0</v>
      </c>
      <c r="F194">
        <f>$C194*VLOOKUP($B194,FoodDB!$A$2:$I$1018,5,0)</f>
        <v>62</v>
      </c>
      <c r="G194">
        <f>$C194*VLOOKUP($B194,FoodDB!$A$2:$I$1018,6,0)</f>
        <v>64.8</v>
      </c>
      <c r="H194">
        <f>$C194*VLOOKUP($B194,FoodDB!$A$2:$I$1018,7,0)</f>
        <v>0</v>
      </c>
      <c r="I194">
        <f>$C194*VLOOKUP($B194,FoodDB!$A$2:$I$1018,8,0)</f>
        <v>248</v>
      </c>
      <c r="J194">
        <f>$C194*VLOOKUP($B194,FoodDB!$A$2:$I$1018,9,0)</f>
        <v>312.8</v>
      </c>
    </row>
    <row r="195" spans="1:23" x14ac:dyDescent="0.25">
      <c r="B195" s="99" t="s">
        <v>96</v>
      </c>
      <c r="C195" s="100">
        <v>3</v>
      </c>
      <c r="D195">
        <f>$C195*VLOOKUP($B195,FoodDB!$A$2:$I$1018,3,0)</f>
        <v>0</v>
      </c>
      <c r="E195">
        <f>$C195*VLOOKUP($B195,FoodDB!$A$2:$I$1018,4,0)</f>
        <v>1.9285714285714288</v>
      </c>
      <c r="F195">
        <f>$C195*VLOOKUP($B195,FoodDB!$A$2:$I$1018,5,0)</f>
        <v>0.96428571428571441</v>
      </c>
      <c r="G195">
        <f>$C195*VLOOKUP($B195,FoodDB!$A$2:$I$1018,6,0)</f>
        <v>0</v>
      </c>
      <c r="H195">
        <f>$C195*VLOOKUP($B195,FoodDB!$A$2:$I$1018,7,0)</f>
        <v>7.7142857142857153</v>
      </c>
      <c r="I195">
        <f>$C195*VLOOKUP($B195,FoodDB!$A$2:$I$1018,8,0)</f>
        <v>3.8571428571428577</v>
      </c>
      <c r="J195">
        <f>$C195*VLOOKUP($B195,FoodDB!$A$2:$I$1018,9,0)</f>
        <v>11.571428571428573</v>
      </c>
    </row>
    <row r="196" spans="1:23" x14ac:dyDescent="0.25">
      <c r="B196" s="99" t="s">
        <v>97</v>
      </c>
      <c r="C196" s="100">
        <v>2</v>
      </c>
      <c r="D196">
        <f>$C196*VLOOKUP($B196,FoodDB!$A$2:$I$1018,3,0)</f>
        <v>18</v>
      </c>
      <c r="E196">
        <f>$C196*VLOOKUP($B196,FoodDB!$A$2:$I$1018,4,0)</f>
        <v>4</v>
      </c>
      <c r="F196">
        <f>$C196*VLOOKUP($B196,FoodDB!$A$2:$I$1018,5,0)</f>
        <v>9.4</v>
      </c>
      <c r="G196">
        <f>$C196*VLOOKUP($B196,FoodDB!$A$2:$I$1018,6,0)</f>
        <v>162</v>
      </c>
      <c r="H196">
        <f>$C196*VLOOKUP($B196,FoodDB!$A$2:$I$1018,7,0)</f>
        <v>16</v>
      </c>
      <c r="I196">
        <f>$C196*VLOOKUP($B196,FoodDB!$A$2:$I$1018,8,0)</f>
        <v>37.6</v>
      </c>
      <c r="J196">
        <f>$C196*VLOOKUP($B196,FoodDB!$A$2:$I$1018,9,0)</f>
        <v>215.6</v>
      </c>
    </row>
    <row r="197" spans="1:23" x14ac:dyDescent="0.25">
      <c r="B197" s="99" t="s">
        <v>108</v>
      </c>
      <c r="C197" s="100">
        <v>0</v>
      </c>
      <c r="D197">
        <f>$C197*VLOOKUP($B197,FoodDB!$A$2:$I$1018,3,0)</f>
        <v>0</v>
      </c>
      <c r="E197">
        <f>$C197*VLOOKUP($B197,FoodDB!$A$2:$I$1018,4,0)</f>
        <v>0</v>
      </c>
      <c r="F197">
        <f>$C197*VLOOKUP($B197,FoodDB!$A$2:$I$1018,5,0)</f>
        <v>0</v>
      </c>
      <c r="G197">
        <f>$C197*VLOOKUP($B197,FoodDB!$A$2:$I$1018,6,0)</f>
        <v>0</v>
      </c>
      <c r="H197">
        <f>$C197*VLOOKUP($B197,FoodDB!$A$2:$I$1018,7,0)</f>
        <v>0</v>
      </c>
      <c r="I197">
        <f>$C197*VLOOKUP($B197,FoodDB!$A$2:$I$1018,8,0)</f>
        <v>0</v>
      </c>
      <c r="J197">
        <f>$C197*VLOOKUP($B197,FoodDB!$A$2:$I$1018,9,0)</f>
        <v>0</v>
      </c>
    </row>
    <row r="198" spans="1:23" x14ac:dyDescent="0.25">
      <c r="B198" s="99" t="s">
        <v>108</v>
      </c>
      <c r="C198" s="100">
        <v>0</v>
      </c>
      <c r="D198">
        <f>$C198*VLOOKUP($B198,FoodDB!$A$2:$I$1018,3,0)</f>
        <v>0</v>
      </c>
      <c r="E198">
        <f>$C198*VLOOKUP($B198,FoodDB!$A$2:$I$1018,4,0)</f>
        <v>0</v>
      </c>
      <c r="F198">
        <f>$C198*VLOOKUP($B198,FoodDB!$A$2:$I$1018,5,0)</f>
        <v>0</v>
      </c>
      <c r="G198">
        <f>$C198*VLOOKUP($B198,FoodDB!$A$2:$I$1018,6,0)</f>
        <v>0</v>
      </c>
      <c r="H198">
        <f>$C198*VLOOKUP($B198,FoodDB!$A$2:$I$1018,7,0)</f>
        <v>0</v>
      </c>
      <c r="I198">
        <f>$C198*VLOOKUP($B198,FoodDB!$A$2:$I$1018,8,0)</f>
        <v>0</v>
      </c>
      <c r="J198">
        <f>$C198*VLOOKUP($B198,FoodDB!$A$2:$I$1018,9,0)</f>
        <v>0</v>
      </c>
    </row>
    <row r="199" spans="1:23" x14ac:dyDescent="0.25">
      <c r="A199" t="s">
        <v>98</v>
      </c>
      <c r="G199">
        <f>SUM(G192:G198)</f>
        <v>504.9</v>
      </c>
      <c r="H199">
        <f>SUM(H192:H198)</f>
        <v>51.714285714285715</v>
      </c>
      <c r="I199">
        <f>SUM(I192:I198)</f>
        <v>487.85714285714283</v>
      </c>
      <c r="J199">
        <f>SUM(G199:I199)</f>
        <v>1044.4714285714285</v>
      </c>
    </row>
    <row r="200" spans="1:23" x14ac:dyDescent="0.25">
      <c r="A200" t="s">
        <v>102</v>
      </c>
      <c r="B200" t="s">
        <v>103</v>
      </c>
      <c r="E200" s="103"/>
      <c r="F200" s="103"/>
      <c r="G200" s="103">
        <f>VLOOKUP($A192,LossChart!$A$3:$AB$105,14,0)</f>
        <v>434.84059742405702</v>
      </c>
      <c r="H200" s="103">
        <f>VLOOKUP($A192,LossChart!$A$3:$AB$105,15,0)</f>
        <v>80</v>
      </c>
      <c r="I200" s="103">
        <f>VLOOKUP($A192,LossChart!$A$3:$AB$105,16,0)</f>
        <v>477.30407413615825</v>
      </c>
      <c r="J200" s="103">
        <f>VLOOKUP($A192,LossChart!$A$3:$AB$105,17,0)</f>
        <v>992.14467156021533</v>
      </c>
      <c r="K200" s="103"/>
    </row>
    <row r="201" spans="1:23" x14ac:dyDescent="0.25">
      <c r="A201" t="s">
        <v>104</v>
      </c>
      <c r="G201">
        <f>G200-G199</f>
        <v>-70.059402575942954</v>
      </c>
      <c r="H201">
        <f>H200-H199</f>
        <v>28.285714285714285</v>
      </c>
      <c r="I201">
        <f>I200-I199</f>
        <v>-10.553068720984584</v>
      </c>
      <c r="J201">
        <f>J200-J199</f>
        <v>-52.326757011213203</v>
      </c>
    </row>
    <row r="203" spans="1:23" ht="60" x14ac:dyDescent="0.25">
      <c r="A203" s="26" t="s">
        <v>63</v>
      </c>
      <c r="B203" s="26" t="s">
        <v>93</v>
      </c>
      <c r="C203" s="26" t="s">
        <v>94</v>
      </c>
      <c r="D203" s="97" t="str">
        <f>FoodDB!$C$1</f>
        <v>Fat
(g)</v>
      </c>
      <c r="E203" s="97" t="str">
        <f>FoodDB!$D$1</f>
        <v xml:space="preserve"> Carbs
(g)</v>
      </c>
      <c r="F203" s="97" t="str">
        <f>FoodDB!$E$1</f>
        <v>Protein
(g)</v>
      </c>
      <c r="G203" s="97" t="str">
        <f>FoodDB!$F$1</f>
        <v>Fat
(Cal)</v>
      </c>
      <c r="H203" s="97" t="str">
        <f>FoodDB!$G$1</f>
        <v>Carb
(Cal)</v>
      </c>
      <c r="I203" s="97" t="str">
        <f>FoodDB!$H$1</f>
        <v>Protein
(Cal)</v>
      </c>
      <c r="J203" s="97" t="str">
        <f>FoodDB!$I$1</f>
        <v>Total
Calories</v>
      </c>
      <c r="K203" s="97"/>
      <c r="L203" s="97" t="s">
        <v>110</v>
      </c>
      <c r="M203" s="97" t="s">
        <v>111</v>
      </c>
      <c r="N203" s="97" t="s">
        <v>112</v>
      </c>
      <c r="O203" s="97" t="s">
        <v>113</v>
      </c>
      <c r="P203" s="97" t="s">
        <v>118</v>
      </c>
      <c r="Q203" s="97" t="s">
        <v>119</v>
      </c>
      <c r="R203" s="97" t="s">
        <v>120</v>
      </c>
      <c r="S203" s="97" t="s">
        <v>121</v>
      </c>
      <c r="T203" s="97"/>
      <c r="U203" s="97"/>
      <c r="V203" s="97"/>
      <c r="W203" s="97"/>
    </row>
    <row r="204" spans="1:23" x14ac:dyDescent="0.25">
      <c r="A204" s="98">
        <f>A192+1</f>
        <v>43011</v>
      </c>
      <c r="B204" s="99" t="s">
        <v>126</v>
      </c>
      <c r="C204" s="100">
        <v>3</v>
      </c>
      <c r="D204">
        <f>$C204*VLOOKUP($B204,FoodDB!$A$2:$I$1018,3,0)</f>
        <v>10.8</v>
      </c>
      <c r="E204">
        <f>$C204*VLOOKUP($B204,FoodDB!$A$2:$I$1018,4,0)</f>
        <v>0</v>
      </c>
      <c r="F204">
        <f>$C204*VLOOKUP($B204,FoodDB!$A$2:$I$1018,5,0)</f>
        <v>93</v>
      </c>
      <c r="G204">
        <f>$C204*VLOOKUP($B204,FoodDB!$A$2:$I$1018,6,0)</f>
        <v>97.199999999999989</v>
      </c>
      <c r="H204">
        <f>$C204*VLOOKUP($B204,FoodDB!$A$2:$I$1018,7,0)</f>
        <v>0</v>
      </c>
      <c r="I204">
        <f>$C204*VLOOKUP($B204,FoodDB!$A$2:$I$1018,8,0)</f>
        <v>372</v>
      </c>
      <c r="J204">
        <f>$C204*VLOOKUP($B204,FoodDB!$A$2:$I$1018,9,0)</f>
        <v>469.20000000000005</v>
      </c>
      <c r="L204">
        <f>SUM(G204:G213)</f>
        <v>426.6</v>
      </c>
      <c r="M204">
        <f>SUM(H204:H213)</f>
        <v>70.95</v>
      </c>
      <c r="N204">
        <f>SUM(I204:I213)</f>
        <v>511.6</v>
      </c>
      <c r="O204">
        <f>SUM(L204:N204)</f>
        <v>1009.1500000000001</v>
      </c>
      <c r="P204" s="103">
        <f>VLOOKUP($A204,LossChart!$A$3:$AB$105,14,0)-L204</f>
        <v>15.614163205965838</v>
      </c>
      <c r="Q204" s="103">
        <f>VLOOKUP($A204,LossChart!$A$3:$AB$105,15,0)-M204</f>
        <v>9.0499999999999972</v>
      </c>
      <c r="R204" s="103">
        <f>VLOOKUP($A204,LossChart!$A$3:$AB$105,16,0)-N204</f>
        <v>-34.295925863841774</v>
      </c>
      <c r="S204" s="103">
        <f>VLOOKUP($A204,LossChart!$A$3:$AB$105,17,0)-O204</f>
        <v>-9.6317626578759246</v>
      </c>
      <c r="T204" s="103"/>
      <c r="U204" s="103"/>
      <c r="V204" s="103"/>
      <c r="W204" s="103"/>
    </row>
    <row r="205" spans="1:23" x14ac:dyDescent="0.25">
      <c r="B205" s="99" t="s">
        <v>100</v>
      </c>
      <c r="C205" s="100">
        <v>7</v>
      </c>
      <c r="D205">
        <f>$C205*VLOOKUP($B205,FoodDB!$A$2:$I$1018,3,0)</f>
        <v>0</v>
      </c>
      <c r="E205">
        <f>$C205*VLOOKUP($B205,FoodDB!$A$2:$I$1018,4,0)</f>
        <v>7</v>
      </c>
      <c r="F205">
        <f>$C205*VLOOKUP($B205,FoodDB!$A$2:$I$1018,5,0)</f>
        <v>7</v>
      </c>
      <c r="G205">
        <f>$C205*VLOOKUP($B205,FoodDB!$A$2:$I$1018,6,0)</f>
        <v>0</v>
      </c>
      <c r="H205">
        <f>$C205*VLOOKUP($B205,FoodDB!$A$2:$I$1018,7,0)</f>
        <v>28</v>
      </c>
      <c r="I205">
        <f>$C205*VLOOKUP($B205,FoodDB!$A$2:$I$1018,8,0)</f>
        <v>28</v>
      </c>
      <c r="J205">
        <f>$C205*VLOOKUP($B205,FoodDB!$A$2:$I$1018,9,0)</f>
        <v>56</v>
      </c>
    </row>
    <row r="206" spans="1:23" x14ac:dyDescent="0.25">
      <c r="B206" s="99" t="s">
        <v>126</v>
      </c>
      <c r="C206" s="100">
        <v>0</v>
      </c>
      <c r="D206">
        <f>$C206*VLOOKUP($B206,FoodDB!$A$2:$I$1018,3,0)</f>
        <v>0</v>
      </c>
      <c r="E206">
        <f>$C206*VLOOKUP($B206,FoodDB!$A$2:$I$1018,4,0)</f>
        <v>0</v>
      </c>
      <c r="F206">
        <f>$C206*VLOOKUP($B206,FoodDB!$A$2:$I$1018,5,0)</f>
        <v>0</v>
      </c>
      <c r="G206">
        <f>$C206*VLOOKUP($B206,FoodDB!$A$2:$I$1018,6,0)</f>
        <v>0</v>
      </c>
      <c r="H206">
        <f>$C206*VLOOKUP($B206,FoodDB!$A$2:$I$1018,7,0)</f>
        <v>0</v>
      </c>
      <c r="I206">
        <f>$C206*VLOOKUP($B206,FoodDB!$A$2:$I$1018,8,0)</f>
        <v>0</v>
      </c>
      <c r="J206">
        <f>$C206*VLOOKUP($B206,FoodDB!$A$2:$I$1018,9,0)</f>
        <v>0</v>
      </c>
    </row>
    <row r="207" spans="1:23" x14ac:dyDescent="0.25">
      <c r="B207" s="99" t="s">
        <v>129</v>
      </c>
      <c r="C207" s="100">
        <v>1</v>
      </c>
      <c r="D207">
        <f>$C207*VLOOKUP($B207,FoodDB!$A$2:$I$1018,3,0)</f>
        <v>0.6</v>
      </c>
      <c r="E207">
        <f>$C207*VLOOKUP($B207,FoodDB!$A$2:$I$1018,4,0)</f>
        <v>4.9000000000000004</v>
      </c>
      <c r="F207">
        <f>$C207*VLOOKUP($B207,FoodDB!$A$2:$I$1018,5,0)</f>
        <v>2.4</v>
      </c>
      <c r="G207">
        <f>$C207*VLOOKUP($B207,FoodDB!$A$2:$I$1018,6,0)</f>
        <v>5.3999999999999995</v>
      </c>
      <c r="H207">
        <f>$C207*VLOOKUP($B207,FoodDB!$A$2:$I$1018,7,0)</f>
        <v>19.600000000000001</v>
      </c>
      <c r="I207">
        <f>$C207*VLOOKUP($B207,FoodDB!$A$2:$I$1018,8,0)</f>
        <v>9.6</v>
      </c>
      <c r="J207">
        <f>$C207*VLOOKUP($B207,FoodDB!$A$2:$I$1018,9,0)</f>
        <v>34.6</v>
      </c>
    </row>
    <row r="208" spans="1:23" x14ac:dyDescent="0.25">
      <c r="B208" s="99" t="s">
        <v>130</v>
      </c>
      <c r="C208" s="100">
        <v>0.25</v>
      </c>
      <c r="D208">
        <f>$C208*VLOOKUP($B208,FoodDB!$A$2:$I$1018,3,0)</f>
        <v>0</v>
      </c>
      <c r="E208">
        <f>$C208*VLOOKUP($B208,FoodDB!$A$2:$I$1018,4,0)</f>
        <v>1.3374999999999999</v>
      </c>
      <c r="F208">
        <f>$C208*VLOOKUP($B208,FoodDB!$A$2:$I$1018,5,0)</f>
        <v>0</v>
      </c>
      <c r="G208">
        <f>$C208*VLOOKUP($B208,FoodDB!$A$2:$I$1018,6,0)</f>
        <v>0</v>
      </c>
      <c r="H208">
        <f>$C208*VLOOKUP($B208,FoodDB!$A$2:$I$1018,7,0)</f>
        <v>5.35</v>
      </c>
      <c r="I208">
        <f>$C208*VLOOKUP($B208,FoodDB!$A$2:$I$1018,8,0)</f>
        <v>0</v>
      </c>
      <c r="J208">
        <f>$C208*VLOOKUP($B208,FoodDB!$A$2:$I$1018,9,0)</f>
        <v>5.35</v>
      </c>
    </row>
    <row r="209" spans="1:23" x14ac:dyDescent="0.25">
      <c r="B209" s="99" t="s">
        <v>131</v>
      </c>
      <c r="C209" s="100">
        <v>0.5</v>
      </c>
      <c r="D209">
        <f>$C209*VLOOKUP($B209,FoodDB!$A$2:$I$1018,3,0)</f>
        <v>3.5</v>
      </c>
      <c r="E209">
        <f>$C209*VLOOKUP($B209,FoodDB!$A$2:$I$1018,4,0)</f>
        <v>1.5</v>
      </c>
      <c r="F209">
        <f>$C209*VLOOKUP($B209,FoodDB!$A$2:$I$1018,5,0)</f>
        <v>0.5</v>
      </c>
      <c r="G209">
        <f>$C209*VLOOKUP($B209,FoodDB!$A$2:$I$1018,6,0)</f>
        <v>31.5</v>
      </c>
      <c r="H209">
        <f>$C209*VLOOKUP($B209,FoodDB!$A$2:$I$1018,7,0)</f>
        <v>6</v>
      </c>
      <c r="I209">
        <f>$C209*VLOOKUP($B209,FoodDB!$A$2:$I$1018,8,0)</f>
        <v>2</v>
      </c>
      <c r="J209">
        <f>$C209*VLOOKUP($B209,FoodDB!$A$2:$I$1018,9,0)</f>
        <v>39.5</v>
      </c>
    </row>
    <row r="210" spans="1:23" x14ac:dyDescent="0.25">
      <c r="B210" s="99" t="s">
        <v>132</v>
      </c>
      <c r="C210" s="100">
        <v>1</v>
      </c>
      <c r="D210">
        <f>$C210*VLOOKUP($B210,FoodDB!$A$2:$I$1018,3,0)</f>
        <v>0.5</v>
      </c>
      <c r="E210">
        <f>$C210*VLOOKUP($B210,FoodDB!$A$2:$I$1018,4,0)</f>
        <v>1</v>
      </c>
      <c r="F210">
        <f>$C210*VLOOKUP($B210,FoodDB!$A$2:$I$1018,5,0)</f>
        <v>12</v>
      </c>
      <c r="G210">
        <f>$C210*VLOOKUP($B210,FoodDB!$A$2:$I$1018,6,0)</f>
        <v>4.5</v>
      </c>
      <c r="H210">
        <f>$C210*VLOOKUP($B210,FoodDB!$A$2:$I$1018,7,0)</f>
        <v>4</v>
      </c>
      <c r="I210">
        <f>$C210*VLOOKUP($B210,FoodDB!$A$2:$I$1018,8,0)</f>
        <v>48</v>
      </c>
      <c r="J210">
        <f>$C210*VLOOKUP($B210,FoodDB!$A$2:$I$1018,9,0)</f>
        <v>56.5</v>
      </c>
    </row>
    <row r="211" spans="1:23" x14ac:dyDescent="0.25">
      <c r="B211" s="99" t="s">
        <v>127</v>
      </c>
      <c r="C211" s="100">
        <v>1</v>
      </c>
      <c r="D211">
        <f>$C211*VLOOKUP($B211,FoodDB!$A$2:$I$1018,3,0)</f>
        <v>15</v>
      </c>
      <c r="E211">
        <f>$C211*VLOOKUP($B211,FoodDB!$A$2:$I$1018,4,0)</f>
        <v>2</v>
      </c>
      <c r="F211">
        <f>$C211*VLOOKUP($B211,FoodDB!$A$2:$I$1018,5,0)</f>
        <v>7</v>
      </c>
      <c r="G211">
        <f>$C211*VLOOKUP($B211,FoodDB!$A$2:$I$1018,6,0)</f>
        <v>135</v>
      </c>
      <c r="H211">
        <f>$C211*VLOOKUP($B211,FoodDB!$A$2:$I$1018,7,0)</f>
        <v>8</v>
      </c>
      <c r="I211">
        <f>$C211*VLOOKUP($B211,FoodDB!$A$2:$I$1018,8,0)</f>
        <v>28</v>
      </c>
      <c r="J211">
        <f>$C211*VLOOKUP($B211,FoodDB!$A$2:$I$1018,9,0)</f>
        <v>171</v>
      </c>
    </row>
    <row r="212" spans="1:23" x14ac:dyDescent="0.25">
      <c r="B212" s="99" t="s">
        <v>101</v>
      </c>
      <c r="C212" s="100">
        <v>1</v>
      </c>
      <c r="D212">
        <f>$C212*VLOOKUP($B212,FoodDB!$A$2:$I$1018,3,0)</f>
        <v>5</v>
      </c>
      <c r="E212">
        <f>$C212*VLOOKUP($B212,FoodDB!$A$2:$I$1018,4,0)</f>
        <v>0</v>
      </c>
      <c r="F212">
        <f>$C212*VLOOKUP($B212,FoodDB!$A$2:$I$1018,5,0)</f>
        <v>6</v>
      </c>
      <c r="G212">
        <f>$C212*VLOOKUP($B212,FoodDB!$A$2:$I$1018,6,0)</f>
        <v>45</v>
      </c>
      <c r="H212">
        <f>$C212*VLOOKUP($B212,FoodDB!$A$2:$I$1018,7,0)</f>
        <v>0</v>
      </c>
      <c r="I212">
        <f>$C212*VLOOKUP($B212,FoodDB!$A$2:$I$1018,8,0)</f>
        <v>24</v>
      </c>
      <c r="J212">
        <f>$C212*VLOOKUP($B212,FoodDB!$A$2:$I$1018,9,0)</f>
        <v>69</v>
      </c>
    </row>
    <row r="213" spans="1:23" x14ac:dyDescent="0.25">
      <c r="B213" s="99" t="s">
        <v>109</v>
      </c>
      <c r="C213" s="100">
        <v>1</v>
      </c>
      <c r="D213">
        <f>$C213*VLOOKUP($B213,FoodDB!$A$2:$I$1018,3,0)</f>
        <v>12</v>
      </c>
      <c r="E213">
        <f>$C213*VLOOKUP($B213,FoodDB!$A$2:$I$1018,4,0)</f>
        <v>0</v>
      </c>
      <c r="F213">
        <f>$C213*VLOOKUP($B213,FoodDB!$A$2:$I$1018,5,0)</f>
        <v>0</v>
      </c>
      <c r="G213">
        <f>$C213*VLOOKUP($B213,FoodDB!$A$2:$I$1018,6,0)</f>
        <v>108</v>
      </c>
      <c r="H213">
        <f>$C213*VLOOKUP($B213,FoodDB!$A$2:$I$1018,7,0)</f>
        <v>0</v>
      </c>
      <c r="I213">
        <f>$C213*VLOOKUP($B213,FoodDB!$A$2:$I$1018,8,0)</f>
        <v>0</v>
      </c>
      <c r="J213">
        <f>$C213*VLOOKUP($B213,FoodDB!$A$2:$I$1018,9,0)</f>
        <v>108</v>
      </c>
    </row>
    <row r="214" spans="1:23" x14ac:dyDescent="0.25">
      <c r="A214" t="s">
        <v>98</v>
      </c>
      <c r="G214">
        <f>SUM(G204:G213)</f>
        <v>426.6</v>
      </c>
      <c r="H214">
        <f>SUM(H204:H213)</f>
        <v>70.95</v>
      </c>
      <c r="I214">
        <f>SUM(I204:I213)</f>
        <v>511.6</v>
      </c>
      <c r="J214">
        <f>SUM(G214:I214)</f>
        <v>1009.1500000000001</v>
      </c>
    </row>
    <row r="215" spans="1:23" x14ac:dyDescent="0.25">
      <c r="A215" t="s">
        <v>102</v>
      </c>
      <c r="B215" t="s">
        <v>103</v>
      </c>
      <c r="E215" s="103"/>
      <c r="F215" s="103"/>
      <c r="G215" s="103">
        <f>VLOOKUP($A204,LossChart!$A$3:$AB$105,14,0)</f>
        <v>442.21416320596586</v>
      </c>
      <c r="H215" s="103">
        <f>VLOOKUP($A204,LossChart!$A$3:$AB$105,15,0)</f>
        <v>80</v>
      </c>
      <c r="I215" s="103">
        <f>VLOOKUP($A204,LossChart!$A$3:$AB$105,16,0)</f>
        <v>477.30407413615825</v>
      </c>
      <c r="J215" s="103">
        <f>VLOOKUP($A204,LossChart!$A$3:$AB$105,17,0)</f>
        <v>999.51823734212417</v>
      </c>
      <c r="K215" s="103"/>
    </row>
    <row r="216" spans="1:23" x14ac:dyDescent="0.25">
      <c r="A216" t="s">
        <v>104</v>
      </c>
      <c r="G216">
        <f>G215-G214</f>
        <v>15.614163205965838</v>
      </c>
      <c r="H216">
        <f>H215-H214</f>
        <v>9.0499999999999972</v>
      </c>
      <c r="I216">
        <f>I215-I214</f>
        <v>-34.295925863841774</v>
      </c>
      <c r="J216">
        <f>J215-J214</f>
        <v>-9.6317626578759246</v>
      </c>
    </row>
    <row r="218" spans="1:23" ht="60" x14ac:dyDescent="0.25">
      <c r="A218" s="26" t="s">
        <v>63</v>
      </c>
      <c r="B218" s="26" t="s">
        <v>93</v>
      </c>
      <c r="C218" s="26" t="s">
        <v>94</v>
      </c>
      <c r="D218" s="97" t="str">
        <f>FoodDB!$C$1</f>
        <v>Fat
(g)</v>
      </c>
      <c r="E218" s="97" t="str">
        <f>FoodDB!$D$1</f>
        <v xml:space="preserve"> Carbs
(g)</v>
      </c>
      <c r="F218" s="97" t="str">
        <f>FoodDB!$E$1</f>
        <v>Protein
(g)</v>
      </c>
      <c r="G218" s="97" t="str">
        <f>FoodDB!$F$1</f>
        <v>Fat
(Cal)</v>
      </c>
      <c r="H218" s="97" t="str">
        <f>FoodDB!$G$1</f>
        <v>Carb
(Cal)</v>
      </c>
      <c r="I218" s="97" t="str">
        <f>FoodDB!$H$1</f>
        <v>Protein
(Cal)</v>
      </c>
      <c r="J218" s="97" t="str">
        <f>FoodDB!$I$1</f>
        <v>Total
Calories</v>
      </c>
      <c r="K218" s="97"/>
      <c r="L218" s="97" t="s">
        <v>110</v>
      </c>
      <c r="M218" s="97" t="s">
        <v>111</v>
      </c>
      <c r="N218" s="97" t="s">
        <v>112</v>
      </c>
      <c r="O218" s="97" t="s">
        <v>113</v>
      </c>
      <c r="P218" s="97" t="s">
        <v>118</v>
      </c>
      <c r="Q218" s="97" t="s">
        <v>119</v>
      </c>
      <c r="R218" s="97" t="s">
        <v>120</v>
      </c>
      <c r="S218" s="97" t="s">
        <v>121</v>
      </c>
      <c r="T218" s="97"/>
      <c r="U218" s="97"/>
      <c r="V218" s="97"/>
      <c r="W218" s="97"/>
    </row>
    <row r="219" spans="1:23" x14ac:dyDescent="0.25">
      <c r="A219" s="98">
        <f>A204+1</f>
        <v>43012</v>
      </c>
      <c r="B219" s="99" t="s">
        <v>126</v>
      </c>
      <c r="C219" s="100">
        <v>3</v>
      </c>
      <c r="D219">
        <f>$C219*VLOOKUP($B219,FoodDB!$A$2:$I$1018,3,0)</f>
        <v>10.8</v>
      </c>
      <c r="E219">
        <f>$C219*VLOOKUP($B219,FoodDB!$A$2:$I$1018,4,0)</f>
        <v>0</v>
      </c>
      <c r="F219">
        <f>$C219*VLOOKUP($B219,FoodDB!$A$2:$I$1018,5,0)</f>
        <v>93</v>
      </c>
      <c r="G219">
        <f>$C219*VLOOKUP($B219,FoodDB!$A$2:$I$1018,6,0)</f>
        <v>97.199999999999989</v>
      </c>
      <c r="H219">
        <f>$C219*VLOOKUP($B219,FoodDB!$A$2:$I$1018,7,0)</f>
        <v>0</v>
      </c>
      <c r="I219">
        <f>$C219*VLOOKUP($B219,FoodDB!$A$2:$I$1018,8,0)</f>
        <v>372</v>
      </c>
      <c r="J219">
        <f>$C219*VLOOKUP($B219,FoodDB!$A$2:$I$1018,9,0)</f>
        <v>469.20000000000005</v>
      </c>
      <c r="L219">
        <f>SUM(G219:G228)</f>
        <v>605.70000000000005</v>
      </c>
      <c r="M219">
        <f>SUM(H219:H228)</f>
        <v>64.851428571428571</v>
      </c>
      <c r="N219">
        <f>SUM(I219:I228)</f>
        <v>482.28571428571428</v>
      </c>
      <c r="O219">
        <f>SUM(L219:N219)</f>
        <v>1152.8371428571429</v>
      </c>
      <c r="P219" s="103">
        <f>VLOOKUP($A219,LossChart!$A$3:$AB$105,14,0)-L219</f>
        <v>-155.95121091356327</v>
      </c>
      <c r="Q219" s="103">
        <f>VLOOKUP($A219,LossChart!$A$3:$AB$105,15,0)-M219</f>
        <v>15.148571428571429</v>
      </c>
      <c r="R219" s="103">
        <f>VLOOKUP($A219,LossChart!$A$3:$AB$105,16,0)-N219</f>
        <v>-4.9816401495560285</v>
      </c>
      <c r="S219" s="103">
        <f>VLOOKUP($A219,LossChart!$A$3:$AB$105,17,0)-O219</f>
        <v>-145.78427963454783</v>
      </c>
      <c r="T219" s="103"/>
      <c r="U219" s="103"/>
      <c r="V219" s="103"/>
      <c r="W219" s="103"/>
    </row>
    <row r="220" spans="1:23" x14ac:dyDescent="0.25">
      <c r="B220" s="99" t="s">
        <v>133</v>
      </c>
      <c r="C220" s="100">
        <v>1</v>
      </c>
      <c r="D220">
        <f>$C220*VLOOKUP($B220,FoodDB!$A$2:$I$1018,3,0)</f>
        <v>0</v>
      </c>
      <c r="E220">
        <f>$C220*VLOOKUP($B220,FoodDB!$A$2:$I$1018,4,0)</f>
        <v>0</v>
      </c>
      <c r="F220">
        <f>$C220*VLOOKUP($B220,FoodDB!$A$2:$I$1018,5,0)</f>
        <v>0</v>
      </c>
      <c r="G220">
        <f>$C220*VLOOKUP($B220,FoodDB!$A$2:$I$1018,6,0)</f>
        <v>0</v>
      </c>
      <c r="H220">
        <f>$C220*VLOOKUP($B220,FoodDB!$A$2:$I$1018,7,0)</f>
        <v>0</v>
      </c>
      <c r="I220">
        <f>$C220*VLOOKUP($B220,FoodDB!$A$2:$I$1018,8,0)</f>
        <v>0</v>
      </c>
      <c r="J220">
        <f>$C220*VLOOKUP($B220,FoodDB!$A$2:$I$1018,9,0)</f>
        <v>0</v>
      </c>
    </row>
    <row r="221" spans="1:23" x14ac:dyDescent="0.25">
      <c r="B221" s="99" t="s">
        <v>132</v>
      </c>
      <c r="C221" s="100">
        <v>1</v>
      </c>
      <c r="D221">
        <f>$C221*VLOOKUP($B221,FoodDB!$A$2:$I$1018,3,0)</f>
        <v>0.5</v>
      </c>
      <c r="E221">
        <v>8</v>
      </c>
      <c r="F221">
        <f>$C221*VLOOKUP($B221,FoodDB!$A$2:$I$1018,5,0)</f>
        <v>12</v>
      </c>
      <c r="G221">
        <f>$C221*VLOOKUP($B221,FoodDB!$A$2:$I$1018,6,0)</f>
        <v>4.5</v>
      </c>
      <c r="H221">
        <v>32</v>
      </c>
      <c r="I221">
        <f>$C221*VLOOKUP($B221,FoodDB!$A$2:$I$1018,8,0)</f>
        <v>48</v>
      </c>
      <c r="J221">
        <f>$C221*VLOOKUP($B221,FoodDB!$A$2:$I$1018,9,0)</f>
        <v>56.5</v>
      </c>
    </row>
    <row r="222" spans="1:23" x14ac:dyDescent="0.25">
      <c r="B222" s="99" t="s">
        <v>96</v>
      </c>
      <c r="C222" s="100">
        <v>8</v>
      </c>
      <c r="D222">
        <f>$C222*VLOOKUP($B222,FoodDB!$A$2:$I$1018,3,0)</f>
        <v>0</v>
      </c>
      <c r="E222">
        <f>$C222*VLOOKUP($B222,FoodDB!$A$2:$I$1018,4,0)</f>
        <v>5.1428571428571432</v>
      </c>
      <c r="F222">
        <f>$C222*VLOOKUP($B222,FoodDB!$A$2:$I$1018,5,0)</f>
        <v>2.5714285714285716</v>
      </c>
      <c r="G222">
        <f>$C222*VLOOKUP($B222,FoodDB!$A$2:$I$1018,6,0)</f>
        <v>0</v>
      </c>
      <c r="H222">
        <f>$C222*VLOOKUP($B222,FoodDB!$A$2:$I$1018,7,0)</f>
        <v>20.571428571428573</v>
      </c>
      <c r="I222">
        <f>$C222*VLOOKUP($B222,FoodDB!$A$2:$I$1018,8,0)</f>
        <v>10.285714285714286</v>
      </c>
      <c r="J222">
        <f>$C222*VLOOKUP($B222,FoodDB!$A$2:$I$1018,9,0)</f>
        <v>30.857142857142861</v>
      </c>
    </row>
    <row r="223" spans="1:23" x14ac:dyDescent="0.25">
      <c r="B223" s="99" t="s">
        <v>109</v>
      </c>
      <c r="C223" s="100">
        <v>3</v>
      </c>
      <c r="D223">
        <f>$C223*VLOOKUP($B223,FoodDB!$A$2:$I$1018,3,0)</f>
        <v>36</v>
      </c>
      <c r="E223">
        <f>$C223*VLOOKUP($B223,FoodDB!$A$2:$I$1018,4,0)</f>
        <v>0</v>
      </c>
      <c r="F223">
        <f>$C223*VLOOKUP($B223,FoodDB!$A$2:$I$1018,5,0)</f>
        <v>0</v>
      </c>
      <c r="G223">
        <f>$C223*VLOOKUP($B223,FoodDB!$A$2:$I$1018,6,0)</f>
        <v>324</v>
      </c>
      <c r="H223">
        <f>$C223*VLOOKUP($B223,FoodDB!$A$2:$I$1018,7,0)</f>
        <v>0</v>
      </c>
      <c r="I223">
        <f>$C223*VLOOKUP($B223,FoodDB!$A$2:$I$1018,8,0)</f>
        <v>0</v>
      </c>
      <c r="J223">
        <f>$C223*VLOOKUP($B223,FoodDB!$A$2:$I$1018,9,0)</f>
        <v>324</v>
      </c>
    </row>
    <row r="224" spans="1:23" x14ac:dyDescent="0.25">
      <c r="B224" s="99" t="s">
        <v>127</v>
      </c>
      <c r="C224" s="100">
        <v>1</v>
      </c>
      <c r="D224">
        <f>$C224*VLOOKUP($B224,FoodDB!$A$2:$I$1018,3,0)</f>
        <v>15</v>
      </c>
      <c r="E224">
        <f>$C224*VLOOKUP($B224,FoodDB!$A$2:$I$1018,4,0)</f>
        <v>2</v>
      </c>
      <c r="F224">
        <f>$C224*VLOOKUP($B224,FoodDB!$A$2:$I$1018,5,0)</f>
        <v>7</v>
      </c>
      <c r="G224">
        <f>$C224*VLOOKUP($B224,FoodDB!$A$2:$I$1018,6,0)</f>
        <v>135</v>
      </c>
      <c r="H224">
        <f>$C224*VLOOKUP($B224,FoodDB!$A$2:$I$1018,7,0)</f>
        <v>8</v>
      </c>
      <c r="I224">
        <f>$C224*VLOOKUP($B224,FoodDB!$A$2:$I$1018,8,0)</f>
        <v>28</v>
      </c>
      <c r="J224">
        <f>$C224*VLOOKUP($B224,FoodDB!$A$2:$I$1018,9,0)</f>
        <v>171</v>
      </c>
    </row>
    <row r="225" spans="1:23" x14ac:dyDescent="0.25">
      <c r="B225" s="99" t="s">
        <v>101</v>
      </c>
      <c r="C225" s="100">
        <v>1</v>
      </c>
      <c r="D225">
        <f>$C225*VLOOKUP($B225,FoodDB!$A$2:$I$1018,3,0)</f>
        <v>5</v>
      </c>
      <c r="E225">
        <f>$C225*VLOOKUP($B225,FoodDB!$A$2:$I$1018,4,0)</f>
        <v>0</v>
      </c>
      <c r="F225">
        <f>$C225*VLOOKUP($B225,FoodDB!$A$2:$I$1018,5,0)</f>
        <v>6</v>
      </c>
      <c r="G225">
        <f>$C225*VLOOKUP($B225,FoodDB!$A$2:$I$1018,6,0)</f>
        <v>45</v>
      </c>
      <c r="H225">
        <f>$C225*VLOOKUP($B225,FoodDB!$A$2:$I$1018,7,0)</f>
        <v>0</v>
      </c>
      <c r="I225">
        <f>$C225*VLOOKUP($B225,FoodDB!$A$2:$I$1018,8,0)</f>
        <v>24</v>
      </c>
      <c r="J225">
        <f>$C225*VLOOKUP($B225,FoodDB!$A$2:$I$1018,9,0)</f>
        <v>69</v>
      </c>
    </row>
    <row r="226" spans="1:23" x14ac:dyDescent="0.25">
      <c r="B226" s="99" t="s">
        <v>130</v>
      </c>
      <c r="C226" s="100">
        <v>0.2</v>
      </c>
      <c r="D226">
        <f>$C226*VLOOKUP($B226,FoodDB!$A$2:$I$1018,3,0)</f>
        <v>0</v>
      </c>
      <c r="E226">
        <f>$C226*VLOOKUP($B226,FoodDB!$A$2:$I$1018,4,0)</f>
        <v>1.07</v>
      </c>
      <c r="F226">
        <f>$C226*VLOOKUP($B226,FoodDB!$A$2:$I$1018,5,0)</f>
        <v>0</v>
      </c>
      <c r="G226">
        <f>$C226*VLOOKUP($B226,FoodDB!$A$2:$I$1018,6,0)</f>
        <v>0</v>
      </c>
      <c r="H226">
        <f>$C226*VLOOKUP($B226,FoodDB!$A$2:$I$1018,7,0)</f>
        <v>4.28</v>
      </c>
      <c r="I226">
        <f>$C226*VLOOKUP($B226,FoodDB!$A$2:$I$1018,8,0)</f>
        <v>0</v>
      </c>
      <c r="J226">
        <f>$C226*VLOOKUP($B226,FoodDB!$A$2:$I$1018,9,0)</f>
        <v>4.28</v>
      </c>
    </row>
    <row r="227" spans="1:23" x14ac:dyDescent="0.25">
      <c r="B227" s="99" t="s">
        <v>108</v>
      </c>
      <c r="C227" s="100">
        <v>0</v>
      </c>
      <c r="D227">
        <f>$C227*VLOOKUP($B227,FoodDB!$A$2:$I$1018,3,0)</f>
        <v>0</v>
      </c>
      <c r="E227">
        <f>$C227*VLOOKUP($B227,FoodDB!$A$2:$I$1018,4,0)</f>
        <v>0</v>
      </c>
      <c r="F227">
        <f>$C227*VLOOKUP($B227,FoodDB!$A$2:$I$1018,5,0)</f>
        <v>0</v>
      </c>
      <c r="G227">
        <f>$C227*VLOOKUP($B227,FoodDB!$A$2:$I$1018,6,0)</f>
        <v>0</v>
      </c>
      <c r="H227">
        <f>$C227*VLOOKUP($B227,FoodDB!$A$2:$I$1018,7,0)</f>
        <v>0</v>
      </c>
      <c r="I227">
        <f>$C227*VLOOKUP($B227,FoodDB!$A$2:$I$1018,8,0)</f>
        <v>0</v>
      </c>
      <c r="J227">
        <f>$C227*VLOOKUP($B227,FoodDB!$A$2:$I$1018,9,0)</f>
        <v>0</v>
      </c>
    </row>
    <row r="228" spans="1:23" x14ac:dyDescent="0.25">
      <c r="B228" s="99" t="s">
        <v>108</v>
      </c>
      <c r="C228" s="100">
        <v>0</v>
      </c>
      <c r="D228">
        <f>$C228*VLOOKUP($B228,FoodDB!$A$2:$I$1018,3,0)</f>
        <v>0</v>
      </c>
      <c r="E228">
        <f>$C228*VLOOKUP($B228,FoodDB!$A$2:$I$1018,4,0)</f>
        <v>0</v>
      </c>
      <c r="F228">
        <f>$C228*VLOOKUP($B228,FoodDB!$A$2:$I$1018,5,0)</f>
        <v>0</v>
      </c>
      <c r="G228">
        <f>$C228*VLOOKUP($B228,FoodDB!$A$2:$I$1018,6,0)</f>
        <v>0</v>
      </c>
      <c r="H228">
        <f>$C228*VLOOKUP($B228,FoodDB!$A$2:$I$1018,7,0)</f>
        <v>0</v>
      </c>
      <c r="I228">
        <f>$C228*VLOOKUP($B228,FoodDB!$A$2:$I$1018,8,0)</f>
        <v>0</v>
      </c>
      <c r="J228">
        <f>$C228*VLOOKUP($B228,FoodDB!$A$2:$I$1018,9,0)</f>
        <v>0</v>
      </c>
    </row>
    <row r="229" spans="1:23" x14ac:dyDescent="0.25">
      <c r="A229" t="s">
        <v>98</v>
      </c>
      <c r="G229">
        <f>SUM(G219:G228)</f>
        <v>605.70000000000005</v>
      </c>
      <c r="H229">
        <f>SUM(H219:H228)</f>
        <v>64.851428571428571</v>
      </c>
      <c r="I229">
        <f>SUM(I219:I228)</f>
        <v>482.28571428571428</v>
      </c>
      <c r="J229">
        <f>SUM(G229:I229)</f>
        <v>1152.8371428571429</v>
      </c>
    </row>
    <row r="230" spans="1:23" x14ac:dyDescent="0.25">
      <c r="A230" t="s">
        <v>102</v>
      </c>
      <c r="B230" t="s">
        <v>103</v>
      </c>
      <c r="E230" s="103"/>
      <c r="F230" s="103"/>
      <c r="G230" s="103">
        <f>VLOOKUP($A219,LossChart!$A$3:$AB$105,14,0)</f>
        <v>449.74878908643677</v>
      </c>
      <c r="H230" s="103">
        <f>VLOOKUP($A219,LossChart!$A$3:$AB$105,15,0)</f>
        <v>80</v>
      </c>
      <c r="I230" s="103">
        <f>VLOOKUP($A219,LossChart!$A$3:$AB$105,16,0)</f>
        <v>477.30407413615825</v>
      </c>
      <c r="J230" s="103">
        <f>VLOOKUP($A219,LossChart!$A$3:$AB$105,17,0)</f>
        <v>1007.0528632225951</v>
      </c>
      <c r="K230" s="103"/>
    </row>
    <row r="231" spans="1:23" x14ac:dyDescent="0.25">
      <c r="A231" t="s">
        <v>104</v>
      </c>
      <c r="G231">
        <f>G230-G229</f>
        <v>-155.95121091356327</v>
      </c>
      <c r="H231">
        <f>H230-H229</f>
        <v>15.148571428571429</v>
      </c>
      <c r="I231">
        <f>I230-I229</f>
        <v>-4.9816401495560285</v>
      </c>
      <c r="J231">
        <f>J230-J229</f>
        <v>-145.78427963454783</v>
      </c>
    </row>
    <row r="233" spans="1:23" ht="60" x14ac:dyDescent="0.25">
      <c r="A233" s="26" t="s">
        <v>63</v>
      </c>
      <c r="B233" s="26" t="s">
        <v>93</v>
      </c>
      <c r="C233" s="26" t="s">
        <v>94</v>
      </c>
      <c r="D233" s="97" t="str">
        <f>FoodDB!$C$1</f>
        <v>Fat
(g)</v>
      </c>
      <c r="E233" s="97" t="str">
        <f>FoodDB!$D$1</f>
        <v xml:space="preserve"> Carbs
(g)</v>
      </c>
      <c r="F233" s="97" t="str">
        <f>FoodDB!$E$1</f>
        <v>Protein
(g)</v>
      </c>
      <c r="G233" s="97" t="str">
        <f>FoodDB!$F$1</f>
        <v>Fat
(Cal)</v>
      </c>
      <c r="H233" s="97" t="str">
        <f>FoodDB!$G$1</f>
        <v>Carb
(Cal)</v>
      </c>
      <c r="I233" s="97" t="str">
        <f>FoodDB!$H$1</f>
        <v>Protein
(Cal)</v>
      </c>
      <c r="J233" s="97" t="str">
        <f>FoodDB!$I$1</f>
        <v>Total
Calories</v>
      </c>
      <c r="K233" s="97"/>
      <c r="L233" s="97" t="s">
        <v>110</v>
      </c>
      <c r="M233" s="97" t="s">
        <v>111</v>
      </c>
      <c r="N233" s="97" t="s">
        <v>112</v>
      </c>
      <c r="O233" s="97" t="s">
        <v>113</v>
      </c>
      <c r="P233" s="97" t="s">
        <v>118</v>
      </c>
      <c r="Q233" s="97" t="s">
        <v>119</v>
      </c>
      <c r="R233" s="97" t="s">
        <v>120</v>
      </c>
      <c r="S233" s="97" t="s">
        <v>121</v>
      </c>
      <c r="T233" s="97"/>
      <c r="U233" s="97"/>
      <c r="V233" s="97"/>
      <c r="W233" s="97"/>
    </row>
    <row r="234" spans="1:23" x14ac:dyDescent="0.25">
      <c r="A234" s="98">
        <f>A219+1</f>
        <v>43013</v>
      </c>
      <c r="B234" s="99" t="s">
        <v>126</v>
      </c>
      <c r="C234" s="100">
        <v>3</v>
      </c>
      <c r="D234" s="103">
        <f>$C234*VLOOKUP($B234,FoodDB!$A$2:$I$1018,3,0)</f>
        <v>10.8</v>
      </c>
      <c r="E234" s="103">
        <f>$C234*VLOOKUP($B234,FoodDB!$A$2:$I$1018,4,0)</f>
        <v>0</v>
      </c>
      <c r="F234" s="103">
        <f>$C234*VLOOKUP($B234,FoodDB!$A$2:$I$1018,5,0)</f>
        <v>93</v>
      </c>
      <c r="G234" s="103">
        <f>$C234*VLOOKUP($B234,FoodDB!$A$2:$I$1018,6,0)</f>
        <v>97.199999999999989</v>
      </c>
      <c r="H234" s="103">
        <f>$C234*VLOOKUP($B234,FoodDB!$A$2:$I$1018,7,0)</f>
        <v>0</v>
      </c>
      <c r="I234" s="103">
        <f>$C234*VLOOKUP($B234,FoodDB!$A$2:$I$1018,8,0)</f>
        <v>372</v>
      </c>
      <c r="J234" s="103">
        <f>$C234*VLOOKUP($B234,FoodDB!$A$2:$I$1018,9,0)</f>
        <v>469.20000000000005</v>
      </c>
      <c r="K234" s="103"/>
      <c r="L234" s="103">
        <f>SUM(G234:G240)</f>
        <v>391.5</v>
      </c>
      <c r="M234" s="103">
        <f>SUM(H234:H240)</f>
        <v>82.057142857142864</v>
      </c>
      <c r="N234" s="103">
        <f>SUM(I234:I240)</f>
        <v>455.62857142857143</v>
      </c>
      <c r="O234" s="103">
        <f>SUM(L234:N234)</f>
        <v>929.18571428571431</v>
      </c>
      <c r="P234" s="103">
        <f>VLOOKUP($A234,LossChart!$A$3:$AB$105,14,0)-L234</f>
        <v>64.994799178906533</v>
      </c>
      <c r="Q234" s="103">
        <f>VLOOKUP($A234,LossChart!$A$3:$AB$105,15,0)-M234</f>
        <v>-2.057142857142864</v>
      </c>
      <c r="R234" s="103">
        <f>VLOOKUP($A234,LossChart!$A$3:$AB$105,16,0)-N234</f>
        <v>21.675502707586816</v>
      </c>
      <c r="S234" s="103">
        <f>VLOOKUP($A234,LossChart!$A$3:$AB$105,17,0)-O234</f>
        <v>84.613159029350527</v>
      </c>
      <c r="T234" s="103"/>
      <c r="U234" s="103"/>
      <c r="V234" s="103"/>
      <c r="W234" s="103"/>
    </row>
    <row r="235" spans="1:23" x14ac:dyDescent="0.25">
      <c r="B235" s="99" t="s">
        <v>134</v>
      </c>
      <c r="C235" s="100">
        <v>2</v>
      </c>
      <c r="D235" s="103">
        <f>$C235*VLOOKUP($B235,FoodDB!$A$2:$I$1018,3,0)</f>
        <v>28</v>
      </c>
      <c r="E235" s="103">
        <f>$C235*VLOOKUP($B235,FoodDB!$A$2:$I$1018,4,0)</f>
        <v>6</v>
      </c>
      <c r="F235" s="103">
        <f>$C235*VLOOKUP($B235,FoodDB!$A$2:$I$1018,5,0)</f>
        <v>14</v>
      </c>
      <c r="G235" s="103">
        <f>$C235*VLOOKUP($B235,FoodDB!$A$2:$I$1018,6,0)</f>
        <v>252</v>
      </c>
      <c r="H235" s="103">
        <f>$C235*VLOOKUP($B235,FoodDB!$A$2:$I$1018,7,0)</f>
        <v>24</v>
      </c>
      <c r="I235" s="103">
        <f>$C235*VLOOKUP($B235,FoodDB!$A$2:$I$1018,8,0)</f>
        <v>56</v>
      </c>
      <c r="J235" s="103">
        <f>$C235*VLOOKUP($B235,FoodDB!$A$2:$I$1018,9,0)</f>
        <v>332</v>
      </c>
      <c r="K235" s="103"/>
      <c r="L235" s="103"/>
      <c r="M235" s="103"/>
      <c r="N235" s="103"/>
      <c r="O235" s="103"/>
      <c r="P235" s="103"/>
      <c r="Q235" s="103"/>
      <c r="R235" s="103"/>
      <c r="S235" s="103"/>
    </row>
    <row r="236" spans="1:23" x14ac:dyDescent="0.25">
      <c r="B236" s="99" t="s">
        <v>96</v>
      </c>
      <c r="C236" s="100">
        <v>5</v>
      </c>
      <c r="D236" s="103">
        <f>$C236*VLOOKUP($B236,FoodDB!$A$2:$I$1018,3,0)</f>
        <v>0</v>
      </c>
      <c r="E236" s="103">
        <f>$C236*VLOOKUP($B236,FoodDB!$A$2:$I$1018,4,0)</f>
        <v>3.2142857142857144</v>
      </c>
      <c r="F236" s="103">
        <f>$C236*VLOOKUP($B236,FoodDB!$A$2:$I$1018,5,0)</f>
        <v>1.6071428571428572</v>
      </c>
      <c r="G236" s="103">
        <f>$C236*VLOOKUP($B236,FoodDB!$A$2:$I$1018,6,0)</f>
        <v>0</v>
      </c>
      <c r="H236" s="103">
        <f>$C236*VLOOKUP($B236,FoodDB!$A$2:$I$1018,7,0)</f>
        <v>12.857142857142858</v>
      </c>
      <c r="I236" s="103">
        <f>$C236*VLOOKUP($B236,FoodDB!$A$2:$I$1018,8,0)</f>
        <v>6.4285714285714288</v>
      </c>
      <c r="J236" s="103">
        <f>$C236*VLOOKUP($B236,FoodDB!$A$2:$I$1018,9,0)</f>
        <v>19.285714285714288</v>
      </c>
      <c r="K236" s="103"/>
      <c r="L236" s="103"/>
      <c r="M236" s="103"/>
      <c r="N236" s="103"/>
      <c r="O236" s="103"/>
      <c r="P236" s="103"/>
      <c r="Q236" s="103"/>
      <c r="R236" s="103"/>
      <c r="S236" s="103"/>
    </row>
    <row r="237" spans="1:23" x14ac:dyDescent="0.25">
      <c r="B237" s="99" t="s">
        <v>129</v>
      </c>
      <c r="C237" s="100">
        <v>2</v>
      </c>
      <c r="D237" s="103">
        <f>$C237*VLOOKUP($B237,FoodDB!$A$2:$I$1018,3,0)</f>
        <v>1.2</v>
      </c>
      <c r="E237" s="103">
        <f>$C237*VLOOKUP($B237,FoodDB!$A$2:$I$1018,4,0)</f>
        <v>9.8000000000000007</v>
      </c>
      <c r="F237" s="103">
        <f>$C237*VLOOKUP($B237,FoodDB!$A$2:$I$1018,5,0)</f>
        <v>4.8</v>
      </c>
      <c r="G237" s="103">
        <f>$C237*VLOOKUP($B237,FoodDB!$A$2:$I$1018,6,0)</f>
        <v>10.799999999999999</v>
      </c>
      <c r="H237" s="103">
        <f>$C237*VLOOKUP($B237,FoodDB!$A$2:$I$1018,7,0)</f>
        <v>39.200000000000003</v>
      </c>
      <c r="I237" s="103">
        <f>$C237*VLOOKUP($B237,FoodDB!$A$2:$I$1018,8,0)</f>
        <v>19.2</v>
      </c>
      <c r="J237" s="103">
        <f>$C237*VLOOKUP($B237,FoodDB!$A$2:$I$1018,9,0)</f>
        <v>69.2</v>
      </c>
      <c r="K237" s="103"/>
      <c r="L237" s="103"/>
      <c r="M237" s="103"/>
      <c r="N237" s="103"/>
      <c r="O237" s="103"/>
      <c r="P237" s="103"/>
      <c r="Q237" s="103"/>
      <c r="R237" s="103"/>
      <c r="S237" s="103"/>
    </row>
    <row r="238" spans="1:23" x14ac:dyDescent="0.25">
      <c r="B238" s="99" t="s">
        <v>131</v>
      </c>
      <c r="C238" s="100">
        <v>0.5</v>
      </c>
      <c r="D238" s="103">
        <f>$C238*VLOOKUP($B238,FoodDB!$A$2:$I$1018,3,0)</f>
        <v>3.5</v>
      </c>
      <c r="E238" s="103">
        <f>$C238*VLOOKUP($B238,FoodDB!$A$2:$I$1018,4,0)</f>
        <v>1.5</v>
      </c>
      <c r="F238" s="103">
        <f>$C238*VLOOKUP($B238,FoodDB!$A$2:$I$1018,5,0)</f>
        <v>0.5</v>
      </c>
      <c r="G238" s="103">
        <f>$C238*VLOOKUP($B238,FoodDB!$A$2:$I$1018,6,0)</f>
        <v>31.5</v>
      </c>
      <c r="H238" s="103">
        <f>$C238*VLOOKUP($B238,FoodDB!$A$2:$I$1018,7,0)</f>
        <v>6</v>
      </c>
      <c r="I238" s="103">
        <f>$C238*VLOOKUP($B238,FoodDB!$A$2:$I$1018,8,0)</f>
        <v>2</v>
      </c>
      <c r="J238" s="103">
        <f>$C238*VLOOKUP($B238,FoodDB!$A$2:$I$1018,9,0)</f>
        <v>39.5</v>
      </c>
      <c r="K238" s="103"/>
      <c r="L238" s="103"/>
      <c r="M238" s="103"/>
      <c r="N238" s="103"/>
      <c r="O238" s="103"/>
      <c r="P238" s="103"/>
      <c r="Q238" s="103"/>
      <c r="R238" s="103"/>
      <c r="S238" s="103"/>
    </row>
    <row r="239" spans="1:23" x14ac:dyDescent="0.25">
      <c r="B239" s="99" t="s">
        <v>108</v>
      </c>
      <c r="C239" s="100">
        <v>1</v>
      </c>
      <c r="D239" s="103">
        <f>$C239*VLOOKUP($B239,FoodDB!$A$2:$I$1018,3,0)</f>
        <v>0</v>
      </c>
      <c r="E239" s="103">
        <f>$C239*VLOOKUP($B239,FoodDB!$A$2:$I$1018,4,0)</f>
        <v>0</v>
      </c>
      <c r="F239" s="103">
        <f>$C239*VLOOKUP($B239,FoodDB!$A$2:$I$1018,5,0)</f>
        <v>0</v>
      </c>
      <c r="G239" s="103">
        <f>$C239*VLOOKUP($B239,FoodDB!$A$2:$I$1018,6,0)</f>
        <v>0</v>
      </c>
      <c r="H239" s="103">
        <f>$C239*VLOOKUP($B239,FoodDB!$A$2:$I$1018,7,0)</f>
        <v>0</v>
      </c>
      <c r="I239" s="103">
        <f>$C239*VLOOKUP($B239,FoodDB!$A$2:$I$1018,8,0)</f>
        <v>0</v>
      </c>
      <c r="J239" s="103">
        <f>$C239*VLOOKUP($B239,FoodDB!$A$2:$I$1018,9,0)</f>
        <v>0</v>
      </c>
      <c r="K239" s="103"/>
      <c r="L239" s="103"/>
      <c r="M239" s="103"/>
      <c r="N239" s="103"/>
      <c r="O239" s="103"/>
      <c r="P239" s="103"/>
      <c r="Q239" s="103"/>
      <c r="R239" s="103"/>
      <c r="S239" s="103"/>
    </row>
    <row r="240" spans="1:23" x14ac:dyDescent="0.25">
      <c r="B240" s="99" t="s">
        <v>108</v>
      </c>
      <c r="C240" s="100">
        <v>1</v>
      </c>
      <c r="D240" s="103">
        <f>$C240*VLOOKUP($B240,FoodDB!$A$2:$I$1018,3,0)</f>
        <v>0</v>
      </c>
      <c r="E240" s="103">
        <f>$C240*VLOOKUP($B240,FoodDB!$A$2:$I$1018,4,0)</f>
        <v>0</v>
      </c>
      <c r="F240" s="103">
        <f>$C240*VLOOKUP($B240,FoodDB!$A$2:$I$1018,5,0)</f>
        <v>0</v>
      </c>
      <c r="G240" s="103">
        <f>$C240*VLOOKUP($B240,FoodDB!$A$2:$I$1018,6,0)</f>
        <v>0</v>
      </c>
      <c r="H240" s="103">
        <f>$C240*VLOOKUP($B240,FoodDB!$A$2:$I$1018,7,0)</f>
        <v>0</v>
      </c>
      <c r="I240" s="103">
        <f>$C240*VLOOKUP($B240,FoodDB!$A$2:$I$1018,8,0)</f>
        <v>0</v>
      </c>
      <c r="J240" s="103">
        <f>$C240*VLOOKUP($B240,FoodDB!$A$2:$I$1018,9,0)</f>
        <v>0</v>
      </c>
      <c r="K240" s="103"/>
      <c r="L240" s="103"/>
      <c r="M240" s="103"/>
      <c r="N240" s="103"/>
      <c r="O240" s="103"/>
      <c r="P240" s="103"/>
      <c r="Q240" s="103"/>
      <c r="R240" s="103"/>
      <c r="S240" s="103"/>
    </row>
    <row r="241" spans="1:19" x14ac:dyDescent="0.25">
      <c r="A241" t="s">
        <v>98</v>
      </c>
      <c r="D241" s="103"/>
      <c r="E241" s="103"/>
      <c r="F241" s="103"/>
      <c r="G241" s="103">
        <f>SUM(G234:G240)</f>
        <v>391.5</v>
      </c>
      <c r="H241" s="103">
        <f>SUM(H234:H240)</f>
        <v>82.057142857142864</v>
      </c>
      <c r="I241" s="103">
        <f>SUM(I234:I240)</f>
        <v>455.62857142857143</v>
      </c>
      <c r="J241" s="103">
        <f>SUM(G241:I241)</f>
        <v>929.18571428571431</v>
      </c>
      <c r="K241" s="103"/>
      <c r="L241" s="103"/>
      <c r="M241" s="103"/>
      <c r="N241" s="103"/>
      <c r="O241" s="103"/>
      <c r="P241" s="103"/>
      <c r="Q241" s="103"/>
      <c r="R241" s="103"/>
      <c r="S241" s="103"/>
    </row>
    <row r="242" spans="1:19" x14ac:dyDescent="0.25">
      <c r="A242" t="s">
        <v>102</v>
      </c>
      <c r="B242" t="s">
        <v>103</v>
      </c>
      <c r="D242" s="103"/>
      <c r="E242" s="103"/>
      <c r="F242" s="103"/>
      <c r="G242" s="103">
        <f>VLOOKUP($A234,LossChart!$A$3:$AB$105,14,0)</f>
        <v>456.49479917890653</v>
      </c>
      <c r="H242" s="103">
        <f>VLOOKUP($A234,LossChart!$A$3:$AB$105,15,0)</f>
        <v>80</v>
      </c>
      <c r="I242" s="103">
        <f>VLOOKUP($A234,LossChart!$A$3:$AB$105,16,0)</f>
        <v>477.30407413615825</v>
      </c>
      <c r="J242" s="103">
        <f>VLOOKUP($A234,LossChart!$A$3:$AB$105,17,0)</f>
        <v>1013.7988733150648</v>
      </c>
      <c r="K242" s="103"/>
      <c r="L242" s="103"/>
      <c r="M242" s="103"/>
      <c r="N242" s="103"/>
      <c r="O242" s="103"/>
      <c r="P242" s="103"/>
      <c r="Q242" s="103"/>
      <c r="R242" s="103"/>
      <c r="S242" s="103"/>
    </row>
    <row r="243" spans="1:19" x14ac:dyDescent="0.25">
      <c r="A243" t="s">
        <v>104</v>
      </c>
      <c r="D243" s="103"/>
      <c r="E243" s="103"/>
      <c r="F243" s="103"/>
      <c r="G243" s="103">
        <f>G242-G241</f>
        <v>64.994799178906533</v>
      </c>
      <c r="H243" s="103">
        <f>H242-H241</f>
        <v>-2.057142857142864</v>
      </c>
      <c r="I243" s="103">
        <f>I242-I241</f>
        <v>21.675502707586816</v>
      </c>
      <c r="J243" s="103">
        <f>J242-J241</f>
        <v>84.613159029350527</v>
      </c>
      <c r="K243" s="103"/>
      <c r="L243" s="103"/>
      <c r="M243" s="103"/>
      <c r="N243" s="103"/>
      <c r="O243" s="103"/>
      <c r="P243" s="103"/>
      <c r="Q243" s="103"/>
      <c r="R243" s="103"/>
      <c r="S243" s="103"/>
    </row>
    <row r="245" spans="1:19" ht="60" x14ac:dyDescent="0.25">
      <c r="A245" s="26" t="s">
        <v>63</v>
      </c>
      <c r="B245" s="26" t="s">
        <v>93</v>
      </c>
      <c r="C245" s="26" t="s">
        <v>94</v>
      </c>
      <c r="D245" s="97" t="str">
        <f>FoodDB!$C$1</f>
        <v>Fat
(g)</v>
      </c>
      <c r="E245" s="97" t="str">
        <f>FoodDB!$D$1</f>
        <v xml:space="preserve"> Carbs
(g)</v>
      </c>
      <c r="F245" s="97" t="str">
        <f>FoodDB!$E$1</f>
        <v>Protein
(g)</v>
      </c>
      <c r="G245" s="97" t="str">
        <f>FoodDB!$F$1</f>
        <v>Fat
(Cal)</v>
      </c>
      <c r="H245" s="97" t="str">
        <f>FoodDB!$G$1</f>
        <v>Carb
(Cal)</v>
      </c>
      <c r="I245" s="97" t="str">
        <f>FoodDB!$H$1</f>
        <v>Protein
(Cal)</v>
      </c>
      <c r="J245" s="97" t="str">
        <f>FoodDB!$I$1</f>
        <v>Total
Calories</v>
      </c>
      <c r="K245" s="97"/>
      <c r="L245" s="97" t="s">
        <v>110</v>
      </c>
      <c r="M245" s="97" t="s">
        <v>111</v>
      </c>
      <c r="N245" s="97" t="s">
        <v>112</v>
      </c>
      <c r="O245" s="97" t="s">
        <v>113</v>
      </c>
      <c r="P245" s="97" t="s">
        <v>118</v>
      </c>
      <c r="Q245" s="97" t="s">
        <v>119</v>
      </c>
      <c r="R245" s="97" t="s">
        <v>120</v>
      </c>
      <c r="S245" s="97" t="s">
        <v>121</v>
      </c>
    </row>
    <row r="246" spans="1:19" x14ac:dyDescent="0.25">
      <c r="A246" s="98">
        <f>A234+1</f>
        <v>43014</v>
      </c>
      <c r="B246" s="99" t="s">
        <v>125</v>
      </c>
      <c r="C246" s="100">
        <v>1</v>
      </c>
      <c r="D246" s="103">
        <f>$C246*VLOOKUP($B246,FoodDB!$A$2:$I$1018,3,0)</f>
        <v>1.5</v>
      </c>
      <c r="E246" s="103">
        <f>$C246*VLOOKUP($B246,FoodDB!$A$2:$I$1018,4,0)</f>
        <v>3</v>
      </c>
      <c r="F246" s="103">
        <f>$C246*VLOOKUP($B246,FoodDB!$A$2:$I$1018,5,0)</f>
        <v>25</v>
      </c>
      <c r="G246" s="103">
        <f>$C246*VLOOKUP($B246,FoodDB!$A$2:$I$1018,6,0)</f>
        <v>13.5</v>
      </c>
      <c r="H246" s="103">
        <f>$C246*VLOOKUP($B246,FoodDB!$A$2:$I$1018,7,0)</f>
        <v>12</v>
      </c>
      <c r="I246" s="103">
        <f>$C246*VLOOKUP($B246,FoodDB!$A$2:$I$1018,8,0)</f>
        <v>100</v>
      </c>
      <c r="J246" s="103">
        <f>$C246*VLOOKUP($B246,FoodDB!$A$2:$I$1018,9,0)</f>
        <v>125.5</v>
      </c>
      <c r="K246" s="103"/>
      <c r="L246" s="103">
        <f>SUM(G246:G252)</f>
        <v>177.75</v>
      </c>
      <c r="M246" s="103">
        <f>SUM(H246:H252)</f>
        <v>12</v>
      </c>
      <c r="N246" s="103">
        <f>SUM(I246:I252)</f>
        <v>820</v>
      </c>
      <c r="O246" s="103">
        <f>SUM(L246:N246)</f>
        <v>1009.75</v>
      </c>
      <c r="P246" s="103">
        <f>VLOOKUP($A246,LossChart!$A$3:$AB$105,14,0)-L246</f>
        <v>286.204007023965</v>
      </c>
      <c r="Q246" s="103">
        <f>VLOOKUP($A246,LossChart!$A$3:$AB$105,15,0)-M246</f>
        <v>68</v>
      </c>
      <c r="R246" s="103">
        <f>VLOOKUP($A246,LossChart!$A$3:$AB$105,16,0)-N246</f>
        <v>-342.69592586384175</v>
      </c>
      <c r="S246" s="103">
        <f>VLOOKUP($A246,LossChart!$A$3:$AB$105,17,0)-O246</f>
        <v>11.508081160123311</v>
      </c>
    </row>
    <row r="247" spans="1:19" x14ac:dyDescent="0.25">
      <c r="B247" s="99" t="s">
        <v>95</v>
      </c>
      <c r="C247" s="100">
        <v>0.5</v>
      </c>
      <c r="D247" s="103">
        <f>$C247*VLOOKUP($B247,FoodDB!$A$2:$I$1018,3,0)</f>
        <v>0.25</v>
      </c>
      <c r="E247" s="103">
        <f>$C247*VLOOKUP($B247,FoodDB!$A$2:$I$1018,4,0)</f>
        <v>0</v>
      </c>
      <c r="F247" s="103">
        <f>$C247*VLOOKUP($B247,FoodDB!$A$2:$I$1018,5,0)</f>
        <v>25</v>
      </c>
      <c r="G247" s="103">
        <f>$C247*VLOOKUP($B247,FoodDB!$A$2:$I$1018,6,0)</f>
        <v>2.25</v>
      </c>
      <c r="H247" s="103">
        <f>$C247*VLOOKUP($B247,FoodDB!$A$2:$I$1018,7,0)</f>
        <v>0</v>
      </c>
      <c r="I247" s="103">
        <f>$C247*VLOOKUP($B247,FoodDB!$A$2:$I$1018,8,0)</f>
        <v>100</v>
      </c>
      <c r="J247" s="103">
        <f>$C247*VLOOKUP($B247,FoodDB!$A$2:$I$1018,9,0)</f>
        <v>102.25</v>
      </c>
      <c r="K247" s="103"/>
      <c r="L247" s="103"/>
      <c r="M247" s="103"/>
      <c r="N247" s="103"/>
      <c r="O247" s="103"/>
      <c r="P247" s="103"/>
      <c r="Q247" s="103"/>
      <c r="R247" s="103"/>
      <c r="S247" s="103"/>
    </row>
    <row r="248" spans="1:19" x14ac:dyDescent="0.25">
      <c r="B248" s="99" t="s">
        <v>133</v>
      </c>
      <c r="C248" s="100">
        <v>1</v>
      </c>
      <c r="D248" s="103">
        <f>$C248*VLOOKUP($B248,FoodDB!$A$2:$I$1018,3,0)</f>
        <v>0</v>
      </c>
      <c r="E248" s="103">
        <f>$C248*VLOOKUP($B248,FoodDB!$A$2:$I$1018,4,0)</f>
        <v>0</v>
      </c>
      <c r="F248" s="103">
        <f>$C248*VLOOKUP($B248,FoodDB!$A$2:$I$1018,5,0)</f>
        <v>0</v>
      </c>
      <c r="G248" s="103">
        <f>$C248*VLOOKUP($B248,FoodDB!$A$2:$I$1018,6,0)</f>
        <v>0</v>
      </c>
      <c r="H248" s="103">
        <f>$C248*VLOOKUP($B248,FoodDB!$A$2:$I$1018,7,0)</f>
        <v>0</v>
      </c>
      <c r="I248" s="103">
        <f>$C248*VLOOKUP($B248,FoodDB!$A$2:$I$1018,8,0)</f>
        <v>0</v>
      </c>
      <c r="J248" s="103">
        <f>$C248*VLOOKUP($B248,FoodDB!$A$2:$I$1018,9,0)</f>
        <v>0</v>
      </c>
      <c r="K248" s="103"/>
      <c r="L248" s="103"/>
      <c r="M248" s="103"/>
      <c r="N248" s="103"/>
      <c r="O248" s="103"/>
      <c r="P248" s="103"/>
      <c r="Q248" s="103"/>
      <c r="R248" s="103"/>
      <c r="S248" s="103"/>
    </row>
    <row r="249" spans="1:19" x14ac:dyDescent="0.25">
      <c r="B249" s="99" t="s">
        <v>126</v>
      </c>
      <c r="C249" s="100">
        <v>5</v>
      </c>
      <c r="D249" s="103">
        <f>$C249*VLOOKUP($B249,FoodDB!$A$2:$I$1018,3,0)</f>
        <v>18</v>
      </c>
      <c r="E249" s="103">
        <f>$C249*VLOOKUP($B249,FoodDB!$A$2:$I$1018,4,0)</f>
        <v>0</v>
      </c>
      <c r="F249" s="103">
        <f>$C249*VLOOKUP($B249,FoodDB!$A$2:$I$1018,5,0)</f>
        <v>155</v>
      </c>
      <c r="G249" s="103">
        <f>$C249*VLOOKUP($B249,FoodDB!$A$2:$I$1018,6,0)</f>
        <v>162</v>
      </c>
      <c r="H249" s="103">
        <f>$C249*VLOOKUP($B249,FoodDB!$A$2:$I$1018,7,0)</f>
        <v>0</v>
      </c>
      <c r="I249" s="103">
        <f>$C249*VLOOKUP($B249,FoodDB!$A$2:$I$1018,8,0)</f>
        <v>620</v>
      </c>
      <c r="J249" s="103">
        <f>$C249*VLOOKUP($B249,FoodDB!$A$2:$I$1018,9,0)</f>
        <v>782</v>
      </c>
      <c r="K249" s="103"/>
      <c r="L249" s="103"/>
      <c r="M249" s="103"/>
      <c r="N249" s="103"/>
      <c r="O249" s="103"/>
      <c r="P249" s="103"/>
      <c r="Q249" s="103"/>
      <c r="R249" s="103"/>
      <c r="S249" s="103"/>
    </row>
    <row r="250" spans="1:19" x14ac:dyDescent="0.25">
      <c r="B250" s="99" t="s">
        <v>108</v>
      </c>
      <c r="C250" s="100">
        <v>1</v>
      </c>
      <c r="D250" s="103">
        <f>$C250*VLOOKUP($B250,FoodDB!$A$2:$I$1018,3,0)</f>
        <v>0</v>
      </c>
      <c r="E250" s="103">
        <f>$C250*VLOOKUP($B250,FoodDB!$A$2:$I$1018,4,0)</f>
        <v>0</v>
      </c>
      <c r="F250" s="103">
        <f>$C250*VLOOKUP($B250,FoodDB!$A$2:$I$1018,5,0)</f>
        <v>0</v>
      </c>
      <c r="G250" s="103">
        <f>$C250*VLOOKUP($B250,FoodDB!$A$2:$I$1018,6,0)</f>
        <v>0</v>
      </c>
      <c r="H250" s="103">
        <f>$C250*VLOOKUP($B250,FoodDB!$A$2:$I$1018,7,0)</f>
        <v>0</v>
      </c>
      <c r="I250" s="103">
        <f>$C250*VLOOKUP($B250,FoodDB!$A$2:$I$1018,8,0)</f>
        <v>0</v>
      </c>
      <c r="J250" s="103">
        <f>$C250*VLOOKUP($B250,FoodDB!$A$2:$I$1018,9,0)</f>
        <v>0</v>
      </c>
      <c r="K250" s="103"/>
      <c r="L250" s="103"/>
      <c r="M250" s="103"/>
      <c r="N250" s="103"/>
      <c r="O250" s="103"/>
      <c r="P250" s="103"/>
      <c r="Q250" s="103"/>
      <c r="R250" s="103"/>
      <c r="S250" s="103"/>
    </row>
    <row r="251" spans="1:19" x14ac:dyDescent="0.25">
      <c r="B251" s="99" t="s">
        <v>108</v>
      </c>
      <c r="C251" s="100">
        <v>1</v>
      </c>
      <c r="D251" s="103">
        <f>$C251*VLOOKUP($B251,FoodDB!$A$2:$I$1018,3,0)</f>
        <v>0</v>
      </c>
      <c r="E251" s="103">
        <f>$C251*VLOOKUP($B251,FoodDB!$A$2:$I$1018,4,0)</f>
        <v>0</v>
      </c>
      <c r="F251" s="103">
        <f>$C251*VLOOKUP($B251,FoodDB!$A$2:$I$1018,5,0)</f>
        <v>0</v>
      </c>
      <c r="G251" s="103">
        <f>$C251*VLOOKUP($B251,FoodDB!$A$2:$I$1018,6,0)</f>
        <v>0</v>
      </c>
      <c r="H251" s="103">
        <f>$C251*VLOOKUP($B251,FoodDB!$A$2:$I$1018,7,0)</f>
        <v>0</v>
      </c>
      <c r="I251" s="103">
        <f>$C251*VLOOKUP($B251,FoodDB!$A$2:$I$1018,8,0)</f>
        <v>0</v>
      </c>
      <c r="J251" s="103">
        <f>$C251*VLOOKUP($B251,FoodDB!$A$2:$I$1018,9,0)</f>
        <v>0</v>
      </c>
      <c r="K251" s="103"/>
      <c r="L251" s="103"/>
      <c r="M251" s="103"/>
      <c r="N251" s="103"/>
      <c r="O251" s="103"/>
      <c r="P251" s="103"/>
      <c r="Q251" s="103"/>
      <c r="R251" s="103"/>
      <c r="S251" s="103"/>
    </row>
    <row r="252" spans="1:19" x14ac:dyDescent="0.25">
      <c r="B252" s="99" t="s">
        <v>108</v>
      </c>
      <c r="C252" s="100">
        <v>1</v>
      </c>
      <c r="D252" s="103">
        <f>$C252*VLOOKUP($B252,FoodDB!$A$2:$I$1018,3,0)</f>
        <v>0</v>
      </c>
      <c r="E252" s="103">
        <f>$C252*VLOOKUP($B252,FoodDB!$A$2:$I$1018,4,0)</f>
        <v>0</v>
      </c>
      <c r="F252" s="103">
        <f>$C252*VLOOKUP($B252,FoodDB!$A$2:$I$1018,5,0)</f>
        <v>0</v>
      </c>
      <c r="G252" s="103">
        <f>$C252*VLOOKUP($B252,FoodDB!$A$2:$I$1018,6,0)</f>
        <v>0</v>
      </c>
      <c r="H252" s="103">
        <f>$C252*VLOOKUP($B252,FoodDB!$A$2:$I$1018,7,0)</f>
        <v>0</v>
      </c>
      <c r="I252" s="103">
        <f>$C252*VLOOKUP($B252,FoodDB!$A$2:$I$1018,8,0)</f>
        <v>0</v>
      </c>
      <c r="J252" s="103">
        <f>$C252*VLOOKUP($B252,FoodDB!$A$2:$I$1018,9,0)</f>
        <v>0</v>
      </c>
      <c r="K252" s="103"/>
      <c r="L252" s="103"/>
      <c r="M252" s="103"/>
      <c r="N252" s="103"/>
      <c r="O252" s="103"/>
      <c r="P252" s="103"/>
      <c r="Q252" s="103"/>
      <c r="R252" s="103"/>
      <c r="S252" s="103"/>
    </row>
    <row r="253" spans="1:19" x14ac:dyDescent="0.25">
      <c r="A253" t="s">
        <v>98</v>
      </c>
      <c r="D253" s="103"/>
      <c r="E253" s="103"/>
      <c r="F253" s="103"/>
      <c r="G253" s="103">
        <f>SUM(G246:G252)</f>
        <v>177.75</v>
      </c>
      <c r="H253" s="103">
        <f>SUM(H246:H252)</f>
        <v>12</v>
      </c>
      <c r="I253" s="103">
        <f>SUM(I246:I252)</f>
        <v>820</v>
      </c>
      <c r="J253" s="103">
        <f>SUM(G253:I253)</f>
        <v>1009.75</v>
      </c>
      <c r="K253" s="103"/>
      <c r="L253" s="103"/>
      <c r="M253" s="103"/>
      <c r="N253" s="103"/>
      <c r="O253" s="103"/>
      <c r="P253" s="103"/>
      <c r="Q253" s="103"/>
      <c r="R253" s="103"/>
      <c r="S253" s="103"/>
    </row>
    <row r="254" spans="1:19" x14ac:dyDescent="0.25">
      <c r="A254" t="s">
        <v>102</v>
      </c>
      <c r="B254" t="s">
        <v>103</v>
      </c>
      <c r="D254" s="103"/>
      <c r="E254" s="103"/>
      <c r="F254" s="103"/>
      <c r="G254" s="103">
        <f>VLOOKUP($A246,LossChart!$A$3:$AB$105,14,0)</f>
        <v>463.954007023965</v>
      </c>
      <c r="H254" s="103">
        <f>VLOOKUP($A246,LossChart!$A$3:$AB$105,15,0)</f>
        <v>80</v>
      </c>
      <c r="I254" s="103">
        <f>VLOOKUP($A246,LossChart!$A$3:$AB$105,16,0)</f>
        <v>477.30407413615825</v>
      </c>
      <c r="J254" s="103">
        <f>VLOOKUP($A246,LossChart!$A$3:$AB$105,17,0)</f>
        <v>1021.2580811601233</v>
      </c>
      <c r="K254" s="103"/>
      <c r="L254" s="103"/>
      <c r="M254" s="103"/>
      <c r="N254" s="103"/>
      <c r="O254" s="103"/>
      <c r="P254" s="103"/>
      <c r="Q254" s="103"/>
      <c r="R254" s="103"/>
      <c r="S254" s="103"/>
    </row>
    <row r="255" spans="1:19" x14ac:dyDescent="0.25">
      <c r="A255" t="s">
        <v>104</v>
      </c>
      <c r="D255" s="103"/>
      <c r="E255" s="103"/>
      <c r="F255" s="103"/>
      <c r="G255" s="103">
        <f>G254-G253</f>
        <v>286.204007023965</v>
      </c>
      <c r="H255" s="103">
        <f>H254-H253</f>
        <v>68</v>
      </c>
      <c r="I255" s="103">
        <f>I254-I253</f>
        <v>-342.69592586384175</v>
      </c>
      <c r="J255" s="103">
        <f>J254-J253</f>
        <v>11.508081160123311</v>
      </c>
      <c r="K255" s="103"/>
      <c r="L255" s="103"/>
      <c r="M255" s="103"/>
      <c r="N255" s="103"/>
      <c r="O255" s="103"/>
      <c r="P255" s="103"/>
      <c r="Q255" s="103"/>
      <c r="R255" s="103"/>
      <c r="S255" s="103"/>
    </row>
    <row r="257" spans="1:19" ht="60" x14ac:dyDescent="0.25">
      <c r="A257" s="26" t="s">
        <v>63</v>
      </c>
      <c r="B257" s="26" t="s">
        <v>93</v>
      </c>
      <c r="C257" s="26" t="s">
        <v>94</v>
      </c>
      <c r="D257" s="97" t="str">
        <f>FoodDB!$C$1</f>
        <v>Fat
(g)</v>
      </c>
      <c r="E257" s="97" t="str">
        <f>FoodDB!$D$1</f>
        <v xml:space="preserve"> Carbs
(g)</v>
      </c>
      <c r="F257" s="97" t="str">
        <f>FoodDB!$E$1</f>
        <v>Protein
(g)</v>
      </c>
      <c r="G257" s="97" t="str">
        <f>FoodDB!$F$1</f>
        <v>Fat
(Cal)</v>
      </c>
      <c r="H257" s="97" t="str">
        <f>FoodDB!$G$1</f>
        <v>Carb
(Cal)</v>
      </c>
      <c r="I257" s="97" t="str">
        <f>FoodDB!$H$1</f>
        <v>Protein
(Cal)</v>
      </c>
      <c r="J257" s="97" t="str">
        <f>FoodDB!$I$1</f>
        <v>Total
Calories</v>
      </c>
      <c r="K257" s="97"/>
      <c r="L257" s="97" t="s">
        <v>110</v>
      </c>
      <c r="M257" s="97" t="s">
        <v>111</v>
      </c>
      <c r="N257" s="97" t="s">
        <v>112</v>
      </c>
      <c r="O257" s="97" t="s">
        <v>113</v>
      </c>
      <c r="P257" s="97" t="s">
        <v>118</v>
      </c>
      <c r="Q257" s="97" t="s">
        <v>119</v>
      </c>
      <c r="R257" s="97" t="s">
        <v>120</v>
      </c>
      <c r="S257" s="97" t="s">
        <v>121</v>
      </c>
    </row>
    <row r="258" spans="1:19" x14ac:dyDescent="0.25">
      <c r="A258" s="98">
        <f>A246+1</f>
        <v>43015</v>
      </c>
      <c r="B258" s="99" t="s">
        <v>133</v>
      </c>
      <c r="C258" s="100">
        <v>1</v>
      </c>
      <c r="D258" s="103">
        <f>$C258*VLOOKUP($B258,FoodDB!$A$2:$I$1018,3,0)</f>
        <v>0</v>
      </c>
      <c r="E258" s="103">
        <f>$C258*VLOOKUP($B258,FoodDB!$A$2:$I$1018,4,0)</f>
        <v>0</v>
      </c>
      <c r="F258" s="103">
        <f>$C258*VLOOKUP($B258,FoodDB!$A$2:$I$1018,5,0)</f>
        <v>0</v>
      </c>
      <c r="G258" s="103">
        <f>$C258*VLOOKUP($B258,FoodDB!$A$2:$I$1018,6,0)</f>
        <v>0</v>
      </c>
      <c r="H258" s="103">
        <f>$C258*VLOOKUP($B258,FoodDB!$A$2:$I$1018,7,0)</f>
        <v>0</v>
      </c>
      <c r="I258" s="103">
        <f>$C258*VLOOKUP($B258,FoodDB!$A$2:$I$1018,8,0)</f>
        <v>0</v>
      </c>
      <c r="J258" s="103">
        <f>$C258*VLOOKUP($B258,FoodDB!$A$2:$I$1018,9,0)</f>
        <v>0</v>
      </c>
      <c r="K258" s="103"/>
      <c r="L258" s="103">
        <f>SUM(G258:G264)</f>
        <v>1836</v>
      </c>
      <c r="M258" s="103">
        <f>SUM(H258:H264)</f>
        <v>32</v>
      </c>
      <c r="N258" s="103">
        <f>SUM(I258:I264)</f>
        <v>112</v>
      </c>
      <c r="O258" s="103">
        <f>SUM(L258:N258)</f>
        <v>1980</v>
      </c>
      <c r="P258" s="103">
        <f>VLOOKUP($A258,LossChart!$A$3:$AB$105,14,0)-L258</f>
        <v>-1364.6528524004618</v>
      </c>
      <c r="Q258" s="103">
        <f>VLOOKUP($A258,LossChart!$A$3:$AB$105,15,0)-M258</f>
        <v>48</v>
      </c>
      <c r="R258" s="103">
        <f>VLOOKUP($A258,LossChart!$A$3:$AB$105,16,0)-N258</f>
        <v>365.30407413615825</v>
      </c>
      <c r="S258" s="103">
        <f>VLOOKUP($A258,LossChart!$A$3:$AB$105,17,0)-O258</f>
        <v>-951.34877826430352</v>
      </c>
    </row>
    <row r="259" spans="1:19" x14ac:dyDescent="0.25">
      <c r="B259" s="99" t="s">
        <v>109</v>
      </c>
      <c r="C259" s="100">
        <v>12</v>
      </c>
      <c r="D259" s="103">
        <f>$C259*VLOOKUP($B259,FoodDB!$A$2:$I$1018,3,0)</f>
        <v>144</v>
      </c>
      <c r="E259" s="103">
        <f>$C259*VLOOKUP($B259,FoodDB!$A$2:$I$1018,4,0)</f>
        <v>0</v>
      </c>
      <c r="F259" s="103">
        <f>$C259*VLOOKUP($B259,FoodDB!$A$2:$I$1018,5,0)</f>
        <v>0</v>
      </c>
      <c r="G259" s="103">
        <f>$C259*VLOOKUP($B259,FoodDB!$A$2:$I$1018,6,0)</f>
        <v>1296</v>
      </c>
      <c r="H259" s="103">
        <f>$C259*VLOOKUP($B259,FoodDB!$A$2:$I$1018,7,0)</f>
        <v>0</v>
      </c>
      <c r="I259" s="103">
        <f>$C259*VLOOKUP($B259,FoodDB!$A$2:$I$1018,8,0)</f>
        <v>0</v>
      </c>
      <c r="J259" s="103">
        <f>$C259*VLOOKUP($B259,FoodDB!$A$2:$I$1018,9,0)</f>
        <v>1296</v>
      </c>
      <c r="K259" s="103"/>
      <c r="L259" s="103"/>
      <c r="M259" s="103"/>
      <c r="N259" s="103"/>
      <c r="O259" s="103"/>
      <c r="P259" s="103"/>
      <c r="Q259" s="103"/>
      <c r="R259" s="103"/>
      <c r="S259" s="103"/>
    </row>
    <row r="260" spans="1:19" x14ac:dyDescent="0.25">
      <c r="B260" s="99" t="s">
        <v>127</v>
      </c>
      <c r="C260" s="100">
        <v>4</v>
      </c>
      <c r="D260" s="103">
        <f>$C260*VLOOKUP($B260,FoodDB!$A$2:$I$1018,3,0)</f>
        <v>60</v>
      </c>
      <c r="E260" s="103">
        <f>$C260*VLOOKUP($B260,FoodDB!$A$2:$I$1018,4,0)</f>
        <v>8</v>
      </c>
      <c r="F260" s="103">
        <f>$C260*VLOOKUP($B260,FoodDB!$A$2:$I$1018,5,0)</f>
        <v>28</v>
      </c>
      <c r="G260" s="103">
        <f>$C260*VLOOKUP($B260,FoodDB!$A$2:$I$1018,6,0)</f>
        <v>540</v>
      </c>
      <c r="H260" s="103">
        <f>$C260*VLOOKUP($B260,FoodDB!$A$2:$I$1018,7,0)</f>
        <v>32</v>
      </c>
      <c r="I260" s="103">
        <f>$C260*VLOOKUP($B260,FoodDB!$A$2:$I$1018,8,0)</f>
        <v>112</v>
      </c>
      <c r="J260" s="103">
        <f>$C260*VLOOKUP($B260,FoodDB!$A$2:$I$1018,9,0)</f>
        <v>684</v>
      </c>
      <c r="K260" s="103"/>
      <c r="L260" s="103"/>
      <c r="M260" s="103"/>
      <c r="N260" s="103"/>
      <c r="O260" s="103"/>
      <c r="P260" s="103"/>
      <c r="Q260" s="103"/>
      <c r="R260" s="103"/>
      <c r="S260" s="103"/>
    </row>
    <row r="261" spans="1:19" x14ac:dyDescent="0.25">
      <c r="B261" s="99" t="s">
        <v>108</v>
      </c>
      <c r="C261" s="100">
        <v>1</v>
      </c>
      <c r="D261" s="103">
        <f>$C261*VLOOKUP($B261,FoodDB!$A$2:$I$1018,3,0)</f>
        <v>0</v>
      </c>
      <c r="E261" s="103">
        <f>$C261*VLOOKUP($B261,FoodDB!$A$2:$I$1018,4,0)</f>
        <v>0</v>
      </c>
      <c r="F261" s="103">
        <f>$C261*VLOOKUP($B261,FoodDB!$A$2:$I$1018,5,0)</f>
        <v>0</v>
      </c>
      <c r="G261" s="103">
        <f>$C261*VLOOKUP($B261,FoodDB!$A$2:$I$1018,6,0)</f>
        <v>0</v>
      </c>
      <c r="H261" s="103">
        <f>$C261*VLOOKUP($B261,FoodDB!$A$2:$I$1018,7,0)</f>
        <v>0</v>
      </c>
      <c r="I261" s="103">
        <f>$C261*VLOOKUP($B261,FoodDB!$A$2:$I$1018,8,0)</f>
        <v>0</v>
      </c>
      <c r="J261" s="103">
        <f>$C261*VLOOKUP($B261,FoodDB!$A$2:$I$1018,9,0)</f>
        <v>0</v>
      </c>
      <c r="K261" s="103"/>
      <c r="L261" s="103"/>
      <c r="M261" s="103"/>
      <c r="N261" s="103"/>
      <c r="O261" s="103"/>
      <c r="P261" s="103"/>
      <c r="Q261" s="103"/>
      <c r="R261" s="103"/>
      <c r="S261" s="103"/>
    </row>
    <row r="262" spans="1:19" x14ac:dyDescent="0.25">
      <c r="B262" s="99" t="s">
        <v>108</v>
      </c>
      <c r="C262" s="100">
        <v>1</v>
      </c>
      <c r="D262" s="103">
        <f>$C262*VLOOKUP($B262,FoodDB!$A$2:$I$1018,3,0)</f>
        <v>0</v>
      </c>
      <c r="E262" s="103">
        <f>$C262*VLOOKUP($B262,FoodDB!$A$2:$I$1018,4,0)</f>
        <v>0</v>
      </c>
      <c r="F262" s="103">
        <f>$C262*VLOOKUP($B262,FoodDB!$A$2:$I$1018,5,0)</f>
        <v>0</v>
      </c>
      <c r="G262" s="103">
        <f>$C262*VLOOKUP($B262,FoodDB!$A$2:$I$1018,6,0)</f>
        <v>0</v>
      </c>
      <c r="H262" s="103">
        <f>$C262*VLOOKUP($B262,FoodDB!$A$2:$I$1018,7,0)</f>
        <v>0</v>
      </c>
      <c r="I262" s="103">
        <f>$C262*VLOOKUP($B262,FoodDB!$A$2:$I$1018,8,0)</f>
        <v>0</v>
      </c>
      <c r="J262" s="103">
        <f>$C262*VLOOKUP($B262,FoodDB!$A$2:$I$1018,9,0)</f>
        <v>0</v>
      </c>
      <c r="K262" s="103"/>
      <c r="L262" s="103"/>
      <c r="M262" s="103"/>
      <c r="N262" s="103"/>
      <c r="O262" s="103"/>
      <c r="P262" s="103"/>
      <c r="Q262" s="103"/>
      <c r="R262" s="103"/>
      <c r="S262" s="103"/>
    </row>
    <row r="263" spans="1:19" x14ac:dyDescent="0.25">
      <c r="B263" s="99" t="s">
        <v>108</v>
      </c>
      <c r="C263" s="100">
        <v>1</v>
      </c>
      <c r="D263" s="103">
        <f>$C263*VLOOKUP($B263,FoodDB!$A$2:$I$1018,3,0)</f>
        <v>0</v>
      </c>
      <c r="E263" s="103">
        <f>$C263*VLOOKUP($B263,FoodDB!$A$2:$I$1018,4,0)</f>
        <v>0</v>
      </c>
      <c r="F263" s="103">
        <f>$C263*VLOOKUP($B263,FoodDB!$A$2:$I$1018,5,0)</f>
        <v>0</v>
      </c>
      <c r="G263" s="103">
        <f>$C263*VLOOKUP($B263,FoodDB!$A$2:$I$1018,6,0)</f>
        <v>0</v>
      </c>
      <c r="H263" s="103">
        <f>$C263*VLOOKUP($B263,FoodDB!$A$2:$I$1018,7,0)</f>
        <v>0</v>
      </c>
      <c r="I263" s="103">
        <f>$C263*VLOOKUP($B263,FoodDB!$A$2:$I$1018,8,0)</f>
        <v>0</v>
      </c>
      <c r="J263" s="103">
        <f>$C263*VLOOKUP($B263,FoodDB!$A$2:$I$1018,9,0)</f>
        <v>0</v>
      </c>
      <c r="K263" s="103"/>
      <c r="L263" s="103"/>
      <c r="M263" s="103"/>
      <c r="N263" s="103"/>
      <c r="O263" s="103"/>
      <c r="P263" s="103"/>
      <c r="Q263" s="103"/>
      <c r="R263" s="103"/>
      <c r="S263" s="103"/>
    </row>
    <row r="264" spans="1:19" x14ac:dyDescent="0.25">
      <c r="B264" s="99" t="s">
        <v>108</v>
      </c>
      <c r="C264" s="100">
        <v>1</v>
      </c>
      <c r="D264" s="103">
        <f>$C264*VLOOKUP($B264,FoodDB!$A$2:$I$1018,3,0)</f>
        <v>0</v>
      </c>
      <c r="E264" s="103">
        <f>$C264*VLOOKUP($B264,FoodDB!$A$2:$I$1018,4,0)</f>
        <v>0</v>
      </c>
      <c r="F264" s="103">
        <f>$C264*VLOOKUP($B264,FoodDB!$A$2:$I$1018,5,0)</f>
        <v>0</v>
      </c>
      <c r="G264" s="103">
        <f>$C264*VLOOKUP($B264,FoodDB!$A$2:$I$1018,6,0)</f>
        <v>0</v>
      </c>
      <c r="H264" s="103">
        <f>$C264*VLOOKUP($B264,FoodDB!$A$2:$I$1018,7,0)</f>
        <v>0</v>
      </c>
      <c r="I264" s="103">
        <f>$C264*VLOOKUP($B264,FoodDB!$A$2:$I$1018,8,0)</f>
        <v>0</v>
      </c>
      <c r="J264" s="103">
        <f>$C264*VLOOKUP($B264,FoodDB!$A$2:$I$1018,9,0)</f>
        <v>0</v>
      </c>
      <c r="K264" s="103"/>
      <c r="L264" s="103"/>
      <c r="M264" s="103"/>
      <c r="N264" s="103"/>
      <c r="O264" s="103"/>
      <c r="P264" s="103"/>
      <c r="Q264" s="103"/>
      <c r="R264" s="103"/>
      <c r="S264" s="103"/>
    </row>
    <row r="265" spans="1:19" x14ac:dyDescent="0.25">
      <c r="A265" t="s">
        <v>98</v>
      </c>
      <c r="D265" s="103"/>
      <c r="E265" s="103"/>
      <c r="F265" s="103"/>
      <c r="G265" s="103">
        <f>SUM(G258:G264)</f>
        <v>1836</v>
      </c>
      <c r="H265" s="103">
        <f>SUM(H258:H264)</f>
        <v>32</v>
      </c>
      <c r="I265" s="103">
        <f>SUM(I258:I264)</f>
        <v>112</v>
      </c>
      <c r="J265" s="103">
        <f>SUM(G265:I265)</f>
        <v>1980</v>
      </c>
      <c r="K265" s="103"/>
      <c r="L265" s="103"/>
      <c r="M265" s="103"/>
      <c r="N265" s="103"/>
      <c r="O265" s="103"/>
      <c r="P265" s="103"/>
      <c r="Q265" s="103"/>
      <c r="R265" s="103"/>
      <c r="S265" s="103"/>
    </row>
    <row r="266" spans="1:19" x14ac:dyDescent="0.25">
      <c r="A266" t="s">
        <v>102</v>
      </c>
      <c r="B266" t="s">
        <v>103</v>
      </c>
      <c r="D266" s="103"/>
      <c r="E266" s="103"/>
      <c r="F266" s="103"/>
      <c r="G266" s="103">
        <f>VLOOKUP($A258,LossChart!$A$3:$AB$105,14,0)</f>
        <v>471.34714759953818</v>
      </c>
      <c r="H266" s="103">
        <f>VLOOKUP($A258,LossChart!$A$3:$AB$105,15,0)</f>
        <v>80</v>
      </c>
      <c r="I266" s="103">
        <f>VLOOKUP($A258,LossChart!$A$3:$AB$105,16,0)</f>
        <v>477.30407413615825</v>
      </c>
      <c r="J266" s="103">
        <f>VLOOKUP($A258,LossChart!$A$3:$AB$105,17,0)</f>
        <v>1028.6512217356965</v>
      </c>
      <c r="K266" s="103"/>
      <c r="L266" s="103"/>
      <c r="M266" s="103"/>
      <c r="N266" s="103"/>
      <c r="O266" s="103"/>
      <c r="P266" s="103"/>
      <c r="Q266" s="103"/>
      <c r="R266" s="103"/>
      <c r="S266" s="103"/>
    </row>
    <row r="267" spans="1:19" x14ac:dyDescent="0.25">
      <c r="A267" t="s">
        <v>104</v>
      </c>
      <c r="D267" s="103"/>
      <c r="E267" s="103"/>
      <c r="F267" s="103"/>
      <c r="G267" s="103">
        <f>G266-G265</f>
        <v>-1364.6528524004618</v>
      </c>
      <c r="H267" s="103">
        <f>H266-H265</f>
        <v>48</v>
      </c>
      <c r="I267" s="103">
        <f>I266-I265</f>
        <v>365.30407413615825</v>
      </c>
      <c r="J267" s="103">
        <f>J266-J265</f>
        <v>-951.34877826430352</v>
      </c>
      <c r="K267" s="103"/>
      <c r="L267" s="103"/>
      <c r="M267" s="103"/>
      <c r="N267" s="103"/>
      <c r="O267" s="103"/>
      <c r="P267" s="103"/>
      <c r="Q267" s="103"/>
      <c r="R267" s="103"/>
      <c r="S267" s="103"/>
    </row>
    <row r="269" spans="1:19" ht="60" x14ac:dyDescent="0.25">
      <c r="A269" s="26" t="s">
        <v>63</v>
      </c>
      <c r="B269" s="26" t="s">
        <v>93</v>
      </c>
      <c r="C269" s="26" t="s">
        <v>94</v>
      </c>
      <c r="D269" s="97" t="str">
        <f>FoodDB!$C$1</f>
        <v>Fat
(g)</v>
      </c>
      <c r="E269" s="97" t="str">
        <f>FoodDB!$D$1</f>
        <v xml:space="preserve"> Carbs
(g)</v>
      </c>
      <c r="F269" s="97" t="str">
        <f>FoodDB!$E$1</f>
        <v>Protein
(g)</v>
      </c>
      <c r="G269" s="97" t="str">
        <f>FoodDB!$F$1</f>
        <v>Fat
(Cal)</v>
      </c>
      <c r="H269" s="97" t="str">
        <f>FoodDB!$G$1</f>
        <v>Carb
(Cal)</v>
      </c>
      <c r="I269" s="97" t="str">
        <f>FoodDB!$H$1</f>
        <v>Protein
(Cal)</v>
      </c>
      <c r="J269" s="97" t="str">
        <f>FoodDB!$I$1</f>
        <v>Total
Calories</v>
      </c>
      <c r="K269" s="97"/>
      <c r="L269" s="97" t="s">
        <v>110</v>
      </c>
      <c r="M269" s="97" t="s">
        <v>111</v>
      </c>
      <c r="N269" s="97" t="s">
        <v>112</v>
      </c>
      <c r="O269" s="97" t="s">
        <v>113</v>
      </c>
      <c r="P269" s="97" t="s">
        <v>118</v>
      </c>
      <c r="Q269" s="97" t="s">
        <v>119</v>
      </c>
      <c r="R269" s="97" t="s">
        <v>120</v>
      </c>
      <c r="S269" s="97" t="s">
        <v>121</v>
      </c>
    </row>
    <row r="270" spans="1:19" x14ac:dyDescent="0.25">
      <c r="A270" s="98">
        <f>A258+1</f>
        <v>43016</v>
      </c>
      <c r="B270" s="99" t="s">
        <v>133</v>
      </c>
      <c r="C270" s="100">
        <v>1</v>
      </c>
      <c r="D270" s="103">
        <f>$C270*VLOOKUP($B270,FoodDB!$A$2:$I$1018,3,0)</f>
        <v>0</v>
      </c>
      <c r="E270" s="103">
        <f>$C270*VLOOKUP($B270,FoodDB!$A$2:$I$1018,4,0)</f>
        <v>0</v>
      </c>
      <c r="F270" s="103">
        <f>$C270*VLOOKUP($B270,FoodDB!$A$2:$I$1018,5,0)</f>
        <v>0</v>
      </c>
      <c r="G270" s="103">
        <f>$C270*VLOOKUP($B270,FoodDB!$A$2:$I$1018,6,0)</f>
        <v>0</v>
      </c>
      <c r="H270" s="103">
        <f>$C270*VLOOKUP($B270,FoodDB!$A$2:$I$1018,7,0)</f>
        <v>0</v>
      </c>
      <c r="I270" s="103">
        <f>$C270*VLOOKUP($B270,FoodDB!$A$2:$I$1018,8,0)</f>
        <v>0</v>
      </c>
      <c r="J270" s="103">
        <f>$C270*VLOOKUP($B270,FoodDB!$A$2:$I$1018,9,0)</f>
        <v>0</v>
      </c>
      <c r="K270" s="103"/>
      <c r="L270" s="103">
        <f>SUM(G270:G276)</f>
        <v>1836</v>
      </c>
      <c r="M270" s="103">
        <f>SUM(H270:H276)</f>
        <v>32</v>
      </c>
      <c r="N270" s="103">
        <f>SUM(I270:I276)</f>
        <v>112</v>
      </c>
      <c r="O270" s="103">
        <f>SUM(L270:N270)</f>
        <v>1980</v>
      </c>
      <c r="P270" s="103">
        <f>VLOOKUP($A270,LossChart!$A$3:$AB$105,14,0)-L270</f>
        <v>-1362.369244347281</v>
      </c>
      <c r="Q270" s="103">
        <f>VLOOKUP($A270,LossChart!$A$3:$AB$105,15,0)-M270</f>
        <v>48</v>
      </c>
      <c r="R270" s="103">
        <f>VLOOKUP($A270,LossChart!$A$3:$AB$105,16,0)-N270</f>
        <v>365.30407413615825</v>
      </c>
      <c r="S270" s="103">
        <f>VLOOKUP($A270,LossChart!$A$3:$AB$105,17,0)-O270</f>
        <v>-949.06517021112268</v>
      </c>
    </row>
    <row r="271" spans="1:19" x14ac:dyDescent="0.25">
      <c r="B271" s="99" t="s">
        <v>109</v>
      </c>
      <c r="C271" s="100">
        <v>12</v>
      </c>
      <c r="D271" s="103">
        <f>$C271*VLOOKUP($B271,FoodDB!$A$2:$I$1018,3,0)</f>
        <v>144</v>
      </c>
      <c r="E271" s="103">
        <f>$C271*VLOOKUP($B271,FoodDB!$A$2:$I$1018,4,0)</f>
        <v>0</v>
      </c>
      <c r="F271" s="103">
        <f>$C271*VLOOKUP($B271,FoodDB!$A$2:$I$1018,5,0)</f>
        <v>0</v>
      </c>
      <c r="G271" s="103">
        <f>$C271*VLOOKUP($B271,FoodDB!$A$2:$I$1018,6,0)</f>
        <v>1296</v>
      </c>
      <c r="H271" s="103">
        <f>$C271*VLOOKUP($B271,FoodDB!$A$2:$I$1018,7,0)</f>
        <v>0</v>
      </c>
      <c r="I271" s="103">
        <f>$C271*VLOOKUP($B271,FoodDB!$A$2:$I$1018,8,0)</f>
        <v>0</v>
      </c>
      <c r="J271" s="103">
        <f>$C271*VLOOKUP($B271,FoodDB!$A$2:$I$1018,9,0)</f>
        <v>1296</v>
      </c>
      <c r="K271" s="103"/>
      <c r="L271" s="103"/>
      <c r="M271" s="103"/>
      <c r="N271" s="103"/>
      <c r="O271" s="103"/>
      <c r="P271" s="103"/>
      <c r="Q271" s="103"/>
      <c r="R271" s="103"/>
      <c r="S271" s="103"/>
    </row>
    <row r="272" spans="1:19" x14ac:dyDescent="0.25">
      <c r="B272" s="99" t="s">
        <v>127</v>
      </c>
      <c r="C272" s="100">
        <v>4</v>
      </c>
      <c r="D272" s="103">
        <f>$C272*VLOOKUP($B272,FoodDB!$A$2:$I$1018,3,0)</f>
        <v>60</v>
      </c>
      <c r="E272" s="103">
        <f>$C272*VLOOKUP($B272,FoodDB!$A$2:$I$1018,4,0)</f>
        <v>8</v>
      </c>
      <c r="F272" s="103">
        <f>$C272*VLOOKUP($B272,FoodDB!$A$2:$I$1018,5,0)</f>
        <v>28</v>
      </c>
      <c r="G272" s="103">
        <f>$C272*VLOOKUP($B272,FoodDB!$A$2:$I$1018,6,0)</f>
        <v>540</v>
      </c>
      <c r="H272" s="103">
        <f>$C272*VLOOKUP($B272,FoodDB!$A$2:$I$1018,7,0)</f>
        <v>32</v>
      </c>
      <c r="I272" s="103">
        <f>$C272*VLOOKUP($B272,FoodDB!$A$2:$I$1018,8,0)</f>
        <v>112</v>
      </c>
      <c r="J272" s="103">
        <f>$C272*VLOOKUP($B272,FoodDB!$A$2:$I$1018,9,0)</f>
        <v>684</v>
      </c>
      <c r="K272" s="103"/>
      <c r="L272" s="103"/>
      <c r="M272" s="103"/>
      <c r="N272" s="103"/>
      <c r="O272" s="103"/>
      <c r="P272" s="103"/>
      <c r="Q272" s="103"/>
      <c r="R272" s="103"/>
      <c r="S272" s="103"/>
    </row>
    <row r="273" spans="1:19" x14ac:dyDescent="0.25">
      <c r="B273" s="99" t="s">
        <v>108</v>
      </c>
      <c r="C273" s="100">
        <v>1</v>
      </c>
      <c r="D273" s="103">
        <f>$C273*VLOOKUP($B273,FoodDB!$A$2:$I$1018,3,0)</f>
        <v>0</v>
      </c>
      <c r="E273" s="103">
        <f>$C273*VLOOKUP($B273,FoodDB!$A$2:$I$1018,4,0)</f>
        <v>0</v>
      </c>
      <c r="F273" s="103">
        <f>$C273*VLOOKUP($B273,FoodDB!$A$2:$I$1018,5,0)</f>
        <v>0</v>
      </c>
      <c r="G273" s="103">
        <f>$C273*VLOOKUP($B273,FoodDB!$A$2:$I$1018,6,0)</f>
        <v>0</v>
      </c>
      <c r="H273" s="103">
        <f>$C273*VLOOKUP($B273,FoodDB!$A$2:$I$1018,7,0)</f>
        <v>0</v>
      </c>
      <c r="I273" s="103">
        <f>$C273*VLOOKUP($B273,FoodDB!$A$2:$I$1018,8,0)</f>
        <v>0</v>
      </c>
      <c r="J273" s="103">
        <f>$C273*VLOOKUP($B273,FoodDB!$A$2:$I$1018,9,0)</f>
        <v>0</v>
      </c>
      <c r="K273" s="103"/>
      <c r="L273" s="103"/>
      <c r="M273" s="103"/>
      <c r="N273" s="103"/>
      <c r="O273" s="103"/>
      <c r="P273" s="103"/>
      <c r="Q273" s="103"/>
      <c r="R273" s="103"/>
      <c r="S273" s="103"/>
    </row>
    <row r="274" spans="1:19" x14ac:dyDescent="0.25">
      <c r="B274" s="99" t="s">
        <v>108</v>
      </c>
      <c r="C274" s="100">
        <v>1</v>
      </c>
      <c r="D274" s="103">
        <f>$C274*VLOOKUP($B274,FoodDB!$A$2:$I$1018,3,0)</f>
        <v>0</v>
      </c>
      <c r="E274" s="103">
        <f>$C274*VLOOKUP($B274,FoodDB!$A$2:$I$1018,4,0)</f>
        <v>0</v>
      </c>
      <c r="F274" s="103">
        <f>$C274*VLOOKUP($B274,FoodDB!$A$2:$I$1018,5,0)</f>
        <v>0</v>
      </c>
      <c r="G274" s="103">
        <f>$C274*VLOOKUP($B274,FoodDB!$A$2:$I$1018,6,0)</f>
        <v>0</v>
      </c>
      <c r="H274" s="103">
        <f>$C274*VLOOKUP($B274,FoodDB!$A$2:$I$1018,7,0)</f>
        <v>0</v>
      </c>
      <c r="I274" s="103">
        <f>$C274*VLOOKUP($B274,FoodDB!$A$2:$I$1018,8,0)</f>
        <v>0</v>
      </c>
      <c r="J274" s="103">
        <f>$C274*VLOOKUP($B274,FoodDB!$A$2:$I$1018,9,0)</f>
        <v>0</v>
      </c>
      <c r="K274" s="103"/>
      <c r="L274" s="103"/>
      <c r="M274" s="103"/>
      <c r="N274" s="103"/>
      <c r="O274" s="103"/>
      <c r="P274" s="103"/>
      <c r="Q274" s="103"/>
      <c r="R274" s="103"/>
      <c r="S274" s="103"/>
    </row>
    <row r="275" spans="1:19" x14ac:dyDescent="0.25">
      <c r="B275" s="99" t="s">
        <v>108</v>
      </c>
      <c r="C275" s="100">
        <v>1</v>
      </c>
      <c r="D275" s="103">
        <f>$C275*VLOOKUP($B275,FoodDB!$A$2:$I$1018,3,0)</f>
        <v>0</v>
      </c>
      <c r="E275" s="103">
        <f>$C275*VLOOKUP($B275,FoodDB!$A$2:$I$1018,4,0)</f>
        <v>0</v>
      </c>
      <c r="F275" s="103">
        <f>$C275*VLOOKUP($B275,FoodDB!$A$2:$I$1018,5,0)</f>
        <v>0</v>
      </c>
      <c r="G275" s="103">
        <f>$C275*VLOOKUP($B275,FoodDB!$A$2:$I$1018,6,0)</f>
        <v>0</v>
      </c>
      <c r="H275" s="103">
        <f>$C275*VLOOKUP($B275,FoodDB!$A$2:$I$1018,7,0)</f>
        <v>0</v>
      </c>
      <c r="I275" s="103">
        <f>$C275*VLOOKUP($B275,FoodDB!$A$2:$I$1018,8,0)</f>
        <v>0</v>
      </c>
      <c r="J275" s="103">
        <f>$C275*VLOOKUP($B275,FoodDB!$A$2:$I$1018,9,0)</f>
        <v>0</v>
      </c>
      <c r="K275" s="103"/>
      <c r="L275" s="103"/>
      <c r="M275" s="103"/>
      <c r="N275" s="103"/>
      <c r="O275" s="103"/>
      <c r="P275" s="103"/>
      <c r="Q275" s="103"/>
      <c r="R275" s="103"/>
      <c r="S275" s="103"/>
    </row>
    <row r="276" spans="1:19" x14ac:dyDescent="0.25">
      <c r="B276" s="99" t="s">
        <v>108</v>
      </c>
      <c r="C276" s="100">
        <v>1</v>
      </c>
      <c r="D276" s="103">
        <f>$C276*VLOOKUP($B276,FoodDB!$A$2:$I$1018,3,0)</f>
        <v>0</v>
      </c>
      <c r="E276" s="103">
        <f>$C276*VLOOKUP($B276,FoodDB!$A$2:$I$1018,4,0)</f>
        <v>0</v>
      </c>
      <c r="F276" s="103">
        <f>$C276*VLOOKUP($B276,FoodDB!$A$2:$I$1018,5,0)</f>
        <v>0</v>
      </c>
      <c r="G276" s="103">
        <f>$C276*VLOOKUP($B276,FoodDB!$A$2:$I$1018,6,0)</f>
        <v>0</v>
      </c>
      <c r="H276" s="103">
        <f>$C276*VLOOKUP($B276,FoodDB!$A$2:$I$1018,7,0)</f>
        <v>0</v>
      </c>
      <c r="I276" s="103">
        <f>$C276*VLOOKUP($B276,FoodDB!$A$2:$I$1018,8,0)</f>
        <v>0</v>
      </c>
      <c r="J276" s="103">
        <f>$C276*VLOOKUP($B276,FoodDB!$A$2:$I$1018,9,0)</f>
        <v>0</v>
      </c>
      <c r="K276" s="103"/>
      <c r="L276" s="103"/>
      <c r="M276" s="103"/>
      <c r="N276" s="103"/>
      <c r="O276" s="103"/>
      <c r="P276" s="103"/>
      <c r="Q276" s="103"/>
      <c r="R276" s="103"/>
      <c r="S276" s="103"/>
    </row>
    <row r="277" spans="1:19" x14ac:dyDescent="0.25">
      <c r="A277" t="s">
        <v>98</v>
      </c>
      <c r="D277" s="103"/>
      <c r="E277" s="103"/>
      <c r="F277" s="103"/>
      <c r="G277" s="103">
        <f>SUM(G270:G276)</f>
        <v>1836</v>
      </c>
      <c r="H277" s="103">
        <f>SUM(H270:H276)</f>
        <v>32</v>
      </c>
      <c r="I277" s="103">
        <f>SUM(I270:I276)</f>
        <v>112</v>
      </c>
      <c r="J277" s="103">
        <f>SUM(G277:I277)</f>
        <v>1980</v>
      </c>
      <c r="K277" s="103"/>
      <c r="L277" s="103"/>
      <c r="M277" s="103"/>
      <c r="N277" s="103"/>
      <c r="O277" s="103"/>
      <c r="P277" s="103"/>
      <c r="Q277" s="103"/>
      <c r="R277" s="103"/>
      <c r="S277" s="103"/>
    </row>
    <row r="278" spans="1:19" x14ac:dyDescent="0.25">
      <c r="A278" t="s">
        <v>102</v>
      </c>
      <c r="B278" t="s">
        <v>103</v>
      </c>
      <c r="D278" s="103"/>
      <c r="E278" s="103"/>
      <c r="F278" s="103"/>
      <c r="G278" s="103">
        <f>VLOOKUP($A270,LossChart!$A$3:$AB$105,14,0)</f>
        <v>473.63075565271902</v>
      </c>
      <c r="H278" s="103">
        <f>VLOOKUP($A270,LossChart!$A$3:$AB$105,15,0)</f>
        <v>80</v>
      </c>
      <c r="I278" s="103">
        <f>VLOOKUP($A270,LossChart!$A$3:$AB$105,16,0)</f>
        <v>477.30407413615825</v>
      </c>
      <c r="J278" s="103">
        <f>VLOOKUP($A270,LossChart!$A$3:$AB$105,17,0)</f>
        <v>1030.9348297888773</v>
      </c>
      <c r="K278" s="103"/>
      <c r="L278" s="103"/>
      <c r="M278" s="103"/>
      <c r="N278" s="103"/>
      <c r="O278" s="103"/>
      <c r="P278" s="103"/>
      <c r="Q278" s="103"/>
      <c r="R278" s="103"/>
      <c r="S278" s="103"/>
    </row>
    <row r="279" spans="1:19" x14ac:dyDescent="0.25">
      <c r="A279" t="s">
        <v>104</v>
      </c>
      <c r="D279" s="103"/>
      <c r="E279" s="103"/>
      <c r="F279" s="103"/>
      <c r="G279" s="103">
        <f>G278-G277</f>
        <v>-1362.369244347281</v>
      </c>
      <c r="H279" s="103">
        <f>H278-H277</f>
        <v>48</v>
      </c>
      <c r="I279" s="103">
        <f>I278-I277</f>
        <v>365.30407413615825</v>
      </c>
      <c r="J279" s="103">
        <f>J278-J277</f>
        <v>-949.06517021112268</v>
      </c>
      <c r="K279" s="103"/>
      <c r="L279" s="103"/>
      <c r="M279" s="103"/>
      <c r="N279" s="103"/>
      <c r="O279" s="103"/>
      <c r="P279" s="103"/>
      <c r="Q279" s="103"/>
      <c r="R279" s="103"/>
      <c r="S279" s="103"/>
    </row>
    <row r="281" spans="1:19" ht="60" x14ac:dyDescent="0.25">
      <c r="A281" s="26" t="s">
        <v>63</v>
      </c>
      <c r="B281" s="26" t="s">
        <v>93</v>
      </c>
      <c r="C281" s="26" t="s">
        <v>94</v>
      </c>
      <c r="D281" s="97" t="str">
        <f>FoodDB!$C$1</f>
        <v>Fat
(g)</v>
      </c>
      <c r="E281" s="97" t="str">
        <f>FoodDB!$D$1</f>
        <v xml:space="preserve"> Carbs
(g)</v>
      </c>
      <c r="F281" s="97" t="str">
        <f>FoodDB!$E$1</f>
        <v>Protein
(g)</v>
      </c>
      <c r="G281" s="97" t="str">
        <f>FoodDB!$F$1</f>
        <v>Fat
(Cal)</v>
      </c>
      <c r="H281" s="97" t="str">
        <f>FoodDB!$G$1</f>
        <v>Carb
(Cal)</v>
      </c>
      <c r="I281" s="97" t="str">
        <f>FoodDB!$H$1</f>
        <v>Protein
(Cal)</v>
      </c>
      <c r="J281" s="97" t="str">
        <f>FoodDB!$I$1</f>
        <v>Total
Calories</v>
      </c>
      <c r="K281" s="97"/>
      <c r="L281" s="97" t="s">
        <v>110</v>
      </c>
      <c r="M281" s="97" t="s">
        <v>111</v>
      </c>
      <c r="N281" s="97" t="s">
        <v>112</v>
      </c>
      <c r="O281" s="97" t="s">
        <v>113</v>
      </c>
      <c r="P281" s="97" t="s">
        <v>118</v>
      </c>
      <c r="Q281" s="97" t="s">
        <v>119</v>
      </c>
      <c r="R281" s="97" t="s">
        <v>120</v>
      </c>
      <c r="S281" s="97" t="s">
        <v>121</v>
      </c>
    </row>
    <row r="282" spans="1:19" x14ac:dyDescent="0.25">
      <c r="A282" s="98">
        <f>A270+1</f>
        <v>43017</v>
      </c>
      <c r="B282" s="99" t="s">
        <v>133</v>
      </c>
      <c r="C282" s="100">
        <v>1</v>
      </c>
      <c r="D282" s="103">
        <f>$C282*VLOOKUP($B282,FoodDB!$A$2:$I$1018,3,0)</f>
        <v>0</v>
      </c>
      <c r="E282" s="103">
        <f>$C282*VLOOKUP($B282,FoodDB!$A$2:$I$1018,4,0)</f>
        <v>0</v>
      </c>
      <c r="F282" s="103">
        <f>$C282*VLOOKUP($B282,FoodDB!$A$2:$I$1018,5,0)</f>
        <v>0</v>
      </c>
      <c r="G282" s="103">
        <f>$C282*VLOOKUP($B282,FoodDB!$A$2:$I$1018,6,0)</f>
        <v>0</v>
      </c>
      <c r="H282" s="103">
        <f>$C282*VLOOKUP($B282,FoodDB!$A$2:$I$1018,7,0)</f>
        <v>0</v>
      </c>
      <c r="I282" s="103">
        <f>$C282*VLOOKUP($B282,FoodDB!$A$2:$I$1018,8,0)</f>
        <v>0</v>
      </c>
      <c r="J282" s="103">
        <f>$C282*VLOOKUP($B282,FoodDB!$A$2:$I$1018,9,0)</f>
        <v>0</v>
      </c>
      <c r="K282" s="103"/>
      <c r="L282" s="103">
        <f>SUM(G282:G288)</f>
        <v>1851.75</v>
      </c>
      <c r="M282" s="103">
        <f>SUM(H282:H288)</f>
        <v>44</v>
      </c>
      <c r="N282" s="103">
        <f>SUM(I282:I288)</f>
        <v>312</v>
      </c>
      <c r="O282" s="103">
        <f>SUM(L282:N282)</f>
        <v>2207.75</v>
      </c>
      <c r="P282" s="103">
        <f>VLOOKUP($A282,LossChart!$A$3:$AB$105,14,0)-L282</f>
        <v>-1375.8437548488846</v>
      </c>
      <c r="Q282" s="103">
        <f>VLOOKUP($A282,LossChart!$A$3:$AB$105,15,0)-M282</f>
        <v>36</v>
      </c>
      <c r="R282" s="103">
        <f>VLOOKUP($A282,LossChart!$A$3:$AB$105,16,0)-N282</f>
        <v>165.30407413615825</v>
      </c>
      <c r="S282" s="103">
        <f>VLOOKUP($A282,LossChart!$A$3:$AB$105,17,0)-O282</f>
        <v>-1174.5396807127263</v>
      </c>
    </row>
    <row r="283" spans="1:19" x14ac:dyDescent="0.25">
      <c r="B283" s="99" t="s">
        <v>95</v>
      </c>
      <c r="C283" s="100">
        <v>0.5</v>
      </c>
      <c r="D283" s="103">
        <f>$C283*VLOOKUP($B283,FoodDB!$A$2:$I$1018,3,0)</f>
        <v>0.25</v>
      </c>
      <c r="E283" s="103">
        <f>$C283*VLOOKUP($B283,FoodDB!$A$2:$I$1018,4,0)</f>
        <v>0</v>
      </c>
      <c r="F283" s="103">
        <f>$C283*VLOOKUP($B283,FoodDB!$A$2:$I$1018,5,0)</f>
        <v>25</v>
      </c>
      <c r="G283" s="103">
        <f>$C283*VLOOKUP($B283,FoodDB!$A$2:$I$1018,6,0)</f>
        <v>2.25</v>
      </c>
      <c r="H283" s="103">
        <f>$C283*VLOOKUP($B283,FoodDB!$A$2:$I$1018,7,0)</f>
        <v>0</v>
      </c>
      <c r="I283" s="103">
        <f>$C283*VLOOKUP($B283,FoodDB!$A$2:$I$1018,8,0)</f>
        <v>100</v>
      </c>
      <c r="J283" s="103">
        <f>$C283*VLOOKUP($B283,FoodDB!$A$2:$I$1018,9,0)</f>
        <v>102.25</v>
      </c>
      <c r="K283" s="103"/>
      <c r="L283" s="103"/>
      <c r="M283" s="103"/>
      <c r="N283" s="103"/>
      <c r="O283" s="103"/>
      <c r="P283" s="103"/>
      <c r="Q283" s="103"/>
      <c r="R283" s="103"/>
      <c r="S283" s="103"/>
    </row>
    <row r="284" spans="1:19" x14ac:dyDescent="0.25">
      <c r="B284" s="99" t="s">
        <v>125</v>
      </c>
      <c r="C284" s="100">
        <v>1</v>
      </c>
      <c r="D284" s="103">
        <f>$C284*VLOOKUP($B284,FoodDB!$A$2:$I$1018,3,0)</f>
        <v>1.5</v>
      </c>
      <c r="E284" s="103">
        <f>$C284*VLOOKUP($B284,FoodDB!$A$2:$I$1018,4,0)</f>
        <v>3</v>
      </c>
      <c r="F284" s="103">
        <f>$C284*VLOOKUP($B284,FoodDB!$A$2:$I$1018,5,0)</f>
        <v>25</v>
      </c>
      <c r="G284" s="103">
        <f>$C284*VLOOKUP($B284,FoodDB!$A$2:$I$1018,6,0)</f>
        <v>13.5</v>
      </c>
      <c r="H284" s="103">
        <f>$C284*VLOOKUP($B284,FoodDB!$A$2:$I$1018,7,0)</f>
        <v>12</v>
      </c>
      <c r="I284" s="103">
        <f>$C284*VLOOKUP($B284,FoodDB!$A$2:$I$1018,8,0)</f>
        <v>100</v>
      </c>
      <c r="J284" s="103">
        <f>$C284*VLOOKUP($B284,FoodDB!$A$2:$I$1018,9,0)</f>
        <v>125.5</v>
      </c>
      <c r="K284" s="103"/>
      <c r="L284" s="103"/>
      <c r="M284" s="103"/>
      <c r="N284" s="103"/>
      <c r="O284" s="103"/>
      <c r="P284" s="103"/>
      <c r="Q284" s="103"/>
      <c r="R284" s="103"/>
      <c r="S284" s="103"/>
    </row>
    <row r="285" spans="1:19" x14ac:dyDescent="0.25">
      <c r="B285" s="99" t="s">
        <v>109</v>
      </c>
      <c r="C285" s="100">
        <v>12</v>
      </c>
      <c r="D285" s="103">
        <f>$C285*VLOOKUP($B285,FoodDB!$A$2:$I$1018,3,0)</f>
        <v>144</v>
      </c>
      <c r="E285" s="103">
        <f>$C285*VLOOKUP($B285,FoodDB!$A$2:$I$1018,4,0)</f>
        <v>0</v>
      </c>
      <c r="F285" s="103">
        <f>$C285*VLOOKUP($B285,FoodDB!$A$2:$I$1018,5,0)</f>
        <v>0</v>
      </c>
      <c r="G285" s="103">
        <f>$C285*VLOOKUP($B285,FoodDB!$A$2:$I$1018,6,0)</f>
        <v>1296</v>
      </c>
      <c r="H285" s="103">
        <f>$C285*VLOOKUP($B285,FoodDB!$A$2:$I$1018,7,0)</f>
        <v>0</v>
      </c>
      <c r="I285" s="103">
        <f>$C285*VLOOKUP($B285,FoodDB!$A$2:$I$1018,8,0)</f>
        <v>0</v>
      </c>
      <c r="J285" s="103">
        <f>$C285*VLOOKUP($B285,FoodDB!$A$2:$I$1018,9,0)</f>
        <v>1296</v>
      </c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 x14ac:dyDescent="0.25">
      <c r="B286" s="99" t="s">
        <v>127</v>
      </c>
      <c r="C286" s="100">
        <v>4</v>
      </c>
      <c r="D286" s="103">
        <f>$C286*VLOOKUP($B286,FoodDB!$A$2:$I$1018,3,0)</f>
        <v>60</v>
      </c>
      <c r="E286" s="103">
        <f>$C286*VLOOKUP($B286,FoodDB!$A$2:$I$1018,4,0)</f>
        <v>8</v>
      </c>
      <c r="F286" s="103">
        <f>$C286*VLOOKUP($B286,FoodDB!$A$2:$I$1018,5,0)</f>
        <v>28</v>
      </c>
      <c r="G286" s="103">
        <f>$C286*VLOOKUP($B286,FoodDB!$A$2:$I$1018,6,0)</f>
        <v>540</v>
      </c>
      <c r="H286" s="103">
        <f>$C286*VLOOKUP($B286,FoodDB!$A$2:$I$1018,7,0)</f>
        <v>32</v>
      </c>
      <c r="I286" s="103">
        <f>$C286*VLOOKUP($B286,FoodDB!$A$2:$I$1018,8,0)</f>
        <v>112</v>
      </c>
      <c r="J286" s="103">
        <f>$C286*VLOOKUP($B286,FoodDB!$A$2:$I$1018,9,0)</f>
        <v>684</v>
      </c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 x14ac:dyDescent="0.25">
      <c r="B287" s="99" t="s">
        <v>108</v>
      </c>
      <c r="C287" s="100">
        <v>1</v>
      </c>
      <c r="D287" s="103">
        <f>$C287*VLOOKUP($B287,FoodDB!$A$2:$I$1018,3,0)</f>
        <v>0</v>
      </c>
      <c r="E287" s="103">
        <f>$C287*VLOOKUP($B287,FoodDB!$A$2:$I$1018,4,0)</f>
        <v>0</v>
      </c>
      <c r="F287" s="103">
        <f>$C287*VLOOKUP($B287,FoodDB!$A$2:$I$1018,5,0)</f>
        <v>0</v>
      </c>
      <c r="G287" s="103">
        <f>$C287*VLOOKUP($B287,FoodDB!$A$2:$I$1018,6,0)</f>
        <v>0</v>
      </c>
      <c r="H287" s="103">
        <f>$C287*VLOOKUP($B287,FoodDB!$A$2:$I$1018,7,0)</f>
        <v>0</v>
      </c>
      <c r="I287" s="103">
        <f>$C287*VLOOKUP($B287,FoodDB!$A$2:$I$1018,8,0)</f>
        <v>0</v>
      </c>
      <c r="J287" s="103">
        <f>$C287*VLOOKUP($B287,FoodDB!$A$2:$I$1018,9,0)</f>
        <v>0</v>
      </c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 x14ac:dyDescent="0.25">
      <c r="B288" s="99" t="s">
        <v>108</v>
      </c>
      <c r="C288" s="100">
        <v>1</v>
      </c>
      <c r="D288" s="103">
        <f>$C288*VLOOKUP($B288,FoodDB!$A$2:$I$1018,3,0)</f>
        <v>0</v>
      </c>
      <c r="E288" s="103">
        <f>$C288*VLOOKUP($B288,FoodDB!$A$2:$I$1018,4,0)</f>
        <v>0</v>
      </c>
      <c r="F288" s="103">
        <f>$C288*VLOOKUP($B288,FoodDB!$A$2:$I$1018,5,0)</f>
        <v>0</v>
      </c>
      <c r="G288" s="103">
        <f>$C288*VLOOKUP($B288,FoodDB!$A$2:$I$1018,6,0)</f>
        <v>0</v>
      </c>
      <c r="H288" s="103">
        <f>$C288*VLOOKUP($B288,FoodDB!$A$2:$I$1018,7,0)</f>
        <v>0</v>
      </c>
      <c r="I288" s="103">
        <f>$C288*VLOOKUP($B288,FoodDB!$A$2:$I$1018,8,0)</f>
        <v>0</v>
      </c>
      <c r="J288" s="103">
        <f>$C288*VLOOKUP($B288,FoodDB!$A$2:$I$1018,9,0)</f>
        <v>0</v>
      </c>
      <c r="K288" s="103"/>
      <c r="L288" s="103"/>
      <c r="M288" s="103"/>
      <c r="N288" s="103"/>
      <c r="O288" s="103"/>
      <c r="P288" s="103"/>
      <c r="Q288" s="103"/>
      <c r="R288" s="103"/>
      <c r="S288" s="103"/>
    </row>
    <row r="289" spans="1:19" x14ac:dyDescent="0.25">
      <c r="A289" t="s">
        <v>98</v>
      </c>
      <c r="D289" s="103"/>
      <c r="E289" s="103"/>
      <c r="F289" s="103"/>
      <c r="G289" s="103">
        <f>SUM(G282:G288)</f>
        <v>1851.75</v>
      </c>
      <c r="H289" s="103">
        <f>SUM(H282:H288)</f>
        <v>44</v>
      </c>
      <c r="I289" s="103">
        <f>SUM(I282:I288)</f>
        <v>312</v>
      </c>
      <c r="J289" s="103">
        <f>SUM(G289:I289)</f>
        <v>2207.75</v>
      </c>
      <c r="K289" s="103"/>
      <c r="L289" s="103"/>
      <c r="M289" s="103"/>
      <c r="N289" s="103"/>
      <c r="O289" s="103"/>
      <c r="P289" s="103"/>
      <c r="Q289" s="103"/>
      <c r="R289" s="103"/>
      <c r="S289" s="103"/>
    </row>
    <row r="290" spans="1:19" x14ac:dyDescent="0.25">
      <c r="A290" t="s">
        <v>102</v>
      </c>
      <c r="B290" t="s">
        <v>103</v>
      </c>
      <c r="D290" s="103"/>
      <c r="E290" s="103"/>
      <c r="F290" s="103"/>
      <c r="G290" s="103">
        <f>VLOOKUP($A282,LossChart!$A$3:$AB$105,14,0)</f>
        <v>475.9062451511154</v>
      </c>
      <c r="H290" s="103">
        <f>VLOOKUP($A282,LossChart!$A$3:$AB$105,15,0)</f>
        <v>80</v>
      </c>
      <c r="I290" s="103">
        <f>VLOOKUP($A282,LossChart!$A$3:$AB$105,16,0)</f>
        <v>477.30407413615825</v>
      </c>
      <c r="J290" s="103">
        <f>VLOOKUP($A282,LossChart!$A$3:$AB$105,17,0)</f>
        <v>1033.2103192872737</v>
      </c>
      <c r="K290" s="103"/>
      <c r="L290" s="103"/>
      <c r="M290" s="103"/>
      <c r="N290" s="103"/>
      <c r="O290" s="103"/>
      <c r="P290" s="103"/>
      <c r="Q290" s="103"/>
      <c r="R290" s="103"/>
      <c r="S290" s="103"/>
    </row>
    <row r="291" spans="1:19" x14ac:dyDescent="0.25">
      <c r="A291" t="s">
        <v>104</v>
      </c>
      <c r="D291" s="103"/>
      <c r="E291" s="103"/>
      <c r="F291" s="103"/>
      <c r="G291" s="103">
        <f>G290-G289</f>
        <v>-1375.8437548488846</v>
      </c>
      <c r="H291" s="103">
        <f>H290-H289</f>
        <v>36</v>
      </c>
      <c r="I291" s="103">
        <f>I290-I289</f>
        <v>165.30407413615825</v>
      </c>
      <c r="J291" s="103">
        <f>J290-J289</f>
        <v>-1174.5396807127263</v>
      </c>
      <c r="K291" s="103"/>
      <c r="L291" s="103"/>
      <c r="M291" s="103"/>
      <c r="N291" s="103"/>
      <c r="O291" s="103"/>
      <c r="P291" s="103"/>
      <c r="Q291" s="103"/>
      <c r="R291" s="103"/>
      <c r="S291" s="103"/>
    </row>
    <row r="293" spans="1:19" ht="60" x14ac:dyDescent="0.25">
      <c r="A293" s="26" t="s">
        <v>63</v>
      </c>
      <c r="B293" s="26" t="s">
        <v>93</v>
      </c>
      <c r="C293" s="26" t="s">
        <v>94</v>
      </c>
      <c r="D293" s="97" t="str">
        <f>FoodDB!$C$1</f>
        <v>Fat
(g)</v>
      </c>
      <c r="E293" s="97" t="str">
        <f>FoodDB!$D$1</f>
        <v xml:space="preserve"> Carbs
(g)</v>
      </c>
      <c r="F293" s="97" t="str">
        <f>FoodDB!$E$1</f>
        <v>Protein
(g)</v>
      </c>
      <c r="G293" s="97" t="str">
        <f>FoodDB!$F$1</f>
        <v>Fat
(Cal)</v>
      </c>
      <c r="H293" s="97" t="str">
        <f>FoodDB!$G$1</f>
        <v>Carb
(Cal)</v>
      </c>
      <c r="I293" s="97" t="str">
        <f>FoodDB!$H$1</f>
        <v>Protein
(Cal)</v>
      </c>
      <c r="J293" s="97" t="str">
        <f>FoodDB!$I$1</f>
        <v>Total
Calories</v>
      </c>
      <c r="K293" s="97"/>
      <c r="L293" s="97" t="s">
        <v>110</v>
      </c>
      <c r="M293" s="97" t="s">
        <v>111</v>
      </c>
      <c r="N293" s="97" t="s">
        <v>112</v>
      </c>
      <c r="O293" s="97" t="s">
        <v>113</v>
      </c>
      <c r="P293" s="97" t="s">
        <v>118</v>
      </c>
      <c r="Q293" s="97" t="s">
        <v>119</v>
      </c>
      <c r="R293" s="97" t="s">
        <v>120</v>
      </c>
      <c r="S293" s="97" t="s">
        <v>121</v>
      </c>
    </row>
    <row r="294" spans="1:19" x14ac:dyDescent="0.25">
      <c r="A294" s="98">
        <f>A282+1</f>
        <v>43018</v>
      </c>
      <c r="B294" s="99" t="s">
        <v>95</v>
      </c>
      <c r="C294" s="100">
        <v>0.5</v>
      </c>
      <c r="D294" s="103">
        <f>$C294*VLOOKUP($B294,FoodDB!$A$2:$I$1018,3,0)</f>
        <v>0.25</v>
      </c>
      <c r="E294" s="103">
        <f>$C294*VLOOKUP($B294,FoodDB!$A$2:$I$1018,4,0)</f>
        <v>0</v>
      </c>
      <c r="F294" s="103">
        <f>$C294*VLOOKUP($B294,FoodDB!$A$2:$I$1018,5,0)</f>
        <v>25</v>
      </c>
      <c r="G294" s="103">
        <f>$C294*VLOOKUP($B294,FoodDB!$A$2:$I$1018,6,0)</f>
        <v>2.25</v>
      </c>
      <c r="H294" s="103">
        <f>$C294*VLOOKUP($B294,FoodDB!$A$2:$I$1018,7,0)</f>
        <v>0</v>
      </c>
      <c r="I294" s="103">
        <f>$C294*VLOOKUP($B294,FoodDB!$A$2:$I$1018,8,0)</f>
        <v>100</v>
      </c>
      <c r="J294" s="103">
        <f>$C294*VLOOKUP($B294,FoodDB!$A$2:$I$1018,9,0)</f>
        <v>102.25</v>
      </c>
      <c r="K294" s="103"/>
      <c r="L294" s="103">
        <f>SUM(G294:G300)</f>
        <v>364.95</v>
      </c>
      <c r="M294" s="103">
        <f>SUM(H294:H300)</f>
        <v>148</v>
      </c>
      <c r="N294" s="103">
        <f>SUM(I294:I300)</f>
        <v>508</v>
      </c>
      <c r="O294" s="103">
        <f>SUM(L294:N294)</f>
        <v>1020.95</v>
      </c>
      <c r="P294" s="103">
        <f>VLOOKUP($A294,LossChart!$A$3:$AB$105,14,0)-L294</f>
        <v>112.01611464940157</v>
      </c>
      <c r="Q294" s="103">
        <f>VLOOKUP($A294,LossChart!$A$3:$AB$105,15,0)-M294</f>
        <v>-68</v>
      </c>
      <c r="R294" s="103">
        <f>VLOOKUP($A294,LossChart!$A$3:$AB$105,16,0)-N294</f>
        <v>-30.695925863841751</v>
      </c>
      <c r="S294" s="103">
        <f>VLOOKUP($A294,LossChart!$A$3:$AB$105,17,0)-O294</f>
        <v>13.320188785559822</v>
      </c>
    </row>
    <row r="295" spans="1:19" x14ac:dyDescent="0.25">
      <c r="B295" s="99" t="s">
        <v>125</v>
      </c>
      <c r="C295" s="100">
        <v>1</v>
      </c>
      <c r="D295" s="103">
        <f>$C295*VLOOKUP($B295,FoodDB!$A$2:$I$1018,3,0)</f>
        <v>1.5</v>
      </c>
      <c r="E295" s="103">
        <f>$C295*VLOOKUP($B295,FoodDB!$A$2:$I$1018,4,0)</f>
        <v>3</v>
      </c>
      <c r="F295" s="103">
        <f>$C295*VLOOKUP($B295,FoodDB!$A$2:$I$1018,5,0)</f>
        <v>25</v>
      </c>
      <c r="G295" s="103">
        <f>$C295*VLOOKUP($B295,FoodDB!$A$2:$I$1018,6,0)</f>
        <v>13.5</v>
      </c>
      <c r="H295" s="103">
        <f>$C295*VLOOKUP($B295,FoodDB!$A$2:$I$1018,7,0)</f>
        <v>12</v>
      </c>
      <c r="I295" s="103">
        <f>$C295*VLOOKUP($B295,FoodDB!$A$2:$I$1018,8,0)</f>
        <v>100</v>
      </c>
      <c r="J295" s="103">
        <f>$C295*VLOOKUP($B295,FoodDB!$A$2:$I$1018,9,0)</f>
        <v>125.5</v>
      </c>
      <c r="K295" s="103"/>
      <c r="L295" s="103"/>
      <c r="M295" s="103"/>
      <c r="N295" s="103"/>
      <c r="O295" s="103"/>
      <c r="P295" s="103"/>
      <c r="Q295" s="103"/>
      <c r="R295" s="103"/>
      <c r="S295" s="103"/>
    </row>
    <row r="296" spans="1:19" x14ac:dyDescent="0.25">
      <c r="B296" s="99" t="s">
        <v>135</v>
      </c>
      <c r="C296" s="100">
        <v>2</v>
      </c>
      <c r="D296" s="103">
        <f>$C296*VLOOKUP($B296,FoodDB!$A$2:$I$1018,3,0)</f>
        <v>3.2</v>
      </c>
      <c r="E296" s="103">
        <f>$C296*VLOOKUP($B296,FoodDB!$A$2:$I$1018,4,0)</f>
        <v>34</v>
      </c>
      <c r="F296" s="103">
        <f>$C296*VLOOKUP($B296,FoodDB!$A$2:$I$1018,5,0)</f>
        <v>22</v>
      </c>
      <c r="G296" s="103">
        <f>$C296*VLOOKUP($B296,FoodDB!$A$2:$I$1018,6,0)</f>
        <v>28.8</v>
      </c>
      <c r="H296" s="103">
        <f>$C296*VLOOKUP($B296,FoodDB!$A$2:$I$1018,7,0)</f>
        <v>136</v>
      </c>
      <c r="I296" s="103">
        <f>$C296*VLOOKUP($B296,FoodDB!$A$2:$I$1018,8,0)</f>
        <v>88</v>
      </c>
      <c r="J296" s="103">
        <f>$C296*VLOOKUP($B296,FoodDB!$A$2:$I$1018,9,0)</f>
        <v>252.8</v>
      </c>
      <c r="K296" s="103"/>
      <c r="L296" s="103"/>
      <c r="M296" s="103"/>
      <c r="N296" s="103"/>
      <c r="O296" s="103"/>
      <c r="P296" s="103"/>
      <c r="Q296" s="103"/>
      <c r="R296" s="103"/>
      <c r="S296" s="103"/>
    </row>
    <row r="297" spans="1:19" x14ac:dyDescent="0.25">
      <c r="B297" s="99" t="s">
        <v>109</v>
      </c>
      <c r="C297" s="100">
        <v>1</v>
      </c>
      <c r="D297" s="103">
        <f>$C297*VLOOKUP($B297,FoodDB!$A$2:$I$1018,3,0)</f>
        <v>12</v>
      </c>
      <c r="E297" s="103">
        <f>$C297*VLOOKUP($B297,FoodDB!$A$2:$I$1018,4,0)</f>
        <v>0</v>
      </c>
      <c r="F297" s="103">
        <f>$C297*VLOOKUP($B297,FoodDB!$A$2:$I$1018,5,0)</f>
        <v>0</v>
      </c>
      <c r="G297" s="103">
        <f>$C297*VLOOKUP($B297,FoodDB!$A$2:$I$1018,6,0)</f>
        <v>108</v>
      </c>
      <c r="H297" s="103">
        <f>$C297*VLOOKUP($B297,FoodDB!$A$2:$I$1018,7,0)</f>
        <v>0</v>
      </c>
      <c r="I297" s="103">
        <f>$C297*VLOOKUP($B297,FoodDB!$A$2:$I$1018,8,0)</f>
        <v>0</v>
      </c>
      <c r="J297" s="103">
        <f>$C297*VLOOKUP($B297,FoodDB!$A$2:$I$1018,9,0)</f>
        <v>108</v>
      </c>
      <c r="K297" s="103"/>
      <c r="L297" s="103"/>
      <c r="M297" s="103"/>
      <c r="N297" s="103"/>
      <c r="O297" s="103"/>
      <c r="P297" s="103"/>
      <c r="Q297" s="103"/>
      <c r="R297" s="103"/>
      <c r="S297" s="103"/>
    </row>
    <row r="298" spans="1:19" x14ac:dyDescent="0.25">
      <c r="B298" s="99" t="s">
        <v>101</v>
      </c>
      <c r="C298" s="100">
        <v>4</v>
      </c>
      <c r="D298" s="103">
        <f>$C298*VLOOKUP($B298,FoodDB!$A$2:$I$1018,3,0)</f>
        <v>20</v>
      </c>
      <c r="E298" s="103">
        <f>$C298*VLOOKUP($B298,FoodDB!$A$2:$I$1018,4,0)</f>
        <v>0</v>
      </c>
      <c r="F298" s="103">
        <f>$C298*VLOOKUP($B298,FoodDB!$A$2:$I$1018,5,0)</f>
        <v>24</v>
      </c>
      <c r="G298" s="103">
        <f>$C298*VLOOKUP($B298,FoodDB!$A$2:$I$1018,6,0)</f>
        <v>180</v>
      </c>
      <c r="H298" s="103">
        <f>$C298*VLOOKUP($B298,FoodDB!$A$2:$I$1018,7,0)</f>
        <v>0</v>
      </c>
      <c r="I298" s="103">
        <f>$C298*VLOOKUP($B298,FoodDB!$A$2:$I$1018,8,0)</f>
        <v>96</v>
      </c>
      <c r="J298" s="103">
        <f>$C298*VLOOKUP($B298,FoodDB!$A$2:$I$1018,9,0)</f>
        <v>276</v>
      </c>
      <c r="K298" s="103"/>
      <c r="L298" s="103"/>
      <c r="M298" s="103"/>
      <c r="N298" s="103"/>
      <c r="O298" s="103"/>
      <c r="P298" s="103"/>
      <c r="Q298" s="103"/>
      <c r="R298" s="103"/>
      <c r="S298" s="103"/>
    </row>
    <row r="299" spans="1:19" x14ac:dyDescent="0.25">
      <c r="B299" s="99" t="s">
        <v>126</v>
      </c>
      <c r="C299" s="100">
        <v>1</v>
      </c>
      <c r="D299" s="103">
        <f>$C299*VLOOKUP($B299,FoodDB!$A$2:$I$1018,3,0)</f>
        <v>3.6</v>
      </c>
      <c r="E299" s="103">
        <f>$C299*VLOOKUP($B299,FoodDB!$A$2:$I$1018,4,0)</f>
        <v>0</v>
      </c>
      <c r="F299" s="103">
        <f>$C299*VLOOKUP($B299,FoodDB!$A$2:$I$1018,5,0)</f>
        <v>31</v>
      </c>
      <c r="G299" s="103">
        <f>$C299*VLOOKUP($B299,FoodDB!$A$2:$I$1018,6,0)</f>
        <v>32.4</v>
      </c>
      <c r="H299" s="103">
        <f>$C299*VLOOKUP($B299,FoodDB!$A$2:$I$1018,7,0)</f>
        <v>0</v>
      </c>
      <c r="I299" s="103">
        <f>$C299*VLOOKUP($B299,FoodDB!$A$2:$I$1018,8,0)</f>
        <v>124</v>
      </c>
      <c r="J299" s="103">
        <f>$C299*VLOOKUP($B299,FoodDB!$A$2:$I$1018,9,0)</f>
        <v>156.4</v>
      </c>
      <c r="K299" s="103"/>
      <c r="L299" s="103"/>
      <c r="M299" s="103"/>
      <c r="N299" s="103"/>
      <c r="O299" s="103"/>
      <c r="P299" s="103"/>
      <c r="Q299" s="103"/>
      <c r="R299" s="103"/>
      <c r="S299" s="103"/>
    </row>
    <row r="300" spans="1:19" x14ac:dyDescent="0.25">
      <c r="B300" s="99" t="s">
        <v>108</v>
      </c>
      <c r="C300" s="100">
        <v>1</v>
      </c>
      <c r="D300" s="103">
        <f>$C300*VLOOKUP($B300,FoodDB!$A$2:$I$1018,3,0)</f>
        <v>0</v>
      </c>
      <c r="E300" s="103">
        <f>$C300*VLOOKUP($B300,FoodDB!$A$2:$I$1018,4,0)</f>
        <v>0</v>
      </c>
      <c r="F300" s="103">
        <f>$C300*VLOOKUP($B300,FoodDB!$A$2:$I$1018,5,0)</f>
        <v>0</v>
      </c>
      <c r="G300" s="103">
        <f>$C300*VLOOKUP($B300,FoodDB!$A$2:$I$1018,6,0)</f>
        <v>0</v>
      </c>
      <c r="H300" s="103">
        <f>$C300*VLOOKUP($B300,FoodDB!$A$2:$I$1018,7,0)</f>
        <v>0</v>
      </c>
      <c r="I300" s="103">
        <f>$C300*VLOOKUP($B300,FoodDB!$A$2:$I$1018,8,0)</f>
        <v>0</v>
      </c>
      <c r="J300" s="103">
        <f>$C300*VLOOKUP($B300,FoodDB!$A$2:$I$1018,9,0)</f>
        <v>0</v>
      </c>
      <c r="K300" s="103"/>
      <c r="L300" s="103"/>
      <c r="M300" s="103"/>
      <c r="N300" s="103"/>
      <c r="O300" s="103"/>
      <c r="P300" s="103"/>
      <c r="Q300" s="103"/>
      <c r="R300" s="103"/>
      <c r="S300" s="103"/>
    </row>
    <row r="301" spans="1:19" x14ac:dyDescent="0.25">
      <c r="A301" t="s">
        <v>98</v>
      </c>
      <c r="D301" s="103"/>
      <c r="E301" s="103"/>
      <c r="F301" s="103"/>
      <c r="G301" s="103">
        <f>SUM(G294:G300)</f>
        <v>364.95</v>
      </c>
      <c r="H301" s="103">
        <f>SUM(H294:H300)</f>
        <v>148</v>
      </c>
      <c r="I301" s="103">
        <f>SUM(I294:I300)</f>
        <v>508</v>
      </c>
      <c r="J301" s="103">
        <f>SUM(G301:I301)</f>
        <v>1020.95</v>
      </c>
      <c r="K301" s="103"/>
      <c r="L301" s="103"/>
      <c r="M301" s="103"/>
      <c r="N301" s="103"/>
      <c r="O301" s="103"/>
      <c r="P301" s="103"/>
      <c r="Q301" s="103"/>
      <c r="R301" s="103"/>
      <c r="S301" s="103"/>
    </row>
    <row r="302" spans="1:19" x14ac:dyDescent="0.25">
      <c r="A302" t="s">
        <v>102</v>
      </c>
      <c r="B302" t="s">
        <v>103</v>
      </c>
      <c r="D302" s="103"/>
      <c r="E302" s="103"/>
      <c r="F302" s="103"/>
      <c r="G302" s="103">
        <f>VLOOKUP($A294,LossChart!$A$3:$AB$105,14,0)</f>
        <v>476.96611464940156</v>
      </c>
      <c r="H302" s="103">
        <f>VLOOKUP($A294,LossChart!$A$3:$AB$105,15,0)</f>
        <v>80</v>
      </c>
      <c r="I302" s="103">
        <f>VLOOKUP($A294,LossChart!$A$3:$AB$105,16,0)</f>
        <v>477.30407413615825</v>
      </c>
      <c r="J302" s="103">
        <f>VLOOKUP($A294,LossChart!$A$3:$AB$105,17,0)</f>
        <v>1034.2701887855599</v>
      </c>
      <c r="K302" s="103"/>
      <c r="L302" s="103"/>
      <c r="M302" s="103"/>
      <c r="N302" s="103"/>
      <c r="O302" s="103"/>
      <c r="P302" s="103"/>
      <c r="Q302" s="103"/>
      <c r="R302" s="103"/>
      <c r="S302" s="103"/>
    </row>
    <row r="303" spans="1:19" x14ac:dyDescent="0.25">
      <c r="A303" t="s">
        <v>104</v>
      </c>
      <c r="D303" s="103"/>
      <c r="E303" s="103"/>
      <c r="F303" s="103"/>
      <c r="G303" s="103">
        <f>G302-G301</f>
        <v>112.01611464940157</v>
      </c>
      <c r="H303" s="103">
        <f>H302-H301</f>
        <v>-68</v>
      </c>
      <c r="I303" s="103">
        <f>I302-I301</f>
        <v>-30.695925863841751</v>
      </c>
      <c r="J303" s="103">
        <f>J302-J301</f>
        <v>13.320188785559822</v>
      </c>
      <c r="K303" s="103"/>
      <c r="L303" s="103"/>
      <c r="M303" s="103"/>
      <c r="N303" s="103"/>
      <c r="O303" s="103"/>
      <c r="P303" s="103"/>
      <c r="Q303" s="103"/>
      <c r="R303" s="103"/>
      <c r="S303" s="103"/>
    </row>
    <row r="305" spans="1:19" ht="60" x14ac:dyDescent="0.25">
      <c r="A305" s="26" t="s">
        <v>63</v>
      </c>
      <c r="B305" s="26" t="s">
        <v>93</v>
      </c>
      <c r="C305" s="26" t="s">
        <v>94</v>
      </c>
      <c r="D305" s="97" t="str">
        <f>FoodDB!$C$1</f>
        <v>Fat
(g)</v>
      </c>
      <c r="E305" s="97" t="str">
        <f>FoodDB!$D$1</f>
        <v xml:space="preserve"> Carbs
(g)</v>
      </c>
      <c r="F305" s="97" t="str">
        <f>FoodDB!$E$1</f>
        <v>Protein
(g)</v>
      </c>
      <c r="G305" s="97" t="str">
        <f>FoodDB!$F$1</f>
        <v>Fat
(Cal)</v>
      </c>
      <c r="H305" s="97" t="str">
        <f>FoodDB!$G$1</f>
        <v>Carb
(Cal)</v>
      </c>
      <c r="I305" s="97" t="str">
        <f>FoodDB!$H$1</f>
        <v>Protein
(Cal)</v>
      </c>
      <c r="J305" s="97" t="str">
        <f>FoodDB!$I$1</f>
        <v>Total
Calories</v>
      </c>
      <c r="K305" s="97"/>
      <c r="L305" s="97" t="s">
        <v>110</v>
      </c>
      <c r="M305" s="97" t="s">
        <v>111</v>
      </c>
      <c r="N305" s="97" t="s">
        <v>112</v>
      </c>
      <c r="O305" s="97" t="s">
        <v>113</v>
      </c>
      <c r="P305" s="97" t="s">
        <v>118</v>
      </c>
      <c r="Q305" s="97" t="s">
        <v>119</v>
      </c>
      <c r="R305" s="97" t="s">
        <v>120</v>
      </c>
      <c r="S305" s="97" t="s">
        <v>121</v>
      </c>
    </row>
    <row r="306" spans="1:19" x14ac:dyDescent="0.25">
      <c r="A306" s="98">
        <f>A294+1</f>
        <v>43019</v>
      </c>
      <c r="B306" s="99" t="s">
        <v>95</v>
      </c>
      <c r="C306" s="100">
        <v>0.5</v>
      </c>
      <c r="D306" s="103">
        <f>$C306*VLOOKUP($B306,FoodDB!$A$2:$I$1018,3,0)</f>
        <v>0.25</v>
      </c>
      <c r="E306" s="103">
        <f>$C306*VLOOKUP($B306,FoodDB!$A$2:$I$1018,4,0)</f>
        <v>0</v>
      </c>
      <c r="F306" s="103">
        <f>$C306*VLOOKUP($B306,FoodDB!$A$2:$I$1018,5,0)</f>
        <v>25</v>
      </c>
      <c r="G306" s="103">
        <f>$C306*VLOOKUP($B306,FoodDB!$A$2:$I$1018,6,0)</f>
        <v>2.25</v>
      </c>
      <c r="H306" s="103">
        <f>$C306*VLOOKUP($B306,FoodDB!$A$2:$I$1018,7,0)</f>
        <v>0</v>
      </c>
      <c r="I306" s="103">
        <f>$C306*VLOOKUP($B306,FoodDB!$A$2:$I$1018,8,0)</f>
        <v>100</v>
      </c>
      <c r="J306" s="103">
        <f>$C306*VLOOKUP($B306,FoodDB!$A$2:$I$1018,9,0)</f>
        <v>102.25</v>
      </c>
      <c r="K306" s="103"/>
      <c r="L306" s="103">
        <f>SUM(G306:G314)</f>
        <v>445.95</v>
      </c>
      <c r="M306" s="103">
        <f>SUM(H306:H314)</f>
        <v>88</v>
      </c>
      <c r="N306" s="103">
        <f>SUM(I306:I314)</f>
        <v>500</v>
      </c>
      <c r="O306" s="103">
        <f>SUM(L306:N306)</f>
        <v>1033.95</v>
      </c>
      <c r="P306" s="103">
        <f>VLOOKUP($A306,LossChart!$A$3:$AB$105,14,0)-L306</f>
        <v>38.29400512886383</v>
      </c>
      <c r="Q306" s="103">
        <f>VLOOKUP($A306,LossChart!$A$3:$AB$105,15,0)-M306</f>
        <v>-8</v>
      </c>
      <c r="R306" s="103">
        <f>VLOOKUP($A306,LossChart!$A$3:$AB$105,16,0)-N306</f>
        <v>-22.695925863841751</v>
      </c>
      <c r="S306" s="103">
        <f>VLOOKUP($A306,LossChart!$A$3:$AB$105,17,0)-O306</f>
        <v>7.5980792650220792</v>
      </c>
    </row>
    <row r="307" spans="1:19" x14ac:dyDescent="0.25">
      <c r="B307" s="99" t="s">
        <v>125</v>
      </c>
      <c r="C307" s="100">
        <v>1</v>
      </c>
      <c r="D307" s="103">
        <f>$C307*VLOOKUP($B307,FoodDB!$A$2:$I$1018,3,0)</f>
        <v>1.5</v>
      </c>
      <c r="E307" s="103">
        <f>$C307*VLOOKUP($B307,FoodDB!$A$2:$I$1018,4,0)</f>
        <v>3</v>
      </c>
      <c r="F307" s="103">
        <f>$C307*VLOOKUP($B307,FoodDB!$A$2:$I$1018,5,0)</f>
        <v>25</v>
      </c>
      <c r="G307" s="103">
        <f>$C307*VLOOKUP($B307,FoodDB!$A$2:$I$1018,6,0)</f>
        <v>13.5</v>
      </c>
      <c r="H307" s="103">
        <f>$C307*VLOOKUP($B307,FoodDB!$A$2:$I$1018,7,0)</f>
        <v>12</v>
      </c>
      <c r="I307" s="103">
        <f>$C307*VLOOKUP($B307,FoodDB!$A$2:$I$1018,8,0)</f>
        <v>100</v>
      </c>
      <c r="J307" s="103">
        <f>$C307*VLOOKUP($B307,FoodDB!$A$2:$I$1018,9,0)</f>
        <v>125.5</v>
      </c>
      <c r="K307" s="103"/>
      <c r="L307" s="103"/>
      <c r="M307" s="103"/>
      <c r="N307" s="103"/>
      <c r="O307" s="103"/>
      <c r="P307" s="103"/>
      <c r="Q307" s="103"/>
      <c r="R307" s="103"/>
      <c r="S307" s="103"/>
    </row>
    <row r="308" spans="1:19" x14ac:dyDescent="0.25">
      <c r="B308" s="99" t="s">
        <v>107</v>
      </c>
      <c r="C308" s="100">
        <v>2</v>
      </c>
      <c r="D308" s="103">
        <f>$C308*VLOOKUP($B308,FoodDB!$A$2:$I$1018,3,0)</f>
        <v>1</v>
      </c>
      <c r="E308" s="103">
        <f>$C308*VLOOKUP($B308,FoodDB!$A$2:$I$1018,4,0)</f>
        <v>0</v>
      </c>
      <c r="F308" s="103">
        <f>$C308*VLOOKUP($B308,FoodDB!$A$2:$I$1018,5,0)</f>
        <v>0</v>
      </c>
      <c r="G308" s="103">
        <f>$C308*VLOOKUP($B308,FoodDB!$A$2:$I$1018,6,0)</f>
        <v>9</v>
      </c>
      <c r="H308" s="103">
        <f>$C308*VLOOKUP($B308,FoodDB!$A$2:$I$1018,7,0)</f>
        <v>0</v>
      </c>
      <c r="I308" s="103">
        <f>$C308*VLOOKUP($B308,FoodDB!$A$2:$I$1018,8,0)</f>
        <v>0</v>
      </c>
      <c r="J308" s="103">
        <f>$C308*VLOOKUP($B308,FoodDB!$A$2:$I$1018,9,0)</f>
        <v>9</v>
      </c>
      <c r="K308" s="103"/>
      <c r="L308" s="103"/>
      <c r="M308" s="103"/>
      <c r="N308" s="103"/>
      <c r="O308" s="103"/>
      <c r="P308" s="103"/>
      <c r="Q308" s="103"/>
      <c r="R308" s="103"/>
      <c r="S308" s="103"/>
    </row>
    <row r="309" spans="1:19" x14ac:dyDescent="0.25">
      <c r="B309" s="99" t="s">
        <v>135</v>
      </c>
      <c r="C309" s="100">
        <v>1</v>
      </c>
      <c r="D309" s="103">
        <f>$C309*VLOOKUP($B309,FoodDB!$A$2:$I$1018,3,0)</f>
        <v>1.6</v>
      </c>
      <c r="E309" s="103">
        <f>$C309*VLOOKUP($B309,FoodDB!$A$2:$I$1018,4,0)</f>
        <v>17</v>
      </c>
      <c r="F309" s="103">
        <f>$C309*VLOOKUP($B309,FoodDB!$A$2:$I$1018,5,0)</f>
        <v>11</v>
      </c>
      <c r="G309" s="103">
        <f>$C309*VLOOKUP($B309,FoodDB!$A$2:$I$1018,6,0)</f>
        <v>14.4</v>
      </c>
      <c r="H309" s="103">
        <f>$C309*VLOOKUP($B309,FoodDB!$A$2:$I$1018,7,0)</f>
        <v>68</v>
      </c>
      <c r="I309" s="103">
        <f>$C309*VLOOKUP($B309,FoodDB!$A$2:$I$1018,8,0)</f>
        <v>44</v>
      </c>
      <c r="J309" s="103">
        <f>$C309*VLOOKUP($B309,FoodDB!$A$2:$I$1018,9,0)</f>
        <v>126.4</v>
      </c>
      <c r="K309" s="103"/>
      <c r="L309" s="103"/>
      <c r="M309" s="103"/>
      <c r="N309" s="103"/>
      <c r="O309" s="103"/>
      <c r="P309" s="103"/>
      <c r="Q309" s="103"/>
      <c r="R309" s="103"/>
      <c r="S309" s="103"/>
    </row>
    <row r="310" spans="1:19" x14ac:dyDescent="0.25">
      <c r="B310" s="99" t="s">
        <v>127</v>
      </c>
      <c r="C310" s="100">
        <v>1</v>
      </c>
      <c r="D310" s="103">
        <f>$C310*VLOOKUP($B310,FoodDB!$A$2:$I$1018,3,0)</f>
        <v>15</v>
      </c>
      <c r="E310" s="103">
        <f>$C310*VLOOKUP($B310,FoodDB!$A$2:$I$1018,4,0)</f>
        <v>2</v>
      </c>
      <c r="F310" s="103">
        <f>$C310*VLOOKUP($B310,FoodDB!$A$2:$I$1018,5,0)</f>
        <v>7</v>
      </c>
      <c r="G310" s="103">
        <f>$C310*VLOOKUP($B310,FoodDB!$A$2:$I$1018,6,0)</f>
        <v>135</v>
      </c>
      <c r="H310" s="103">
        <f>$C310*VLOOKUP($B310,FoodDB!$A$2:$I$1018,7,0)</f>
        <v>8</v>
      </c>
      <c r="I310" s="103">
        <f>$C310*VLOOKUP($B310,FoodDB!$A$2:$I$1018,8,0)</f>
        <v>28</v>
      </c>
      <c r="J310" s="103">
        <f>$C310*VLOOKUP($B310,FoodDB!$A$2:$I$1018,9,0)</f>
        <v>171</v>
      </c>
      <c r="K310" s="103"/>
      <c r="L310" s="103"/>
      <c r="M310" s="103"/>
      <c r="N310" s="103"/>
      <c r="O310" s="103"/>
      <c r="P310" s="103"/>
      <c r="Q310" s="103"/>
      <c r="R310" s="103"/>
      <c r="S310" s="103"/>
    </row>
    <row r="311" spans="1:19" x14ac:dyDescent="0.25">
      <c r="B311" s="99" t="s">
        <v>101</v>
      </c>
      <c r="C311" s="100">
        <v>1</v>
      </c>
      <c r="D311" s="103">
        <f>$C311*VLOOKUP($B311,FoodDB!$A$2:$I$1018,3,0)</f>
        <v>5</v>
      </c>
      <c r="E311" s="103">
        <f>$C311*VLOOKUP($B311,FoodDB!$A$2:$I$1018,4,0)</f>
        <v>0</v>
      </c>
      <c r="F311" s="103">
        <f>$C311*VLOOKUP($B311,FoodDB!$A$2:$I$1018,5,0)</f>
        <v>6</v>
      </c>
      <c r="G311" s="103">
        <f>$C311*VLOOKUP($B311,FoodDB!$A$2:$I$1018,6,0)</f>
        <v>45</v>
      </c>
      <c r="H311" s="103">
        <f>$C311*VLOOKUP($B311,FoodDB!$A$2:$I$1018,7,0)</f>
        <v>0</v>
      </c>
      <c r="I311" s="103">
        <f>$C311*VLOOKUP($B311,FoodDB!$A$2:$I$1018,8,0)</f>
        <v>24</v>
      </c>
      <c r="J311" s="103">
        <f>$C311*VLOOKUP($B311,FoodDB!$A$2:$I$1018,9,0)</f>
        <v>69</v>
      </c>
      <c r="K311" s="103"/>
      <c r="L311" s="103"/>
      <c r="M311" s="103"/>
      <c r="N311" s="103"/>
      <c r="O311" s="103"/>
      <c r="P311" s="103"/>
      <c r="Q311" s="103"/>
      <c r="R311" s="103"/>
      <c r="S311" s="103"/>
    </row>
    <row r="312" spans="1:19" x14ac:dyDescent="0.25">
      <c r="B312" s="99" t="s">
        <v>109</v>
      </c>
      <c r="C312" s="100">
        <v>2</v>
      </c>
      <c r="D312" s="103">
        <f>$C312*VLOOKUP($B312,FoodDB!$A$2:$I$1018,3,0)</f>
        <v>24</v>
      </c>
      <c r="E312" s="103">
        <f>$C312*VLOOKUP($B312,FoodDB!$A$2:$I$1018,4,0)</f>
        <v>0</v>
      </c>
      <c r="F312" s="103">
        <f>$C312*VLOOKUP($B312,FoodDB!$A$2:$I$1018,5,0)</f>
        <v>0</v>
      </c>
      <c r="G312" s="103">
        <f>$C312*VLOOKUP($B312,FoodDB!$A$2:$I$1018,6,0)</f>
        <v>216</v>
      </c>
      <c r="H312" s="103">
        <f>$C312*VLOOKUP($B312,FoodDB!$A$2:$I$1018,7,0)</f>
        <v>0</v>
      </c>
      <c r="I312" s="103">
        <f>$C312*VLOOKUP($B312,FoodDB!$A$2:$I$1018,8,0)</f>
        <v>0</v>
      </c>
      <c r="J312" s="103">
        <f>$C312*VLOOKUP($B312,FoodDB!$A$2:$I$1018,9,0)</f>
        <v>216</v>
      </c>
      <c r="K312" s="103"/>
      <c r="L312" s="103"/>
      <c r="M312" s="103"/>
      <c r="N312" s="103"/>
      <c r="O312" s="103"/>
      <c r="P312" s="103"/>
      <c r="Q312" s="103"/>
      <c r="R312" s="103"/>
      <c r="S312" s="103"/>
    </row>
    <row r="313" spans="1:19" x14ac:dyDescent="0.25">
      <c r="B313" s="99" t="s">
        <v>105</v>
      </c>
      <c r="C313" s="100">
        <v>1.5</v>
      </c>
      <c r="D313" s="103">
        <f>$C313*VLOOKUP($B313,FoodDB!$A$2:$I$1018,3,0)</f>
        <v>1.2000000000000002</v>
      </c>
      <c r="E313" s="103">
        <f>$C313*VLOOKUP($B313,FoodDB!$A$2:$I$1018,4,0)</f>
        <v>0</v>
      </c>
      <c r="F313" s="103">
        <f>$C313*VLOOKUP($B313,FoodDB!$A$2:$I$1018,5,0)</f>
        <v>51</v>
      </c>
      <c r="G313" s="103">
        <f>$C313*VLOOKUP($B313,FoodDB!$A$2:$I$1018,6,0)</f>
        <v>10.8</v>
      </c>
      <c r="H313" s="103">
        <f>$C313*VLOOKUP($B313,FoodDB!$A$2:$I$1018,7,0)</f>
        <v>0</v>
      </c>
      <c r="I313" s="103">
        <f>$C313*VLOOKUP($B313,FoodDB!$A$2:$I$1018,8,0)</f>
        <v>204</v>
      </c>
      <c r="J313" s="103">
        <f>$C313*VLOOKUP($B313,FoodDB!$A$2:$I$1018,9,0)</f>
        <v>214.79999999999998</v>
      </c>
      <c r="K313" s="103"/>
      <c r="L313" s="103"/>
      <c r="M313" s="103"/>
      <c r="N313" s="103"/>
      <c r="O313" s="103"/>
      <c r="P313" s="103"/>
      <c r="Q313" s="103"/>
      <c r="R313" s="103"/>
      <c r="S313" s="103"/>
    </row>
    <row r="314" spans="1:19" x14ac:dyDescent="0.25">
      <c r="B314" s="99" t="s">
        <v>133</v>
      </c>
      <c r="C314" s="100">
        <v>1</v>
      </c>
      <c r="D314" s="103">
        <f>$C314*VLOOKUP($B314,FoodDB!$A$2:$I$1018,3,0)</f>
        <v>0</v>
      </c>
      <c r="E314" s="103">
        <f>$C314*VLOOKUP($B314,FoodDB!$A$2:$I$1018,4,0)</f>
        <v>0</v>
      </c>
      <c r="F314" s="103">
        <f>$C314*VLOOKUP($B314,FoodDB!$A$2:$I$1018,5,0)</f>
        <v>0</v>
      </c>
      <c r="G314" s="103">
        <f>$C314*VLOOKUP($B314,FoodDB!$A$2:$I$1018,6,0)</f>
        <v>0</v>
      </c>
      <c r="H314" s="103">
        <f>$C314*VLOOKUP($B314,FoodDB!$A$2:$I$1018,7,0)</f>
        <v>0</v>
      </c>
      <c r="I314" s="103">
        <f>$C314*VLOOKUP($B314,FoodDB!$A$2:$I$1018,8,0)</f>
        <v>0</v>
      </c>
      <c r="J314" s="103">
        <f>$C314*VLOOKUP($B314,FoodDB!$A$2:$I$1018,9,0)</f>
        <v>0</v>
      </c>
      <c r="K314" s="103"/>
      <c r="L314" s="103"/>
      <c r="M314" s="103"/>
      <c r="N314" s="103"/>
      <c r="O314" s="103"/>
      <c r="P314" s="103"/>
      <c r="Q314" s="103"/>
      <c r="R314" s="103"/>
      <c r="S314" s="103"/>
    </row>
    <row r="315" spans="1:19" x14ac:dyDescent="0.25">
      <c r="A315" t="s">
        <v>98</v>
      </c>
      <c r="D315" s="103"/>
      <c r="E315" s="103"/>
      <c r="F315" s="103"/>
      <c r="G315" s="103">
        <f>SUM(G306:G314)</f>
        <v>445.95</v>
      </c>
      <c r="H315" s="103">
        <f>SUM(H306:H314)</f>
        <v>88</v>
      </c>
      <c r="I315" s="103">
        <f>SUM(I306:I314)</f>
        <v>500</v>
      </c>
      <c r="J315" s="103">
        <f>SUM(G315:I315)</f>
        <v>1033.95</v>
      </c>
      <c r="K315" s="103"/>
      <c r="L315" s="103"/>
      <c r="M315" s="103"/>
      <c r="N315" s="103"/>
      <c r="O315" s="103"/>
      <c r="P315" s="103"/>
      <c r="Q315" s="103"/>
      <c r="R315" s="103"/>
      <c r="S315" s="103"/>
    </row>
    <row r="316" spans="1:19" x14ac:dyDescent="0.25">
      <c r="A316" t="s">
        <v>102</v>
      </c>
      <c r="B316" t="s">
        <v>103</v>
      </c>
      <c r="D316" s="103"/>
      <c r="E316" s="103"/>
      <c r="F316" s="103"/>
      <c r="G316" s="103">
        <f>VLOOKUP($A306,LossChart!$A$3:$AB$105,14,0)</f>
        <v>484.24400512886382</v>
      </c>
      <c r="H316" s="103">
        <f>VLOOKUP($A306,LossChart!$A$3:$AB$105,15,0)</f>
        <v>80</v>
      </c>
      <c r="I316" s="103">
        <f>VLOOKUP($A306,LossChart!$A$3:$AB$105,16,0)</f>
        <v>477.30407413615825</v>
      </c>
      <c r="J316" s="103">
        <f>VLOOKUP($A306,LossChart!$A$3:$AB$105,17,0)</f>
        <v>1041.5480792650221</v>
      </c>
      <c r="K316" s="103"/>
      <c r="L316" s="103"/>
      <c r="M316" s="103"/>
      <c r="N316" s="103"/>
      <c r="O316" s="103"/>
      <c r="P316" s="103"/>
      <c r="Q316" s="103"/>
      <c r="R316" s="103"/>
      <c r="S316" s="103"/>
    </row>
    <row r="317" spans="1:19" x14ac:dyDescent="0.25">
      <c r="A317" t="s">
        <v>104</v>
      </c>
      <c r="D317" s="103"/>
      <c r="E317" s="103"/>
      <c r="F317" s="103"/>
      <c r="G317" s="103">
        <f>G316-G315</f>
        <v>38.29400512886383</v>
      </c>
      <c r="H317" s="103">
        <f>H316-H315</f>
        <v>-8</v>
      </c>
      <c r="I317" s="103">
        <f>I316-I315</f>
        <v>-22.695925863841751</v>
      </c>
      <c r="J317" s="103">
        <f>J316-J315</f>
        <v>7.5980792650220792</v>
      </c>
      <c r="K317" s="103"/>
      <c r="L317" s="103"/>
      <c r="M317" s="103"/>
      <c r="N317" s="103"/>
      <c r="O317" s="103"/>
      <c r="P317" s="103"/>
      <c r="Q317" s="103"/>
      <c r="R317" s="103"/>
      <c r="S317" s="103"/>
    </row>
    <row r="319" spans="1:19" ht="60" x14ac:dyDescent="0.25">
      <c r="A319" s="26" t="s">
        <v>63</v>
      </c>
      <c r="B319" s="26" t="s">
        <v>93</v>
      </c>
      <c r="C319" s="26" t="s">
        <v>94</v>
      </c>
      <c r="D319" s="97" t="str">
        <f>FoodDB!$C$1</f>
        <v>Fat
(g)</v>
      </c>
      <c r="E319" s="97" t="str">
        <f>FoodDB!$D$1</f>
        <v xml:space="preserve"> Carbs
(g)</v>
      </c>
      <c r="F319" s="97" t="str">
        <f>FoodDB!$E$1</f>
        <v>Protein
(g)</v>
      </c>
      <c r="G319" s="97" t="str">
        <f>FoodDB!$F$1</f>
        <v>Fat
(Cal)</v>
      </c>
      <c r="H319" s="97" t="str">
        <f>FoodDB!$G$1</f>
        <v>Carb
(Cal)</v>
      </c>
      <c r="I319" s="97" t="str">
        <f>FoodDB!$H$1</f>
        <v>Protein
(Cal)</v>
      </c>
      <c r="J319" s="97" t="str">
        <f>FoodDB!$I$1</f>
        <v>Total
Calories</v>
      </c>
      <c r="K319" s="97"/>
      <c r="L319" s="97" t="s">
        <v>110</v>
      </c>
      <c r="M319" s="97" t="s">
        <v>111</v>
      </c>
      <c r="N319" s="97" t="s">
        <v>112</v>
      </c>
      <c r="O319" s="97" t="s">
        <v>113</v>
      </c>
      <c r="P319" s="97" t="s">
        <v>118</v>
      </c>
      <c r="Q319" s="97" t="s">
        <v>119</v>
      </c>
      <c r="R319" s="97" t="s">
        <v>120</v>
      </c>
      <c r="S319" s="97" t="s">
        <v>121</v>
      </c>
    </row>
    <row r="320" spans="1:19" x14ac:dyDescent="0.25">
      <c r="A320" s="98">
        <f>A306+1</f>
        <v>43020</v>
      </c>
      <c r="B320" s="99" t="s">
        <v>133</v>
      </c>
      <c r="C320" s="100">
        <v>1</v>
      </c>
      <c r="D320" s="103">
        <f>$C320*VLOOKUP($B320,FoodDB!$A$2:$I$1018,3,0)</f>
        <v>0</v>
      </c>
      <c r="E320" s="103">
        <f>$C320*VLOOKUP($B320,FoodDB!$A$2:$I$1018,4,0)</f>
        <v>0</v>
      </c>
      <c r="F320" s="103">
        <f>$C320*VLOOKUP($B320,FoodDB!$A$2:$I$1018,5,0)</f>
        <v>0</v>
      </c>
      <c r="G320" s="103">
        <f>$C320*VLOOKUP($B320,FoodDB!$A$2:$I$1018,6,0)</f>
        <v>0</v>
      </c>
      <c r="H320" s="103">
        <f>$C320*VLOOKUP($B320,FoodDB!$A$2:$I$1018,7,0)</f>
        <v>0</v>
      </c>
      <c r="I320" s="103">
        <f>$C320*VLOOKUP($B320,FoodDB!$A$2:$I$1018,8,0)</f>
        <v>0</v>
      </c>
      <c r="J320" s="103">
        <f>$C320*VLOOKUP($B320,FoodDB!$A$2:$I$1018,9,0)</f>
        <v>0</v>
      </c>
      <c r="K320" s="103"/>
      <c r="L320" s="103">
        <f>SUM(G320:G327)</f>
        <v>494.55</v>
      </c>
      <c r="M320" s="103">
        <f>SUM(H320:H327)</f>
        <v>79.428571428571431</v>
      </c>
      <c r="N320" s="103">
        <f>SUM(I320:I327)</f>
        <v>495.71428571428572</v>
      </c>
      <c r="O320" s="103">
        <f>SUM(L320:N320)</f>
        <v>1069.6928571428571</v>
      </c>
      <c r="P320" s="103">
        <f>VLOOKUP($A320,LossChart!$A$3:$AB$105,14,0)-L320</f>
        <v>-3.0925657073487969</v>
      </c>
      <c r="Q320" s="103">
        <f>VLOOKUP($A320,LossChart!$A$3:$AB$105,15,0)-M320</f>
        <v>0.5714285714285694</v>
      </c>
      <c r="R320" s="103">
        <f>VLOOKUP($A320,LossChart!$A$3:$AB$105,16,0)-N320</f>
        <v>-18.410211578127473</v>
      </c>
      <c r="S320" s="103">
        <f>VLOOKUP($A320,LossChart!$A$3:$AB$105,17,0)-O320</f>
        <v>-20.931348714047544</v>
      </c>
    </row>
    <row r="321" spans="1:19" x14ac:dyDescent="0.25">
      <c r="B321" s="99" t="s">
        <v>125</v>
      </c>
      <c r="C321" s="100">
        <v>1</v>
      </c>
      <c r="D321" s="103">
        <f>$C321*VLOOKUP($B321,FoodDB!$A$2:$I$1018,3,0)</f>
        <v>1.5</v>
      </c>
      <c r="E321" s="103">
        <f>$C321*VLOOKUP($B321,FoodDB!$A$2:$I$1018,4,0)</f>
        <v>3</v>
      </c>
      <c r="F321" s="103">
        <f>$C321*VLOOKUP($B321,FoodDB!$A$2:$I$1018,5,0)</f>
        <v>25</v>
      </c>
      <c r="G321" s="103">
        <f>$C321*VLOOKUP($B321,FoodDB!$A$2:$I$1018,6,0)</f>
        <v>13.5</v>
      </c>
      <c r="H321" s="103">
        <f>$C321*VLOOKUP($B321,FoodDB!$A$2:$I$1018,7,0)</f>
        <v>12</v>
      </c>
      <c r="I321" s="103">
        <f>$C321*VLOOKUP($B321,FoodDB!$A$2:$I$1018,8,0)</f>
        <v>100</v>
      </c>
      <c r="J321" s="103">
        <f>$C321*VLOOKUP($B321,FoodDB!$A$2:$I$1018,9,0)</f>
        <v>125.5</v>
      </c>
      <c r="K321" s="103"/>
      <c r="L321" s="103"/>
      <c r="M321" s="103"/>
      <c r="N321" s="103"/>
      <c r="O321" s="103"/>
      <c r="P321" s="103"/>
      <c r="Q321" s="103"/>
      <c r="R321" s="103"/>
      <c r="S321" s="103"/>
    </row>
    <row r="322" spans="1:19" x14ac:dyDescent="0.25">
      <c r="B322" s="99" t="s">
        <v>95</v>
      </c>
      <c r="C322" s="100">
        <v>0.5</v>
      </c>
      <c r="D322" s="103">
        <f>$C322*VLOOKUP($B322,FoodDB!$A$2:$I$1018,3,0)</f>
        <v>0.25</v>
      </c>
      <c r="E322" s="103">
        <f>$C322*VLOOKUP($B322,FoodDB!$A$2:$I$1018,4,0)</f>
        <v>0</v>
      </c>
      <c r="F322" s="103">
        <f>$C322*VLOOKUP($B322,FoodDB!$A$2:$I$1018,5,0)</f>
        <v>25</v>
      </c>
      <c r="G322" s="103">
        <f>$C322*VLOOKUP($B322,FoodDB!$A$2:$I$1018,6,0)</f>
        <v>2.25</v>
      </c>
      <c r="H322" s="103">
        <f>$C322*VLOOKUP($B322,FoodDB!$A$2:$I$1018,7,0)</f>
        <v>0</v>
      </c>
      <c r="I322" s="103">
        <f>$C322*VLOOKUP($B322,FoodDB!$A$2:$I$1018,8,0)</f>
        <v>100</v>
      </c>
      <c r="J322" s="103">
        <f>$C322*VLOOKUP($B322,FoodDB!$A$2:$I$1018,9,0)</f>
        <v>102.25</v>
      </c>
      <c r="K322" s="103"/>
      <c r="L322" s="103"/>
      <c r="M322" s="103"/>
      <c r="N322" s="103"/>
      <c r="O322" s="103"/>
      <c r="P322" s="103"/>
      <c r="Q322" s="103"/>
      <c r="R322" s="103"/>
      <c r="S322" s="103"/>
    </row>
    <row r="323" spans="1:19" x14ac:dyDescent="0.25">
      <c r="B323" s="99" t="s">
        <v>134</v>
      </c>
      <c r="C323" s="100">
        <v>2</v>
      </c>
      <c r="D323" s="103">
        <f>$C323*VLOOKUP($B323,FoodDB!$A$2:$I$1018,3,0)</f>
        <v>28</v>
      </c>
      <c r="E323" s="103">
        <f>$C323*VLOOKUP($B323,FoodDB!$A$2:$I$1018,4,0)</f>
        <v>6</v>
      </c>
      <c r="F323" s="103">
        <f>$C323*VLOOKUP($B323,FoodDB!$A$2:$I$1018,5,0)</f>
        <v>14</v>
      </c>
      <c r="G323" s="103">
        <f>$C323*VLOOKUP($B323,FoodDB!$A$2:$I$1018,6,0)</f>
        <v>252</v>
      </c>
      <c r="H323" s="103">
        <f>$C323*VLOOKUP($B323,FoodDB!$A$2:$I$1018,7,0)</f>
        <v>24</v>
      </c>
      <c r="I323" s="103">
        <f>$C323*VLOOKUP($B323,FoodDB!$A$2:$I$1018,8,0)</f>
        <v>56</v>
      </c>
      <c r="J323" s="103">
        <f>$C323*VLOOKUP($B323,FoodDB!$A$2:$I$1018,9,0)</f>
        <v>332</v>
      </c>
      <c r="K323" s="103"/>
      <c r="L323" s="103"/>
      <c r="M323" s="103"/>
      <c r="N323" s="103"/>
      <c r="O323" s="103"/>
      <c r="P323" s="103"/>
      <c r="Q323" s="103"/>
      <c r="R323" s="103"/>
      <c r="S323" s="103"/>
    </row>
    <row r="324" spans="1:19" x14ac:dyDescent="0.25">
      <c r="B324" s="99" t="s">
        <v>100</v>
      </c>
      <c r="C324" s="100">
        <v>7</v>
      </c>
      <c r="D324" s="103">
        <f>$C324*VLOOKUP($B324,FoodDB!$A$2:$I$1018,3,0)</f>
        <v>0</v>
      </c>
      <c r="E324" s="103">
        <f>$C324*VLOOKUP($B324,FoodDB!$A$2:$I$1018,4,0)</f>
        <v>7</v>
      </c>
      <c r="F324" s="103">
        <f>$C324*VLOOKUP($B324,FoodDB!$A$2:$I$1018,5,0)</f>
        <v>7</v>
      </c>
      <c r="G324" s="103">
        <f>$C324*VLOOKUP($B324,FoodDB!$A$2:$I$1018,6,0)</f>
        <v>0</v>
      </c>
      <c r="H324" s="103">
        <f>$C324*VLOOKUP($B324,FoodDB!$A$2:$I$1018,7,0)</f>
        <v>28</v>
      </c>
      <c r="I324" s="103">
        <f>$C324*VLOOKUP($B324,FoodDB!$A$2:$I$1018,8,0)</f>
        <v>28</v>
      </c>
      <c r="J324" s="103">
        <f>$C324*VLOOKUP($B324,FoodDB!$A$2:$I$1018,9,0)</f>
        <v>56</v>
      </c>
      <c r="K324" s="103"/>
      <c r="L324" s="103"/>
      <c r="M324" s="103"/>
      <c r="N324" s="103"/>
      <c r="O324" s="103"/>
      <c r="P324" s="103"/>
      <c r="Q324" s="103"/>
      <c r="R324" s="103"/>
      <c r="S324" s="103"/>
    </row>
    <row r="325" spans="1:19" x14ac:dyDescent="0.25">
      <c r="B325" s="99" t="s">
        <v>105</v>
      </c>
      <c r="C325" s="100">
        <v>1.5</v>
      </c>
      <c r="D325" s="103">
        <f>$C325*VLOOKUP($B325,FoodDB!$A$2:$I$1018,3,0)</f>
        <v>1.2000000000000002</v>
      </c>
      <c r="E325" s="103">
        <f>$C325*VLOOKUP($B325,FoodDB!$A$2:$I$1018,4,0)</f>
        <v>0</v>
      </c>
      <c r="F325" s="103">
        <f>$C325*VLOOKUP($B325,FoodDB!$A$2:$I$1018,5,0)</f>
        <v>51</v>
      </c>
      <c r="G325" s="103">
        <f>$C325*VLOOKUP($B325,FoodDB!$A$2:$I$1018,6,0)</f>
        <v>10.8</v>
      </c>
      <c r="H325" s="103">
        <f>$C325*VLOOKUP($B325,FoodDB!$A$2:$I$1018,7,0)</f>
        <v>0</v>
      </c>
      <c r="I325" s="103">
        <f>$C325*VLOOKUP($B325,FoodDB!$A$2:$I$1018,8,0)</f>
        <v>204</v>
      </c>
      <c r="J325" s="103">
        <f>$C325*VLOOKUP($B325,FoodDB!$A$2:$I$1018,9,0)</f>
        <v>214.79999999999998</v>
      </c>
      <c r="K325" s="103"/>
      <c r="L325" s="103"/>
      <c r="M325" s="103"/>
      <c r="N325" s="103"/>
      <c r="O325" s="103"/>
      <c r="P325" s="103"/>
      <c r="Q325" s="103"/>
      <c r="R325" s="103"/>
      <c r="S325" s="103"/>
    </row>
    <row r="326" spans="1:19" x14ac:dyDescent="0.25">
      <c r="B326" s="99" t="s">
        <v>96</v>
      </c>
      <c r="C326" s="100">
        <v>6</v>
      </c>
      <c r="D326" s="103">
        <f>$C326*VLOOKUP($B326,FoodDB!$A$2:$I$1018,3,0)</f>
        <v>0</v>
      </c>
      <c r="E326" s="103">
        <f>$C326*VLOOKUP($B326,FoodDB!$A$2:$I$1018,4,0)</f>
        <v>3.8571428571428577</v>
      </c>
      <c r="F326" s="103">
        <f>$C326*VLOOKUP($B326,FoodDB!$A$2:$I$1018,5,0)</f>
        <v>1.9285714285714288</v>
      </c>
      <c r="G326" s="103">
        <f>$C326*VLOOKUP($B326,FoodDB!$A$2:$I$1018,6,0)</f>
        <v>0</v>
      </c>
      <c r="H326" s="103">
        <f>$C326*VLOOKUP($B326,FoodDB!$A$2:$I$1018,7,0)</f>
        <v>15.428571428571431</v>
      </c>
      <c r="I326" s="103">
        <f>$C326*VLOOKUP($B326,FoodDB!$A$2:$I$1018,8,0)</f>
        <v>7.7142857142857153</v>
      </c>
      <c r="J326" s="103">
        <f>$C326*VLOOKUP($B326,FoodDB!$A$2:$I$1018,9,0)</f>
        <v>23.142857142857146</v>
      </c>
      <c r="K326" s="103"/>
      <c r="L326" s="103"/>
      <c r="M326" s="103"/>
      <c r="N326" s="103"/>
      <c r="O326" s="103"/>
      <c r="P326" s="103"/>
      <c r="Q326" s="103"/>
      <c r="R326" s="103"/>
      <c r="S326" s="103"/>
    </row>
    <row r="327" spans="1:19" x14ac:dyDescent="0.25">
      <c r="B327" s="99" t="s">
        <v>109</v>
      </c>
      <c r="C327" s="100">
        <v>2</v>
      </c>
      <c r="D327" s="103">
        <f>$C327*VLOOKUP($B327,FoodDB!$A$2:$I$1018,3,0)</f>
        <v>24</v>
      </c>
      <c r="E327" s="103">
        <f>$C327*VLOOKUP($B327,FoodDB!$A$2:$I$1018,4,0)</f>
        <v>0</v>
      </c>
      <c r="F327" s="103">
        <f>$C327*VLOOKUP($B327,FoodDB!$A$2:$I$1018,5,0)</f>
        <v>0</v>
      </c>
      <c r="G327" s="103">
        <f>$C327*VLOOKUP($B327,FoodDB!$A$2:$I$1018,6,0)</f>
        <v>216</v>
      </c>
      <c r="H327" s="103">
        <f>$C327*VLOOKUP($B327,FoodDB!$A$2:$I$1018,7,0)</f>
        <v>0</v>
      </c>
      <c r="I327" s="103">
        <f>$C327*VLOOKUP($B327,FoodDB!$A$2:$I$1018,8,0)</f>
        <v>0</v>
      </c>
      <c r="J327" s="103">
        <f>$C327*VLOOKUP($B327,FoodDB!$A$2:$I$1018,9,0)</f>
        <v>216</v>
      </c>
      <c r="K327" s="103"/>
      <c r="L327" s="103"/>
      <c r="M327" s="103"/>
      <c r="N327" s="103"/>
      <c r="O327" s="103"/>
      <c r="P327" s="103"/>
      <c r="Q327" s="103"/>
      <c r="R327" s="103"/>
      <c r="S327" s="103"/>
    </row>
    <row r="328" spans="1:19" x14ac:dyDescent="0.25">
      <c r="A328" t="s">
        <v>98</v>
      </c>
      <c r="D328" s="103"/>
      <c r="E328" s="103"/>
      <c r="F328" s="103"/>
      <c r="G328" s="103">
        <f>SUM(G320:G327)</f>
        <v>494.55</v>
      </c>
      <c r="H328" s="103">
        <f>SUM(H320:H327)</f>
        <v>79.428571428571431</v>
      </c>
      <c r="I328" s="103">
        <f>SUM(I320:I327)</f>
        <v>495.71428571428572</v>
      </c>
      <c r="J328" s="103">
        <f>SUM(G328:I328)</f>
        <v>1069.6928571428571</v>
      </c>
      <c r="K328" s="103"/>
      <c r="L328" s="103"/>
      <c r="M328" s="103"/>
      <c r="N328" s="103"/>
      <c r="O328" s="103"/>
      <c r="P328" s="103"/>
      <c r="Q328" s="103"/>
      <c r="R328" s="103"/>
      <c r="S328" s="103"/>
    </row>
    <row r="329" spans="1:19" x14ac:dyDescent="0.25">
      <c r="A329" t="s">
        <v>102</v>
      </c>
      <c r="B329" t="s">
        <v>103</v>
      </c>
      <c r="D329" s="103"/>
      <c r="E329" s="103"/>
      <c r="F329" s="103"/>
      <c r="G329" s="103">
        <f>VLOOKUP($A320,LossChart!$A$3:$AB$105,14,0)</f>
        <v>491.45743429265121</v>
      </c>
      <c r="H329" s="103">
        <f>VLOOKUP($A320,LossChart!$A$3:$AB$105,15,0)</f>
        <v>80</v>
      </c>
      <c r="I329" s="103">
        <f>VLOOKUP($A320,LossChart!$A$3:$AB$105,16,0)</f>
        <v>477.30407413615825</v>
      </c>
      <c r="J329" s="103">
        <f>VLOOKUP($A320,LossChart!$A$3:$AB$105,17,0)</f>
        <v>1048.7615084288095</v>
      </c>
      <c r="K329" s="103"/>
      <c r="L329" s="103"/>
      <c r="M329" s="103"/>
      <c r="N329" s="103"/>
      <c r="O329" s="103"/>
      <c r="P329" s="103"/>
      <c r="Q329" s="103"/>
      <c r="R329" s="103"/>
      <c r="S329" s="103"/>
    </row>
    <row r="330" spans="1:19" x14ac:dyDescent="0.25">
      <c r="A330" t="s">
        <v>104</v>
      </c>
      <c r="D330" s="103"/>
      <c r="E330" s="103"/>
      <c r="F330" s="103"/>
      <c r="G330" s="103">
        <f>G329-G328</f>
        <v>-3.0925657073487969</v>
      </c>
      <c r="H330" s="103">
        <f>H329-H328</f>
        <v>0.5714285714285694</v>
      </c>
      <c r="I330" s="103">
        <f>I329-I328</f>
        <v>-18.410211578127473</v>
      </c>
      <c r="J330" s="103">
        <f>J329-J328</f>
        <v>-20.931348714047544</v>
      </c>
      <c r="K330" s="103"/>
      <c r="L330" s="103"/>
      <c r="M330" s="103"/>
      <c r="N330" s="103"/>
      <c r="O330" s="103"/>
      <c r="P330" s="103"/>
      <c r="Q330" s="103"/>
      <c r="R330" s="103"/>
      <c r="S330" s="103"/>
    </row>
    <row r="332" spans="1:19" ht="60" x14ac:dyDescent="0.25">
      <c r="A332" s="26" t="s">
        <v>63</v>
      </c>
      <c r="B332" s="26" t="s">
        <v>93</v>
      </c>
      <c r="C332" s="26" t="s">
        <v>94</v>
      </c>
      <c r="D332" s="97" t="str">
        <f>FoodDB!$C$1</f>
        <v>Fat
(g)</v>
      </c>
      <c r="E332" s="97" t="str">
        <f>FoodDB!$D$1</f>
        <v xml:space="preserve"> Carbs
(g)</v>
      </c>
      <c r="F332" s="97" t="str">
        <f>FoodDB!$E$1</f>
        <v>Protein
(g)</v>
      </c>
      <c r="G332" s="97" t="str">
        <f>FoodDB!$F$1</f>
        <v>Fat
(Cal)</v>
      </c>
      <c r="H332" s="97" t="str">
        <f>FoodDB!$G$1</f>
        <v>Carb
(Cal)</v>
      </c>
      <c r="I332" s="97" t="str">
        <f>FoodDB!$H$1</f>
        <v>Protein
(Cal)</v>
      </c>
      <c r="J332" s="97" t="str">
        <f>FoodDB!$I$1</f>
        <v>Total
Calories</v>
      </c>
      <c r="K332" s="97"/>
      <c r="L332" s="97" t="s">
        <v>110</v>
      </c>
      <c r="M332" s="97" t="s">
        <v>111</v>
      </c>
      <c r="N332" s="97" t="s">
        <v>112</v>
      </c>
      <c r="O332" s="97" t="s">
        <v>113</v>
      </c>
      <c r="P332" s="97" t="s">
        <v>118</v>
      </c>
      <c r="Q332" s="97" t="s">
        <v>119</v>
      </c>
      <c r="R332" s="97" t="s">
        <v>120</v>
      </c>
      <c r="S332" s="97" t="s">
        <v>121</v>
      </c>
    </row>
    <row r="333" spans="1:19" x14ac:dyDescent="0.25">
      <c r="A333" s="98">
        <f>A320+1</f>
        <v>43021</v>
      </c>
      <c r="B333" s="99" t="s">
        <v>100</v>
      </c>
      <c r="C333" s="100">
        <v>7</v>
      </c>
      <c r="D333" s="103">
        <f>$C333*VLOOKUP($B333,FoodDB!$A$2:$I$1018,3,0)</f>
        <v>0</v>
      </c>
      <c r="E333" s="103">
        <f>$C333*VLOOKUP($B333,FoodDB!$A$2:$I$1018,4,0)</f>
        <v>7</v>
      </c>
      <c r="F333" s="103">
        <f>$C333*VLOOKUP($B333,FoodDB!$A$2:$I$1018,5,0)</f>
        <v>7</v>
      </c>
      <c r="G333" s="103">
        <f>$C333*VLOOKUP($B333,FoodDB!$A$2:$I$1018,6,0)</f>
        <v>0</v>
      </c>
      <c r="H333" s="103">
        <f>$C333*VLOOKUP($B333,FoodDB!$A$2:$I$1018,7,0)</f>
        <v>28</v>
      </c>
      <c r="I333" s="103">
        <f>$C333*VLOOKUP($B333,FoodDB!$A$2:$I$1018,8,0)</f>
        <v>28</v>
      </c>
      <c r="J333" s="103">
        <f>$C333*VLOOKUP($B333,FoodDB!$A$2:$I$1018,9,0)</f>
        <v>56</v>
      </c>
      <c r="K333" s="103"/>
      <c r="L333" s="103">
        <f>SUM(G333:G339)</f>
        <v>562.31999999999994</v>
      </c>
      <c r="M333" s="103">
        <f>SUM(H333:H339)</f>
        <v>100.8</v>
      </c>
      <c r="N333" s="103">
        <f>SUM(I333:I339)</f>
        <v>457.28</v>
      </c>
      <c r="O333" s="103">
        <f>SUM(L333:N333)</f>
        <v>1120.3999999999999</v>
      </c>
      <c r="P333" s="103">
        <f>VLOOKUP($A333,LossChart!$A$3:$AB$105,14,0)-L333</f>
        <v>-63.824004909386531</v>
      </c>
      <c r="Q333" s="103">
        <f>VLOOKUP($A333,LossChart!$A$3:$AB$105,15,0)-M333</f>
        <v>-20.799999999999997</v>
      </c>
      <c r="R333" s="103">
        <f>VLOOKUP($A333,LossChart!$A$3:$AB$105,16,0)-N333</f>
        <v>20.024074136158276</v>
      </c>
      <c r="S333" s="103">
        <f>VLOOKUP($A333,LossChart!$A$3:$AB$105,17,0)-O333</f>
        <v>-64.599930773228152</v>
      </c>
    </row>
    <row r="334" spans="1:19" x14ac:dyDescent="0.25">
      <c r="B334" s="99" t="s">
        <v>133</v>
      </c>
      <c r="C334" s="100">
        <v>1</v>
      </c>
      <c r="D334" s="103">
        <f>$C334*VLOOKUP($B334,FoodDB!$A$2:$I$1018,3,0)</f>
        <v>0</v>
      </c>
      <c r="E334" s="103">
        <f>$C334*VLOOKUP($B334,FoodDB!$A$2:$I$1018,4,0)</f>
        <v>0</v>
      </c>
      <c r="F334" s="103">
        <f>$C334*VLOOKUP($B334,FoodDB!$A$2:$I$1018,5,0)</f>
        <v>0</v>
      </c>
      <c r="G334" s="103">
        <f>$C334*VLOOKUP($B334,FoodDB!$A$2:$I$1018,6,0)</f>
        <v>0</v>
      </c>
      <c r="H334" s="103">
        <f>$C334*VLOOKUP($B334,FoodDB!$A$2:$I$1018,7,0)</f>
        <v>0</v>
      </c>
      <c r="I334" s="103">
        <f>$C334*VLOOKUP($B334,FoodDB!$A$2:$I$1018,8,0)</f>
        <v>0</v>
      </c>
      <c r="J334" s="103">
        <f>$C334*VLOOKUP($B334,FoodDB!$A$2:$I$1018,9,0)</f>
        <v>0</v>
      </c>
      <c r="K334" s="103"/>
      <c r="L334" s="103"/>
      <c r="M334" s="103"/>
      <c r="N334" s="103"/>
      <c r="O334" s="103"/>
      <c r="P334" s="103"/>
      <c r="Q334" s="103"/>
      <c r="R334" s="103"/>
      <c r="S334" s="103"/>
    </row>
    <row r="335" spans="1:19" x14ac:dyDescent="0.25">
      <c r="B335" s="99" t="s">
        <v>106</v>
      </c>
      <c r="C335" s="100">
        <v>4</v>
      </c>
      <c r="D335" s="103">
        <f>$C335*VLOOKUP($B335,FoodDB!$A$2:$I$1018,3,0)</f>
        <v>0.4</v>
      </c>
      <c r="E335" s="103">
        <f>$C335*VLOOKUP($B335,FoodDB!$A$2:$I$1018,4,0)</f>
        <v>7.2</v>
      </c>
      <c r="F335" s="103">
        <f>$C335*VLOOKUP($B335,FoodDB!$A$2:$I$1018,5,0)</f>
        <v>8.8000000000000007</v>
      </c>
      <c r="G335" s="103">
        <f>$C335*VLOOKUP($B335,FoodDB!$A$2:$I$1018,6,0)</f>
        <v>3.6</v>
      </c>
      <c r="H335" s="103">
        <f>$C335*VLOOKUP($B335,FoodDB!$A$2:$I$1018,7,0)</f>
        <v>28.8</v>
      </c>
      <c r="I335" s="103">
        <f>$C335*VLOOKUP($B335,FoodDB!$A$2:$I$1018,8,0)</f>
        <v>35.200000000000003</v>
      </c>
      <c r="J335" s="103">
        <f>$C335*VLOOKUP($B335,FoodDB!$A$2:$I$1018,9,0)</f>
        <v>67.599999999999994</v>
      </c>
      <c r="K335" s="103"/>
      <c r="L335" s="103"/>
      <c r="M335" s="103"/>
      <c r="N335" s="103"/>
      <c r="O335" s="103"/>
      <c r="P335" s="103"/>
      <c r="Q335" s="103"/>
      <c r="R335" s="103"/>
      <c r="S335" s="103"/>
    </row>
    <row r="336" spans="1:19" x14ac:dyDescent="0.25">
      <c r="B336" s="99" t="s">
        <v>136</v>
      </c>
      <c r="C336" s="100">
        <v>1</v>
      </c>
      <c r="D336" s="103">
        <f>$C336*VLOOKUP($B336,FoodDB!$A$2:$I$1018,3,0)</f>
        <v>5</v>
      </c>
      <c r="E336" s="103">
        <f>$C336*VLOOKUP($B336,FoodDB!$A$2:$I$1018,4,0)</f>
        <v>7</v>
      </c>
      <c r="F336" s="103">
        <f>$C336*VLOOKUP($B336,FoodDB!$A$2:$I$1018,5,0)</f>
        <v>16</v>
      </c>
      <c r="G336" s="103">
        <f>$C336*VLOOKUP($B336,FoodDB!$A$2:$I$1018,6,0)</f>
        <v>45</v>
      </c>
      <c r="H336" s="103">
        <f>$C336*VLOOKUP($B336,FoodDB!$A$2:$I$1018,7,0)</f>
        <v>28</v>
      </c>
      <c r="I336" s="103">
        <f>$C336*VLOOKUP($B336,FoodDB!$A$2:$I$1018,8,0)</f>
        <v>64</v>
      </c>
      <c r="J336" s="103">
        <f>$C336*VLOOKUP($B336,FoodDB!$A$2:$I$1018,9,0)</f>
        <v>137</v>
      </c>
      <c r="K336" s="103"/>
      <c r="L336" s="103"/>
      <c r="M336" s="103"/>
      <c r="N336" s="103"/>
      <c r="O336" s="103"/>
      <c r="P336" s="103"/>
      <c r="Q336" s="103"/>
      <c r="R336" s="103"/>
      <c r="S336" s="103"/>
    </row>
    <row r="337" spans="1:19" x14ac:dyDescent="0.25">
      <c r="B337" s="99" t="s">
        <v>137</v>
      </c>
      <c r="C337" s="100">
        <v>1</v>
      </c>
      <c r="D337" s="103">
        <f>$C337*VLOOKUP($B337,FoodDB!$A$2:$I$1018,3,0)</f>
        <v>2</v>
      </c>
      <c r="E337" s="103">
        <f>$C337*VLOOKUP($B337,FoodDB!$A$2:$I$1018,4,0)</f>
        <v>0</v>
      </c>
      <c r="F337" s="103">
        <f>$C337*VLOOKUP($B337,FoodDB!$A$2:$I$1018,5,0)</f>
        <v>22</v>
      </c>
      <c r="G337" s="103">
        <f>$C337*VLOOKUP($B337,FoodDB!$A$2:$I$1018,6,0)</f>
        <v>18</v>
      </c>
      <c r="H337" s="103">
        <f>$C337*VLOOKUP($B337,FoodDB!$A$2:$I$1018,7,0)</f>
        <v>0</v>
      </c>
      <c r="I337" s="103">
        <f>$C337*VLOOKUP($B337,FoodDB!$A$2:$I$1018,8,0)</f>
        <v>88</v>
      </c>
      <c r="J337" s="103">
        <f>$C337*VLOOKUP($B337,FoodDB!$A$2:$I$1018,9,0)</f>
        <v>106</v>
      </c>
      <c r="K337" s="103"/>
      <c r="L337" s="103"/>
      <c r="M337" s="103"/>
      <c r="N337" s="103"/>
      <c r="O337" s="103"/>
      <c r="P337" s="103"/>
      <c r="Q337" s="103"/>
      <c r="R337" s="103"/>
      <c r="S337" s="103"/>
    </row>
    <row r="338" spans="1:19" x14ac:dyDescent="0.25">
      <c r="B338" s="99" t="s">
        <v>99</v>
      </c>
      <c r="C338" s="100">
        <v>6</v>
      </c>
      <c r="D338" s="103">
        <f>$C338*VLOOKUP($B338,FoodDB!$A$2:$I$1018,3,0)</f>
        <v>37.08</v>
      </c>
      <c r="E338" s="103">
        <f>$C338*VLOOKUP($B338,FoodDB!$A$2:$I$1018,4,0)</f>
        <v>0</v>
      </c>
      <c r="F338" s="103">
        <f>$C338*VLOOKUP($B338,FoodDB!$A$2:$I$1018,5,0)</f>
        <v>51.12</v>
      </c>
      <c r="G338" s="103">
        <f>$C338*VLOOKUP($B338,FoodDB!$A$2:$I$1018,6,0)</f>
        <v>333.71999999999997</v>
      </c>
      <c r="H338" s="103">
        <f>$C338*VLOOKUP($B338,FoodDB!$A$2:$I$1018,7,0)</f>
        <v>0</v>
      </c>
      <c r="I338" s="103">
        <f>$C338*VLOOKUP($B338,FoodDB!$A$2:$I$1018,8,0)</f>
        <v>204.48</v>
      </c>
      <c r="J338" s="103">
        <f>$C338*VLOOKUP($B338,FoodDB!$A$2:$I$1018,9,0)</f>
        <v>538.19999999999993</v>
      </c>
      <c r="K338" s="103"/>
      <c r="L338" s="103"/>
      <c r="M338" s="103"/>
      <c r="N338" s="103"/>
      <c r="O338" s="103"/>
      <c r="P338" s="103"/>
      <c r="Q338" s="103"/>
      <c r="R338" s="103"/>
      <c r="S338" s="103"/>
    </row>
    <row r="339" spans="1:19" x14ac:dyDescent="0.25">
      <c r="B339" s="99" t="s">
        <v>97</v>
      </c>
      <c r="C339" s="100">
        <v>2</v>
      </c>
      <c r="D339" s="103">
        <f>$C339*VLOOKUP($B339,FoodDB!$A$2:$I$1018,3,0)</f>
        <v>18</v>
      </c>
      <c r="E339" s="103">
        <f>$C339*VLOOKUP($B339,FoodDB!$A$2:$I$1018,4,0)</f>
        <v>4</v>
      </c>
      <c r="F339" s="103">
        <f>$C339*VLOOKUP($B339,FoodDB!$A$2:$I$1018,5,0)</f>
        <v>9.4</v>
      </c>
      <c r="G339" s="103">
        <f>$C339*VLOOKUP($B339,FoodDB!$A$2:$I$1018,6,0)</f>
        <v>162</v>
      </c>
      <c r="H339" s="103">
        <f>$C339*VLOOKUP($B339,FoodDB!$A$2:$I$1018,7,0)</f>
        <v>16</v>
      </c>
      <c r="I339" s="103">
        <f>$C339*VLOOKUP($B339,FoodDB!$A$2:$I$1018,8,0)</f>
        <v>37.6</v>
      </c>
      <c r="J339" s="103">
        <f>$C339*VLOOKUP($B339,FoodDB!$A$2:$I$1018,9,0)</f>
        <v>215.6</v>
      </c>
      <c r="K339" s="103"/>
      <c r="L339" s="103"/>
      <c r="M339" s="103"/>
      <c r="N339" s="103"/>
      <c r="O339" s="103"/>
      <c r="P339" s="103"/>
      <c r="Q339" s="103"/>
      <c r="R339" s="103"/>
      <c r="S339" s="103"/>
    </row>
    <row r="340" spans="1:19" x14ac:dyDescent="0.25">
      <c r="A340" t="s">
        <v>98</v>
      </c>
      <c r="D340" s="103"/>
      <c r="E340" s="103"/>
      <c r="F340" s="103"/>
      <c r="G340" s="103">
        <f>SUM(G333:G339)</f>
        <v>562.31999999999994</v>
      </c>
      <c r="H340" s="103">
        <f>SUM(H333:H339)</f>
        <v>100.8</v>
      </c>
      <c r="I340" s="103">
        <f>SUM(I333:I339)</f>
        <v>457.28</v>
      </c>
      <c r="J340" s="103">
        <f>SUM(G340:I340)</f>
        <v>1120.3999999999999</v>
      </c>
      <c r="K340" s="103"/>
      <c r="L340" s="103"/>
      <c r="M340" s="103"/>
      <c r="N340" s="103"/>
      <c r="O340" s="103"/>
      <c r="P340" s="103"/>
      <c r="Q340" s="103"/>
      <c r="R340" s="103"/>
      <c r="S340" s="103"/>
    </row>
    <row r="341" spans="1:19" x14ac:dyDescent="0.25">
      <c r="A341" t="s">
        <v>102</v>
      </c>
      <c r="B341" t="s">
        <v>103</v>
      </c>
      <c r="D341" s="103"/>
      <c r="E341" s="103"/>
      <c r="F341" s="103"/>
      <c r="G341" s="103">
        <f>VLOOKUP($A333,LossChart!$A$3:$AB$105,14,0)</f>
        <v>498.49599509061341</v>
      </c>
      <c r="H341" s="103">
        <f>VLOOKUP($A333,LossChart!$A$3:$AB$105,15,0)</f>
        <v>80</v>
      </c>
      <c r="I341" s="103">
        <f>VLOOKUP($A333,LossChart!$A$3:$AB$105,16,0)</f>
        <v>477.30407413615825</v>
      </c>
      <c r="J341" s="103">
        <f>VLOOKUP($A333,LossChart!$A$3:$AB$105,17,0)</f>
        <v>1055.8000692267717</v>
      </c>
      <c r="K341" s="103"/>
      <c r="L341" s="103"/>
      <c r="M341" s="103"/>
      <c r="N341" s="103"/>
      <c r="O341" s="103"/>
      <c r="P341" s="103"/>
      <c r="Q341" s="103"/>
      <c r="R341" s="103"/>
      <c r="S341" s="103"/>
    </row>
    <row r="342" spans="1:19" x14ac:dyDescent="0.25">
      <c r="A342" t="s">
        <v>104</v>
      </c>
      <c r="D342" s="103"/>
      <c r="E342" s="103"/>
      <c r="F342" s="103"/>
      <c r="G342" s="103">
        <f>G341-G340</f>
        <v>-63.824004909386531</v>
      </c>
      <c r="H342" s="103">
        <f>H341-H340</f>
        <v>-20.799999999999997</v>
      </c>
      <c r="I342" s="103">
        <f>I341-I340</f>
        <v>20.024074136158276</v>
      </c>
      <c r="J342" s="103">
        <f>J341-J340</f>
        <v>-64.599930773228152</v>
      </c>
      <c r="K342" s="103"/>
      <c r="L342" s="103"/>
      <c r="M342" s="103"/>
      <c r="N342" s="103"/>
      <c r="O342" s="103"/>
      <c r="P342" s="103"/>
      <c r="Q342" s="103"/>
      <c r="R342" s="103"/>
      <c r="S342" s="103"/>
    </row>
    <row r="344" spans="1:19" ht="60" x14ac:dyDescent="0.25">
      <c r="A344" s="26" t="s">
        <v>63</v>
      </c>
      <c r="B344" s="26" t="s">
        <v>93</v>
      </c>
      <c r="C344" s="26" t="s">
        <v>94</v>
      </c>
      <c r="D344" s="97" t="str">
        <f>FoodDB!$C$1</f>
        <v>Fat
(g)</v>
      </c>
      <c r="E344" s="97" t="str">
        <f>FoodDB!$D$1</f>
        <v xml:space="preserve"> Carbs
(g)</v>
      </c>
      <c r="F344" s="97" t="str">
        <f>FoodDB!$E$1</f>
        <v>Protein
(g)</v>
      </c>
      <c r="G344" s="97" t="str">
        <f>FoodDB!$F$1</f>
        <v>Fat
(Cal)</v>
      </c>
      <c r="H344" s="97" t="str">
        <f>FoodDB!$G$1</f>
        <v>Carb
(Cal)</v>
      </c>
      <c r="I344" s="97" t="str">
        <f>FoodDB!$H$1</f>
        <v>Protein
(Cal)</v>
      </c>
      <c r="J344" s="97" t="str">
        <f>FoodDB!$I$1</f>
        <v>Total
Calories</v>
      </c>
      <c r="K344" s="97"/>
      <c r="L344" s="97" t="s">
        <v>110</v>
      </c>
      <c r="M344" s="97" t="s">
        <v>111</v>
      </c>
      <c r="N344" s="97" t="s">
        <v>112</v>
      </c>
      <c r="O344" s="97" t="s">
        <v>113</v>
      </c>
      <c r="P344" s="97" t="s">
        <v>118</v>
      </c>
      <c r="Q344" s="97" t="s">
        <v>119</v>
      </c>
      <c r="R344" s="97" t="s">
        <v>120</v>
      </c>
      <c r="S344" s="97" t="s">
        <v>121</v>
      </c>
    </row>
    <row r="345" spans="1:19" x14ac:dyDescent="0.25">
      <c r="A345" s="98">
        <f>A333+1</f>
        <v>43022</v>
      </c>
      <c r="B345" s="99" t="s">
        <v>133</v>
      </c>
      <c r="C345" s="100">
        <v>1</v>
      </c>
      <c r="D345" s="103">
        <f>$C345*VLOOKUP($B345,FoodDB!$A$2:$I$1018,3,0)</f>
        <v>0</v>
      </c>
      <c r="E345" s="103">
        <f>$C345*VLOOKUP($B345,FoodDB!$A$2:$I$1018,4,0)</f>
        <v>0</v>
      </c>
      <c r="F345" s="103">
        <f>$C345*VLOOKUP($B345,FoodDB!$A$2:$I$1018,5,0)</f>
        <v>0</v>
      </c>
      <c r="G345" s="103">
        <f>$C345*VLOOKUP($B345,FoodDB!$A$2:$I$1018,6,0)</f>
        <v>0</v>
      </c>
      <c r="H345" s="103">
        <f>$C345*VLOOKUP($B345,FoodDB!$A$2:$I$1018,7,0)</f>
        <v>0</v>
      </c>
      <c r="I345" s="103">
        <f>$C345*VLOOKUP($B345,FoodDB!$A$2:$I$1018,8,0)</f>
        <v>0</v>
      </c>
      <c r="J345" s="103">
        <f>$C345*VLOOKUP($B345,FoodDB!$A$2:$I$1018,9,0)</f>
        <v>0</v>
      </c>
      <c r="K345" s="103"/>
      <c r="L345" s="103">
        <f>SUM(G345:G351)</f>
        <v>507.06</v>
      </c>
      <c r="M345" s="103">
        <f>SUM(H345:H351)</f>
        <v>56.8</v>
      </c>
      <c r="N345" s="103">
        <f>SUM(I345:I351)</f>
        <v>535.84</v>
      </c>
      <c r="O345" s="103">
        <f>SUM(L345:N345)</f>
        <v>1099.7</v>
      </c>
      <c r="P345" s="103">
        <f>VLOOKUP($A345,LossChart!$A$3:$AB$105,14,0)-L345</f>
        <v>-1.8193164351760629</v>
      </c>
      <c r="Q345" s="103">
        <f>VLOOKUP($A345,LossChart!$A$3:$AB$105,15,0)-M345</f>
        <v>23.200000000000003</v>
      </c>
      <c r="R345" s="103">
        <f>VLOOKUP($A345,LossChart!$A$3:$AB$105,16,0)-N345</f>
        <v>-58.535925863841783</v>
      </c>
      <c r="S345" s="103">
        <f>VLOOKUP($A345,LossChart!$A$3:$AB$105,17,0)-O345</f>
        <v>-37.1552422990178</v>
      </c>
    </row>
    <row r="346" spans="1:19" x14ac:dyDescent="0.25">
      <c r="B346" s="99" t="s">
        <v>99</v>
      </c>
      <c r="C346" s="100">
        <v>8</v>
      </c>
      <c r="D346" s="103">
        <f>$C346*VLOOKUP($B346,FoodDB!$A$2:$I$1018,3,0)</f>
        <v>49.44</v>
      </c>
      <c r="E346" s="103">
        <f>$C346*VLOOKUP($B346,FoodDB!$A$2:$I$1018,4,0)</f>
        <v>0</v>
      </c>
      <c r="F346" s="103">
        <f>$C346*VLOOKUP($B346,FoodDB!$A$2:$I$1018,5,0)</f>
        <v>68.16</v>
      </c>
      <c r="G346" s="103">
        <f>$C346*VLOOKUP($B346,FoodDB!$A$2:$I$1018,6,0)</f>
        <v>444.96</v>
      </c>
      <c r="H346" s="103">
        <f>$C346*VLOOKUP($B346,FoodDB!$A$2:$I$1018,7,0)</f>
        <v>0</v>
      </c>
      <c r="I346" s="103">
        <f>$C346*VLOOKUP($B346,FoodDB!$A$2:$I$1018,8,0)</f>
        <v>272.64</v>
      </c>
      <c r="J346" s="103">
        <f>$C346*VLOOKUP($B346,FoodDB!$A$2:$I$1018,9,0)</f>
        <v>717.59999999999991</v>
      </c>
      <c r="K346" s="103"/>
      <c r="L346" s="103"/>
      <c r="M346" s="103"/>
      <c r="N346" s="103"/>
      <c r="O346" s="103"/>
      <c r="P346" s="103"/>
      <c r="Q346" s="103"/>
      <c r="R346" s="103"/>
      <c r="S346" s="103"/>
    </row>
    <row r="347" spans="1:19" x14ac:dyDescent="0.25">
      <c r="B347" s="99" t="s">
        <v>100</v>
      </c>
      <c r="C347" s="100">
        <v>7</v>
      </c>
      <c r="D347" s="103">
        <f>$C347*VLOOKUP($B347,FoodDB!$A$2:$I$1018,3,0)</f>
        <v>0</v>
      </c>
      <c r="E347" s="103">
        <f>$C347*VLOOKUP($B347,FoodDB!$A$2:$I$1018,4,0)</f>
        <v>7</v>
      </c>
      <c r="F347" s="103">
        <f>$C347*VLOOKUP($B347,FoodDB!$A$2:$I$1018,5,0)</f>
        <v>7</v>
      </c>
      <c r="G347" s="103">
        <f>$C347*VLOOKUP($B347,FoodDB!$A$2:$I$1018,6,0)</f>
        <v>0</v>
      </c>
      <c r="H347" s="103">
        <f>$C347*VLOOKUP($B347,FoodDB!$A$2:$I$1018,7,0)</f>
        <v>28</v>
      </c>
      <c r="I347" s="103">
        <f>$C347*VLOOKUP($B347,FoodDB!$A$2:$I$1018,8,0)</f>
        <v>28</v>
      </c>
      <c r="J347" s="103">
        <f>$C347*VLOOKUP($B347,FoodDB!$A$2:$I$1018,9,0)</f>
        <v>56</v>
      </c>
      <c r="K347" s="103"/>
      <c r="L347" s="103"/>
      <c r="M347" s="103"/>
      <c r="N347" s="103"/>
      <c r="O347" s="103"/>
      <c r="P347" s="103"/>
      <c r="Q347" s="103"/>
      <c r="R347" s="103"/>
      <c r="S347" s="103"/>
    </row>
    <row r="348" spans="1:19" x14ac:dyDescent="0.25">
      <c r="B348" s="99" t="s">
        <v>95</v>
      </c>
      <c r="C348" s="100">
        <v>1</v>
      </c>
      <c r="D348" s="103">
        <f>$C348*VLOOKUP($B348,FoodDB!$A$2:$I$1018,3,0)</f>
        <v>0.5</v>
      </c>
      <c r="E348" s="103">
        <f>$C348*VLOOKUP($B348,FoodDB!$A$2:$I$1018,4,0)</f>
        <v>0</v>
      </c>
      <c r="F348" s="103">
        <f>$C348*VLOOKUP($B348,FoodDB!$A$2:$I$1018,5,0)</f>
        <v>50</v>
      </c>
      <c r="G348" s="103">
        <f>$C348*VLOOKUP($B348,FoodDB!$A$2:$I$1018,6,0)</f>
        <v>4.5</v>
      </c>
      <c r="H348" s="103">
        <f>$C348*VLOOKUP($B348,FoodDB!$A$2:$I$1018,7,0)</f>
        <v>0</v>
      </c>
      <c r="I348" s="103">
        <f>$C348*VLOOKUP($B348,FoodDB!$A$2:$I$1018,8,0)</f>
        <v>200</v>
      </c>
      <c r="J348" s="103">
        <f>$C348*VLOOKUP($B348,FoodDB!$A$2:$I$1018,9,0)</f>
        <v>204.5</v>
      </c>
      <c r="K348" s="103"/>
      <c r="L348" s="103"/>
      <c r="M348" s="103"/>
      <c r="N348" s="103"/>
      <c r="O348" s="103"/>
      <c r="P348" s="103"/>
      <c r="Q348" s="103"/>
      <c r="R348" s="103"/>
      <c r="S348" s="103"/>
    </row>
    <row r="349" spans="1:19" x14ac:dyDescent="0.25">
      <c r="B349" s="99" t="s">
        <v>106</v>
      </c>
      <c r="C349" s="100">
        <v>4</v>
      </c>
      <c r="D349" s="103">
        <f>$C349*VLOOKUP($B349,FoodDB!$A$2:$I$1018,3,0)</f>
        <v>0.4</v>
      </c>
      <c r="E349" s="103">
        <f>$C349*VLOOKUP($B349,FoodDB!$A$2:$I$1018,4,0)</f>
        <v>7.2</v>
      </c>
      <c r="F349" s="103">
        <f>$C349*VLOOKUP($B349,FoodDB!$A$2:$I$1018,5,0)</f>
        <v>8.8000000000000007</v>
      </c>
      <c r="G349" s="103">
        <f>$C349*VLOOKUP($B349,FoodDB!$A$2:$I$1018,6,0)</f>
        <v>3.6</v>
      </c>
      <c r="H349" s="103">
        <f>$C349*VLOOKUP($B349,FoodDB!$A$2:$I$1018,7,0)</f>
        <v>28.8</v>
      </c>
      <c r="I349" s="103">
        <f>$C349*VLOOKUP($B349,FoodDB!$A$2:$I$1018,8,0)</f>
        <v>35.200000000000003</v>
      </c>
      <c r="J349" s="103">
        <f>$C349*VLOOKUP($B349,FoodDB!$A$2:$I$1018,9,0)</f>
        <v>67.599999999999994</v>
      </c>
      <c r="K349" s="103"/>
      <c r="L349" s="103"/>
      <c r="M349" s="103"/>
      <c r="N349" s="103"/>
      <c r="O349" s="103"/>
      <c r="P349" s="103"/>
      <c r="Q349" s="103"/>
      <c r="R349" s="103"/>
      <c r="S349" s="103"/>
    </row>
    <row r="350" spans="1:19" x14ac:dyDescent="0.25">
      <c r="B350" s="99" t="s">
        <v>109</v>
      </c>
      <c r="C350" s="100">
        <v>0.5</v>
      </c>
      <c r="D350" s="103">
        <f>$C350*VLOOKUP($B350,FoodDB!$A$2:$I$1018,3,0)</f>
        <v>6</v>
      </c>
      <c r="E350" s="103">
        <f>$C350*VLOOKUP($B350,FoodDB!$A$2:$I$1018,4,0)</f>
        <v>0</v>
      </c>
      <c r="F350" s="103">
        <f>$C350*VLOOKUP($B350,FoodDB!$A$2:$I$1018,5,0)</f>
        <v>0</v>
      </c>
      <c r="G350" s="103">
        <f>$C350*VLOOKUP($B350,FoodDB!$A$2:$I$1018,6,0)</f>
        <v>54</v>
      </c>
      <c r="H350" s="103">
        <f>$C350*VLOOKUP($B350,FoodDB!$A$2:$I$1018,7,0)</f>
        <v>0</v>
      </c>
      <c r="I350" s="103">
        <f>$C350*VLOOKUP($B350,FoodDB!$A$2:$I$1018,8,0)</f>
        <v>0</v>
      </c>
      <c r="J350" s="103">
        <f>$C350*VLOOKUP($B350,FoodDB!$A$2:$I$1018,9,0)</f>
        <v>54</v>
      </c>
      <c r="K350" s="103"/>
      <c r="L350" s="103"/>
      <c r="M350" s="103"/>
      <c r="N350" s="103"/>
      <c r="O350" s="103"/>
      <c r="P350" s="103"/>
      <c r="Q350" s="103"/>
      <c r="R350" s="103"/>
      <c r="S350" s="103"/>
    </row>
    <row r="351" spans="1:19" x14ac:dyDescent="0.25">
      <c r="B351" s="99" t="s">
        <v>108</v>
      </c>
      <c r="C351" s="100">
        <v>1</v>
      </c>
      <c r="D351" s="103">
        <f>$C351*VLOOKUP($B351,FoodDB!$A$2:$I$1018,3,0)</f>
        <v>0</v>
      </c>
      <c r="E351" s="103">
        <f>$C351*VLOOKUP($B351,FoodDB!$A$2:$I$1018,4,0)</f>
        <v>0</v>
      </c>
      <c r="F351" s="103">
        <f>$C351*VLOOKUP($B351,FoodDB!$A$2:$I$1018,5,0)</f>
        <v>0</v>
      </c>
      <c r="G351" s="103">
        <f>$C351*VLOOKUP($B351,FoodDB!$A$2:$I$1018,6,0)</f>
        <v>0</v>
      </c>
      <c r="H351" s="103">
        <f>$C351*VLOOKUP($B351,FoodDB!$A$2:$I$1018,7,0)</f>
        <v>0</v>
      </c>
      <c r="I351" s="103">
        <f>$C351*VLOOKUP($B351,FoodDB!$A$2:$I$1018,8,0)</f>
        <v>0</v>
      </c>
      <c r="J351" s="103">
        <f>$C351*VLOOKUP($B351,FoodDB!$A$2:$I$1018,9,0)</f>
        <v>0</v>
      </c>
      <c r="K351" s="103"/>
      <c r="L351" s="103"/>
      <c r="M351" s="103"/>
      <c r="N351" s="103"/>
      <c r="O351" s="103"/>
      <c r="P351" s="103"/>
      <c r="Q351" s="103"/>
      <c r="R351" s="103"/>
      <c r="S351" s="103"/>
    </row>
    <row r="352" spans="1:19" x14ac:dyDescent="0.25">
      <c r="A352" t="s">
        <v>98</v>
      </c>
      <c r="D352" s="103"/>
      <c r="E352" s="103"/>
      <c r="F352" s="103"/>
      <c r="G352" s="103">
        <f>SUM(G345:G351)</f>
        <v>507.06</v>
      </c>
      <c r="H352" s="103">
        <f>SUM(H345:H351)</f>
        <v>56.8</v>
      </c>
      <c r="I352" s="103">
        <f>SUM(I345:I351)</f>
        <v>535.84</v>
      </c>
      <c r="J352" s="103">
        <f>SUM(G352:I352)</f>
        <v>1099.7</v>
      </c>
      <c r="K352" s="103"/>
      <c r="L352" s="103"/>
      <c r="M352" s="103"/>
      <c r="N352" s="103"/>
      <c r="O352" s="103"/>
      <c r="P352" s="103"/>
      <c r="Q352" s="103"/>
      <c r="R352" s="103"/>
      <c r="S352" s="103"/>
    </row>
    <row r="353" spans="1:19" x14ac:dyDescent="0.25">
      <c r="A353" t="s">
        <v>102</v>
      </c>
      <c r="B353" t="s">
        <v>103</v>
      </c>
      <c r="D353" s="103"/>
      <c r="E353" s="103"/>
      <c r="F353" s="103"/>
      <c r="G353" s="103">
        <f>VLOOKUP($A345,LossChart!$A$3:$AB$105,14,0)</f>
        <v>505.24068356482394</v>
      </c>
      <c r="H353" s="103">
        <f>VLOOKUP($A345,LossChart!$A$3:$AB$105,15,0)</f>
        <v>80</v>
      </c>
      <c r="I353" s="103">
        <f>VLOOKUP($A345,LossChart!$A$3:$AB$105,16,0)</f>
        <v>477.30407413615825</v>
      </c>
      <c r="J353" s="103">
        <f>VLOOKUP($A345,LossChart!$A$3:$AB$105,17,0)</f>
        <v>1062.5447577009822</v>
      </c>
      <c r="K353" s="103"/>
      <c r="L353" s="103"/>
      <c r="M353" s="103"/>
      <c r="N353" s="103"/>
      <c r="O353" s="103"/>
      <c r="P353" s="103"/>
      <c r="Q353" s="103"/>
      <c r="R353" s="103"/>
      <c r="S353" s="103"/>
    </row>
    <row r="354" spans="1:19" x14ac:dyDescent="0.25">
      <c r="A354" t="s">
        <v>104</v>
      </c>
      <c r="D354" s="103"/>
      <c r="E354" s="103"/>
      <c r="F354" s="103"/>
      <c r="G354" s="103">
        <f>G353-G352</f>
        <v>-1.8193164351760629</v>
      </c>
      <c r="H354" s="103">
        <f>H353-H352</f>
        <v>23.200000000000003</v>
      </c>
      <c r="I354" s="103">
        <f>I353-I352</f>
        <v>-58.535925863841783</v>
      </c>
      <c r="J354" s="103">
        <f>J353-J352</f>
        <v>-37.1552422990178</v>
      </c>
      <c r="K354" s="103"/>
      <c r="L354" s="103"/>
      <c r="M354" s="103"/>
      <c r="N354" s="103"/>
      <c r="O354" s="103"/>
      <c r="P354" s="103"/>
      <c r="Q354" s="103"/>
      <c r="R354" s="103"/>
      <c r="S354" s="103"/>
    </row>
    <row r="356" spans="1:19" ht="60" x14ac:dyDescent="0.25">
      <c r="A356" s="26" t="s">
        <v>63</v>
      </c>
      <c r="B356" s="26" t="s">
        <v>93</v>
      </c>
      <c r="C356" s="26" t="s">
        <v>94</v>
      </c>
      <c r="D356" s="97" t="str">
        <f>FoodDB!$C$1</f>
        <v>Fat
(g)</v>
      </c>
      <c r="E356" s="97" t="str">
        <f>FoodDB!$D$1</f>
        <v xml:space="preserve"> Carbs
(g)</v>
      </c>
      <c r="F356" s="97" t="str">
        <f>FoodDB!$E$1</f>
        <v>Protein
(g)</v>
      </c>
      <c r="G356" s="97" t="str">
        <f>FoodDB!$F$1</f>
        <v>Fat
(Cal)</v>
      </c>
      <c r="H356" s="97" t="str">
        <f>FoodDB!$G$1</f>
        <v>Carb
(Cal)</v>
      </c>
      <c r="I356" s="97" t="str">
        <f>FoodDB!$H$1</f>
        <v>Protein
(Cal)</v>
      </c>
      <c r="J356" s="97" t="str">
        <f>FoodDB!$I$1</f>
        <v>Total
Calories</v>
      </c>
      <c r="K356" s="97"/>
      <c r="L356" s="97" t="s">
        <v>110</v>
      </c>
      <c r="M356" s="97" t="s">
        <v>111</v>
      </c>
      <c r="N356" s="97" t="s">
        <v>112</v>
      </c>
      <c r="O356" s="97" t="s">
        <v>113</v>
      </c>
      <c r="P356" s="97" t="s">
        <v>118</v>
      </c>
      <c r="Q356" s="97" t="s">
        <v>119</v>
      </c>
      <c r="R356" s="97" t="s">
        <v>120</v>
      </c>
      <c r="S356" s="97" t="s">
        <v>121</v>
      </c>
    </row>
    <row r="357" spans="1:19" x14ac:dyDescent="0.25">
      <c r="A357" s="98">
        <f>A345+1</f>
        <v>43023</v>
      </c>
      <c r="B357" s="99" t="s">
        <v>100</v>
      </c>
      <c r="C357" s="100">
        <v>7</v>
      </c>
      <c r="D357" s="103">
        <f>$C357*VLOOKUP($B357,FoodDB!$A$2:$I$1018,3,0)</f>
        <v>0</v>
      </c>
      <c r="E357" s="103">
        <f>$C357*VLOOKUP($B357,FoodDB!$A$2:$I$1018,4,0)</f>
        <v>7</v>
      </c>
      <c r="F357" s="103">
        <f>$C357*VLOOKUP($B357,FoodDB!$A$2:$I$1018,5,0)</f>
        <v>7</v>
      </c>
      <c r="G357" s="103">
        <f>$C357*VLOOKUP($B357,FoodDB!$A$2:$I$1018,6,0)</f>
        <v>0</v>
      </c>
      <c r="H357" s="103">
        <f>$C357*VLOOKUP($B357,FoodDB!$A$2:$I$1018,7,0)</f>
        <v>28</v>
      </c>
      <c r="I357" s="103">
        <f>$C357*VLOOKUP($B357,FoodDB!$A$2:$I$1018,8,0)</f>
        <v>28</v>
      </c>
      <c r="J357" s="103">
        <f>$C357*VLOOKUP($B357,FoodDB!$A$2:$I$1018,9,0)</f>
        <v>56</v>
      </c>
      <c r="K357" s="103"/>
      <c r="L357" s="103">
        <f>SUM(G357:G364)</f>
        <v>573.29999999999995</v>
      </c>
      <c r="M357" s="103">
        <f>SUM(H357:H364)</f>
        <v>96.171428571428578</v>
      </c>
      <c r="N357" s="103">
        <f>SUM(I357:I364)</f>
        <v>507.88571428571424</v>
      </c>
      <c r="O357" s="103">
        <f>SUM(L357:N357)</f>
        <v>1177.3571428571427</v>
      </c>
      <c r="P357" s="103">
        <f>VLOOKUP($A357,LossChart!$A$3:$AB$105,14,0)-L357</f>
        <v>-61.228854915160582</v>
      </c>
      <c r="Q357" s="103">
        <f>VLOOKUP($A357,LossChart!$A$3:$AB$105,15,0)-M357</f>
        <v>-16.171428571428578</v>
      </c>
      <c r="R357" s="103">
        <f>VLOOKUP($A357,LossChart!$A$3:$AB$105,16,0)-N357</f>
        <v>-30.581640149555994</v>
      </c>
      <c r="S357" s="103">
        <f>VLOOKUP($A357,LossChart!$A$3:$AB$105,17,0)-O357</f>
        <v>-107.98192363614498</v>
      </c>
    </row>
    <row r="358" spans="1:19" x14ac:dyDescent="0.25">
      <c r="B358" s="99" t="s">
        <v>99</v>
      </c>
      <c r="C358" s="100">
        <v>5</v>
      </c>
      <c r="D358" s="103">
        <f>$C358*VLOOKUP($B358,FoodDB!$A$2:$I$1018,3,0)</f>
        <v>30.9</v>
      </c>
      <c r="E358" s="103">
        <f>$C358*VLOOKUP($B358,FoodDB!$A$2:$I$1018,4,0)</f>
        <v>0</v>
      </c>
      <c r="F358" s="103">
        <f>$C358*VLOOKUP($B358,FoodDB!$A$2:$I$1018,5,0)</f>
        <v>42.599999999999994</v>
      </c>
      <c r="G358" s="103">
        <f>$C358*VLOOKUP($B358,FoodDB!$A$2:$I$1018,6,0)</f>
        <v>278.09999999999997</v>
      </c>
      <c r="H358" s="103">
        <f>$C358*VLOOKUP($B358,FoodDB!$A$2:$I$1018,7,0)</f>
        <v>0</v>
      </c>
      <c r="I358" s="103">
        <f>$C358*VLOOKUP($B358,FoodDB!$A$2:$I$1018,8,0)</f>
        <v>170.39999999999998</v>
      </c>
      <c r="J358" s="103">
        <f>$C358*VLOOKUP($B358,FoodDB!$A$2:$I$1018,9,0)</f>
        <v>448.49999999999994</v>
      </c>
      <c r="K358" s="103"/>
      <c r="L358" s="103"/>
      <c r="M358" s="103"/>
      <c r="N358" s="103"/>
      <c r="O358" s="103"/>
      <c r="P358" s="103"/>
      <c r="Q358" s="103"/>
      <c r="R358" s="103"/>
      <c r="S358" s="103"/>
    </row>
    <row r="359" spans="1:19" x14ac:dyDescent="0.25">
      <c r="B359" s="99" t="s">
        <v>96</v>
      </c>
      <c r="C359" s="100">
        <v>8</v>
      </c>
      <c r="D359" s="103">
        <f>$C359*VLOOKUP($B359,FoodDB!$A$2:$I$1018,3,0)</f>
        <v>0</v>
      </c>
      <c r="E359" s="103">
        <f>$C359*VLOOKUP($B359,FoodDB!$A$2:$I$1018,4,0)</f>
        <v>5.1428571428571432</v>
      </c>
      <c r="F359" s="103">
        <f>$C359*VLOOKUP($B359,FoodDB!$A$2:$I$1018,5,0)</f>
        <v>2.5714285714285716</v>
      </c>
      <c r="G359" s="103">
        <f>$C359*VLOOKUP($B359,FoodDB!$A$2:$I$1018,6,0)</f>
        <v>0</v>
      </c>
      <c r="H359" s="103">
        <f>$C359*VLOOKUP($B359,FoodDB!$A$2:$I$1018,7,0)</f>
        <v>20.571428571428573</v>
      </c>
      <c r="I359" s="103">
        <f>$C359*VLOOKUP($B359,FoodDB!$A$2:$I$1018,8,0)</f>
        <v>10.285714285714286</v>
      </c>
      <c r="J359" s="103">
        <f>$C359*VLOOKUP($B359,FoodDB!$A$2:$I$1018,9,0)</f>
        <v>30.857142857142861</v>
      </c>
      <c r="K359" s="103"/>
      <c r="L359" s="103"/>
      <c r="M359" s="103"/>
      <c r="N359" s="103"/>
      <c r="O359" s="103"/>
      <c r="P359" s="103"/>
      <c r="Q359" s="103"/>
      <c r="R359" s="103"/>
      <c r="S359" s="103"/>
    </row>
    <row r="360" spans="1:19" x14ac:dyDescent="0.25">
      <c r="B360" s="99" t="s">
        <v>133</v>
      </c>
      <c r="C360" s="100">
        <v>1</v>
      </c>
      <c r="D360" s="103">
        <f>$C360*VLOOKUP($B360,FoodDB!$A$2:$I$1018,3,0)</f>
        <v>0</v>
      </c>
      <c r="E360" s="103">
        <f>$C360*VLOOKUP($B360,FoodDB!$A$2:$I$1018,4,0)</f>
        <v>0</v>
      </c>
      <c r="F360" s="103">
        <f>$C360*VLOOKUP($B360,FoodDB!$A$2:$I$1018,5,0)</f>
        <v>0</v>
      </c>
      <c r="G360" s="103">
        <f>$C360*VLOOKUP($B360,FoodDB!$A$2:$I$1018,6,0)</f>
        <v>0</v>
      </c>
      <c r="H360" s="103">
        <f>$C360*VLOOKUP($B360,FoodDB!$A$2:$I$1018,7,0)</f>
        <v>0</v>
      </c>
      <c r="I360" s="103">
        <f>$C360*VLOOKUP($B360,FoodDB!$A$2:$I$1018,8,0)</f>
        <v>0</v>
      </c>
      <c r="J360" s="103">
        <f>$C360*VLOOKUP($B360,FoodDB!$A$2:$I$1018,9,0)</f>
        <v>0</v>
      </c>
      <c r="K360" s="103"/>
      <c r="L360" s="103"/>
      <c r="M360" s="103"/>
      <c r="N360" s="103"/>
      <c r="O360" s="103"/>
      <c r="P360" s="103"/>
      <c r="Q360" s="103"/>
      <c r="R360" s="103"/>
      <c r="S360" s="103"/>
    </row>
    <row r="361" spans="1:19" x14ac:dyDescent="0.25">
      <c r="B361" s="99" t="s">
        <v>129</v>
      </c>
      <c r="C361" s="100">
        <v>1</v>
      </c>
      <c r="D361" s="103">
        <f>$C361*VLOOKUP($B361,FoodDB!$A$2:$I$1018,3,0)</f>
        <v>0.6</v>
      </c>
      <c r="E361" s="103">
        <f>$C361*VLOOKUP($B361,FoodDB!$A$2:$I$1018,4,0)</f>
        <v>4.9000000000000004</v>
      </c>
      <c r="F361" s="103">
        <f>$C361*VLOOKUP($B361,FoodDB!$A$2:$I$1018,5,0)</f>
        <v>2.4</v>
      </c>
      <c r="G361" s="103">
        <f>$C361*VLOOKUP($B361,FoodDB!$A$2:$I$1018,6,0)</f>
        <v>5.3999999999999995</v>
      </c>
      <c r="H361" s="103">
        <f>$C361*VLOOKUP($B361,FoodDB!$A$2:$I$1018,7,0)</f>
        <v>19.600000000000001</v>
      </c>
      <c r="I361" s="103">
        <f>$C361*VLOOKUP($B361,FoodDB!$A$2:$I$1018,8,0)</f>
        <v>9.6</v>
      </c>
      <c r="J361" s="103">
        <f>$C361*VLOOKUP($B361,FoodDB!$A$2:$I$1018,9,0)</f>
        <v>34.6</v>
      </c>
      <c r="K361" s="103"/>
      <c r="L361" s="103"/>
      <c r="M361" s="103"/>
      <c r="N361" s="103"/>
      <c r="O361" s="103"/>
      <c r="P361" s="103"/>
      <c r="Q361" s="103"/>
      <c r="R361" s="103"/>
      <c r="S361" s="103"/>
    </row>
    <row r="362" spans="1:19" x14ac:dyDescent="0.25">
      <c r="B362" s="99" t="s">
        <v>97</v>
      </c>
      <c r="C362" s="100">
        <v>2</v>
      </c>
      <c r="D362" s="103">
        <f>$C362*VLOOKUP($B362,FoodDB!$A$2:$I$1018,3,0)</f>
        <v>18</v>
      </c>
      <c r="E362" s="103">
        <f>$C362*VLOOKUP($B362,FoodDB!$A$2:$I$1018,4,0)</f>
        <v>4</v>
      </c>
      <c r="F362" s="103">
        <f>$C362*VLOOKUP($B362,FoodDB!$A$2:$I$1018,5,0)</f>
        <v>9.4</v>
      </c>
      <c r="G362" s="103">
        <f>$C362*VLOOKUP($B362,FoodDB!$A$2:$I$1018,6,0)</f>
        <v>162</v>
      </c>
      <c r="H362" s="103">
        <f>$C362*VLOOKUP($B362,FoodDB!$A$2:$I$1018,7,0)</f>
        <v>16</v>
      </c>
      <c r="I362" s="103">
        <f>$C362*VLOOKUP($B362,FoodDB!$A$2:$I$1018,8,0)</f>
        <v>37.6</v>
      </c>
      <c r="J362" s="103">
        <f>$C362*VLOOKUP($B362,FoodDB!$A$2:$I$1018,9,0)</f>
        <v>215.6</v>
      </c>
      <c r="K362" s="103"/>
      <c r="L362" s="103"/>
      <c r="M362" s="103"/>
      <c r="N362" s="103"/>
      <c r="O362" s="103"/>
      <c r="P362" s="103"/>
      <c r="Q362" s="103"/>
      <c r="R362" s="103"/>
      <c r="S362" s="103"/>
    </row>
    <row r="363" spans="1:19" x14ac:dyDescent="0.25">
      <c r="B363" s="99" t="s">
        <v>131</v>
      </c>
      <c r="C363" s="100">
        <v>1</v>
      </c>
      <c r="D363" s="103">
        <f>$C363*VLOOKUP($B363,FoodDB!$A$2:$I$1018,3,0)</f>
        <v>7</v>
      </c>
      <c r="E363" s="103">
        <f>$C363*VLOOKUP($B363,FoodDB!$A$2:$I$1018,4,0)</f>
        <v>3</v>
      </c>
      <c r="F363" s="103">
        <f>$C363*VLOOKUP($B363,FoodDB!$A$2:$I$1018,5,0)</f>
        <v>1</v>
      </c>
      <c r="G363" s="103">
        <f>$C363*VLOOKUP($B363,FoodDB!$A$2:$I$1018,6,0)</f>
        <v>63</v>
      </c>
      <c r="H363" s="103">
        <f>$C363*VLOOKUP($B363,FoodDB!$A$2:$I$1018,7,0)</f>
        <v>12</v>
      </c>
      <c r="I363" s="103">
        <f>$C363*VLOOKUP($B363,FoodDB!$A$2:$I$1018,8,0)</f>
        <v>4</v>
      </c>
      <c r="J363" s="103">
        <f>$C363*VLOOKUP($B363,FoodDB!$A$2:$I$1018,9,0)</f>
        <v>79</v>
      </c>
      <c r="K363" s="103"/>
      <c r="L363" s="103"/>
      <c r="M363" s="103"/>
      <c r="N363" s="103"/>
      <c r="O363" s="103"/>
      <c r="P363" s="103"/>
      <c r="Q363" s="103"/>
      <c r="R363" s="103"/>
      <c r="S363" s="103"/>
    </row>
    <row r="364" spans="1:19" x14ac:dyDescent="0.25">
      <c r="B364" s="99" t="s">
        <v>126</v>
      </c>
      <c r="C364" s="100">
        <v>2</v>
      </c>
      <c r="D364" s="103">
        <f>$C364*VLOOKUP($B364,FoodDB!$A$2:$I$1018,3,0)</f>
        <v>7.2</v>
      </c>
      <c r="E364" s="103">
        <f>$C364*VLOOKUP($B364,FoodDB!$A$2:$I$1018,4,0)</f>
        <v>0</v>
      </c>
      <c r="F364" s="103">
        <f>$C364*VLOOKUP($B364,FoodDB!$A$2:$I$1018,5,0)</f>
        <v>62</v>
      </c>
      <c r="G364" s="103">
        <f>$C364*VLOOKUP($B364,FoodDB!$A$2:$I$1018,6,0)</f>
        <v>64.8</v>
      </c>
      <c r="H364" s="103">
        <f>$C364*VLOOKUP($B364,FoodDB!$A$2:$I$1018,7,0)</f>
        <v>0</v>
      </c>
      <c r="I364" s="103">
        <f>$C364*VLOOKUP($B364,FoodDB!$A$2:$I$1018,8,0)</f>
        <v>248</v>
      </c>
      <c r="J364" s="103">
        <f>$C364*VLOOKUP($B364,FoodDB!$A$2:$I$1018,9,0)</f>
        <v>312.8</v>
      </c>
      <c r="K364" s="103"/>
      <c r="L364" s="103"/>
      <c r="M364" s="103"/>
      <c r="N364" s="103"/>
      <c r="O364" s="103"/>
      <c r="P364" s="103"/>
      <c r="Q364" s="103"/>
      <c r="R364" s="103"/>
      <c r="S364" s="103"/>
    </row>
    <row r="365" spans="1:19" x14ac:dyDescent="0.25">
      <c r="A365" t="s">
        <v>98</v>
      </c>
      <c r="D365" s="103"/>
      <c r="E365" s="103"/>
      <c r="F365" s="103"/>
      <c r="G365" s="103">
        <f>SUM(G357:G364)</f>
        <v>573.29999999999995</v>
      </c>
      <c r="H365" s="103">
        <f>SUM(H357:H364)</f>
        <v>96.171428571428578</v>
      </c>
      <c r="I365" s="103">
        <f>SUM(I357:I364)</f>
        <v>507.88571428571424</v>
      </c>
      <c r="J365" s="103">
        <f>SUM(G365:I365)</f>
        <v>1177.3571428571427</v>
      </c>
      <c r="K365" s="103"/>
      <c r="L365" s="103"/>
      <c r="M365" s="103"/>
      <c r="N365" s="103"/>
      <c r="O365" s="103"/>
      <c r="P365" s="103"/>
      <c r="Q365" s="103"/>
      <c r="R365" s="103"/>
      <c r="S365" s="103"/>
    </row>
    <row r="366" spans="1:19" x14ac:dyDescent="0.25">
      <c r="A366" t="s">
        <v>102</v>
      </c>
      <c r="B366" t="s">
        <v>103</v>
      </c>
      <c r="D366" s="103">
        <f>G366/9</f>
        <v>56.896793898315487</v>
      </c>
      <c r="E366" s="103">
        <f>H366/4</f>
        <v>20</v>
      </c>
      <c r="F366" s="103">
        <f>I366/4</f>
        <v>119.32601853403956</v>
      </c>
      <c r="G366" s="103">
        <f>VLOOKUP($A357,LossChart!$A$3:$AB$105,14,0)</f>
        <v>512.07114508483937</v>
      </c>
      <c r="H366" s="103">
        <f>VLOOKUP($A357,LossChart!$A$3:$AB$105,15,0)</f>
        <v>80</v>
      </c>
      <c r="I366" s="103">
        <f>VLOOKUP($A357,LossChart!$A$3:$AB$105,16,0)</f>
        <v>477.30407413615825</v>
      </c>
      <c r="J366" s="103">
        <f>VLOOKUP($A357,LossChart!$A$3:$AB$105,17,0)</f>
        <v>1069.3752192209977</v>
      </c>
      <c r="K366" s="103"/>
      <c r="L366" s="103"/>
      <c r="M366" s="103"/>
      <c r="N366" s="103"/>
      <c r="O366" s="103"/>
      <c r="P366" s="103"/>
      <c r="Q366" s="103"/>
      <c r="R366" s="103"/>
      <c r="S366" s="103"/>
    </row>
    <row r="367" spans="1:19" x14ac:dyDescent="0.25">
      <c r="A367" t="s">
        <v>104</v>
      </c>
      <c r="D367" s="103"/>
      <c r="E367" s="103"/>
      <c r="F367" s="103"/>
      <c r="G367" s="103">
        <f>G366-G365</f>
        <v>-61.228854915160582</v>
      </c>
      <c r="H367" s="103">
        <f>H366-H365</f>
        <v>-16.171428571428578</v>
      </c>
      <c r="I367" s="103">
        <f>I366-I365</f>
        <v>-30.581640149555994</v>
      </c>
      <c r="J367" s="103">
        <f>J366-J365</f>
        <v>-107.98192363614498</v>
      </c>
      <c r="K367" s="103"/>
      <c r="L367" s="103"/>
      <c r="M367" s="103"/>
      <c r="N367" s="103"/>
      <c r="O367" s="103"/>
      <c r="P367" s="103"/>
      <c r="Q367" s="103"/>
      <c r="R367" s="103"/>
      <c r="S367" s="103"/>
    </row>
    <row r="369" spans="1:19" ht="60" x14ac:dyDescent="0.25">
      <c r="A369" s="26" t="s">
        <v>63</v>
      </c>
      <c r="B369" s="26" t="s">
        <v>93</v>
      </c>
      <c r="C369" s="26" t="s">
        <v>94</v>
      </c>
      <c r="D369" s="97" t="str">
        <f>FoodDB!$C$1</f>
        <v>Fat
(g)</v>
      </c>
      <c r="E369" s="97" t="str">
        <f>FoodDB!$D$1</f>
        <v xml:space="preserve"> Carbs
(g)</v>
      </c>
      <c r="F369" s="97" t="str">
        <f>FoodDB!$E$1</f>
        <v>Protein
(g)</v>
      </c>
      <c r="G369" s="97" t="str">
        <f>FoodDB!$F$1</f>
        <v>Fat
(Cal)</v>
      </c>
      <c r="H369" s="97" t="str">
        <f>FoodDB!$G$1</f>
        <v>Carb
(Cal)</v>
      </c>
      <c r="I369" s="97" t="str">
        <f>FoodDB!$H$1</f>
        <v>Protein
(Cal)</v>
      </c>
      <c r="J369" s="97" t="str">
        <f>FoodDB!$I$1</f>
        <v>Total
Calories</v>
      </c>
      <c r="K369" s="97"/>
      <c r="L369" s="97" t="s">
        <v>110</v>
      </c>
      <c r="M369" s="97" t="s">
        <v>111</v>
      </c>
      <c r="N369" s="97" t="s">
        <v>112</v>
      </c>
      <c r="O369" s="97" t="s">
        <v>113</v>
      </c>
      <c r="P369" s="97" t="s">
        <v>118</v>
      </c>
      <c r="Q369" s="97" t="s">
        <v>119</v>
      </c>
      <c r="R369" s="97" t="s">
        <v>120</v>
      </c>
      <c r="S369" s="97" t="s">
        <v>121</v>
      </c>
    </row>
    <row r="370" spans="1:19" x14ac:dyDescent="0.25">
      <c r="A370" s="98">
        <f>A357+1</f>
        <v>43024</v>
      </c>
      <c r="B370" s="99" t="s">
        <v>95</v>
      </c>
      <c r="C370" s="100">
        <v>0.5</v>
      </c>
      <c r="D370" s="103">
        <f>$C370*VLOOKUP($B370,FoodDB!$A$2:$I$1018,3,0)</f>
        <v>0.25</v>
      </c>
      <c r="E370" s="103">
        <f>$C370*VLOOKUP($B370,FoodDB!$A$2:$I$1018,4,0)</f>
        <v>0</v>
      </c>
      <c r="F370" s="103">
        <f>$C370*VLOOKUP($B370,FoodDB!$A$2:$I$1018,5,0)</f>
        <v>25</v>
      </c>
      <c r="G370" s="103">
        <f>$C370*VLOOKUP($B370,FoodDB!$A$2:$I$1018,6,0)</f>
        <v>2.25</v>
      </c>
      <c r="H370" s="103">
        <f>$C370*VLOOKUP($B370,FoodDB!$A$2:$I$1018,7,0)</f>
        <v>0</v>
      </c>
      <c r="I370" s="103">
        <f>$C370*VLOOKUP($B370,FoodDB!$A$2:$I$1018,8,0)</f>
        <v>100</v>
      </c>
      <c r="J370" s="103">
        <f>$C370*VLOOKUP($B370,FoodDB!$A$2:$I$1018,9,0)</f>
        <v>102.25</v>
      </c>
      <c r="K370" s="103"/>
      <c r="L370" s="103">
        <f>SUM(G370:G376)</f>
        <v>15.75</v>
      </c>
      <c r="M370" s="103">
        <f>SUM(H370:H376)</f>
        <v>12</v>
      </c>
      <c r="N370" s="103">
        <f>SUM(I370:I376)</f>
        <v>200</v>
      </c>
      <c r="O370" s="103">
        <f>SUM(L370:N370)</f>
        <v>227.75</v>
      </c>
      <c r="P370" s="103">
        <f>VLOOKUP($A370,LossChart!$A$3:$AB$105,14,0)-L370</f>
        <v>502.71558522666533</v>
      </c>
      <c r="Q370" s="103">
        <f>VLOOKUP($A370,LossChart!$A$3:$AB$105,15,0)-M370</f>
        <v>68</v>
      </c>
      <c r="R370" s="103">
        <f>VLOOKUP($A370,LossChart!$A$3:$AB$105,16,0)-N370</f>
        <v>277.30407413615825</v>
      </c>
      <c r="S370" s="103">
        <f>VLOOKUP($A370,LossChart!$A$3:$AB$105,17,0)-O370</f>
        <v>848.01965936282363</v>
      </c>
    </row>
    <row r="371" spans="1:19" x14ac:dyDescent="0.25">
      <c r="B371" s="99" t="s">
        <v>125</v>
      </c>
      <c r="C371" s="100">
        <v>1</v>
      </c>
      <c r="D371" s="103">
        <f>$C371*VLOOKUP($B371,FoodDB!$A$2:$I$1018,3,0)</f>
        <v>1.5</v>
      </c>
      <c r="E371" s="103">
        <f>$C371*VLOOKUP($B371,FoodDB!$A$2:$I$1018,4,0)</f>
        <v>3</v>
      </c>
      <c r="F371" s="103">
        <f>$C371*VLOOKUP($B371,FoodDB!$A$2:$I$1018,5,0)</f>
        <v>25</v>
      </c>
      <c r="G371" s="103">
        <f>$C371*VLOOKUP($B371,FoodDB!$A$2:$I$1018,6,0)</f>
        <v>13.5</v>
      </c>
      <c r="H371" s="103">
        <f>$C371*VLOOKUP($B371,FoodDB!$A$2:$I$1018,7,0)</f>
        <v>12</v>
      </c>
      <c r="I371" s="103">
        <f>$C371*VLOOKUP($B371,FoodDB!$A$2:$I$1018,8,0)</f>
        <v>100</v>
      </c>
      <c r="J371" s="103">
        <f>$C371*VLOOKUP($B371,FoodDB!$A$2:$I$1018,9,0)</f>
        <v>125.5</v>
      </c>
      <c r="K371" s="103"/>
      <c r="L371" s="103"/>
      <c r="M371" s="103"/>
      <c r="N371" s="103"/>
      <c r="O371" s="103"/>
      <c r="P371" s="103"/>
      <c r="Q371" s="103"/>
      <c r="R371" s="103"/>
      <c r="S371" s="103"/>
    </row>
    <row r="372" spans="1:19" x14ac:dyDescent="0.25">
      <c r="B372" s="99" t="s">
        <v>108</v>
      </c>
      <c r="C372" s="100">
        <v>1</v>
      </c>
      <c r="D372" s="103">
        <f>$C372*VLOOKUP($B372,FoodDB!$A$2:$I$1018,3,0)</f>
        <v>0</v>
      </c>
      <c r="E372" s="103">
        <f>$C372*VLOOKUP($B372,FoodDB!$A$2:$I$1018,4,0)</f>
        <v>0</v>
      </c>
      <c r="F372" s="103">
        <f>$C372*VLOOKUP($B372,FoodDB!$A$2:$I$1018,5,0)</f>
        <v>0</v>
      </c>
      <c r="G372" s="103">
        <f>$C372*VLOOKUP($B372,FoodDB!$A$2:$I$1018,6,0)</f>
        <v>0</v>
      </c>
      <c r="H372" s="103">
        <f>$C372*VLOOKUP($B372,FoodDB!$A$2:$I$1018,7,0)</f>
        <v>0</v>
      </c>
      <c r="I372" s="103">
        <f>$C372*VLOOKUP($B372,FoodDB!$A$2:$I$1018,8,0)</f>
        <v>0</v>
      </c>
      <c r="J372" s="103">
        <f>$C372*VLOOKUP($B372,FoodDB!$A$2:$I$1018,9,0)</f>
        <v>0</v>
      </c>
      <c r="K372" s="103"/>
      <c r="L372" s="103"/>
      <c r="M372" s="103"/>
      <c r="N372" s="103"/>
      <c r="O372" s="103"/>
      <c r="P372" s="103"/>
      <c r="Q372" s="103"/>
      <c r="R372" s="103"/>
      <c r="S372" s="103"/>
    </row>
    <row r="373" spans="1:19" x14ac:dyDescent="0.25">
      <c r="B373" s="99" t="s">
        <v>108</v>
      </c>
      <c r="C373" s="100">
        <v>1</v>
      </c>
      <c r="D373" s="103">
        <f>$C373*VLOOKUP($B373,FoodDB!$A$2:$I$1018,3,0)</f>
        <v>0</v>
      </c>
      <c r="E373" s="103">
        <f>$C373*VLOOKUP($B373,FoodDB!$A$2:$I$1018,4,0)</f>
        <v>0</v>
      </c>
      <c r="F373" s="103">
        <f>$C373*VLOOKUP($B373,FoodDB!$A$2:$I$1018,5,0)</f>
        <v>0</v>
      </c>
      <c r="G373" s="103">
        <f>$C373*VLOOKUP($B373,FoodDB!$A$2:$I$1018,6,0)</f>
        <v>0</v>
      </c>
      <c r="H373" s="103">
        <f>$C373*VLOOKUP($B373,FoodDB!$A$2:$I$1018,7,0)</f>
        <v>0</v>
      </c>
      <c r="I373" s="103">
        <f>$C373*VLOOKUP($B373,FoodDB!$A$2:$I$1018,8,0)</f>
        <v>0</v>
      </c>
      <c r="J373" s="103">
        <f>$C373*VLOOKUP($B373,FoodDB!$A$2:$I$1018,9,0)</f>
        <v>0</v>
      </c>
      <c r="K373" s="103"/>
      <c r="L373" s="103"/>
      <c r="M373" s="103"/>
      <c r="N373" s="103"/>
      <c r="O373" s="103"/>
      <c r="P373" s="103"/>
      <c r="Q373" s="103"/>
      <c r="R373" s="103"/>
      <c r="S373" s="103"/>
    </row>
    <row r="374" spans="1:19" x14ac:dyDescent="0.25">
      <c r="B374" s="99" t="s">
        <v>108</v>
      </c>
      <c r="C374" s="100">
        <v>1</v>
      </c>
      <c r="D374" s="103">
        <f>$C374*VLOOKUP($B374,FoodDB!$A$2:$I$1018,3,0)</f>
        <v>0</v>
      </c>
      <c r="E374" s="103">
        <f>$C374*VLOOKUP($B374,FoodDB!$A$2:$I$1018,4,0)</f>
        <v>0</v>
      </c>
      <c r="F374" s="103">
        <f>$C374*VLOOKUP($B374,FoodDB!$A$2:$I$1018,5,0)</f>
        <v>0</v>
      </c>
      <c r="G374" s="103">
        <f>$C374*VLOOKUP($B374,FoodDB!$A$2:$I$1018,6,0)</f>
        <v>0</v>
      </c>
      <c r="H374" s="103">
        <f>$C374*VLOOKUP($B374,FoodDB!$A$2:$I$1018,7,0)</f>
        <v>0</v>
      </c>
      <c r="I374" s="103">
        <f>$C374*VLOOKUP($B374,FoodDB!$A$2:$I$1018,8,0)</f>
        <v>0</v>
      </c>
      <c r="J374" s="103">
        <f>$C374*VLOOKUP($B374,FoodDB!$A$2:$I$1018,9,0)</f>
        <v>0</v>
      </c>
      <c r="K374" s="103"/>
      <c r="L374" s="103"/>
      <c r="M374" s="103"/>
      <c r="N374" s="103"/>
      <c r="O374" s="103"/>
      <c r="P374" s="103"/>
      <c r="Q374" s="103"/>
      <c r="R374" s="103"/>
      <c r="S374" s="103"/>
    </row>
    <row r="375" spans="1:19" x14ac:dyDescent="0.25">
      <c r="B375" s="99" t="s">
        <v>108</v>
      </c>
      <c r="C375" s="100">
        <v>1</v>
      </c>
      <c r="D375" s="103">
        <f>$C375*VLOOKUP($B375,FoodDB!$A$2:$I$1018,3,0)</f>
        <v>0</v>
      </c>
      <c r="E375" s="103">
        <f>$C375*VLOOKUP($B375,FoodDB!$A$2:$I$1018,4,0)</f>
        <v>0</v>
      </c>
      <c r="F375" s="103">
        <f>$C375*VLOOKUP($B375,FoodDB!$A$2:$I$1018,5,0)</f>
        <v>0</v>
      </c>
      <c r="G375" s="103">
        <f>$C375*VLOOKUP($B375,FoodDB!$A$2:$I$1018,6,0)</f>
        <v>0</v>
      </c>
      <c r="H375" s="103">
        <f>$C375*VLOOKUP($B375,FoodDB!$A$2:$I$1018,7,0)</f>
        <v>0</v>
      </c>
      <c r="I375" s="103">
        <f>$C375*VLOOKUP($B375,FoodDB!$A$2:$I$1018,8,0)</f>
        <v>0</v>
      </c>
      <c r="J375" s="103">
        <f>$C375*VLOOKUP($B375,FoodDB!$A$2:$I$1018,9,0)</f>
        <v>0</v>
      </c>
      <c r="K375" s="103"/>
      <c r="L375" s="103"/>
      <c r="M375" s="103"/>
      <c r="N375" s="103"/>
      <c r="O375" s="103"/>
      <c r="P375" s="103"/>
      <c r="Q375" s="103"/>
      <c r="R375" s="103"/>
      <c r="S375" s="103"/>
    </row>
    <row r="376" spans="1:19" x14ac:dyDescent="0.25">
      <c r="B376" s="99" t="s">
        <v>108</v>
      </c>
      <c r="C376" s="100">
        <v>1</v>
      </c>
      <c r="D376" s="103">
        <f>$C376*VLOOKUP($B376,FoodDB!$A$2:$I$1018,3,0)</f>
        <v>0</v>
      </c>
      <c r="E376" s="103">
        <f>$C376*VLOOKUP($B376,FoodDB!$A$2:$I$1018,4,0)</f>
        <v>0</v>
      </c>
      <c r="F376" s="103">
        <f>$C376*VLOOKUP($B376,FoodDB!$A$2:$I$1018,5,0)</f>
        <v>0</v>
      </c>
      <c r="G376" s="103">
        <f>$C376*VLOOKUP($B376,FoodDB!$A$2:$I$1018,6,0)</f>
        <v>0</v>
      </c>
      <c r="H376" s="103">
        <f>$C376*VLOOKUP($B376,FoodDB!$A$2:$I$1018,7,0)</f>
        <v>0</v>
      </c>
      <c r="I376" s="103">
        <f>$C376*VLOOKUP($B376,FoodDB!$A$2:$I$1018,8,0)</f>
        <v>0</v>
      </c>
      <c r="J376" s="103">
        <f>$C376*VLOOKUP($B376,FoodDB!$A$2:$I$1018,9,0)</f>
        <v>0</v>
      </c>
      <c r="K376" s="103"/>
      <c r="L376" s="103"/>
      <c r="M376" s="103"/>
      <c r="N376" s="103"/>
      <c r="O376" s="103"/>
      <c r="P376" s="103"/>
      <c r="Q376" s="103"/>
      <c r="R376" s="103"/>
      <c r="S376" s="103"/>
    </row>
    <row r="377" spans="1:19" x14ac:dyDescent="0.25">
      <c r="A377" t="s">
        <v>98</v>
      </c>
      <c r="D377" s="103"/>
      <c r="E377" s="103"/>
      <c r="F377" s="103"/>
      <c r="G377" s="103">
        <f>SUM(G370:G376)</f>
        <v>15.75</v>
      </c>
      <c r="H377" s="103">
        <f>SUM(H370:H376)</f>
        <v>12</v>
      </c>
      <c r="I377" s="103">
        <f>SUM(I370:I376)</f>
        <v>200</v>
      </c>
      <c r="J377" s="103">
        <f>SUM(G377:I377)</f>
        <v>227.75</v>
      </c>
      <c r="K377" s="103"/>
      <c r="L377" s="103"/>
      <c r="M377" s="103"/>
      <c r="N377" s="103"/>
      <c r="O377" s="103"/>
      <c r="P377" s="103"/>
      <c r="Q377" s="103"/>
      <c r="R377" s="103"/>
      <c r="S377" s="103"/>
    </row>
    <row r="378" spans="1:19" x14ac:dyDescent="0.25">
      <c r="A378" t="s">
        <v>102</v>
      </c>
      <c r="B378" t="s">
        <v>103</v>
      </c>
      <c r="D378" s="103"/>
      <c r="E378" s="103"/>
      <c r="F378" s="103"/>
      <c r="G378" s="103">
        <f>VLOOKUP($A370,LossChart!$A$3:$AB$105,14,0)</f>
        <v>518.46558522666533</v>
      </c>
      <c r="H378" s="103">
        <f>VLOOKUP($A370,LossChart!$A$3:$AB$105,15,0)</f>
        <v>80</v>
      </c>
      <c r="I378" s="103">
        <f>VLOOKUP($A370,LossChart!$A$3:$AB$105,16,0)</f>
        <v>477.30407413615825</v>
      </c>
      <c r="J378" s="103">
        <f>VLOOKUP($A370,LossChart!$A$3:$AB$105,17,0)</f>
        <v>1075.7696593628236</v>
      </c>
      <c r="K378" s="103"/>
      <c r="L378" s="103"/>
      <c r="M378" s="103"/>
      <c r="N378" s="103"/>
      <c r="O378" s="103"/>
      <c r="P378" s="103"/>
      <c r="Q378" s="103"/>
      <c r="R378" s="103"/>
      <c r="S378" s="103"/>
    </row>
    <row r="379" spans="1:19" x14ac:dyDescent="0.25">
      <c r="A379" t="s">
        <v>104</v>
      </c>
      <c r="D379" s="103"/>
      <c r="E379" s="103"/>
      <c r="F379" s="103"/>
      <c r="G379" s="103">
        <f>G378-G377</f>
        <v>502.71558522666533</v>
      </c>
      <c r="H379" s="103">
        <f>H378-H377</f>
        <v>68</v>
      </c>
      <c r="I379" s="103">
        <f>I378-I377</f>
        <v>277.30407413615825</v>
      </c>
      <c r="J379" s="103">
        <f>J378-J377</f>
        <v>848.01965936282363</v>
      </c>
      <c r="K379" s="103"/>
      <c r="L379" s="103"/>
      <c r="M379" s="103"/>
      <c r="N379" s="103"/>
      <c r="O379" s="103"/>
      <c r="P379" s="103"/>
      <c r="Q379" s="103"/>
      <c r="R379" s="103"/>
      <c r="S379" s="103"/>
    </row>
    <row r="381" spans="1:19" ht="60" x14ac:dyDescent="0.25">
      <c r="A381" s="26" t="s">
        <v>63</v>
      </c>
      <c r="B381" s="26" t="s">
        <v>93</v>
      </c>
      <c r="C381" s="26" t="s">
        <v>94</v>
      </c>
      <c r="D381" s="97" t="str">
        <f>FoodDB!$C$1</f>
        <v>Fat
(g)</v>
      </c>
      <c r="E381" s="97" t="str">
        <f>FoodDB!$D$1</f>
        <v xml:space="preserve"> Carbs
(g)</v>
      </c>
      <c r="F381" s="97" t="str">
        <f>FoodDB!$E$1</f>
        <v>Protein
(g)</v>
      </c>
      <c r="G381" s="97" t="str">
        <f>FoodDB!$F$1</f>
        <v>Fat
(Cal)</v>
      </c>
      <c r="H381" s="97" t="str">
        <f>FoodDB!$G$1</f>
        <v>Carb
(Cal)</v>
      </c>
      <c r="I381" s="97" t="str">
        <f>FoodDB!$H$1</f>
        <v>Protein
(Cal)</v>
      </c>
      <c r="J381" s="97" t="str">
        <f>FoodDB!$I$1</f>
        <v>Total
Calories</v>
      </c>
      <c r="K381" s="97"/>
      <c r="L381" s="97" t="s">
        <v>110</v>
      </c>
      <c r="M381" s="97" t="s">
        <v>111</v>
      </c>
      <c r="N381" s="97" t="s">
        <v>112</v>
      </c>
      <c r="O381" s="97" t="s">
        <v>113</v>
      </c>
      <c r="P381" s="97" t="s">
        <v>118</v>
      </c>
      <c r="Q381" s="97" t="s">
        <v>119</v>
      </c>
      <c r="R381" s="97" t="s">
        <v>120</v>
      </c>
      <c r="S381" s="97" t="s">
        <v>121</v>
      </c>
    </row>
    <row r="382" spans="1:19" x14ac:dyDescent="0.25">
      <c r="A382" s="98">
        <f>A370+1</f>
        <v>43025</v>
      </c>
      <c r="B382" s="99" t="s">
        <v>108</v>
      </c>
      <c r="C382" s="100">
        <v>1</v>
      </c>
      <c r="D382" s="103">
        <f>$C382*VLOOKUP($B382,FoodDB!$A$2:$I$1018,3,0)</f>
        <v>0</v>
      </c>
      <c r="E382" s="103">
        <f>$C382*VLOOKUP($B382,FoodDB!$A$2:$I$1018,4,0)</f>
        <v>0</v>
      </c>
      <c r="F382" s="103">
        <f>$C382*VLOOKUP($B382,FoodDB!$A$2:$I$1018,5,0)</f>
        <v>0</v>
      </c>
      <c r="G382" s="103">
        <f>$C382*VLOOKUP($B382,FoodDB!$A$2:$I$1018,6,0)</f>
        <v>0</v>
      </c>
      <c r="H382" s="103">
        <f>$C382*VLOOKUP($B382,FoodDB!$A$2:$I$1018,7,0)</f>
        <v>0</v>
      </c>
      <c r="I382" s="103">
        <f>$C382*VLOOKUP($B382,FoodDB!$A$2:$I$1018,8,0)</f>
        <v>0</v>
      </c>
      <c r="J382" s="103">
        <f>$C382*VLOOKUP($B382,FoodDB!$A$2:$I$1018,9,0)</f>
        <v>0</v>
      </c>
      <c r="K382" s="103"/>
      <c r="L382" s="103">
        <f>SUM(G382:G388)</f>
        <v>0</v>
      </c>
      <c r="M382" s="103">
        <f>SUM(H382:H388)</f>
        <v>0</v>
      </c>
      <c r="N382" s="103">
        <f>SUM(I382:I388)</f>
        <v>0</v>
      </c>
      <c r="O382" s="103">
        <f>SUM(L382:N382)</f>
        <v>0</v>
      </c>
      <c r="P382" s="103">
        <f>VLOOKUP($A382,LossChart!$A$3:$AB$105,14,0)-L382</f>
        <v>525.37590896672918</v>
      </c>
      <c r="Q382" s="103">
        <f>VLOOKUP($A382,LossChart!$A$3:$AB$105,15,0)-M382</f>
        <v>80</v>
      </c>
      <c r="R382" s="103">
        <f>VLOOKUP($A382,LossChart!$A$3:$AB$105,16,0)-N382</f>
        <v>477.30407413615825</v>
      </c>
      <c r="S382" s="103">
        <f>VLOOKUP($A382,LossChart!$A$3:$AB$105,17,0)-O382</f>
        <v>1082.6799831028875</v>
      </c>
    </row>
    <row r="383" spans="1:19" x14ac:dyDescent="0.25">
      <c r="B383" s="99" t="s">
        <v>108</v>
      </c>
      <c r="C383" s="100">
        <v>1</v>
      </c>
      <c r="D383" s="103">
        <f>$C383*VLOOKUP($B383,FoodDB!$A$2:$I$1018,3,0)</f>
        <v>0</v>
      </c>
      <c r="E383" s="103">
        <f>$C383*VLOOKUP($B383,FoodDB!$A$2:$I$1018,4,0)</f>
        <v>0</v>
      </c>
      <c r="F383" s="103">
        <f>$C383*VLOOKUP($B383,FoodDB!$A$2:$I$1018,5,0)</f>
        <v>0</v>
      </c>
      <c r="G383" s="103">
        <f>$C383*VLOOKUP($B383,FoodDB!$A$2:$I$1018,6,0)</f>
        <v>0</v>
      </c>
      <c r="H383" s="103">
        <f>$C383*VLOOKUP($B383,FoodDB!$A$2:$I$1018,7,0)</f>
        <v>0</v>
      </c>
      <c r="I383" s="103">
        <f>$C383*VLOOKUP($B383,FoodDB!$A$2:$I$1018,8,0)</f>
        <v>0</v>
      </c>
      <c r="J383" s="103">
        <f>$C383*VLOOKUP($B383,FoodDB!$A$2:$I$1018,9,0)</f>
        <v>0</v>
      </c>
      <c r="K383" s="103"/>
      <c r="L383" s="103"/>
      <c r="M383" s="103"/>
      <c r="N383" s="103"/>
      <c r="O383" s="103"/>
      <c r="P383" s="103"/>
      <c r="Q383" s="103"/>
      <c r="R383" s="103"/>
      <c r="S383" s="103"/>
    </row>
    <row r="384" spans="1:19" x14ac:dyDescent="0.25">
      <c r="B384" s="99" t="s">
        <v>108</v>
      </c>
      <c r="C384" s="100">
        <v>1</v>
      </c>
      <c r="D384" s="103">
        <f>$C384*VLOOKUP($B384,FoodDB!$A$2:$I$1018,3,0)</f>
        <v>0</v>
      </c>
      <c r="E384" s="103">
        <f>$C384*VLOOKUP($B384,FoodDB!$A$2:$I$1018,4,0)</f>
        <v>0</v>
      </c>
      <c r="F384" s="103">
        <f>$C384*VLOOKUP($B384,FoodDB!$A$2:$I$1018,5,0)</f>
        <v>0</v>
      </c>
      <c r="G384" s="103">
        <f>$C384*VLOOKUP($B384,FoodDB!$A$2:$I$1018,6,0)</f>
        <v>0</v>
      </c>
      <c r="H384" s="103">
        <f>$C384*VLOOKUP($B384,FoodDB!$A$2:$I$1018,7,0)</f>
        <v>0</v>
      </c>
      <c r="I384" s="103">
        <f>$C384*VLOOKUP($B384,FoodDB!$A$2:$I$1018,8,0)</f>
        <v>0</v>
      </c>
      <c r="J384" s="103">
        <f>$C384*VLOOKUP($B384,FoodDB!$A$2:$I$1018,9,0)</f>
        <v>0</v>
      </c>
      <c r="K384" s="103"/>
      <c r="L384" s="103"/>
      <c r="M384" s="103"/>
      <c r="N384" s="103"/>
      <c r="O384" s="103"/>
      <c r="P384" s="103"/>
      <c r="Q384" s="103"/>
      <c r="R384" s="103"/>
      <c r="S384" s="103"/>
    </row>
    <row r="385" spans="1:19" x14ac:dyDescent="0.25">
      <c r="B385" s="99" t="s">
        <v>108</v>
      </c>
      <c r="C385" s="100">
        <v>1</v>
      </c>
      <c r="D385" s="103">
        <f>$C385*VLOOKUP($B385,FoodDB!$A$2:$I$1018,3,0)</f>
        <v>0</v>
      </c>
      <c r="E385" s="103">
        <f>$C385*VLOOKUP($B385,FoodDB!$A$2:$I$1018,4,0)</f>
        <v>0</v>
      </c>
      <c r="F385" s="103">
        <f>$C385*VLOOKUP($B385,FoodDB!$A$2:$I$1018,5,0)</f>
        <v>0</v>
      </c>
      <c r="G385" s="103">
        <f>$C385*VLOOKUP($B385,FoodDB!$A$2:$I$1018,6,0)</f>
        <v>0</v>
      </c>
      <c r="H385" s="103">
        <f>$C385*VLOOKUP($B385,FoodDB!$A$2:$I$1018,7,0)</f>
        <v>0</v>
      </c>
      <c r="I385" s="103">
        <f>$C385*VLOOKUP($B385,FoodDB!$A$2:$I$1018,8,0)</f>
        <v>0</v>
      </c>
      <c r="J385" s="103">
        <f>$C385*VLOOKUP($B385,FoodDB!$A$2:$I$1018,9,0)</f>
        <v>0</v>
      </c>
      <c r="K385" s="103"/>
      <c r="L385" s="103"/>
      <c r="M385" s="103"/>
      <c r="N385" s="103"/>
      <c r="O385" s="103"/>
      <c r="P385" s="103"/>
      <c r="Q385" s="103"/>
      <c r="R385" s="103"/>
      <c r="S385" s="103"/>
    </row>
    <row r="386" spans="1:19" x14ac:dyDescent="0.25">
      <c r="B386" s="99" t="s">
        <v>108</v>
      </c>
      <c r="C386" s="100">
        <v>1</v>
      </c>
      <c r="D386" s="103">
        <f>$C386*VLOOKUP($B386,FoodDB!$A$2:$I$1018,3,0)</f>
        <v>0</v>
      </c>
      <c r="E386" s="103">
        <f>$C386*VLOOKUP($B386,FoodDB!$A$2:$I$1018,4,0)</f>
        <v>0</v>
      </c>
      <c r="F386" s="103">
        <f>$C386*VLOOKUP($B386,FoodDB!$A$2:$I$1018,5,0)</f>
        <v>0</v>
      </c>
      <c r="G386" s="103">
        <f>$C386*VLOOKUP($B386,FoodDB!$A$2:$I$1018,6,0)</f>
        <v>0</v>
      </c>
      <c r="H386" s="103">
        <f>$C386*VLOOKUP($B386,FoodDB!$A$2:$I$1018,7,0)</f>
        <v>0</v>
      </c>
      <c r="I386" s="103">
        <f>$C386*VLOOKUP($B386,FoodDB!$A$2:$I$1018,8,0)</f>
        <v>0</v>
      </c>
      <c r="J386" s="103">
        <f>$C386*VLOOKUP($B386,FoodDB!$A$2:$I$1018,9,0)</f>
        <v>0</v>
      </c>
      <c r="K386" s="103"/>
      <c r="L386" s="103"/>
      <c r="M386" s="103"/>
      <c r="N386" s="103"/>
      <c r="O386" s="103"/>
      <c r="P386" s="103"/>
      <c r="Q386" s="103"/>
      <c r="R386" s="103"/>
      <c r="S386" s="103"/>
    </row>
    <row r="387" spans="1:19" x14ac:dyDescent="0.25">
      <c r="B387" s="99" t="s">
        <v>108</v>
      </c>
      <c r="C387" s="100">
        <v>1</v>
      </c>
      <c r="D387" s="103">
        <f>$C387*VLOOKUP($B387,FoodDB!$A$2:$I$1018,3,0)</f>
        <v>0</v>
      </c>
      <c r="E387" s="103">
        <f>$C387*VLOOKUP($B387,FoodDB!$A$2:$I$1018,4,0)</f>
        <v>0</v>
      </c>
      <c r="F387" s="103">
        <f>$C387*VLOOKUP($B387,FoodDB!$A$2:$I$1018,5,0)</f>
        <v>0</v>
      </c>
      <c r="G387" s="103">
        <f>$C387*VLOOKUP($B387,FoodDB!$A$2:$I$1018,6,0)</f>
        <v>0</v>
      </c>
      <c r="H387" s="103">
        <f>$C387*VLOOKUP($B387,FoodDB!$A$2:$I$1018,7,0)</f>
        <v>0</v>
      </c>
      <c r="I387" s="103">
        <f>$C387*VLOOKUP($B387,FoodDB!$A$2:$I$1018,8,0)</f>
        <v>0</v>
      </c>
      <c r="J387" s="103">
        <f>$C387*VLOOKUP($B387,FoodDB!$A$2:$I$1018,9,0)</f>
        <v>0</v>
      </c>
      <c r="K387" s="103"/>
      <c r="L387" s="103"/>
      <c r="M387" s="103"/>
      <c r="N387" s="103"/>
      <c r="O387" s="103"/>
      <c r="P387" s="103"/>
      <c r="Q387" s="103"/>
      <c r="R387" s="103"/>
      <c r="S387" s="103"/>
    </row>
    <row r="388" spans="1:19" x14ac:dyDescent="0.25">
      <c r="B388" s="99" t="s">
        <v>108</v>
      </c>
      <c r="C388" s="100">
        <v>1</v>
      </c>
      <c r="D388" s="103">
        <f>$C388*VLOOKUP($B388,FoodDB!$A$2:$I$1018,3,0)</f>
        <v>0</v>
      </c>
      <c r="E388" s="103">
        <f>$C388*VLOOKUP($B388,FoodDB!$A$2:$I$1018,4,0)</f>
        <v>0</v>
      </c>
      <c r="F388" s="103">
        <f>$C388*VLOOKUP($B388,FoodDB!$A$2:$I$1018,5,0)</f>
        <v>0</v>
      </c>
      <c r="G388" s="103">
        <f>$C388*VLOOKUP($B388,FoodDB!$A$2:$I$1018,6,0)</f>
        <v>0</v>
      </c>
      <c r="H388" s="103">
        <f>$C388*VLOOKUP($B388,FoodDB!$A$2:$I$1018,7,0)</f>
        <v>0</v>
      </c>
      <c r="I388" s="103">
        <f>$C388*VLOOKUP($B388,FoodDB!$A$2:$I$1018,8,0)</f>
        <v>0</v>
      </c>
      <c r="J388" s="103">
        <f>$C388*VLOOKUP($B388,FoodDB!$A$2:$I$1018,9,0)</f>
        <v>0</v>
      </c>
      <c r="K388" s="103"/>
      <c r="L388" s="103"/>
      <c r="M388" s="103"/>
      <c r="N388" s="103"/>
      <c r="O388" s="103"/>
      <c r="P388" s="103"/>
      <c r="Q388" s="103"/>
      <c r="R388" s="103"/>
      <c r="S388" s="103"/>
    </row>
    <row r="389" spans="1:19" x14ac:dyDescent="0.25">
      <c r="A389" t="s">
        <v>98</v>
      </c>
      <c r="D389" s="103"/>
      <c r="E389" s="103"/>
      <c r="F389" s="103"/>
      <c r="G389" s="103">
        <f>SUM(G382:G388)</f>
        <v>0</v>
      </c>
      <c r="H389" s="103">
        <f>SUM(H382:H388)</f>
        <v>0</v>
      </c>
      <c r="I389" s="103">
        <f>SUM(I382:I388)</f>
        <v>0</v>
      </c>
      <c r="J389" s="103">
        <f>SUM(G389:I389)</f>
        <v>0</v>
      </c>
      <c r="K389" s="103"/>
      <c r="L389" s="103"/>
      <c r="M389" s="103"/>
      <c r="N389" s="103"/>
      <c r="O389" s="103"/>
      <c r="P389" s="103"/>
      <c r="Q389" s="103"/>
      <c r="R389" s="103"/>
      <c r="S389" s="103"/>
    </row>
    <row r="390" spans="1:19" x14ac:dyDescent="0.25">
      <c r="A390" t="s">
        <v>102</v>
      </c>
      <c r="B390" t="s">
        <v>103</v>
      </c>
      <c r="D390" s="103"/>
      <c r="E390" s="103"/>
      <c r="F390" s="103"/>
      <c r="G390" s="103">
        <f>VLOOKUP($A382,LossChart!$A$3:$AB$105,14,0)</f>
        <v>525.37590896672918</v>
      </c>
      <c r="H390" s="103">
        <f>VLOOKUP($A382,LossChart!$A$3:$AB$105,15,0)</f>
        <v>80</v>
      </c>
      <c r="I390" s="103">
        <f>VLOOKUP($A382,LossChart!$A$3:$AB$105,16,0)</f>
        <v>477.30407413615825</v>
      </c>
      <c r="J390" s="103">
        <f>VLOOKUP($A382,LossChart!$A$3:$AB$105,17,0)</f>
        <v>1082.6799831028875</v>
      </c>
      <c r="K390" s="103"/>
      <c r="L390" s="103"/>
      <c r="M390" s="103"/>
      <c r="N390" s="103"/>
      <c r="O390" s="103"/>
      <c r="P390" s="103"/>
      <c r="Q390" s="103"/>
      <c r="R390" s="103"/>
      <c r="S390" s="103"/>
    </row>
    <row r="391" spans="1:19" x14ac:dyDescent="0.25">
      <c r="A391" t="s">
        <v>104</v>
      </c>
      <c r="D391" s="103"/>
      <c r="E391" s="103"/>
      <c r="F391" s="103"/>
      <c r="G391" s="103">
        <f>G390-G389</f>
        <v>525.37590896672918</v>
      </c>
      <c r="H391" s="103">
        <f>H390-H389</f>
        <v>80</v>
      </c>
      <c r="I391" s="103">
        <f>I390-I389</f>
        <v>477.30407413615825</v>
      </c>
      <c r="J391" s="103">
        <f>J390-J389</f>
        <v>1082.6799831028875</v>
      </c>
      <c r="K391" s="103"/>
      <c r="L391" s="103"/>
      <c r="M391" s="103"/>
      <c r="N391" s="103"/>
      <c r="O391" s="103"/>
      <c r="P391" s="103"/>
      <c r="Q391" s="103"/>
      <c r="R391" s="103"/>
      <c r="S391" s="103"/>
    </row>
    <row r="393" spans="1:19" ht="60" x14ac:dyDescent="0.25">
      <c r="A393" s="26" t="s">
        <v>63</v>
      </c>
      <c r="B393" s="26" t="s">
        <v>93</v>
      </c>
      <c r="C393" s="26" t="s">
        <v>94</v>
      </c>
      <c r="D393" s="97" t="str">
        <f>FoodDB!$C$1</f>
        <v>Fat
(g)</v>
      </c>
      <c r="E393" s="97" t="str">
        <f>FoodDB!$D$1</f>
        <v xml:space="preserve"> Carbs
(g)</v>
      </c>
      <c r="F393" s="97" t="str">
        <f>FoodDB!$E$1</f>
        <v>Protein
(g)</v>
      </c>
      <c r="G393" s="97" t="str">
        <f>FoodDB!$F$1</f>
        <v>Fat
(Cal)</v>
      </c>
      <c r="H393" s="97" t="str">
        <f>FoodDB!$G$1</f>
        <v>Carb
(Cal)</v>
      </c>
      <c r="I393" s="97" t="str">
        <f>FoodDB!$H$1</f>
        <v>Protein
(Cal)</v>
      </c>
      <c r="J393" s="97" t="str">
        <f>FoodDB!$I$1</f>
        <v>Total
Calories</v>
      </c>
      <c r="K393" s="97"/>
      <c r="L393" s="97" t="s">
        <v>110</v>
      </c>
      <c r="M393" s="97" t="s">
        <v>111</v>
      </c>
      <c r="N393" s="97" t="s">
        <v>112</v>
      </c>
      <c r="O393" s="97" t="s">
        <v>113</v>
      </c>
      <c r="P393" s="97" t="s">
        <v>118</v>
      </c>
      <c r="Q393" s="97" t="s">
        <v>119</v>
      </c>
      <c r="R393" s="97" t="s">
        <v>120</v>
      </c>
      <c r="S393" s="97" t="s">
        <v>121</v>
      </c>
    </row>
    <row r="394" spans="1:19" x14ac:dyDescent="0.25">
      <c r="A394" s="98">
        <f>A382+1</f>
        <v>43026</v>
      </c>
      <c r="B394" s="99" t="s">
        <v>108</v>
      </c>
      <c r="C394" s="100">
        <v>1</v>
      </c>
      <c r="D394" s="103">
        <f>$C394*VLOOKUP($B394,FoodDB!$A$2:$I$1018,3,0)</f>
        <v>0</v>
      </c>
      <c r="E394" s="103">
        <f>$C394*VLOOKUP($B394,FoodDB!$A$2:$I$1018,4,0)</f>
        <v>0</v>
      </c>
      <c r="F394" s="103">
        <f>$C394*VLOOKUP($B394,FoodDB!$A$2:$I$1018,5,0)</f>
        <v>0</v>
      </c>
      <c r="G394" s="103">
        <f>$C394*VLOOKUP($B394,FoodDB!$A$2:$I$1018,6,0)</f>
        <v>0</v>
      </c>
      <c r="H394" s="103">
        <f>$C394*VLOOKUP($B394,FoodDB!$A$2:$I$1018,7,0)</f>
        <v>0</v>
      </c>
      <c r="I394" s="103">
        <f>$C394*VLOOKUP($B394,FoodDB!$A$2:$I$1018,8,0)</f>
        <v>0</v>
      </c>
      <c r="J394" s="103">
        <f>$C394*VLOOKUP($B394,FoodDB!$A$2:$I$1018,9,0)</f>
        <v>0</v>
      </c>
      <c r="K394" s="103"/>
      <c r="L394" s="103">
        <f>SUM(G394:G400)</f>
        <v>0</v>
      </c>
      <c r="M394" s="103">
        <f>SUM(H394:H400)</f>
        <v>0</v>
      </c>
      <c r="N394" s="103">
        <f>SUM(I394:I400)</f>
        <v>0</v>
      </c>
      <c r="O394" s="103">
        <f>SUM(L394:N394)</f>
        <v>0</v>
      </c>
      <c r="P394" s="103">
        <f>VLOOKUP($A394,LossChart!$A$3:$AB$105,14,0)-L394</f>
        <v>532.22502698223775</v>
      </c>
      <c r="Q394" s="103">
        <f>VLOOKUP($A394,LossChart!$A$3:$AB$105,15,0)-M394</f>
        <v>80</v>
      </c>
      <c r="R394" s="103">
        <f>VLOOKUP($A394,LossChart!$A$3:$AB$105,16,0)-N394</f>
        <v>477.30407413615825</v>
      </c>
      <c r="S394" s="103">
        <f>VLOOKUP($A394,LossChart!$A$3:$AB$105,17,0)-O394</f>
        <v>1089.5291011183961</v>
      </c>
    </row>
    <row r="395" spans="1:19" x14ac:dyDescent="0.25">
      <c r="B395" s="99" t="s">
        <v>108</v>
      </c>
      <c r="C395" s="100">
        <v>1</v>
      </c>
      <c r="D395" s="103">
        <f>$C395*VLOOKUP($B395,FoodDB!$A$2:$I$1018,3,0)</f>
        <v>0</v>
      </c>
      <c r="E395" s="103">
        <f>$C395*VLOOKUP($B395,FoodDB!$A$2:$I$1018,4,0)</f>
        <v>0</v>
      </c>
      <c r="F395" s="103">
        <f>$C395*VLOOKUP($B395,FoodDB!$A$2:$I$1018,5,0)</f>
        <v>0</v>
      </c>
      <c r="G395" s="103">
        <f>$C395*VLOOKUP($B395,FoodDB!$A$2:$I$1018,6,0)</f>
        <v>0</v>
      </c>
      <c r="H395" s="103">
        <f>$C395*VLOOKUP($B395,FoodDB!$A$2:$I$1018,7,0)</f>
        <v>0</v>
      </c>
      <c r="I395" s="103">
        <f>$C395*VLOOKUP($B395,FoodDB!$A$2:$I$1018,8,0)</f>
        <v>0</v>
      </c>
      <c r="J395" s="103">
        <f>$C395*VLOOKUP($B395,FoodDB!$A$2:$I$1018,9,0)</f>
        <v>0</v>
      </c>
      <c r="K395" s="103"/>
      <c r="L395" s="103"/>
      <c r="M395" s="103"/>
      <c r="N395" s="103"/>
      <c r="O395" s="103"/>
      <c r="P395" s="103"/>
      <c r="Q395" s="103"/>
      <c r="R395" s="103"/>
      <c r="S395" s="103"/>
    </row>
    <row r="396" spans="1:19" x14ac:dyDescent="0.25">
      <c r="B396" s="99" t="s">
        <v>108</v>
      </c>
      <c r="C396" s="100">
        <v>1</v>
      </c>
      <c r="D396" s="103">
        <f>$C396*VLOOKUP($B396,FoodDB!$A$2:$I$1018,3,0)</f>
        <v>0</v>
      </c>
      <c r="E396" s="103">
        <f>$C396*VLOOKUP($B396,FoodDB!$A$2:$I$1018,4,0)</f>
        <v>0</v>
      </c>
      <c r="F396" s="103">
        <f>$C396*VLOOKUP($B396,FoodDB!$A$2:$I$1018,5,0)</f>
        <v>0</v>
      </c>
      <c r="G396" s="103">
        <f>$C396*VLOOKUP($B396,FoodDB!$A$2:$I$1018,6,0)</f>
        <v>0</v>
      </c>
      <c r="H396" s="103">
        <f>$C396*VLOOKUP($B396,FoodDB!$A$2:$I$1018,7,0)</f>
        <v>0</v>
      </c>
      <c r="I396" s="103">
        <f>$C396*VLOOKUP($B396,FoodDB!$A$2:$I$1018,8,0)</f>
        <v>0</v>
      </c>
      <c r="J396" s="103">
        <f>$C396*VLOOKUP($B396,FoodDB!$A$2:$I$1018,9,0)</f>
        <v>0</v>
      </c>
      <c r="K396" s="103"/>
      <c r="L396" s="103"/>
      <c r="M396" s="103"/>
      <c r="N396" s="103"/>
      <c r="O396" s="103"/>
      <c r="P396" s="103"/>
      <c r="Q396" s="103"/>
      <c r="R396" s="103"/>
      <c r="S396" s="103"/>
    </row>
    <row r="397" spans="1:19" x14ac:dyDescent="0.25">
      <c r="B397" s="99" t="s">
        <v>108</v>
      </c>
      <c r="C397" s="100">
        <v>1</v>
      </c>
      <c r="D397" s="103">
        <f>$C397*VLOOKUP($B397,FoodDB!$A$2:$I$1018,3,0)</f>
        <v>0</v>
      </c>
      <c r="E397" s="103">
        <f>$C397*VLOOKUP($B397,FoodDB!$A$2:$I$1018,4,0)</f>
        <v>0</v>
      </c>
      <c r="F397" s="103">
        <f>$C397*VLOOKUP($B397,FoodDB!$A$2:$I$1018,5,0)</f>
        <v>0</v>
      </c>
      <c r="G397" s="103">
        <f>$C397*VLOOKUP($B397,FoodDB!$A$2:$I$1018,6,0)</f>
        <v>0</v>
      </c>
      <c r="H397" s="103">
        <f>$C397*VLOOKUP($B397,FoodDB!$A$2:$I$1018,7,0)</f>
        <v>0</v>
      </c>
      <c r="I397" s="103">
        <f>$C397*VLOOKUP($B397,FoodDB!$A$2:$I$1018,8,0)</f>
        <v>0</v>
      </c>
      <c r="J397" s="103">
        <f>$C397*VLOOKUP($B397,FoodDB!$A$2:$I$1018,9,0)</f>
        <v>0</v>
      </c>
      <c r="K397" s="103"/>
      <c r="L397" s="103"/>
      <c r="M397" s="103"/>
      <c r="N397" s="103"/>
      <c r="O397" s="103"/>
      <c r="P397" s="103"/>
      <c r="Q397" s="103"/>
      <c r="R397" s="103"/>
      <c r="S397" s="103"/>
    </row>
    <row r="398" spans="1:19" x14ac:dyDescent="0.25">
      <c r="B398" s="99" t="s">
        <v>108</v>
      </c>
      <c r="C398" s="100">
        <v>1</v>
      </c>
      <c r="D398" s="103">
        <f>$C398*VLOOKUP($B398,FoodDB!$A$2:$I$1018,3,0)</f>
        <v>0</v>
      </c>
      <c r="E398" s="103">
        <f>$C398*VLOOKUP($B398,FoodDB!$A$2:$I$1018,4,0)</f>
        <v>0</v>
      </c>
      <c r="F398" s="103">
        <f>$C398*VLOOKUP($B398,FoodDB!$A$2:$I$1018,5,0)</f>
        <v>0</v>
      </c>
      <c r="G398" s="103">
        <f>$C398*VLOOKUP($B398,FoodDB!$A$2:$I$1018,6,0)</f>
        <v>0</v>
      </c>
      <c r="H398" s="103">
        <f>$C398*VLOOKUP($B398,FoodDB!$A$2:$I$1018,7,0)</f>
        <v>0</v>
      </c>
      <c r="I398" s="103">
        <f>$C398*VLOOKUP($B398,FoodDB!$A$2:$I$1018,8,0)</f>
        <v>0</v>
      </c>
      <c r="J398" s="103">
        <f>$C398*VLOOKUP($B398,FoodDB!$A$2:$I$1018,9,0)</f>
        <v>0</v>
      </c>
      <c r="K398" s="103"/>
      <c r="L398" s="103"/>
      <c r="M398" s="103"/>
      <c r="N398" s="103"/>
      <c r="O398" s="103"/>
      <c r="P398" s="103"/>
      <c r="Q398" s="103"/>
      <c r="R398" s="103"/>
      <c r="S398" s="103"/>
    </row>
    <row r="399" spans="1:19" x14ac:dyDescent="0.25">
      <c r="B399" s="99" t="s">
        <v>108</v>
      </c>
      <c r="C399" s="100">
        <v>1</v>
      </c>
      <c r="D399" s="103">
        <f>$C399*VLOOKUP($B399,FoodDB!$A$2:$I$1018,3,0)</f>
        <v>0</v>
      </c>
      <c r="E399" s="103">
        <f>$C399*VLOOKUP($B399,FoodDB!$A$2:$I$1018,4,0)</f>
        <v>0</v>
      </c>
      <c r="F399" s="103">
        <f>$C399*VLOOKUP($B399,FoodDB!$A$2:$I$1018,5,0)</f>
        <v>0</v>
      </c>
      <c r="G399" s="103">
        <f>$C399*VLOOKUP($B399,FoodDB!$A$2:$I$1018,6,0)</f>
        <v>0</v>
      </c>
      <c r="H399" s="103">
        <f>$C399*VLOOKUP($B399,FoodDB!$A$2:$I$1018,7,0)</f>
        <v>0</v>
      </c>
      <c r="I399" s="103">
        <f>$C399*VLOOKUP($B399,FoodDB!$A$2:$I$1018,8,0)</f>
        <v>0</v>
      </c>
      <c r="J399" s="103">
        <f>$C399*VLOOKUP($B399,FoodDB!$A$2:$I$1018,9,0)</f>
        <v>0</v>
      </c>
      <c r="K399" s="103"/>
      <c r="L399" s="103"/>
      <c r="M399" s="103"/>
      <c r="N399" s="103"/>
      <c r="O399" s="103"/>
      <c r="P399" s="103"/>
      <c r="Q399" s="103"/>
      <c r="R399" s="103"/>
      <c r="S399" s="103"/>
    </row>
    <row r="400" spans="1:19" x14ac:dyDescent="0.25">
      <c r="B400" s="99" t="s">
        <v>108</v>
      </c>
      <c r="C400" s="100">
        <v>1</v>
      </c>
      <c r="D400" s="103">
        <f>$C400*VLOOKUP($B400,FoodDB!$A$2:$I$1018,3,0)</f>
        <v>0</v>
      </c>
      <c r="E400" s="103">
        <f>$C400*VLOOKUP($B400,FoodDB!$A$2:$I$1018,4,0)</f>
        <v>0</v>
      </c>
      <c r="F400" s="103">
        <f>$C400*VLOOKUP($B400,FoodDB!$A$2:$I$1018,5,0)</f>
        <v>0</v>
      </c>
      <c r="G400" s="103">
        <f>$C400*VLOOKUP($B400,FoodDB!$A$2:$I$1018,6,0)</f>
        <v>0</v>
      </c>
      <c r="H400" s="103">
        <f>$C400*VLOOKUP($B400,FoodDB!$A$2:$I$1018,7,0)</f>
        <v>0</v>
      </c>
      <c r="I400" s="103">
        <f>$C400*VLOOKUP($B400,FoodDB!$A$2:$I$1018,8,0)</f>
        <v>0</v>
      </c>
      <c r="J400" s="103">
        <f>$C400*VLOOKUP($B400,FoodDB!$A$2:$I$1018,9,0)</f>
        <v>0</v>
      </c>
      <c r="K400" s="103"/>
      <c r="L400" s="103"/>
      <c r="M400" s="103"/>
      <c r="N400" s="103"/>
      <c r="O400" s="103"/>
      <c r="P400" s="103"/>
      <c r="Q400" s="103"/>
      <c r="R400" s="103"/>
      <c r="S400" s="103"/>
    </row>
    <row r="401" spans="1:19" x14ac:dyDescent="0.25">
      <c r="A401" t="s">
        <v>98</v>
      </c>
      <c r="D401" s="103"/>
      <c r="E401" s="103"/>
      <c r="F401" s="103"/>
      <c r="G401" s="103">
        <f>SUM(G394:G400)</f>
        <v>0</v>
      </c>
      <c r="H401" s="103">
        <f>SUM(H394:H400)</f>
        <v>0</v>
      </c>
      <c r="I401" s="103">
        <f>SUM(I394:I400)</f>
        <v>0</v>
      </c>
      <c r="J401" s="103">
        <f>SUM(G401:I401)</f>
        <v>0</v>
      </c>
      <c r="K401" s="103"/>
      <c r="L401" s="103"/>
      <c r="M401" s="103"/>
      <c r="N401" s="103"/>
      <c r="O401" s="103"/>
      <c r="P401" s="103"/>
      <c r="Q401" s="103"/>
      <c r="R401" s="103"/>
      <c r="S401" s="103"/>
    </row>
    <row r="402" spans="1:19" x14ac:dyDescent="0.25">
      <c r="A402" t="s">
        <v>102</v>
      </c>
      <c r="B402" t="s">
        <v>103</v>
      </c>
      <c r="D402" s="103"/>
      <c r="E402" s="103"/>
      <c r="F402" s="103"/>
      <c r="G402" s="103">
        <f>VLOOKUP($A394,LossChart!$A$3:$AB$105,14,0)</f>
        <v>532.22502698223775</v>
      </c>
      <c r="H402" s="103">
        <f>VLOOKUP($A394,LossChart!$A$3:$AB$105,15,0)</f>
        <v>80</v>
      </c>
      <c r="I402" s="103">
        <f>VLOOKUP($A394,LossChart!$A$3:$AB$105,16,0)</f>
        <v>477.30407413615825</v>
      </c>
      <c r="J402" s="103">
        <f>VLOOKUP($A394,LossChart!$A$3:$AB$105,17,0)</f>
        <v>1089.5291011183961</v>
      </c>
      <c r="K402" s="103"/>
      <c r="L402" s="103"/>
      <c r="M402" s="103"/>
      <c r="N402" s="103"/>
      <c r="O402" s="103"/>
      <c r="P402" s="103"/>
      <c r="Q402" s="103"/>
      <c r="R402" s="103"/>
      <c r="S402" s="103"/>
    </row>
    <row r="403" spans="1:19" x14ac:dyDescent="0.25">
      <c r="A403" t="s">
        <v>104</v>
      </c>
      <c r="D403" s="103"/>
      <c r="E403" s="103"/>
      <c r="F403" s="103"/>
      <c r="G403" s="103">
        <f>G402-G401</f>
        <v>532.22502698223775</v>
      </c>
      <c r="H403" s="103">
        <f>H402-H401</f>
        <v>80</v>
      </c>
      <c r="I403" s="103">
        <f>I402-I401</f>
        <v>477.30407413615825</v>
      </c>
      <c r="J403" s="103">
        <f>J402-J401</f>
        <v>1089.5291011183961</v>
      </c>
      <c r="K403" s="103"/>
      <c r="L403" s="103"/>
      <c r="M403" s="103"/>
      <c r="N403" s="103"/>
      <c r="O403" s="103"/>
      <c r="P403" s="103"/>
      <c r="Q403" s="103"/>
      <c r="R403" s="103"/>
      <c r="S403" s="103"/>
    </row>
    <row r="405" spans="1:19" ht="60" x14ac:dyDescent="0.25">
      <c r="A405" s="26" t="s">
        <v>63</v>
      </c>
      <c r="B405" s="26" t="s">
        <v>93</v>
      </c>
      <c r="C405" s="26" t="s">
        <v>94</v>
      </c>
      <c r="D405" s="97" t="str">
        <f>FoodDB!$C$1</f>
        <v>Fat
(g)</v>
      </c>
      <c r="E405" s="97" t="str">
        <f>FoodDB!$D$1</f>
        <v xml:space="preserve"> Carbs
(g)</v>
      </c>
      <c r="F405" s="97" t="str">
        <f>FoodDB!$E$1</f>
        <v>Protein
(g)</v>
      </c>
      <c r="G405" s="97" t="str">
        <f>FoodDB!$F$1</f>
        <v>Fat
(Cal)</v>
      </c>
      <c r="H405" s="97" t="str">
        <f>FoodDB!$G$1</f>
        <v>Carb
(Cal)</v>
      </c>
      <c r="I405" s="97" t="str">
        <f>FoodDB!$H$1</f>
        <v>Protein
(Cal)</v>
      </c>
      <c r="J405" s="97" t="str">
        <f>FoodDB!$I$1</f>
        <v>Total
Calories</v>
      </c>
      <c r="K405" s="97"/>
      <c r="L405" s="97" t="s">
        <v>110</v>
      </c>
      <c r="M405" s="97" t="s">
        <v>111</v>
      </c>
      <c r="N405" s="97" t="s">
        <v>112</v>
      </c>
      <c r="O405" s="97" t="s">
        <v>113</v>
      </c>
      <c r="P405" s="97" t="s">
        <v>118</v>
      </c>
      <c r="Q405" s="97" t="s">
        <v>119</v>
      </c>
      <c r="R405" s="97" t="s">
        <v>120</v>
      </c>
      <c r="S405" s="97" t="s">
        <v>121</v>
      </c>
    </row>
    <row r="406" spans="1:19" x14ac:dyDescent="0.25">
      <c r="A406" s="98">
        <f>A394+1</f>
        <v>43027</v>
      </c>
      <c r="B406" s="99" t="s">
        <v>108</v>
      </c>
      <c r="C406" s="100">
        <v>1</v>
      </c>
      <c r="D406" s="103">
        <f>$C406*VLOOKUP($B406,FoodDB!$A$2:$I$1018,3,0)</f>
        <v>0</v>
      </c>
      <c r="E406" s="103">
        <f>$C406*VLOOKUP($B406,FoodDB!$A$2:$I$1018,4,0)</f>
        <v>0</v>
      </c>
      <c r="F406" s="103">
        <f>$C406*VLOOKUP($B406,FoodDB!$A$2:$I$1018,5,0)</f>
        <v>0</v>
      </c>
      <c r="G406" s="103">
        <f>$C406*VLOOKUP($B406,FoodDB!$A$2:$I$1018,6,0)</f>
        <v>0</v>
      </c>
      <c r="H406" s="103">
        <f>$C406*VLOOKUP($B406,FoodDB!$A$2:$I$1018,7,0)</f>
        <v>0</v>
      </c>
      <c r="I406" s="103">
        <f>$C406*VLOOKUP($B406,FoodDB!$A$2:$I$1018,8,0)</f>
        <v>0</v>
      </c>
      <c r="J406" s="103">
        <f>$C406*VLOOKUP($B406,FoodDB!$A$2:$I$1018,9,0)</f>
        <v>0</v>
      </c>
      <c r="K406" s="103"/>
      <c r="L406" s="103">
        <f>SUM(G406:G412)</f>
        <v>0</v>
      </c>
      <c r="M406" s="103">
        <f>SUM(H406:H412)</f>
        <v>0</v>
      </c>
      <c r="N406" s="103">
        <f>SUM(I406:I412)</f>
        <v>0</v>
      </c>
      <c r="O406" s="103">
        <f>SUM(L406:N406)</f>
        <v>0</v>
      </c>
      <c r="P406" s="103">
        <f>VLOOKUP($A406,LossChart!$A$3:$AB$105,14,0)-L406</f>
        <v>539.01348138103799</v>
      </c>
      <c r="Q406" s="103">
        <f>VLOOKUP($A406,LossChart!$A$3:$AB$105,15,0)-M406</f>
        <v>80</v>
      </c>
      <c r="R406" s="103">
        <f>VLOOKUP($A406,LossChart!$A$3:$AB$105,16,0)-N406</f>
        <v>477.30407413615825</v>
      </c>
      <c r="S406" s="103">
        <f>VLOOKUP($A406,LossChart!$A$3:$AB$105,17,0)-O406</f>
        <v>1096.3175555171963</v>
      </c>
    </row>
    <row r="407" spans="1:19" x14ac:dyDescent="0.25">
      <c r="B407" s="99" t="s">
        <v>108</v>
      </c>
      <c r="C407" s="100">
        <v>1</v>
      </c>
      <c r="D407" s="103">
        <f>$C407*VLOOKUP($B407,FoodDB!$A$2:$I$1018,3,0)</f>
        <v>0</v>
      </c>
      <c r="E407" s="103">
        <f>$C407*VLOOKUP($B407,FoodDB!$A$2:$I$1018,4,0)</f>
        <v>0</v>
      </c>
      <c r="F407" s="103">
        <f>$C407*VLOOKUP($B407,FoodDB!$A$2:$I$1018,5,0)</f>
        <v>0</v>
      </c>
      <c r="G407" s="103">
        <f>$C407*VLOOKUP($B407,FoodDB!$A$2:$I$1018,6,0)</f>
        <v>0</v>
      </c>
      <c r="H407" s="103">
        <f>$C407*VLOOKUP($B407,FoodDB!$A$2:$I$1018,7,0)</f>
        <v>0</v>
      </c>
      <c r="I407" s="103">
        <f>$C407*VLOOKUP($B407,FoodDB!$A$2:$I$1018,8,0)</f>
        <v>0</v>
      </c>
      <c r="J407" s="103">
        <f>$C407*VLOOKUP($B407,FoodDB!$A$2:$I$1018,9,0)</f>
        <v>0</v>
      </c>
      <c r="K407" s="103"/>
      <c r="L407" s="103"/>
      <c r="M407" s="103"/>
      <c r="N407" s="103"/>
      <c r="O407" s="103"/>
      <c r="P407" s="103"/>
      <c r="Q407" s="103"/>
      <c r="R407" s="103"/>
      <c r="S407" s="103"/>
    </row>
    <row r="408" spans="1:19" x14ac:dyDescent="0.25">
      <c r="B408" s="99" t="s">
        <v>108</v>
      </c>
      <c r="C408" s="100">
        <v>1</v>
      </c>
      <c r="D408" s="103">
        <f>$C408*VLOOKUP($B408,FoodDB!$A$2:$I$1018,3,0)</f>
        <v>0</v>
      </c>
      <c r="E408" s="103">
        <f>$C408*VLOOKUP($B408,FoodDB!$A$2:$I$1018,4,0)</f>
        <v>0</v>
      </c>
      <c r="F408" s="103">
        <f>$C408*VLOOKUP($B408,FoodDB!$A$2:$I$1018,5,0)</f>
        <v>0</v>
      </c>
      <c r="G408" s="103">
        <f>$C408*VLOOKUP($B408,FoodDB!$A$2:$I$1018,6,0)</f>
        <v>0</v>
      </c>
      <c r="H408" s="103">
        <f>$C408*VLOOKUP($B408,FoodDB!$A$2:$I$1018,7,0)</f>
        <v>0</v>
      </c>
      <c r="I408" s="103">
        <f>$C408*VLOOKUP($B408,FoodDB!$A$2:$I$1018,8,0)</f>
        <v>0</v>
      </c>
      <c r="J408" s="103">
        <f>$C408*VLOOKUP($B408,FoodDB!$A$2:$I$1018,9,0)</f>
        <v>0</v>
      </c>
      <c r="K408" s="103"/>
      <c r="L408" s="103"/>
      <c r="M408" s="103"/>
      <c r="N408" s="103"/>
      <c r="O408" s="103"/>
      <c r="P408" s="103"/>
      <c r="Q408" s="103"/>
      <c r="R408" s="103"/>
      <c r="S408" s="103"/>
    </row>
    <row r="409" spans="1:19" x14ac:dyDescent="0.25">
      <c r="B409" s="99" t="s">
        <v>108</v>
      </c>
      <c r="C409" s="100">
        <v>1</v>
      </c>
      <c r="D409" s="103">
        <f>$C409*VLOOKUP($B409,FoodDB!$A$2:$I$1018,3,0)</f>
        <v>0</v>
      </c>
      <c r="E409" s="103">
        <f>$C409*VLOOKUP($B409,FoodDB!$A$2:$I$1018,4,0)</f>
        <v>0</v>
      </c>
      <c r="F409" s="103">
        <f>$C409*VLOOKUP($B409,FoodDB!$A$2:$I$1018,5,0)</f>
        <v>0</v>
      </c>
      <c r="G409" s="103">
        <f>$C409*VLOOKUP($B409,FoodDB!$A$2:$I$1018,6,0)</f>
        <v>0</v>
      </c>
      <c r="H409" s="103">
        <f>$C409*VLOOKUP($B409,FoodDB!$A$2:$I$1018,7,0)</f>
        <v>0</v>
      </c>
      <c r="I409" s="103">
        <f>$C409*VLOOKUP($B409,FoodDB!$A$2:$I$1018,8,0)</f>
        <v>0</v>
      </c>
      <c r="J409" s="103">
        <f>$C409*VLOOKUP($B409,FoodDB!$A$2:$I$1018,9,0)</f>
        <v>0</v>
      </c>
      <c r="K409" s="103"/>
      <c r="L409" s="103"/>
      <c r="M409" s="103"/>
      <c r="N409" s="103"/>
      <c r="O409" s="103"/>
      <c r="P409" s="103"/>
      <c r="Q409" s="103"/>
      <c r="R409" s="103"/>
      <c r="S409" s="103"/>
    </row>
    <row r="410" spans="1:19" x14ac:dyDescent="0.25">
      <c r="B410" s="99" t="s">
        <v>108</v>
      </c>
      <c r="C410" s="100">
        <v>1</v>
      </c>
      <c r="D410" s="103">
        <f>$C410*VLOOKUP($B410,FoodDB!$A$2:$I$1018,3,0)</f>
        <v>0</v>
      </c>
      <c r="E410" s="103">
        <f>$C410*VLOOKUP($B410,FoodDB!$A$2:$I$1018,4,0)</f>
        <v>0</v>
      </c>
      <c r="F410" s="103">
        <f>$C410*VLOOKUP($B410,FoodDB!$A$2:$I$1018,5,0)</f>
        <v>0</v>
      </c>
      <c r="G410" s="103">
        <f>$C410*VLOOKUP($B410,FoodDB!$A$2:$I$1018,6,0)</f>
        <v>0</v>
      </c>
      <c r="H410" s="103">
        <f>$C410*VLOOKUP($B410,FoodDB!$A$2:$I$1018,7,0)</f>
        <v>0</v>
      </c>
      <c r="I410" s="103">
        <f>$C410*VLOOKUP($B410,FoodDB!$A$2:$I$1018,8,0)</f>
        <v>0</v>
      </c>
      <c r="J410" s="103">
        <f>$C410*VLOOKUP($B410,FoodDB!$A$2:$I$1018,9,0)</f>
        <v>0</v>
      </c>
      <c r="K410" s="103"/>
      <c r="L410" s="103"/>
      <c r="M410" s="103"/>
      <c r="N410" s="103"/>
      <c r="O410" s="103"/>
      <c r="P410" s="103"/>
      <c r="Q410" s="103"/>
      <c r="R410" s="103"/>
      <c r="S410" s="103"/>
    </row>
    <row r="411" spans="1:19" x14ac:dyDescent="0.25">
      <c r="B411" s="99" t="s">
        <v>108</v>
      </c>
      <c r="C411" s="100">
        <v>1</v>
      </c>
      <c r="D411" s="103">
        <f>$C411*VLOOKUP($B411,FoodDB!$A$2:$I$1018,3,0)</f>
        <v>0</v>
      </c>
      <c r="E411" s="103">
        <f>$C411*VLOOKUP($B411,FoodDB!$A$2:$I$1018,4,0)</f>
        <v>0</v>
      </c>
      <c r="F411" s="103">
        <f>$C411*VLOOKUP($B411,FoodDB!$A$2:$I$1018,5,0)</f>
        <v>0</v>
      </c>
      <c r="G411" s="103">
        <f>$C411*VLOOKUP($B411,FoodDB!$A$2:$I$1018,6,0)</f>
        <v>0</v>
      </c>
      <c r="H411" s="103">
        <f>$C411*VLOOKUP($B411,FoodDB!$A$2:$I$1018,7,0)</f>
        <v>0</v>
      </c>
      <c r="I411" s="103">
        <f>$C411*VLOOKUP($B411,FoodDB!$A$2:$I$1018,8,0)</f>
        <v>0</v>
      </c>
      <c r="J411" s="103">
        <f>$C411*VLOOKUP($B411,FoodDB!$A$2:$I$1018,9,0)</f>
        <v>0</v>
      </c>
      <c r="K411" s="103"/>
      <c r="L411" s="103"/>
      <c r="M411" s="103"/>
      <c r="N411" s="103"/>
      <c r="O411" s="103"/>
      <c r="P411" s="103"/>
      <c r="Q411" s="103"/>
      <c r="R411" s="103"/>
      <c r="S411" s="103"/>
    </row>
    <row r="412" spans="1:19" x14ac:dyDescent="0.25">
      <c r="B412" s="99" t="s">
        <v>108</v>
      </c>
      <c r="C412" s="100">
        <v>1</v>
      </c>
      <c r="D412" s="103">
        <f>$C412*VLOOKUP($B412,FoodDB!$A$2:$I$1018,3,0)</f>
        <v>0</v>
      </c>
      <c r="E412" s="103">
        <f>$C412*VLOOKUP($B412,FoodDB!$A$2:$I$1018,4,0)</f>
        <v>0</v>
      </c>
      <c r="F412" s="103">
        <f>$C412*VLOOKUP($B412,FoodDB!$A$2:$I$1018,5,0)</f>
        <v>0</v>
      </c>
      <c r="G412" s="103">
        <f>$C412*VLOOKUP($B412,FoodDB!$A$2:$I$1018,6,0)</f>
        <v>0</v>
      </c>
      <c r="H412" s="103">
        <f>$C412*VLOOKUP($B412,FoodDB!$A$2:$I$1018,7,0)</f>
        <v>0</v>
      </c>
      <c r="I412" s="103">
        <f>$C412*VLOOKUP($B412,FoodDB!$A$2:$I$1018,8,0)</f>
        <v>0</v>
      </c>
      <c r="J412" s="103">
        <f>$C412*VLOOKUP($B412,FoodDB!$A$2:$I$1018,9,0)</f>
        <v>0</v>
      </c>
      <c r="K412" s="103"/>
      <c r="L412" s="103"/>
      <c r="M412" s="103"/>
      <c r="N412" s="103"/>
      <c r="O412" s="103"/>
      <c r="P412" s="103"/>
      <c r="Q412" s="103"/>
      <c r="R412" s="103"/>
      <c r="S412" s="103"/>
    </row>
    <row r="413" spans="1:19" x14ac:dyDescent="0.25">
      <c r="A413" t="s">
        <v>98</v>
      </c>
      <c r="D413" s="103"/>
      <c r="E413" s="103"/>
      <c r="F413" s="103"/>
      <c r="G413" s="103">
        <f>SUM(G406:G412)</f>
        <v>0</v>
      </c>
      <c r="H413" s="103">
        <f>SUM(H406:H412)</f>
        <v>0</v>
      </c>
      <c r="I413" s="103">
        <f>SUM(I406:I412)</f>
        <v>0</v>
      </c>
      <c r="J413" s="103">
        <f>SUM(G413:I413)</f>
        <v>0</v>
      </c>
      <c r="K413" s="103"/>
      <c r="L413" s="103"/>
      <c r="M413" s="103"/>
      <c r="N413" s="103"/>
      <c r="O413" s="103"/>
      <c r="P413" s="103"/>
      <c r="Q413" s="103"/>
      <c r="R413" s="103"/>
      <c r="S413" s="103"/>
    </row>
    <row r="414" spans="1:19" x14ac:dyDescent="0.25">
      <c r="A414" t="s">
        <v>102</v>
      </c>
      <c r="B414" t="s">
        <v>103</v>
      </c>
      <c r="D414" s="103"/>
      <c r="E414" s="103"/>
      <c r="F414" s="103"/>
      <c r="G414" s="103">
        <f>VLOOKUP($A406,LossChart!$A$3:$AB$105,14,0)</f>
        <v>539.01348138103799</v>
      </c>
      <c r="H414" s="103">
        <f>VLOOKUP($A406,LossChart!$A$3:$AB$105,15,0)</f>
        <v>80</v>
      </c>
      <c r="I414" s="103">
        <f>VLOOKUP($A406,LossChart!$A$3:$AB$105,16,0)</f>
        <v>477.30407413615825</v>
      </c>
      <c r="J414" s="103">
        <f>VLOOKUP($A406,LossChart!$A$3:$AB$105,17,0)</f>
        <v>1096.3175555171963</v>
      </c>
      <c r="K414" s="103"/>
      <c r="L414" s="103"/>
      <c r="M414" s="103"/>
      <c r="N414" s="103"/>
      <c r="O414" s="103"/>
      <c r="P414" s="103"/>
      <c r="Q414" s="103"/>
      <c r="R414" s="103"/>
      <c r="S414" s="103"/>
    </row>
    <row r="415" spans="1:19" x14ac:dyDescent="0.25">
      <c r="A415" t="s">
        <v>104</v>
      </c>
      <c r="D415" s="103"/>
      <c r="E415" s="103"/>
      <c r="F415" s="103"/>
      <c r="G415" s="103">
        <f>G414-G413</f>
        <v>539.01348138103799</v>
      </c>
      <c r="H415" s="103">
        <f>H414-H413</f>
        <v>80</v>
      </c>
      <c r="I415" s="103">
        <f>I414-I413</f>
        <v>477.30407413615825</v>
      </c>
      <c r="J415" s="103">
        <f>J414-J413</f>
        <v>1096.3175555171963</v>
      </c>
      <c r="K415" s="103"/>
      <c r="L415" s="103"/>
      <c r="M415" s="103"/>
      <c r="N415" s="103"/>
      <c r="O415" s="103"/>
      <c r="P415" s="103"/>
      <c r="Q415" s="103"/>
      <c r="R415" s="103"/>
      <c r="S415" s="103"/>
    </row>
    <row r="417" spans="1:19" ht="60" x14ac:dyDescent="0.25">
      <c r="A417" s="26" t="s">
        <v>63</v>
      </c>
      <c r="B417" s="26" t="s">
        <v>93</v>
      </c>
      <c r="C417" s="26" t="s">
        <v>94</v>
      </c>
      <c r="D417" s="97" t="str">
        <f>FoodDB!$C$1</f>
        <v>Fat
(g)</v>
      </c>
      <c r="E417" s="97" t="str">
        <f>FoodDB!$D$1</f>
        <v xml:space="preserve"> Carbs
(g)</v>
      </c>
      <c r="F417" s="97" t="str">
        <f>FoodDB!$E$1</f>
        <v>Protein
(g)</v>
      </c>
      <c r="G417" s="97" t="str">
        <f>FoodDB!$F$1</f>
        <v>Fat
(Cal)</v>
      </c>
      <c r="H417" s="97" t="str">
        <f>FoodDB!$G$1</f>
        <v>Carb
(Cal)</v>
      </c>
      <c r="I417" s="97" t="str">
        <f>FoodDB!$H$1</f>
        <v>Protein
(Cal)</v>
      </c>
      <c r="J417" s="97" t="str">
        <f>FoodDB!$I$1</f>
        <v>Total
Calories</v>
      </c>
      <c r="K417" s="97"/>
      <c r="L417" s="97" t="s">
        <v>110</v>
      </c>
      <c r="M417" s="97" t="s">
        <v>111</v>
      </c>
      <c r="N417" s="97" t="s">
        <v>112</v>
      </c>
      <c r="O417" s="97" t="s">
        <v>113</v>
      </c>
      <c r="P417" s="97" t="s">
        <v>118</v>
      </c>
      <c r="Q417" s="97" t="s">
        <v>119</v>
      </c>
      <c r="R417" s="97" t="s">
        <v>120</v>
      </c>
      <c r="S417" s="97" t="s">
        <v>121</v>
      </c>
    </row>
    <row r="418" spans="1:19" x14ac:dyDescent="0.25">
      <c r="A418" s="98">
        <f>A406+1</f>
        <v>43028</v>
      </c>
      <c r="B418" s="99" t="s">
        <v>108</v>
      </c>
      <c r="C418" s="100">
        <v>1</v>
      </c>
      <c r="D418" s="103">
        <f>$C418*VLOOKUP($B418,FoodDB!$A$2:$I$1018,3,0)</f>
        <v>0</v>
      </c>
      <c r="E418" s="103">
        <f>$C418*VLOOKUP($B418,FoodDB!$A$2:$I$1018,4,0)</f>
        <v>0</v>
      </c>
      <c r="F418" s="103">
        <f>$C418*VLOOKUP($B418,FoodDB!$A$2:$I$1018,5,0)</f>
        <v>0</v>
      </c>
      <c r="G418" s="103">
        <f>$C418*VLOOKUP($B418,FoodDB!$A$2:$I$1018,6,0)</f>
        <v>0</v>
      </c>
      <c r="H418" s="103">
        <f>$C418*VLOOKUP($B418,FoodDB!$A$2:$I$1018,7,0)</f>
        <v>0</v>
      </c>
      <c r="I418" s="103">
        <f>$C418*VLOOKUP($B418,FoodDB!$A$2:$I$1018,8,0)</f>
        <v>0</v>
      </c>
      <c r="J418" s="103">
        <f>$C418*VLOOKUP($B418,FoodDB!$A$2:$I$1018,9,0)</f>
        <v>0</v>
      </c>
      <c r="K418" s="103"/>
      <c r="L418" s="103">
        <f>SUM(G418:G424)</f>
        <v>0</v>
      </c>
      <c r="M418" s="103">
        <f>SUM(H418:H424)</f>
        <v>0</v>
      </c>
      <c r="N418" s="103">
        <f>SUM(I418:I424)</f>
        <v>0</v>
      </c>
      <c r="O418" s="103">
        <f>SUM(L418:N418)</f>
        <v>0</v>
      </c>
      <c r="P418" s="103">
        <f>VLOOKUP($A418,LossChart!$A$3:$AB$105,14,0)-L418</f>
        <v>545.74180946944898</v>
      </c>
      <c r="Q418" s="103">
        <f>VLOOKUP($A418,LossChart!$A$3:$AB$105,15,0)-M418</f>
        <v>80</v>
      </c>
      <c r="R418" s="103">
        <f>VLOOKUP($A418,LossChart!$A$3:$AB$105,16,0)-N418</f>
        <v>477.30407413615825</v>
      </c>
      <c r="S418" s="103">
        <f>VLOOKUP($A418,LossChart!$A$3:$AB$105,17,0)-O418</f>
        <v>1103.0458836056073</v>
      </c>
    </row>
    <row r="419" spans="1:19" x14ac:dyDescent="0.25">
      <c r="B419" s="99" t="s">
        <v>108</v>
      </c>
      <c r="C419" s="100">
        <v>1</v>
      </c>
      <c r="D419" s="103">
        <f>$C419*VLOOKUP($B419,FoodDB!$A$2:$I$1018,3,0)</f>
        <v>0</v>
      </c>
      <c r="E419" s="103">
        <f>$C419*VLOOKUP($B419,FoodDB!$A$2:$I$1018,4,0)</f>
        <v>0</v>
      </c>
      <c r="F419" s="103">
        <f>$C419*VLOOKUP($B419,FoodDB!$A$2:$I$1018,5,0)</f>
        <v>0</v>
      </c>
      <c r="G419" s="103">
        <f>$C419*VLOOKUP($B419,FoodDB!$A$2:$I$1018,6,0)</f>
        <v>0</v>
      </c>
      <c r="H419" s="103">
        <f>$C419*VLOOKUP($B419,FoodDB!$A$2:$I$1018,7,0)</f>
        <v>0</v>
      </c>
      <c r="I419" s="103">
        <f>$C419*VLOOKUP($B419,FoodDB!$A$2:$I$1018,8,0)</f>
        <v>0</v>
      </c>
      <c r="J419" s="103">
        <f>$C419*VLOOKUP($B419,FoodDB!$A$2:$I$1018,9,0)</f>
        <v>0</v>
      </c>
      <c r="K419" s="103"/>
      <c r="L419" s="103"/>
      <c r="M419" s="103"/>
      <c r="N419" s="103"/>
      <c r="O419" s="103"/>
      <c r="P419" s="103"/>
      <c r="Q419" s="103"/>
      <c r="R419" s="103"/>
      <c r="S419" s="103"/>
    </row>
    <row r="420" spans="1:19" x14ac:dyDescent="0.25">
      <c r="B420" s="99" t="s">
        <v>108</v>
      </c>
      <c r="C420" s="100">
        <v>1</v>
      </c>
      <c r="D420" s="103">
        <f>$C420*VLOOKUP($B420,FoodDB!$A$2:$I$1018,3,0)</f>
        <v>0</v>
      </c>
      <c r="E420" s="103">
        <f>$C420*VLOOKUP($B420,FoodDB!$A$2:$I$1018,4,0)</f>
        <v>0</v>
      </c>
      <c r="F420" s="103">
        <f>$C420*VLOOKUP($B420,FoodDB!$A$2:$I$1018,5,0)</f>
        <v>0</v>
      </c>
      <c r="G420" s="103">
        <f>$C420*VLOOKUP($B420,FoodDB!$A$2:$I$1018,6,0)</f>
        <v>0</v>
      </c>
      <c r="H420" s="103">
        <f>$C420*VLOOKUP($B420,FoodDB!$A$2:$I$1018,7,0)</f>
        <v>0</v>
      </c>
      <c r="I420" s="103">
        <f>$C420*VLOOKUP($B420,FoodDB!$A$2:$I$1018,8,0)</f>
        <v>0</v>
      </c>
      <c r="J420" s="103">
        <f>$C420*VLOOKUP($B420,FoodDB!$A$2:$I$1018,9,0)</f>
        <v>0</v>
      </c>
      <c r="K420" s="103"/>
      <c r="L420" s="103"/>
      <c r="M420" s="103"/>
      <c r="N420" s="103"/>
      <c r="O420" s="103"/>
      <c r="P420" s="103"/>
      <c r="Q420" s="103"/>
      <c r="R420" s="103"/>
      <c r="S420" s="103"/>
    </row>
    <row r="421" spans="1:19" x14ac:dyDescent="0.25">
      <c r="B421" s="99" t="s">
        <v>108</v>
      </c>
      <c r="C421" s="100">
        <v>1</v>
      </c>
      <c r="D421" s="103">
        <f>$C421*VLOOKUP($B421,FoodDB!$A$2:$I$1018,3,0)</f>
        <v>0</v>
      </c>
      <c r="E421" s="103">
        <f>$C421*VLOOKUP($B421,FoodDB!$A$2:$I$1018,4,0)</f>
        <v>0</v>
      </c>
      <c r="F421" s="103">
        <f>$C421*VLOOKUP($B421,FoodDB!$A$2:$I$1018,5,0)</f>
        <v>0</v>
      </c>
      <c r="G421" s="103">
        <f>$C421*VLOOKUP($B421,FoodDB!$A$2:$I$1018,6,0)</f>
        <v>0</v>
      </c>
      <c r="H421" s="103">
        <f>$C421*VLOOKUP($B421,FoodDB!$A$2:$I$1018,7,0)</f>
        <v>0</v>
      </c>
      <c r="I421" s="103">
        <f>$C421*VLOOKUP($B421,FoodDB!$A$2:$I$1018,8,0)</f>
        <v>0</v>
      </c>
      <c r="J421" s="103">
        <f>$C421*VLOOKUP($B421,FoodDB!$A$2:$I$1018,9,0)</f>
        <v>0</v>
      </c>
      <c r="K421" s="103"/>
      <c r="L421" s="103"/>
      <c r="M421" s="103"/>
      <c r="N421" s="103"/>
      <c r="O421" s="103"/>
      <c r="P421" s="103"/>
      <c r="Q421" s="103"/>
      <c r="R421" s="103"/>
      <c r="S421" s="103"/>
    </row>
    <row r="422" spans="1:19" x14ac:dyDescent="0.25">
      <c r="B422" s="99" t="s">
        <v>108</v>
      </c>
      <c r="C422" s="100">
        <v>1</v>
      </c>
      <c r="D422" s="103">
        <f>$C422*VLOOKUP($B422,FoodDB!$A$2:$I$1018,3,0)</f>
        <v>0</v>
      </c>
      <c r="E422" s="103">
        <f>$C422*VLOOKUP($B422,FoodDB!$A$2:$I$1018,4,0)</f>
        <v>0</v>
      </c>
      <c r="F422" s="103">
        <f>$C422*VLOOKUP($B422,FoodDB!$A$2:$I$1018,5,0)</f>
        <v>0</v>
      </c>
      <c r="G422" s="103">
        <f>$C422*VLOOKUP($B422,FoodDB!$A$2:$I$1018,6,0)</f>
        <v>0</v>
      </c>
      <c r="H422" s="103">
        <f>$C422*VLOOKUP($B422,FoodDB!$A$2:$I$1018,7,0)</f>
        <v>0</v>
      </c>
      <c r="I422" s="103">
        <f>$C422*VLOOKUP($B422,FoodDB!$A$2:$I$1018,8,0)</f>
        <v>0</v>
      </c>
      <c r="J422" s="103">
        <f>$C422*VLOOKUP($B422,FoodDB!$A$2:$I$1018,9,0)</f>
        <v>0</v>
      </c>
      <c r="K422" s="103"/>
      <c r="L422" s="103"/>
      <c r="M422" s="103"/>
      <c r="N422" s="103"/>
      <c r="O422" s="103"/>
      <c r="P422" s="103"/>
      <c r="Q422" s="103"/>
      <c r="R422" s="103"/>
      <c r="S422" s="103"/>
    </row>
    <row r="423" spans="1:19" x14ac:dyDescent="0.25">
      <c r="B423" s="99" t="s">
        <v>108</v>
      </c>
      <c r="C423" s="100">
        <v>1</v>
      </c>
      <c r="D423" s="103">
        <f>$C423*VLOOKUP($B423,FoodDB!$A$2:$I$1018,3,0)</f>
        <v>0</v>
      </c>
      <c r="E423" s="103">
        <f>$C423*VLOOKUP($B423,FoodDB!$A$2:$I$1018,4,0)</f>
        <v>0</v>
      </c>
      <c r="F423" s="103">
        <f>$C423*VLOOKUP($B423,FoodDB!$A$2:$I$1018,5,0)</f>
        <v>0</v>
      </c>
      <c r="G423" s="103">
        <f>$C423*VLOOKUP($B423,FoodDB!$A$2:$I$1018,6,0)</f>
        <v>0</v>
      </c>
      <c r="H423" s="103">
        <f>$C423*VLOOKUP($B423,FoodDB!$A$2:$I$1018,7,0)</f>
        <v>0</v>
      </c>
      <c r="I423" s="103">
        <f>$C423*VLOOKUP($B423,FoodDB!$A$2:$I$1018,8,0)</f>
        <v>0</v>
      </c>
      <c r="J423" s="103">
        <f>$C423*VLOOKUP($B423,FoodDB!$A$2:$I$1018,9,0)</f>
        <v>0</v>
      </c>
      <c r="K423" s="103"/>
      <c r="L423" s="103"/>
      <c r="M423" s="103"/>
      <c r="N423" s="103"/>
      <c r="O423" s="103"/>
      <c r="P423" s="103"/>
      <c r="Q423" s="103"/>
      <c r="R423" s="103"/>
      <c r="S423" s="103"/>
    </row>
    <row r="424" spans="1:19" x14ac:dyDescent="0.25">
      <c r="B424" s="99" t="s">
        <v>108</v>
      </c>
      <c r="C424" s="100">
        <v>1</v>
      </c>
      <c r="D424" s="103">
        <f>$C424*VLOOKUP($B424,FoodDB!$A$2:$I$1018,3,0)</f>
        <v>0</v>
      </c>
      <c r="E424" s="103">
        <f>$C424*VLOOKUP($B424,FoodDB!$A$2:$I$1018,4,0)</f>
        <v>0</v>
      </c>
      <c r="F424" s="103">
        <f>$C424*VLOOKUP($B424,FoodDB!$A$2:$I$1018,5,0)</f>
        <v>0</v>
      </c>
      <c r="G424" s="103">
        <f>$C424*VLOOKUP($B424,FoodDB!$A$2:$I$1018,6,0)</f>
        <v>0</v>
      </c>
      <c r="H424" s="103">
        <f>$C424*VLOOKUP($B424,FoodDB!$A$2:$I$1018,7,0)</f>
        <v>0</v>
      </c>
      <c r="I424" s="103">
        <f>$C424*VLOOKUP($B424,FoodDB!$A$2:$I$1018,8,0)</f>
        <v>0</v>
      </c>
      <c r="J424" s="103">
        <f>$C424*VLOOKUP($B424,FoodDB!$A$2:$I$1018,9,0)</f>
        <v>0</v>
      </c>
      <c r="K424" s="103"/>
      <c r="L424" s="103"/>
      <c r="M424" s="103"/>
      <c r="N424" s="103"/>
      <c r="O424" s="103"/>
      <c r="P424" s="103"/>
      <c r="Q424" s="103"/>
      <c r="R424" s="103"/>
      <c r="S424" s="103"/>
    </row>
    <row r="425" spans="1:19" x14ac:dyDescent="0.25">
      <c r="A425" t="s">
        <v>98</v>
      </c>
      <c r="D425" s="103"/>
      <c r="E425" s="103"/>
      <c r="F425" s="103"/>
      <c r="G425" s="103">
        <f>SUM(G418:G424)</f>
        <v>0</v>
      </c>
      <c r="H425" s="103">
        <f>SUM(H418:H424)</f>
        <v>0</v>
      </c>
      <c r="I425" s="103">
        <f>SUM(I418:I424)</f>
        <v>0</v>
      </c>
      <c r="J425" s="103">
        <f>SUM(G425:I425)</f>
        <v>0</v>
      </c>
      <c r="K425" s="103"/>
      <c r="L425" s="103"/>
      <c r="M425" s="103"/>
      <c r="N425" s="103"/>
      <c r="O425" s="103"/>
      <c r="P425" s="103"/>
      <c r="Q425" s="103"/>
      <c r="R425" s="103"/>
      <c r="S425" s="103"/>
    </row>
    <row r="426" spans="1:19" x14ac:dyDescent="0.25">
      <c r="A426" t="s">
        <v>102</v>
      </c>
      <c r="B426" t="s">
        <v>103</v>
      </c>
      <c r="D426" s="103"/>
      <c r="E426" s="103"/>
      <c r="F426" s="103"/>
      <c r="G426" s="103">
        <f>VLOOKUP($A418,LossChart!$A$3:$AB$105,14,0)</f>
        <v>545.74180946944898</v>
      </c>
      <c r="H426" s="103">
        <f>VLOOKUP($A418,LossChart!$A$3:$AB$105,15,0)</f>
        <v>80</v>
      </c>
      <c r="I426" s="103">
        <f>VLOOKUP($A418,LossChart!$A$3:$AB$105,16,0)</f>
        <v>477.30407413615825</v>
      </c>
      <c r="J426" s="103">
        <f>VLOOKUP($A418,LossChart!$A$3:$AB$105,17,0)</f>
        <v>1103.0458836056073</v>
      </c>
      <c r="K426" s="103"/>
      <c r="L426" s="103"/>
      <c r="M426" s="103"/>
      <c r="N426" s="103"/>
      <c r="O426" s="103"/>
      <c r="P426" s="103"/>
      <c r="Q426" s="103"/>
      <c r="R426" s="103"/>
      <c r="S426" s="103"/>
    </row>
    <row r="427" spans="1:19" x14ac:dyDescent="0.25">
      <c r="A427" t="s">
        <v>104</v>
      </c>
      <c r="D427" s="103"/>
      <c r="E427" s="103"/>
      <c r="F427" s="103"/>
      <c r="G427" s="103">
        <f>G426-G425</f>
        <v>545.74180946944898</v>
      </c>
      <c r="H427" s="103">
        <f>H426-H425</f>
        <v>80</v>
      </c>
      <c r="I427" s="103">
        <f>I426-I425</f>
        <v>477.30407413615825</v>
      </c>
      <c r="J427" s="103">
        <f>J426-J425</f>
        <v>1103.0458836056073</v>
      </c>
      <c r="K427" s="103"/>
      <c r="L427" s="103"/>
      <c r="M427" s="103"/>
      <c r="N427" s="103"/>
      <c r="O427" s="103"/>
      <c r="P427" s="103"/>
      <c r="Q427" s="103"/>
      <c r="R427" s="103"/>
      <c r="S427" s="103"/>
    </row>
    <row r="429" spans="1:19" ht="60" x14ac:dyDescent="0.25">
      <c r="A429" s="26" t="s">
        <v>63</v>
      </c>
      <c r="B429" s="26" t="s">
        <v>93</v>
      </c>
      <c r="C429" s="26" t="s">
        <v>94</v>
      </c>
      <c r="D429" s="97" t="str">
        <f>FoodDB!$C$1</f>
        <v>Fat
(g)</v>
      </c>
      <c r="E429" s="97" t="str">
        <f>FoodDB!$D$1</f>
        <v xml:space="preserve"> Carbs
(g)</v>
      </c>
      <c r="F429" s="97" t="str">
        <f>FoodDB!$E$1</f>
        <v>Protein
(g)</v>
      </c>
      <c r="G429" s="97" t="str">
        <f>FoodDB!$F$1</f>
        <v>Fat
(Cal)</v>
      </c>
      <c r="H429" s="97" t="str">
        <f>FoodDB!$G$1</f>
        <v>Carb
(Cal)</v>
      </c>
      <c r="I429" s="97" t="str">
        <f>FoodDB!$H$1</f>
        <v>Protein
(Cal)</v>
      </c>
      <c r="J429" s="97" t="str">
        <f>FoodDB!$I$1</f>
        <v>Total
Calories</v>
      </c>
      <c r="K429" s="97"/>
      <c r="L429" s="97" t="s">
        <v>110</v>
      </c>
      <c r="M429" s="97" t="s">
        <v>111</v>
      </c>
      <c r="N429" s="97" t="s">
        <v>112</v>
      </c>
      <c r="O429" s="97" t="s">
        <v>113</v>
      </c>
      <c r="P429" s="97" t="s">
        <v>118</v>
      </c>
      <c r="Q429" s="97" t="s">
        <v>119</v>
      </c>
      <c r="R429" s="97" t="s">
        <v>120</v>
      </c>
      <c r="S429" s="97" t="s">
        <v>121</v>
      </c>
    </row>
    <row r="430" spans="1:19" x14ac:dyDescent="0.25">
      <c r="A430" s="98">
        <f>A418+1</f>
        <v>43029</v>
      </c>
      <c r="B430" s="99" t="s">
        <v>108</v>
      </c>
      <c r="C430" s="100">
        <v>1</v>
      </c>
      <c r="D430" s="103">
        <f>$C430*VLOOKUP($B430,FoodDB!$A$2:$I$1018,3,0)</f>
        <v>0</v>
      </c>
      <c r="E430" s="103">
        <f>$C430*VLOOKUP($B430,FoodDB!$A$2:$I$1018,4,0)</f>
        <v>0</v>
      </c>
      <c r="F430" s="103">
        <f>$C430*VLOOKUP($B430,FoodDB!$A$2:$I$1018,5,0)</f>
        <v>0</v>
      </c>
      <c r="G430" s="103">
        <f>$C430*VLOOKUP($B430,FoodDB!$A$2:$I$1018,6,0)</f>
        <v>0</v>
      </c>
      <c r="H430" s="103">
        <f>$C430*VLOOKUP($B430,FoodDB!$A$2:$I$1018,7,0)</f>
        <v>0</v>
      </c>
      <c r="I430" s="103">
        <f>$C430*VLOOKUP($B430,FoodDB!$A$2:$I$1018,8,0)</f>
        <v>0</v>
      </c>
      <c r="J430" s="103">
        <f>$C430*VLOOKUP($B430,FoodDB!$A$2:$I$1018,9,0)</f>
        <v>0</v>
      </c>
      <c r="K430" s="103"/>
      <c r="L430" s="103">
        <f>SUM(G430:G436)</f>
        <v>0</v>
      </c>
      <c r="M430" s="103">
        <f>SUM(H430:H436)</f>
        <v>0</v>
      </c>
      <c r="N430" s="103">
        <f>SUM(I430:I436)</f>
        <v>0</v>
      </c>
      <c r="O430" s="103">
        <f>SUM(L430:N430)</f>
        <v>0</v>
      </c>
      <c r="P430" s="103">
        <f>VLOOKUP($A430,LossChart!$A$3:$AB$105,14,0)-L430</f>
        <v>552.41054379479124</v>
      </c>
      <c r="Q430" s="103">
        <f>VLOOKUP($A430,LossChart!$A$3:$AB$105,15,0)-M430</f>
        <v>80</v>
      </c>
      <c r="R430" s="103">
        <f>VLOOKUP($A430,LossChart!$A$3:$AB$105,16,0)-N430</f>
        <v>477.30407413615825</v>
      </c>
      <c r="S430" s="103">
        <f>VLOOKUP($A430,LossChart!$A$3:$AB$105,17,0)-O430</f>
        <v>1109.7146179309495</v>
      </c>
    </row>
    <row r="431" spans="1:19" x14ac:dyDescent="0.25">
      <c r="B431" s="99" t="s">
        <v>108</v>
      </c>
      <c r="C431" s="100">
        <v>1</v>
      </c>
      <c r="D431" s="103">
        <f>$C431*VLOOKUP($B431,FoodDB!$A$2:$I$1018,3,0)</f>
        <v>0</v>
      </c>
      <c r="E431" s="103">
        <f>$C431*VLOOKUP($B431,FoodDB!$A$2:$I$1018,4,0)</f>
        <v>0</v>
      </c>
      <c r="F431" s="103">
        <f>$C431*VLOOKUP($B431,FoodDB!$A$2:$I$1018,5,0)</f>
        <v>0</v>
      </c>
      <c r="G431" s="103">
        <f>$C431*VLOOKUP($B431,FoodDB!$A$2:$I$1018,6,0)</f>
        <v>0</v>
      </c>
      <c r="H431" s="103">
        <f>$C431*VLOOKUP($B431,FoodDB!$A$2:$I$1018,7,0)</f>
        <v>0</v>
      </c>
      <c r="I431" s="103">
        <f>$C431*VLOOKUP($B431,FoodDB!$A$2:$I$1018,8,0)</f>
        <v>0</v>
      </c>
      <c r="J431" s="103">
        <f>$C431*VLOOKUP($B431,FoodDB!$A$2:$I$1018,9,0)</f>
        <v>0</v>
      </c>
      <c r="K431" s="103"/>
      <c r="L431" s="103"/>
      <c r="M431" s="103"/>
      <c r="N431" s="103"/>
      <c r="O431" s="103"/>
      <c r="P431" s="103"/>
      <c r="Q431" s="103"/>
      <c r="R431" s="103"/>
      <c r="S431" s="103"/>
    </row>
    <row r="432" spans="1:19" x14ac:dyDescent="0.25">
      <c r="B432" s="99" t="s">
        <v>108</v>
      </c>
      <c r="C432" s="100">
        <v>1</v>
      </c>
      <c r="D432" s="103">
        <f>$C432*VLOOKUP($B432,FoodDB!$A$2:$I$1018,3,0)</f>
        <v>0</v>
      </c>
      <c r="E432" s="103">
        <f>$C432*VLOOKUP($B432,FoodDB!$A$2:$I$1018,4,0)</f>
        <v>0</v>
      </c>
      <c r="F432" s="103">
        <f>$C432*VLOOKUP($B432,FoodDB!$A$2:$I$1018,5,0)</f>
        <v>0</v>
      </c>
      <c r="G432" s="103">
        <f>$C432*VLOOKUP($B432,FoodDB!$A$2:$I$1018,6,0)</f>
        <v>0</v>
      </c>
      <c r="H432" s="103">
        <f>$C432*VLOOKUP($B432,FoodDB!$A$2:$I$1018,7,0)</f>
        <v>0</v>
      </c>
      <c r="I432" s="103">
        <f>$C432*VLOOKUP($B432,FoodDB!$A$2:$I$1018,8,0)</f>
        <v>0</v>
      </c>
      <c r="J432" s="103">
        <f>$C432*VLOOKUP($B432,FoodDB!$A$2:$I$1018,9,0)</f>
        <v>0</v>
      </c>
      <c r="K432" s="103"/>
      <c r="L432" s="103"/>
      <c r="M432" s="103"/>
      <c r="N432" s="103"/>
      <c r="O432" s="103"/>
      <c r="P432" s="103"/>
      <c r="Q432" s="103"/>
      <c r="R432" s="103"/>
      <c r="S432" s="103"/>
    </row>
    <row r="433" spans="1:19" x14ac:dyDescent="0.25">
      <c r="B433" s="99" t="s">
        <v>108</v>
      </c>
      <c r="C433" s="100">
        <v>1</v>
      </c>
      <c r="D433" s="103">
        <f>$C433*VLOOKUP($B433,FoodDB!$A$2:$I$1018,3,0)</f>
        <v>0</v>
      </c>
      <c r="E433" s="103">
        <f>$C433*VLOOKUP($B433,FoodDB!$A$2:$I$1018,4,0)</f>
        <v>0</v>
      </c>
      <c r="F433" s="103">
        <f>$C433*VLOOKUP($B433,FoodDB!$A$2:$I$1018,5,0)</f>
        <v>0</v>
      </c>
      <c r="G433" s="103">
        <f>$C433*VLOOKUP($B433,FoodDB!$A$2:$I$1018,6,0)</f>
        <v>0</v>
      </c>
      <c r="H433" s="103">
        <f>$C433*VLOOKUP($B433,FoodDB!$A$2:$I$1018,7,0)</f>
        <v>0</v>
      </c>
      <c r="I433" s="103">
        <f>$C433*VLOOKUP($B433,FoodDB!$A$2:$I$1018,8,0)</f>
        <v>0</v>
      </c>
      <c r="J433" s="103">
        <f>$C433*VLOOKUP($B433,FoodDB!$A$2:$I$1018,9,0)</f>
        <v>0</v>
      </c>
      <c r="K433" s="103"/>
      <c r="L433" s="103"/>
      <c r="M433" s="103"/>
      <c r="N433" s="103"/>
      <c r="O433" s="103"/>
      <c r="P433" s="103"/>
      <c r="Q433" s="103"/>
      <c r="R433" s="103"/>
      <c r="S433" s="103"/>
    </row>
    <row r="434" spans="1:19" x14ac:dyDescent="0.25">
      <c r="B434" s="99" t="s">
        <v>108</v>
      </c>
      <c r="C434" s="100">
        <v>1</v>
      </c>
      <c r="D434" s="103">
        <f>$C434*VLOOKUP($B434,FoodDB!$A$2:$I$1018,3,0)</f>
        <v>0</v>
      </c>
      <c r="E434" s="103">
        <f>$C434*VLOOKUP($B434,FoodDB!$A$2:$I$1018,4,0)</f>
        <v>0</v>
      </c>
      <c r="F434" s="103">
        <f>$C434*VLOOKUP($B434,FoodDB!$A$2:$I$1018,5,0)</f>
        <v>0</v>
      </c>
      <c r="G434" s="103">
        <f>$C434*VLOOKUP($B434,FoodDB!$A$2:$I$1018,6,0)</f>
        <v>0</v>
      </c>
      <c r="H434" s="103">
        <f>$C434*VLOOKUP($B434,FoodDB!$A$2:$I$1018,7,0)</f>
        <v>0</v>
      </c>
      <c r="I434" s="103">
        <f>$C434*VLOOKUP($B434,FoodDB!$A$2:$I$1018,8,0)</f>
        <v>0</v>
      </c>
      <c r="J434" s="103">
        <f>$C434*VLOOKUP($B434,FoodDB!$A$2:$I$1018,9,0)</f>
        <v>0</v>
      </c>
      <c r="K434" s="103"/>
      <c r="L434" s="103"/>
      <c r="M434" s="103"/>
      <c r="N434" s="103"/>
      <c r="O434" s="103"/>
      <c r="P434" s="103"/>
      <c r="Q434" s="103"/>
      <c r="R434" s="103"/>
      <c r="S434" s="103"/>
    </row>
    <row r="435" spans="1:19" x14ac:dyDescent="0.25">
      <c r="B435" s="99" t="s">
        <v>108</v>
      </c>
      <c r="C435" s="100">
        <v>1</v>
      </c>
      <c r="D435" s="103">
        <f>$C435*VLOOKUP($B435,FoodDB!$A$2:$I$1018,3,0)</f>
        <v>0</v>
      </c>
      <c r="E435" s="103">
        <f>$C435*VLOOKUP($B435,FoodDB!$A$2:$I$1018,4,0)</f>
        <v>0</v>
      </c>
      <c r="F435" s="103">
        <f>$C435*VLOOKUP($B435,FoodDB!$A$2:$I$1018,5,0)</f>
        <v>0</v>
      </c>
      <c r="G435" s="103">
        <f>$C435*VLOOKUP($B435,FoodDB!$A$2:$I$1018,6,0)</f>
        <v>0</v>
      </c>
      <c r="H435" s="103">
        <f>$C435*VLOOKUP($B435,FoodDB!$A$2:$I$1018,7,0)</f>
        <v>0</v>
      </c>
      <c r="I435" s="103">
        <f>$C435*VLOOKUP($B435,FoodDB!$A$2:$I$1018,8,0)</f>
        <v>0</v>
      </c>
      <c r="J435" s="103">
        <f>$C435*VLOOKUP($B435,FoodDB!$A$2:$I$1018,9,0)</f>
        <v>0</v>
      </c>
      <c r="K435" s="103"/>
      <c r="L435" s="103"/>
      <c r="M435" s="103"/>
      <c r="N435" s="103"/>
      <c r="O435" s="103"/>
      <c r="P435" s="103"/>
      <c r="Q435" s="103"/>
      <c r="R435" s="103"/>
      <c r="S435" s="103"/>
    </row>
    <row r="436" spans="1:19" x14ac:dyDescent="0.25">
      <c r="B436" s="99" t="s">
        <v>108</v>
      </c>
      <c r="C436" s="100">
        <v>1</v>
      </c>
      <c r="D436" s="103">
        <f>$C436*VLOOKUP($B436,FoodDB!$A$2:$I$1018,3,0)</f>
        <v>0</v>
      </c>
      <c r="E436" s="103">
        <f>$C436*VLOOKUP($B436,FoodDB!$A$2:$I$1018,4,0)</f>
        <v>0</v>
      </c>
      <c r="F436" s="103">
        <f>$C436*VLOOKUP($B436,FoodDB!$A$2:$I$1018,5,0)</f>
        <v>0</v>
      </c>
      <c r="G436" s="103">
        <f>$C436*VLOOKUP($B436,FoodDB!$A$2:$I$1018,6,0)</f>
        <v>0</v>
      </c>
      <c r="H436" s="103">
        <f>$C436*VLOOKUP($B436,FoodDB!$A$2:$I$1018,7,0)</f>
        <v>0</v>
      </c>
      <c r="I436" s="103">
        <f>$C436*VLOOKUP($B436,FoodDB!$A$2:$I$1018,8,0)</f>
        <v>0</v>
      </c>
      <c r="J436" s="103">
        <f>$C436*VLOOKUP($B436,FoodDB!$A$2:$I$1018,9,0)</f>
        <v>0</v>
      </c>
      <c r="K436" s="103"/>
      <c r="L436" s="103"/>
      <c r="M436" s="103"/>
      <c r="N436" s="103"/>
      <c r="O436" s="103"/>
      <c r="P436" s="103"/>
      <c r="Q436" s="103"/>
      <c r="R436" s="103"/>
      <c r="S436" s="103"/>
    </row>
    <row r="437" spans="1:19" x14ac:dyDescent="0.25">
      <c r="A437" t="s">
        <v>98</v>
      </c>
      <c r="D437" s="103"/>
      <c r="E437" s="103"/>
      <c r="F437" s="103"/>
      <c r="G437" s="103">
        <f>SUM(G430:G436)</f>
        <v>0</v>
      </c>
      <c r="H437" s="103">
        <f>SUM(H430:H436)</f>
        <v>0</v>
      </c>
      <c r="I437" s="103">
        <f>SUM(I430:I436)</f>
        <v>0</v>
      </c>
      <c r="J437" s="103">
        <f>SUM(G437:I437)</f>
        <v>0</v>
      </c>
      <c r="K437" s="103"/>
      <c r="L437" s="103"/>
      <c r="M437" s="103"/>
      <c r="N437" s="103"/>
      <c r="O437" s="103"/>
      <c r="P437" s="103"/>
      <c r="Q437" s="103"/>
      <c r="R437" s="103"/>
      <c r="S437" s="103"/>
    </row>
    <row r="438" spans="1:19" x14ac:dyDescent="0.25">
      <c r="A438" t="s">
        <v>102</v>
      </c>
      <c r="B438" t="s">
        <v>103</v>
      </c>
      <c r="D438" s="103"/>
      <c r="E438" s="103"/>
      <c r="F438" s="103"/>
      <c r="G438" s="103">
        <f>VLOOKUP($A430,LossChart!$A$3:$AB$105,14,0)</f>
        <v>552.41054379479124</v>
      </c>
      <c r="H438" s="103">
        <f>VLOOKUP($A430,LossChart!$A$3:$AB$105,15,0)</f>
        <v>80</v>
      </c>
      <c r="I438" s="103">
        <f>VLOOKUP($A430,LossChart!$A$3:$AB$105,16,0)</f>
        <v>477.30407413615825</v>
      </c>
      <c r="J438" s="103">
        <f>VLOOKUP($A430,LossChart!$A$3:$AB$105,17,0)</f>
        <v>1109.7146179309495</v>
      </c>
      <c r="K438" s="103"/>
      <c r="L438" s="103"/>
      <c r="M438" s="103"/>
      <c r="N438" s="103"/>
      <c r="O438" s="103"/>
      <c r="P438" s="103"/>
      <c r="Q438" s="103"/>
      <c r="R438" s="103"/>
      <c r="S438" s="103"/>
    </row>
    <row r="439" spans="1:19" x14ac:dyDescent="0.25">
      <c r="A439" t="s">
        <v>104</v>
      </c>
      <c r="D439" s="103"/>
      <c r="E439" s="103"/>
      <c r="F439" s="103"/>
      <c r="G439" s="103">
        <f>G438-G437</f>
        <v>552.41054379479124</v>
      </c>
      <c r="H439" s="103">
        <f>H438-H437</f>
        <v>80</v>
      </c>
      <c r="I439" s="103">
        <f>I438-I437</f>
        <v>477.30407413615825</v>
      </c>
      <c r="J439" s="103">
        <f>J438-J437</f>
        <v>1109.7146179309495</v>
      </c>
      <c r="K439" s="103"/>
      <c r="L439" s="103"/>
      <c r="M439" s="103"/>
      <c r="N439" s="103"/>
      <c r="O439" s="103"/>
      <c r="P439" s="103"/>
      <c r="Q439" s="103"/>
      <c r="R439" s="103"/>
      <c r="S439" s="103"/>
    </row>
    <row r="441" spans="1:19" ht="60" x14ac:dyDescent="0.25">
      <c r="A441" s="26" t="s">
        <v>63</v>
      </c>
      <c r="B441" s="26" t="s">
        <v>93</v>
      </c>
      <c r="C441" s="26" t="s">
        <v>94</v>
      </c>
      <c r="D441" s="97" t="str">
        <f>FoodDB!$C$1</f>
        <v>Fat
(g)</v>
      </c>
      <c r="E441" s="97" t="str">
        <f>FoodDB!$D$1</f>
        <v xml:space="preserve"> Carbs
(g)</v>
      </c>
      <c r="F441" s="97" t="str">
        <f>FoodDB!$E$1</f>
        <v>Protein
(g)</v>
      </c>
      <c r="G441" s="97" t="str">
        <f>FoodDB!$F$1</f>
        <v>Fat
(Cal)</v>
      </c>
      <c r="H441" s="97" t="str">
        <f>FoodDB!$G$1</f>
        <v>Carb
(Cal)</v>
      </c>
      <c r="I441" s="97" t="str">
        <f>FoodDB!$H$1</f>
        <v>Protein
(Cal)</v>
      </c>
      <c r="J441" s="97" t="str">
        <f>FoodDB!$I$1</f>
        <v>Total
Calories</v>
      </c>
      <c r="K441" s="97"/>
      <c r="L441" s="97" t="s">
        <v>110</v>
      </c>
      <c r="M441" s="97" t="s">
        <v>111</v>
      </c>
      <c r="N441" s="97" t="s">
        <v>112</v>
      </c>
      <c r="O441" s="97" t="s">
        <v>113</v>
      </c>
      <c r="P441" s="97" t="s">
        <v>118</v>
      </c>
      <c r="Q441" s="97" t="s">
        <v>119</v>
      </c>
      <c r="R441" s="97" t="s">
        <v>120</v>
      </c>
      <c r="S441" s="97" t="s">
        <v>121</v>
      </c>
    </row>
    <row r="442" spans="1:19" x14ac:dyDescent="0.25">
      <c r="A442" s="98">
        <f>A430+1</f>
        <v>43030</v>
      </c>
      <c r="B442" s="99" t="s">
        <v>108</v>
      </c>
      <c r="C442" s="100">
        <v>1</v>
      </c>
      <c r="D442" s="103">
        <f>$C442*VLOOKUP($B442,FoodDB!$A$2:$I$1018,3,0)</f>
        <v>0</v>
      </c>
      <c r="E442" s="103">
        <f>$C442*VLOOKUP($B442,FoodDB!$A$2:$I$1018,4,0)</f>
        <v>0</v>
      </c>
      <c r="F442" s="103">
        <f>$C442*VLOOKUP($B442,FoodDB!$A$2:$I$1018,5,0)</f>
        <v>0</v>
      </c>
      <c r="G442" s="103">
        <f>$C442*VLOOKUP($B442,FoodDB!$A$2:$I$1018,6,0)</f>
        <v>0</v>
      </c>
      <c r="H442" s="103">
        <f>$C442*VLOOKUP($B442,FoodDB!$A$2:$I$1018,7,0)</f>
        <v>0</v>
      </c>
      <c r="I442" s="103">
        <f>$C442*VLOOKUP($B442,FoodDB!$A$2:$I$1018,8,0)</f>
        <v>0</v>
      </c>
      <c r="J442" s="103">
        <f>$C442*VLOOKUP($B442,FoodDB!$A$2:$I$1018,9,0)</f>
        <v>0</v>
      </c>
      <c r="K442" s="103"/>
      <c r="L442" s="103">
        <f>SUM(G442:G448)</f>
        <v>0</v>
      </c>
      <c r="M442" s="103">
        <f>SUM(H442:H448)</f>
        <v>0</v>
      </c>
      <c r="N442" s="103">
        <f>SUM(I442:I448)</f>
        <v>0</v>
      </c>
      <c r="O442" s="103">
        <f>SUM(L442:N442)</f>
        <v>0</v>
      </c>
      <c r="P442" s="103">
        <f>VLOOKUP($A442,LossChart!$A$3:$AB$105,14,0)-L442</f>
        <v>559.02021218753748</v>
      </c>
      <c r="Q442" s="103">
        <f>VLOOKUP($A442,LossChart!$A$3:$AB$105,15,0)-M442</f>
        <v>80</v>
      </c>
      <c r="R442" s="103">
        <f>VLOOKUP($A442,LossChart!$A$3:$AB$105,16,0)-N442</f>
        <v>477.30407413615825</v>
      </c>
      <c r="S442" s="103">
        <f>VLOOKUP($A442,LossChart!$A$3:$AB$105,17,0)-O442</f>
        <v>1116.3242863236958</v>
      </c>
    </row>
    <row r="443" spans="1:19" x14ac:dyDescent="0.25">
      <c r="B443" s="99" t="s">
        <v>108</v>
      </c>
      <c r="C443" s="100">
        <v>1</v>
      </c>
      <c r="D443" s="103">
        <f>$C443*VLOOKUP($B443,FoodDB!$A$2:$I$1018,3,0)</f>
        <v>0</v>
      </c>
      <c r="E443" s="103">
        <f>$C443*VLOOKUP($B443,FoodDB!$A$2:$I$1018,4,0)</f>
        <v>0</v>
      </c>
      <c r="F443" s="103">
        <f>$C443*VLOOKUP($B443,FoodDB!$A$2:$I$1018,5,0)</f>
        <v>0</v>
      </c>
      <c r="G443" s="103">
        <f>$C443*VLOOKUP($B443,FoodDB!$A$2:$I$1018,6,0)</f>
        <v>0</v>
      </c>
      <c r="H443" s="103">
        <f>$C443*VLOOKUP($B443,FoodDB!$A$2:$I$1018,7,0)</f>
        <v>0</v>
      </c>
      <c r="I443" s="103">
        <f>$C443*VLOOKUP($B443,FoodDB!$A$2:$I$1018,8,0)</f>
        <v>0</v>
      </c>
      <c r="J443" s="103">
        <f>$C443*VLOOKUP($B443,FoodDB!$A$2:$I$1018,9,0)</f>
        <v>0</v>
      </c>
      <c r="K443" s="103"/>
      <c r="L443" s="103"/>
      <c r="M443" s="103"/>
      <c r="N443" s="103"/>
      <c r="O443" s="103"/>
      <c r="P443" s="103"/>
      <c r="Q443" s="103"/>
      <c r="R443" s="103"/>
      <c r="S443" s="103"/>
    </row>
    <row r="444" spans="1:19" x14ac:dyDescent="0.25">
      <c r="B444" s="99" t="s">
        <v>108</v>
      </c>
      <c r="C444" s="100">
        <v>1</v>
      </c>
      <c r="D444" s="103">
        <f>$C444*VLOOKUP($B444,FoodDB!$A$2:$I$1018,3,0)</f>
        <v>0</v>
      </c>
      <c r="E444" s="103">
        <f>$C444*VLOOKUP($B444,FoodDB!$A$2:$I$1018,4,0)</f>
        <v>0</v>
      </c>
      <c r="F444" s="103">
        <f>$C444*VLOOKUP($B444,FoodDB!$A$2:$I$1018,5,0)</f>
        <v>0</v>
      </c>
      <c r="G444" s="103">
        <f>$C444*VLOOKUP($B444,FoodDB!$A$2:$I$1018,6,0)</f>
        <v>0</v>
      </c>
      <c r="H444" s="103">
        <f>$C444*VLOOKUP($B444,FoodDB!$A$2:$I$1018,7,0)</f>
        <v>0</v>
      </c>
      <c r="I444" s="103">
        <f>$C444*VLOOKUP($B444,FoodDB!$A$2:$I$1018,8,0)</f>
        <v>0</v>
      </c>
      <c r="J444" s="103">
        <f>$C444*VLOOKUP($B444,FoodDB!$A$2:$I$1018,9,0)</f>
        <v>0</v>
      </c>
      <c r="K444" s="103"/>
      <c r="L444" s="103"/>
      <c r="M444" s="103"/>
      <c r="N444" s="103"/>
      <c r="O444" s="103"/>
      <c r="P444" s="103"/>
      <c r="Q444" s="103"/>
      <c r="R444" s="103"/>
      <c r="S444" s="103"/>
    </row>
    <row r="445" spans="1:19" x14ac:dyDescent="0.25">
      <c r="B445" s="99" t="s">
        <v>108</v>
      </c>
      <c r="C445" s="100">
        <v>1</v>
      </c>
      <c r="D445" s="103">
        <f>$C445*VLOOKUP($B445,FoodDB!$A$2:$I$1018,3,0)</f>
        <v>0</v>
      </c>
      <c r="E445" s="103">
        <f>$C445*VLOOKUP($B445,FoodDB!$A$2:$I$1018,4,0)</f>
        <v>0</v>
      </c>
      <c r="F445" s="103">
        <f>$C445*VLOOKUP($B445,FoodDB!$A$2:$I$1018,5,0)</f>
        <v>0</v>
      </c>
      <c r="G445" s="103">
        <f>$C445*VLOOKUP($B445,FoodDB!$A$2:$I$1018,6,0)</f>
        <v>0</v>
      </c>
      <c r="H445" s="103">
        <f>$C445*VLOOKUP($B445,FoodDB!$A$2:$I$1018,7,0)</f>
        <v>0</v>
      </c>
      <c r="I445" s="103">
        <f>$C445*VLOOKUP($B445,FoodDB!$A$2:$I$1018,8,0)</f>
        <v>0</v>
      </c>
      <c r="J445" s="103">
        <f>$C445*VLOOKUP($B445,FoodDB!$A$2:$I$1018,9,0)</f>
        <v>0</v>
      </c>
      <c r="K445" s="103"/>
      <c r="L445" s="103"/>
      <c r="M445" s="103"/>
      <c r="N445" s="103"/>
      <c r="O445" s="103"/>
      <c r="P445" s="103"/>
      <c r="Q445" s="103"/>
      <c r="R445" s="103"/>
      <c r="S445" s="103"/>
    </row>
    <row r="446" spans="1:19" x14ac:dyDescent="0.25">
      <c r="B446" s="99" t="s">
        <v>108</v>
      </c>
      <c r="C446" s="100">
        <v>1</v>
      </c>
      <c r="D446" s="103">
        <f>$C446*VLOOKUP($B446,FoodDB!$A$2:$I$1018,3,0)</f>
        <v>0</v>
      </c>
      <c r="E446" s="103">
        <f>$C446*VLOOKUP($B446,FoodDB!$A$2:$I$1018,4,0)</f>
        <v>0</v>
      </c>
      <c r="F446" s="103">
        <f>$C446*VLOOKUP($B446,FoodDB!$A$2:$I$1018,5,0)</f>
        <v>0</v>
      </c>
      <c r="G446" s="103">
        <f>$C446*VLOOKUP($B446,FoodDB!$A$2:$I$1018,6,0)</f>
        <v>0</v>
      </c>
      <c r="H446" s="103">
        <f>$C446*VLOOKUP($B446,FoodDB!$A$2:$I$1018,7,0)</f>
        <v>0</v>
      </c>
      <c r="I446" s="103">
        <f>$C446*VLOOKUP($B446,FoodDB!$A$2:$I$1018,8,0)</f>
        <v>0</v>
      </c>
      <c r="J446" s="103">
        <f>$C446*VLOOKUP($B446,FoodDB!$A$2:$I$1018,9,0)</f>
        <v>0</v>
      </c>
      <c r="K446" s="103"/>
      <c r="L446" s="103"/>
      <c r="M446" s="103"/>
      <c r="N446" s="103"/>
      <c r="O446" s="103"/>
      <c r="P446" s="103"/>
      <c r="Q446" s="103"/>
      <c r="R446" s="103"/>
      <c r="S446" s="103"/>
    </row>
    <row r="447" spans="1:19" x14ac:dyDescent="0.25">
      <c r="B447" s="99" t="s">
        <v>108</v>
      </c>
      <c r="C447" s="100">
        <v>1</v>
      </c>
      <c r="D447" s="103">
        <f>$C447*VLOOKUP($B447,FoodDB!$A$2:$I$1018,3,0)</f>
        <v>0</v>
      </c>
      <c r="E447" s="103">
        <f>$C447*VLOOKUP($B447,FoodDB!$A$2:$I$1018,4,0)</f>
        <v>0</v>
      </c>
      <c r="F447" s="103">
        <f>$C447*VLOOKUP($B447,FoodDB!$A$2:$I$1018,5,0)</f>
        <v>0</v>
      </c>
      <c r="G447" s="103">
        <f>$C447*VLOOKUP($B447,FoodDB!$A$2:$I$1018,6,0)</f>
        <v>0</v>
      </c>
      <c r="H447" s="103">
        <f>$C447*VLOOKUP($B447,FoodDB!$A$2:$I$1018,7,0)</f>
        <v>0</v>
      </c>
      <c r="I447" s="103">
        <f>$C447*VLOOKUP($B447,FoodDB!$A$2:$I$1018,8,0)</f>
        <v>0</v>
      </c>
      <c r="J447" s="103">
        <f>$C447*VLOOKUP($B447,FoodDB!$A$2:$I$1018,9,0)</f>
        <v>0</v>
      </c>
      <c r="K447" s="103"/>
      <c r="L447" s="103"/>
      <c r="M447" s="103"/>
      <c r="N447" s="103"/>
      <c r="O447" s="103"/>
      <c r="P447" s="103"/>
      <c r="Q447" s="103"/>
      <c r="R447" s="103"/>
      <c r="S447" s="103"/>
    </row>
    <row r="448" spans="1:19" x14ac:dyDescent="0.25">
      <c r="B448" s="99" t="s">
        <v>108</v>
      </c>
      <c r="C448" s="100">
        <v>1</v>
      </c>
      <c r="D448" s="103">
        <f>$C448*VLOOKUP($B448,FoodDB!$A$2:$I$1018,3,0)</f>
        <v>0</v>
      </c>
      <c r="E448" s="103">
        <f>$C448*VLOOKUP($B448,FoodDB!$A$2:$I$1018,4,0)</f>
        <v>0</v>
      </c>
      <c r="F448" s="103">
        <f>$C448*VLOOKUP($B448,FoodDB!$A$2:$I$1018,5,0)</f>
        <v>0</v>
      </c>
      <c r="G448" s="103">
        <f>$C448*VLOOKUP($B448,FoodDB!$A$2:$I$1018,6,0)</f>
        <v>0</v>
      </c>
      <c r="H448" s="103">
        <f>$C448*VLOOKUP($B448,FoodDB!$A$2:$I$1018,7,0)</f>
        <v>0</v>
      </c>
      <c r="I448" s="103">
        <f>$C448*VLOOKUP($B448,FoodDB!$A$2:$I$1018,8,0)</f>
        <v>0</v>
      </c>
      <c r="J448" s="103">
        <f>$C448*VLOOKUP($B448,FoodDB!$A$2:$I$1018,9,0)</f>
        <v>0</v>
      </c>
      <c r="K448" s="103"/>
      <c r="L448" s="103"/>
      <c r="M448" s="103"/>
      <c r="N448" s="103"/>
      <c r="O448" s="103"/>
      <c r="P448" s="103"/>
      <c r="Q448" s="103"/>
      <c r="R448" s="103"/>
      <c r="S448" s="103"/>
    </row>
    <row r="449" spans="1:19" x14ac:dyDescent="0.25">
      <c r="A449" t="s">
        <v>98</v>
      </c>
      <c r="D449" s="103"/>
      <c r="E449" s="103"/>
      <c r="F449" s="103"/>
      <c r="G449" s="103">
        <f>SUM(G442:G448)</f>
        <v>0</v>
      </c>
      <c r="H449" s="103">
        <f>SUM(H442:H448)</f>
        <v>0</v>
      </c>
      <c r="I449" s="103">
        <f>SUM(I442:I448)</f>
        <v>0</v>
      </c>
      <c r="J449" s="103">
        <f>SUM(G449:I449)</f>
        <v>0</v>
      </c>
      <c r="K449" s="103"/>
      <c r="L449" s="103"/>
      <c r="M449" s="103"/>
      <c r="N449" s="103"/>
      <c r="O449" s="103"/>
      <c r="P449" s="103"/>
      <c r="Q449" s="103"/>
      <c r="R449" s="103"/>
      <c r="S449" s="103"/>
    </row>
    <row r="450" spans="1:19" x14ac:dyDescent="0.25">
      <c r="A450" t="s">
        <v>102</v>
      </c>
      <c r="B450" t="s">
        <v>103</v>
      </c>
      <c r="D450" s="103"/>
      <c r="E450" s="103"/>
      <c r="F450" s="103"/>
      <c r="G450" s="103">
        <f>VLOOKUP($A442,LossChart!$A$3:$AB$105,14,0)</f>
        <v>559.02021218753748</v>
      </c>
      <c r="H450" s="103">
        <f>VLOOKUP($A442,LossChart!$A$3:$AB$105,15,0)</f>
        <v>80</v>
      </c>
      <c r="I450" s="103">
        <f>VLOOKUP($A442,LossChart!$A$3:$AB$105,16,0)</f>
        <v>477.30407413615825</v>
      </c>
      <c r="J450" s="103">
        <f>VLOOKUP($A442,LossChart!$A$3:$AB$105,17,0)</f>
        <v>1116.3242863236958</v>
      </c>
      <c r="K450" s="103"/>
      <c r="L450" s="103"/>
      <c r="M450" s="103"/>
      <c r="N450" s="103"/>
      <c r="O450" s="103"/>
      <c r="P450" s="103"/>
      <c r="Q450" s="103"/>
      <c r="R450" s="103"/>
      <c r="S450" s="103"/>
    </row>
    <row r="451" spans="1:19" x14ac:dyDescent="0.25">
      <c r="A451" t="s">
        <v>104</v>
      </c>
      <c r="D451" s="103"/>
      <c r="E451" s="103"/>
      <c r="F451" s="103"/>
      <c r="G451" s="103">
        <f>G450-G449</f>
        <v>559.02021218753748</v>
      </c>
      <c r="H451" s="103">
        <f>H450-H449</f>
        <v>80</v>
      </c>
      <c r="I451" s="103">
        <f>I450-I449</f>
        <v>477.30407413615825</v>
      </c>
      <c r="J451" s="103">
        <f>J450-J449</f>
        <v>1116.3242863236958</v>
      </c>
      <c r="K451" s="103"/>
      <c r="L451" s="103"/>
      <c r="M451" s="103"/>
      <c r="N451" s="103"/>
      <c r="O451" s="103"/>
      <c r="P451" s="103"/>
      <c r="Q451" s="103"/>
      <c r="R451" s="103"/>
      <c r="S451" s="103"/>
    </row>
    <row r="453" spans="1:19" ht="60" x14ac:dyDescent="0.25">
      <c r="A453" s="26" t="s">
        <v>63</v>
      </c>
      <c r="B453" s="26" t="s">
        <v>93</v>
      </c>
      <c r="C453" s="26" t="s">
        <v>94</v>
      </c>
      <c r="D453" s="97" t="str">
        <f>FoodDB!$C$1</f>
        <v>Fat
(g)</v>
      </c>
      <c r="E453" s="97" t="str">
        <f>FoodDB!$D$1</f>
        <v xml:space="preserve"> Carbs
(g)</v>
      </c>
      <c r="F453" s="97" t="str">
        <f>FoodDB!$E$1</f>
        <v>Protein
(g)</v>
      </c>
      <c r="G453" s="97" t="str">
        <f>FoodDB!$F$1</f>
        <v>Fat
(Cal)</v>
      </c>
      <c r="H453" s="97" t="str">
        <f>FoodDB!$G$1</f>
        <v>Carb
(Cal)</v>
      </c>
      <c r="I453" s="97" t="str">
        <f>FoodDB!$H$1</f>
        <v>Protein
(Cal)</v>
      </c>
      <c r="J453" s="97" t="str">
        <f>FoodDB!$I$1</f>
        <v>Total
Calories</v>
      </c>
      <c r="K453" s="97"/>
      <c r="L453" s="97" t="s">
        <v>110</v>
      </c>
      <c r="M453" s="97" t="s">
        <v>111</v>
      </c>
      <c r="N453" s="97" t="s">
        <v>112</v>
      </c>
      <c r="O453" s="97" t="s">
        <v>113</v>
      </c>
      <c r="P453" s="97" t="s">
        <v>118</v>
      </c>
      <c r="Q453" s="97" t="s">
        <v>119</v>
      </c>
      <c r="R453" s="97" t="s">
        <v>120</v>
      </c>
      <c r="S453" s="97" t="s">
        <v>121</v>
      </c>
    </row>
    <row r="454" spans="1:19" x14ac:dyDescent="0.25">
      <c r="A454" s="98">
        <f>A442+1</f>
        <v>43031</v>
      </c>
      <c r="B454" s="99" t="s">
        <v>108</v>
      </c>
      <c r="C454" s="100">
        <v>1</v>
      </c>
      <c r="D454" s="103">
        <f>$C454*VLOOKUP($B454,FoodDB!$A$2:$I$1018,3,0)</f>
        <v>0</v>
      </c>
      <c r="E454" s="103">
        <f>$C454*VLOOKUP($B454,FoodDB!$A$2:$I$1018,4,0)</f>
        <v>0</v>
      </c>
      <c r="F454" s="103">
        <f>$C454*VLOOKUP($B454,FoodDB!$A$2:$I$1018,5,0)</f>
        <v>0</v>
      </c>
      <c r="G454" s="103">
        <f>$C454*VLOOKUP($B454,FoodDB!$A$2:$I$1018,6,0)</f>
        <v>0</v>
      </c>
      <c r="H454" s="103">
        <f>$C454*VLOOKUP($B454,FoodDB!$A$2:$I$1018,7,0)</f>
        <v>0</v>
      </c>
      <c r="I454" s="103">
        <f>$C454*VLOOKUP($B454,FoodDB!$A$2:$I$1018,8,0)</f>
        <v>0</v>
      </c>
      <c r="J454" s="103">
        <f>$C454*VLOOKUP($B454,FoodDB!$A$2:$I$1018,9,0)</f>
        <v>0</v>
      </c>
      <c r="K454" s="103"/>
      <c r="L454" s="103">
        <f>SUM(G454:G460)</f>
        <v>0</v>
      </c>
      <c r="M454" s="103">
        <f>SUM(H454:H460)</f>
        <v>0</v>
      </c>
      <c r="N454" s="103">
        <f>SUM(I454:I460)</f>
        <v>0</v>
      </c>
      <c r="O454" s="103">
        <f>SUM(L454:N454)</f>
        <v>0</v>
      </c>
      <c r="P454" s="103">
        <f>VLOOKUP($A454,LossChart!$A$3:$AB$105,14,0)-L454</f>
        <v>565.57133780309073</v>
      </c>
      <c r="Q454" s="103">
        <f>VLOOKUP($A454,LossChart!$A$3:$AB$105,15,0)-M454</f>
        <v>80</v>
      </c>
      <c r="R454" s="103">
        <f>VLOOKUP($A454,LossChart!$A$3:$AB$105,16,0)-N454</f>
        <v>477.30407413615825</v>
      </c>
      <c r="S454" s="103">
        <f>VLOOKUP($A454,LossChart!$A$3:$AB$105,17,0)-O454</f>
        <v>1122.875411939249</v>
      </c>
    </row>
    <row r="455" spans="1:19" x14ac:dyDescent="0.25">
      <c r="B455" s="99" t="s">
        <v>108</v>
      </c>
      <c r="C455" s="100">
        <v>1</v>
      </c>
      <c r="D455" s="103">
        <f>$C455*VLOOKUP($B455,FoodDB!$A$2:$I$1018,3,0)</f>
        <v>0</v>
      </c>
      <c r="E455" s="103">
        <f>$C455*VLOOKUP($B455,FoodDB!$A$2:$I$1018,4,0)</f>
        <v>0</v>
      </c>
      <c r="F455" s="103">
        <f>$C455*VLOOKUP($B455,FoodDB!$A$2:$I$1018,5,0)</f>
        <v>0</v>
      </c>
      <c r="G455" s="103">
        <f>$C455*VLOOKUP($B455,FoodDB!$A$2:$I$1018,6,0)</f>
        <v>0</v>
      </c>
      <c r="H455" s="103">
        <f>$C455*VLOOKUP($B455,FoodDB!$A$2:$I$1018,7,0)</f>
        <v>0</v>
      </c>
      <c r="I455" s="103">
        <f>$C455*VLOOKUP($B455,FoodDB!$A$2:$I$1018,8,0)</f>
        <v>0</v>
      </c>
      <c r="J455" s="103">
        <f>$C455*VLOOKUP($B455,FoodDB!$A$2:$I$1018,9,0)</f>
        <v>0</v>
      </c>
      <c r="K455" s="103"/>
      <c r="L455" s="103"/>
      <c r="M455" s="103"/>
      <c r="N455" s="103"/>
      <c r="O455" s="103"/>
      <c r="P455" s="103"/>
      <c r="Q455" s="103"/>
      <c r="R455" s="103"/>
      <c r="S455" s="103"/>
    </row>
    <row r="456" spans="1:19" x14ac:dyDescent="0.25">
      <c r="B456" s="99" t="s">
        <v>108</v>
      </c>
      <c r="C456" s="100">
        <v>1</v>
      </c>
      <c r="D456" s="103">
        <f>$C456*VLOOKUP($B456,FoodDB!$A$2:$I$1018,3,0)</f>
        <v>0</v>
      </c>
      <c r="E456" s="103">
        <f>$C456*VLOOKUP($B456,FoodDB!$A$2:$I$1018,4,0)</f>
        <v>0</v>
      </c>
      <c r="F456" s="103">
        <f>$C456*VLOOKUP($B456,FoodDB!$A$2:$I$1018,5,0)</f>
        <v>0</v>
      </c>
      <c r="G456" s="103">
        <f>$C456*VLOOKUP($B456,FoodDB!$A$2:$I$1018,6,0)</f>
        <v>0</v>
      </c>
      <c r="H456" s="103">
        <f>$C456*VLOOKUP($B456,FoodDB!$A$2:$I$1018,7,0)</f>
        <v>0</v>
      </c>
      <c r="I456" s="103">
        <f>$C456*VLOOKUP($B456,FoodDB!$A$2:$I$1018,8,0)</f>
        <v>0</v>
      </c>
      <c r="J456" s="103">
        <f>$C456*VLOOKUP($B456,FoodDB!$A$2:$I$1018,9,0)</f>
        <v>0</v>
      </c>
      <c r="K456" s="103"/>
      <c r="L456" s="103"/>
      <c r="M456" s="103"/>
      <c r="N456" s="103"/>
      <c r="O456" s="103"/>
      <c r="P456" s="103"/>
      <c r="Q456" s="103"/>
      <c r="R456" s="103"/>
      <c r="S456" s="103"/>
    </row>
    <row r="457" spans="1:19" x14ac:dyDescent="0.25">
      <c r="B457" s="99" t="s">
        <v>108</v>
      </c>
      <c r="C457" s="100">
        <v>1</v>
      </c>
      <c r="D457" s="103">
        <f>$C457*VLOOKUP($B457,FoodDB!$A$2:$I$1018,3,0)</f>
        <v>0</v>
      </c>
      <c r="E457" s="103">
        <f>$C457*VLOOKUP($B457,FoodDB!$A$2:$I$1018,4,0)</f>
        <v>0</v>
      </c>
      <c r="F457" s="103">
        <f>$C457*VLOOKUP($B457,FoodDB!$A$2:$I$1018,5,0)</f>
        <v>0</v>
      </c>
      <c r="G457" s="103">
        <f>$C457*VLOOKUP($B457,FoodDB!$A$2:$I$1018,6,0)</f>
        <v>0</v>
      </c>
      <c r="H457" s="103">
        <f>$C457*VLOOKUP($B457,FoodDB!$A$2:$I$1018,7,0)</f>
        <v>0</v>
      </c>
      <c r="I457" s="103">
        <f>$C457*VLOOKUP($B457,FoodDB!$A$2:$I$1018,8,0)</f>
        <v>0</v>
      </c>
      <c r="J457" s="103">
        <f>$C457*VLOOKUP($B457,FoodDB!$A$2:$I$1018,9,0)</f>
        <v>0</v>
      </c>
      <c r="K457" s="103"/>
      <c r="L457" s="103"/>
      <c r="M457" s="103"/>
      <c r="N457" s="103"/>
      <c r="O457" s="103"/>
      <c r="P457" s="103"/>
      <c r="Q457" s="103"/>
      <c r="R457" s="103"/>
      <c r="S457" s="103"/>
    </row>
    <row r="458" spans="1:19" x14ac:dyDescent="0.25">
      <c r="B458" s="99" t="s">
        <v>108</v>
      </c>
      <c r="C458" s="100">
        <v>1</v>
      </c>
      <c r="D458" s="103">
        <f>$C458*VLOOKUP($B458,FoodDB!$A$2:$I$1018,3,0)</f>
        <v>0</v>
      </c>
      <c r="E458" s="103">
        <f>$C458*VLOOKUP($B458,FoodDB!$A$2:$I$1018,4,0)</f>
        <v>0</v>
      </c>
      <c r="F458" s="103">
        <f>$C458*VLOOKUP($B458,FoodDB!$A$2:$I$1018,5,0)</f>
        <v>0</v>
      </c>
      <c r="G458" s="103">
        <f>$C458*VLOOKUP($B458,FoodDB!$A$2:$I$1018,6,0)</f>
        <v>0</v>
      </c>
      <c r="H458" s="103">
        <f>$C458*VLOOKUP($B458,FoodDB!$A$2:$I$1018,7,0)</f>
        <v>0</v>
      </c>
      <c r="I458" s="103">
        <f>$C458*VLOOKUP($B458,FoodDB!$A$2:$I$1018,8,0)</f>
        <v>0</v>
      </c>
      <c r="J458" s="103">
        <f>$C458*VLOOKUP($B458,FoodDB!$A$2:$I$1018,9,0)</f>
        <v>0</v>
      </c>
      <c r="K458" s="103"/>
      <c r="L458" s="103"/>
      <c r="M458" s="103"/>
      <c r="N458" s="103"/>
      <c r="O458" s="103"/>
      <c r="P458" s="103"/>
      <c r="Q458" s="103"/>
      <c r="R458" s="103"/>
      <c r="S458" s="103"/>
    </row>
    <row r="459" spans="1:19" x14ac:dyDescent="0.25">
      <c r="B459" s="99" t="s">
        <v>108</v>
      </c>
      <c r="C459" s="100">
        <v>1</v>
      </c>
      <c r="D459" s="103">
        <f>$C459*VLOOKUP($B459,FoodDB!$A$2:$I$1018,3,0)</f>
        <v>0</v>
      </c>
      <c r="E459" s="103">
        <f>$C459*VLOOKUP($B459,FoodDB!$A$2:$I$1018,4,0)</f>
        <v>0</v>
      </c>
      <c r="F459" s="103">
        <f>$C459*VLOOKUP($B459,FoodDB!$A$2:$I$1018,5,0)</f>
        <v>0</v>
      </c>
      <c r="G459" s="103">
        <f>$C459*VLOOKUP($B459,FoodDB!$A$2:$I$1018,6,0)</f>
        <v>0</v>
      </c>
      <c r="H459" s="103">
        <f>$C459*VLOOKUP($B459,FoodDB!$A$2:$I$1018,7,0)</f>
        <v>0</v>
      </c>
      <c r="I459" s="103">
        <f>$C459*VLOOKUP($B459,FoodDB!$A$2:$I$1018,8,0)</f>
        <v>0</v>
      </c>
      <c r="J459" s="103">
        <f>$C459*VLOOKUP($B459,FoodDB!$A$2:$I$1018,9,0)</f>
        <v>0</v>
      </c>
      <c r="K459" s="103"/>
      <c r="L459" s="103"/>
      <c r="M459" s="103"/>
      <c r="N459" s="103"/>
      <c r="O459" s="103"/>
      <c r="P459" s="103"/>
      <c r="Q459" s="103"/>
      <c r="R459" s="103"/>
      <c r="S459" s="103"/>
    </row>
    <row r="460" spans="1:19" x14ac:dyDescent="0.25">
      <c r="B460" s="99" t="s">
        <v>108</v>
      </c>
      <c r="C460" s="100">
        <v>1</v>
      </c>
      <c r="D460" s="103">
        <f>$C460*VLOOKUP($B460,FoodDB!$A$2:$I$1018,3,0)</f>
        <v>0</v>
      </c>
      <c r="E460" s="103">
        <f>$C460*VLOOKUP($B460,FoodDB!$A$2:$I$1018,4,0)</f>
        <v>0</v>
      </c>
      <c r="F460" s="103">
        <f>$C460*VLOOKUP($B460,FoodDB!$A$2:$I$1018,5,0)</f>
        <v>0</v>
      </c>
      <c r="G460" s="103">
        <f>$C460*VLOOKUP($B460,FoodDB!$A$2:$I$1018,6,0)</f>
        <v>0</v>
      </c>
      <c r="H460" s="103">
        <f>$C460*VLOOKUP($B460,FoodDB!$A$2:$I$1018,7,0)</f>
        <v>0</v>
      </c>
      <c r="I460" s="103">
        <f>$C460*VLOOKUP($B460,FoodDB!$A$2:$I$1018,8,0)</f>
        <v>0</v>
      </c>
      <c r="J460" s="103">
        <f>$C460*VLOOKUP($B460,FoodDB!$A$2:$I$1018,9,0)</f>
        <v>0</v>
      </c>
      <c r="K460" s="103"/>
      <c r="L460" s="103"/>
      <c r="M460" s="103"/>
      <c r="N460" s="103"/>
      <c r="O460" s="103"/>
      <c r="P460" s="103"/>
      <c r="Q460" s="103"/>
      <c r="R460" s="103"/>
      <c r="S460" s="103"/>
    </row>
    <row r="461" spans="1:19" x14ac:dyDescent="0.25">
      <c r="A461" t="s">
        <v>98</v>
      </c>
      <c r="D461" s="103"/>
      <c r="E461" s="103"/>
      <c r="F461" s="103"/>
      <c r="G461" s="103">
        <f>SUM(G454:G460)</f>
        <v>0</v>
      </c>
      <c r="H461" s="103">
        <f>SUM(H454:H460)</f>
        <v>0</v>
      </c>
      <c r="I461" s="103">
        <f>SUM(I454:I460)</f>
        <v>0</v>
      </c>
      <c r="J461" s="103">
        <f>SUM(G461:I461)</f>
        <v>0</v>
      </c>
      <c r="K461" s="103"/>
      <c r="L461" s="103"/>
      <c r="M461" s="103"/>
      <c r="N461" s="103"/>
      <c r="O461" s="103"/>
      <c r="P461" s="103"/>
      <c r="Q461" s="103"/>
      <c r="R461" s="103"/>
      <c r="S461" s="103"/>
    </row>
    <row r="462" spans="1:19" x14ac:dyDescent="0.25">
      <c r="A462" t="s">
        <v>102</v>
      </c>
      <c r="B462" t="s">
        <v>103</v>
      </c>
      <c r="D462" s="103"/>
      <c r="E462" s="103"/>
      <c r="F462" s="103"/>
      <c r="G462" s="103">
        <f>VLOOKUP($A454,LossChart!$A$3:$AB$105,14,0)</f>
        <v>565.57133780309073</v>
      </c>
      <c r="H462" s="103">
        <f>VLOOKUP($A454,LossChart!$A$3:$AB$105,15,0)</f>
        <v>80</v>
      </c>
      <c r="I462" s="103">
        <f>VLOOKUP($A454,LossChart!$A$3:$AB$105,16,0)</f>
        <v>477.30407413615825</v>
      </c>
      <c r="J462" s="103">
        <f>VLOOKUP($A454,LossChart!$A$3:$AB$105,17,0)</f>
        <v>1122.875411939249</v>
      </c>
      <c r="K462" s="103"/>
      <c r="L462" s="103"/>
      <c r="M462" s="103"/>
      <c r="N462" s="103"/>
      <c r="O462" s="103"/>
      <c r="P462" s="103"/>
      <c r="Q462" s="103"/>
      <c r="R462" s="103"/>
      <c r="S462" s="103"/>
    </row>
    <row r="463" spans="1:19" x14ac:dyDescent="0.25">
      <c r="A463" t="s">
        <v>104</v>
      </c>
      <c r="D463" s="103"/>
      <c r="E463" s="103"/>
      <c r="F463" s="103"/>
      <c r="G463" s="103">
        <f>G462-G461</f>
        <v>565.57133780309073</v>
      </c>
      <c r="H463" s="103">
        <f>H462-H461</f>
        <v>80</v>
      </c>
      <c r="I463" s="103">
        <f>I462-I461</f>
        <v>477.30407413615825</v>
      </c>
      <c r="J463" s="103">
        <f>J462-J461</f>
        <v>1122.875411939249</v>
      </c>
      <c r="K463" s="103"/>
      <c r="L463" s="103"/>
      <c r="M463" s="103"/>
      <c r="N463" s="103"/>
      <c r="O463" s="103"/>
      <c r="P463" s="103"/>
      <c r="Q463" s="103"/>
      <c r="R463" s="103"/>
      <c r="S463" s="103"/>
    </row>
    <row r="465" spans="1:19" ht="60" x14ac:dyDescent="0.25">
      <c r="A465" s="26" t="s">
        <v>63</v>
      </c>
      <c r="B465" s="26" t="s">
        <v>93</v>
      </c>
      <c r="C465" s="26" t="s">
        <v>94</v>
      </c>
      <c r="D465" s="97" t="str">
        <f>FoodDB!$C$1</f>
        <v>Fat
(g)</v>
      </c>
      <c r="E465" s="97" t="str">
        <f>FoodDB!$D$1</f>
        <v xml:space="preserve"> Carbs
(g)</v>
      </c>
      <c r="F465" s="97" t="str">
        <f>FoodDB!$E$1</f>
        <v>Protein
(g)</v>
      </c>
      <c r="G465" s="97" t="str">
        <f>FoodDB!$F$1</f>
        <v>Fat
(Cal)</v>
      </c>
      <c r="H465" s="97" t="str">
        <f>FoodDB!$G$1</f>
        <v>Carb
(Cal)</v>
      </c>
      <c r="I465" s="97" t="str">
        <f>FoodDB!$H$1</f>
        <v>Protein
(Cal)</v>
      </c>
      <c r="J465" s="97" t="str">
        <f>FoodDB!$I$1</f>
        <v>Total
Calories</v>
      </c>
      <c r="K465" s="97"/>
      <c r="L465" s="97" t="s">
        <v>110</v>
      </c>
      <c r="M465" s="97" t="s">
        <v>111</v>
      </c>
      <c r="N465" s="97" t="s">
        <v>112</v>
      </c>
      <c r="O465" s="97" t="s">
        <v>113</v>
      </c>
      <c r="P465" s="97" t="s">
        <v>118</v>
      </c>
      <c r="Q465" s="97" t="s">
        <v>119</v>
      </c>
      <c r="R465" s="97" t="s">
        <v>120</v>
      </c>
      <c r="S465" s="97" t="s">
        <v>121</v>
      </c>
    </row>
    <row r="466" spans="1:19" x14ac:dyDescent="0.25">
      <c r="A466" s="98">
        <f>A454+1</f>
        <v>43032</v>
      </c>
      <c r="B466" s="99" t="s">
        <v>108</v>
      </c>
      <c r="C466" s="100">
        <v>1</v>
      </c>
      <c r="D466" s="103">
        <f>$C466*VLOOKUP($B466,FoodDB!$A$2:$I$1018,3,0)</f>
        <v>0</v>
      </c>
      <c r="E466" s="103">
        <f>$C466*VLOOKUP($B466,FoodDB!$A$2:$I$1018,4,0)</f>
        <v>0</v>
      </c>
      <c r="F466" s="103">
        <f>$C466*VLOOKUP($B466,FoodDB!$A$2:$I$1018,5,0)</f>
        <v>0</v>
      </c>
      <c r="G466" s="103">
        <f>$C466*VLOOKUP($B466,FoodDB!$A$2:$I$1018,6,0)</f>
        <v>0</v>
      </c>
      <c r="H466" s="103">
        <f>$C466*VLOOKUP($B466,FoodDB!$A$2:$I$1018,7,0)</f>
        <v>0</v>
      </c>
      <c r="I466" s="103">
        <f>$C466*VLOOKUP($B466,FoodDB!$A$2:$I$1018,8,0)</f>
        <v>0</v>
      </c>
      <c r="J466" s="103">
        <f>$C466*VLOOKUP($B466,FoodDB!$A$2:$I$1018,9,0)</f>
        <v>0</v>
      </c>
      <c r="K466" s="103"/>
      <c r="L466" s="103">
        <f>SUM(G466:G472)</f>
        <v>0</v>
      </c>
      <c r="M466" s="103">
        <f>SUM(H466:H472)</f>
        <v>0</v>
      </c>
      <c r="N466" s="103">
        <f>SUM(I466:I472)</f>
        <v>0</v>
      </c>
      <c r="O466" s="103">
        <f>SUM(L466:N466)</f>
        <v>0</v>
      </c>
      <c r="P466" s="103">
        <f>VLOOKUP($A466,LossChart!$A$3:$AB$105,14,0)-L466</f>
        <v>572.06443916319176</v>
      </c>
      <c r="Q466" s="103">
        <f>VLOOKUP($A466,LossChart!$A$3:$AB$105,15,0)-M466</f>
        <v>80</v>
      </c>
      <c r="R466" s="103">
        <f>VLOOKUP($A466,LossChart!$A$3:$AB$105,16,0)-N466</f>
        <v>477.30407413615825</v>
      </c>
      <c r="S466" s="103">
        <f>VLOOKUP($A466,LossChart!$A$3:$AB$105,17,0)-O466</f>
        <v>1129.3685132993501</v>
      </c>
    </row>
    <row r="467" spans="1:19" x14ac:dyDescent="0.25">
      <c r="B467" s="99" t="s">
        <v>108</v>
      </c>
      <c r="C467" s="100">
        <v>1</v>
      </c>
      <c r="D467" s="103">
        <f>$C467*VLOOKUP($B467,FoodDB!$A$2:$I$1018,3,0)</f>
        <v>0</v>
      </c>
      <c r="E467" s="103">
        <f>$C467*VLOOKUP($B467,FoodDB!$A$2:$I$1018,4,0)</f>
        <v>0</v>
      </c>
      <c r="F467" s="103">
        <f>$C467*VLOOKUP($B467,FoodDB!$A$2:$I$1018,5,0)</f>
        <v>0</v>
      </c>
      <c r="G467" s="103">
        <f>$C467*VLOOKUP($B467,FoodDB!$A$2:$I$1018,6,0)</f>
        <v>0</v>
      </c>
      <c r="H467" s="103">
        <f>$C467*VLOOKUP($B467,FoodDB!$A$2:$I$1018,7,0)</f>
        <v>0</v>
      </c>
      <c r="I467" s="103">
        <f>$C467*VLOOKUP($B467,FoodDB!$A$2:$I$1018,8,0)</f>
        <v>0</v>
      </c>
      <c r="J467" s="103">
        <f>$C467*VLOOKUP($B467,FoodDB!$A$2:$I$1018,9,0)</f>
        <v>0</v>
      </c>
      <c r="K467" s="103"/>
      <c r="L467" s="103"/>
      <c r="M467" s="103"/>
      <c r="N467" s="103"/>
      <c r="O467" s="103"/>
      <c r="P467" s="103"/>
      <c r="Q467" s="103"/>
      <c r="R467" s="103"/>
      <c r="S467" s="103"/>
    </row>
    <row r="468" spans="1:19" x14ac:dyDescent="0.25">
      <c r="B468" s="99" t="s">
        <v>108</v>
      </c>
      <c r="C468" s="100">
        <v>1</v>
      </c>
      <c r="D468" s="103">
        <f>$C468*VLOOKUP($B468,FoodDB!$A$2:$I$1018,3,0)</f>
        <v>0</v>
      </c>
      <c r="E468" s="103">
        <f>$C468*VLOOKUP($B468,FoodDB!$A$2:$I$1018,4,0)</f>
        <v>0</v>
      </c>
      <c r="F468" s="103">
        <f>$C468*VLOOKUP($B468,FoodDB!$A$2:$I$1018,5,0)</f>
        <v>0</v>
      </c>
      <c r="G468" s="103">
        <f>$C468*VLOOKUP($B468,FoodDB!$A$2:$I$1018,6,0)</f>
        <v>0</v>
      </c>
      <c r="H468" s="103">
        <f>$C468*VLOOKUP($B468,FoodDB!$A$2:$I$1018,7,0)</f>
        <v>0</v>
      </c>
      <c r="I468" s="103">
        <f>$C468*VLOOKUP($B468,FoodDB!$A$2:$I$1018,8,0)</f>
        <v>0</v>
      </c>
      <c r="J468" s="103">
        <f>$C468*VLOOKUP($B468,FoodDB!$A$2:$I$1018,9,0)</f>
        <v>0</v>
      </c>
      <c r="K468" s="103"/>
      <c r="L468" s="103"/>
      <c r="M468" s="103"/>
      <c r="N468" s="103"/>
      <c r="O468" s="103"/>
      <c r="P468" s="103"/>
      <c r="Q468" s="103"/>
      <c r="R468" s="103"/>
      <c r="S468" s="103"/>
    </row>
    <row r="469" spans="1:19" x14ac:dyDescent="0.25">
      <c r="B469" s="99" t="s">
        <v>108</v>
      </c>
      <c r="C469" s="100">
        <v>1</v>
      </c>
      <c r="D469" s="103">
        <f>$C469*VLOOKUP($B469,FoodDB!$A$2:$I$1018,3,0)</f>
        <v>0</v>
      </c>
      <c r="E469" s="103">
        <f>$C469*VLOOKUP($B469,FoodDB!$A$2:$I$1018,4,0)</f>
        <v>0</v>
      </c>
      <c r="F469" s="103">
        <f>$C469*VLOOKUP($B469,FoodDB!$A$2:$I$1018,5,0)</f>
        <v>0</v>
      </c>
      <c r="G469" s="103">
        <f>$C469*VLOOKUP($B469,FoodDB!$A$2:$I$1018,6,0)</f>
        <v>0</v>
      </c>
      <c r="H469" s="103">
        <f>$C469*VLOOKUP($B469,FoodDB!$A$2:$I$1018,7,0)</f>
        <v>0</v>
      </c>
      <c r="I469" s="103">
        <f>$C469*VLOOKUP($B469,FoodDB!$A$2:$I$1018,8,0)</f>
        <v>0</v>
      </c>
      <c r="J469" s="103">
        <f>$C469*VLOOKUP($B469,FoodDB!$A$2:$I$1018,9,0)</f>
        <v>0</v>
      </c>
      <c r="K469" s="103"/>
      <c r="L469" s="103"/>
      <c r="M469" s="103"/>
      <c r="N469" s="103"/>
      <c r="O469" s="103"/>
      <c r="P469" s="103"/>
      <c r="Q469" s="103"/>
      <c r="R469" s="103"/>
      <c r="S469" s="103"/>
    </row>
    <row r="470" spans="1:19" x14ac:dyDescent="0.25">
      <c r="B470" s="99" t="s">
        <v>108</v>
      </c>
      <c r="C470" s="100">
        <v>1</v>
      </c>
      <c r="D470" s="103">
        <f>$C470*VLOOKUP($B470,FoodDB!$A$2:$I$1018,3,0)</f>
        <v>0</v>
      </c>
      <c r="E470" s="103">
        <f>$C470*VLOOKUP($B470,FoodDB!$A$2:$I$1018,4,0)</f>
        <v>0</v>
      </c>
      <c r="F470" s="103">
        <f>$C470*VLOOKUP($B470,FoodDB!$A$2:$I$1018,5,0)</f>
        <v>0</v>
      </c>
      <c r="G470" s="103">
        <f>$C470*VLOOKUP($B470,FoodDB!$A$2:$I$1018,6,0)</f>
        <v>0</v>
      </c>
      <c r="H470" s="103">
        <f>$C470*VLOOKUP($B470,FoodDB!$A$2:$I$1018,7,0)</f>
        <v>0</v>
      </c>
      <c r="I470" s="103">
        <f>$C470*VLOOKUP($B470,FoodDB!$A$2:$I$1018,8,0)</f>
        <v>0</v>
      </c>
      <c r="J470" s="103">
        <f>$C470*VLOOKUP($B470,FoodDB!$A$2:$I$1018,9,0)</f>
        <v>0</v>
      </c>
      <c r="K470" s="103"/>
      <c r="L470" s="103"/>
      <c r="M470" s="103"/>
      <c r="N470" s="103"/>
      <c r="O470" s="103"/>
      <c r="P470" s="103"/>
      <c r="Q470" s="103"/>
      <c r="R470" s="103"/>
      <c r="S470" s="103"/>
    </row>
    <row r="471" spans="1:19" x14ac:dyDescent="0.25">
      <c r="B471" s="99" t="s">
        <v>108</v>
      </c>
      <c r="C471" s="100">
        <v>1</v>
      </c>
      <c r="D471" s="103">
        <f>$C471*VLOOKUP($B471,FoodDB!$A$2:$I$1018,3,0)</f>
        <v>0</v>
      </c>
      <c r="E471" s="103">
        <f>$C471*VLOOKUP($B471,FoodDB!$A$2:$I$1018,4,0)</f>
        <v>0</v>
      </c>
      <c r="F471" s="103">
        <f>$C471*VLOOKUP($B471,FoodDB!$A$2:$I$1018,5,0)</f>
        <v>0</v>
      </c>
      <c r="G471" s="103">
        <f>$C471*VLOOKUP($B471,FoodDB!$A$2:$I$1018,6,0)</f>
        <v>0</v>
      </c>
      <c r="H471" s="103">
        <f>$C471*VLOOKUP($B471,FoodDB!$A$2:$I$1018,7,0)</f>
        <v>0</v>
      </c>
      <c r="I471" s="103">
        <f>$C471*VLOOKUP($B471,FoodDB!$A$2:$I$1018,8,0)</f>
        <v>0</v>
      </c>
      <c r="J471" s="103">
        <f>$C471*VLOOKUP($B471,FoodDB!$A$2:$I$1018,9,0)</f>
        <v>0</v>
      </c>
      <c r="K471" s="103"/>
      <c r="L471" s="103"/>
      <c r="M471" s="103"/>
      <c r="N471" s="103"/>
      <c r="O471" s="103"/>
      <c r="P471" s="103"/>
      <c r="Q471" s="103"/>
      <c r="R471" s="103"/>
      <c r="S471" s="103"/>
    </row>
    <row r="472" spans="1:19" x14ac:dyDescent="0.25">
      <c r="B472" s="99" t="s">
        <v>108</v>
      </c>
      <c r="C472" s="100">
        <v>1</v>
      </c>
      <c r="D472" s="103">
        <f>$C472*VLOOKUP($B472,FoodDB!$A$2:$I$1018,3,0)</f>
        <v>0</v>
      </c>
      <c r="E472" s="103">
        <f>$C472*VLOOKUP($B472,FoodDB!$A$2:$I$1018,4,0)</f>
        <v>0</v>
      </c>
      <c r="F472" s="103">
        <f>$C472*VLOOKUP($B472,FoodDB!$A$2:$I$1018,5,0)</f>
        <v>0</v>
      </c>
      <c r="G472" s="103">
        <f>$C472*VLOOKUP($B472,FoodDB!$A$2:$I$1018,6,0)</f>
        <v>0</v>
      </c>
      <c r="H472" s="103">
        <f>$C472*VLOOKUP($B472,FoodDB!$A$2:$I$1018,7,0)</f>
        <v>0</v>
      </c>
      <c r="I472" s="103">
        <f>$C472*VLOOKUP($B472,FoodDB!$A$2:$I$1018,8,0)</f>
        <v>0</v>
      </c>
      <c r="J472" s="103">
        <f>$C472*VLOOKUP($B472,FoodDB!$A$2:$I$1018,9,0)</f>
        <v>0</v>
      </c>
      <c r="K472" s="103"/>
      <c r="L472" s="103"/>
      <c r="M472" s="103"/>
      <c r="N472" s="103"/>
      <c r="O472" s="103"/>
      <c r="P472" s="103"/>
      <c r="Q472" s="103"/>
      <c r="R472" s="103"/>
      <c r="S472" s="103"/>
    </row>
    <row r="473" spans="1:19" x14ac:dyDescent="0.25">
      <c r="A473" t="s">
        <v>98</v>
      </c>
      <c r="D473" s="103"/>
      <c r="E473" s="103"/>
      <c r="F473" s="103"/>
      <c r="G473" s="103">
        <f>SUM(G466:G472)</f>
        <v>0</v>
      </c>
      <c r="H473" s="103">
        <f>SUM(H466:H472)</f>
        <v>0</v>
      </c>
      <c r="I473" s="103">
        <f>SUM(I466:I472)</f>
        <v>0</v>
      </c>
      <c r="J473" s="103">
        <f>SUM(G473:I473)</f>
        <v>0</v>
      </c>
      <c r="K473" s="103"/>
      <c r="L473" s="103"/>
      <c r="M473" s="103"/>
      <c r="N473" s="103"/>
      <c r="O473" s="103"/>
      <c r="P473" s="103"/>
      <c r="Q473" s="103"/>
      <c r="R473" s="103"/>
      <c r="S473" s="103"/>
    </row>
    <row r="474" spans="1:19" x14ac:dyDescent="0.25">
      <c r="A474" t="s">
        <v>102</v>
      </c>
      <c r="B474" t="s">
        <v>103</v>
      </c>
      <c r="D474" s="103"/>
      <c r="E474" s="103"/>
      <c r="F474" s="103"/>
      <c r="G474" s="103">
        <f>VLOOKUP($A466,LossChart!$A$3:$AB$105,14,0)</f>
        <v>572.06443916319176</v>
      </c>
      <c r="H474" s="103">
        <f>VLOOKUP($A466,LossChart!$A$3:$AB$105,15,0)</f>
        <v>80</v>
      </c>
      <c r="I474" s="103">
        <f>VLOOKUP($A466,LossChart!$A$3:$AB$105,16,0)</f>
        <v>477.30407413615825</v>
      </c>
      <c r="J474" s="103">
        <f>VLOOKUP($A466,LossChart!$A$3:$AB$105,17,0)</f>
        <v>1129.3685132993501</v>
      </c>
      <c r="K474" s="103"/>
      <c r="L474" s="103"/>
      <c r="M474" s="103"/>
      <c r="N474" s="103"/>
      <c r="O474" s="103"/>
      <c r="P474" s="103"/>
      <c r="Q474" s="103"/>
      <c r="R474" s="103"/>
      <c r="S474" s="103"/>
    </row>
    <row r="475" spans="1:19" x14ac:dyDescent="0.25">
      <c r="A475" t="s">
        <v>104</v>
      </c>
      <c r="D475" s="103"/>
      <c r="E475" s="103"/>
      <c r="F475" s="103"/>
      <c r="G475" s="103">
        <f>G474-G473</f>
        <v>572.06443916319176</v>
      </c>
      <c r="H475" s="103">
        <f>H474-H473</f>
        <v>80</v>
      </c>
      <c r="I475" s="103">
        <f>I474-I473</f>
        <v>477.30407413615825</v>
      </c>
      <c r="J475" s="103">
        <f>J474-J473</f>
        <v>1129.3685132993501</v>
      </c>
      <c r="K475" s="103"/>
      <c r="L475" s="103"/>
      <c r="M475" s="103"/>
      <c r="N475" s="103"/>
      <c r="O475" s="103"/>
      <c r="P475" s="103"/>
      <c r="Q475" s="103"/>
      <c r="R475" s="103"/>
      <c r="S475" s="103"/>
    </row>
    <row r="477" spans="1:19" ht="60" x14ac:dyDescent="0.25">
      <c r="A477" s="26" t="s">
        <v>63</v>
      </c>
      <c r="B477" s="26" t="s">
        <v>93</v>
      </c>
      <c r="C477" s="26" t="s">
        <v>94</v>
      </c>
      <c r="D477" s="97" t="str">
        <f>FoodDB!$C$1</f>
        <v>Fat
(g)</v>
      </c>
      <c r="E477" s="97" t="str">
        <f>FoodDB!$D$1</f>
        <v xml:space="preserve"> Carbs
(g)</v>
      </c>
      <c r="F477" s="97" t="str">
        <f>FoodDB!$E$1</f>
        <v>Protein
(g)</v>
      </c>
      <c r="G477" s="97" t="str">
        <f>FoodDB!$F$1</f>
        <v>Fat
(Cal)</v>
      </c>
      <c r="H477" s="97" t="str">
        <f>FoodDB!$G$1</f>
        <v>Carb
(Cal)</v>
      </c>
      <c r="I477" s="97" t="str">
        <f>FoodDB!$H$1</f>
        <v>Protein
(Cal)</v>
      </c>
      <c r="J477" s="97" t="str">
        <f>FoodDB!$I$1</f>
        <v>Total
Calories</v>
      </c>
      <c r="K477" s="97"/>
      <c r="L477" s="97" t="s">
        <v>110</v>
      </c>
      <c r="M477" s="97" t="s">
        <v>111</v>
      </c>
      <c r="N477" s="97" t="s">
        <v>112</v>
      </c>
      <c r="O477" s="97" t="s">
        <v>113</v>
      </c>
      <c r="P477" s="97" t="s">
        <v>118</v>
      </c>
      <c r="Q477" s="97" t="s">
        <v>119</v>
      </c>
      <c r="R477" s="97" t="s">
        <v>120</v>
      </c>
      <c r="S477" s="97" t="s">
        <v>121</v>
      </c>
    </row>
    <row r="478" spans="1:19" x14ac:dyDescent="0.25">
      <c r="A478" s="98">
        <f>A466+1</f>
        <v>43033</v>
      </c>
      <c r="B478" s="99" t="s">
        <v>108</v>
      </c>
      <c r="C478" s="100">
        <v>1</v>
      </c>
      <c r="D478" s="103">
        <f>$C478*VLOOKUP($B478,FoodDB!$A$2:$I$1018,3,0)</f>
        <v>0</v>
      </c>
      <c r="E478" s="103">
        <f>$C478*VLOOKUP($B478,FoodDB!$A$2:$I$1018,4,0)</f>
        <v>0</v>
      </c>
      <c r="F478" s="103">
        <f>$C478*VLOOKUP($B478,FoodDB!$A$2:$I$1018,5,0)</f>
        <v>0</v>
      </c>
      <c r="G478" s="103">
        <f>$C478*VLOOKUP($B478,FoodDB!$A$2:$I$1018,6,0)</f>
        <v>0</v>
      </c>
      <c r="H478" s="103">
        <f>$C478*VLOOKUP($B478,FoodDB!$A$2:$I$1018,7,0)</f>
        <v>0</v>
      </c>
      <c r="I478" s="103">
        <f>$C478*VLOOKUP($B478,FoodDB!$A$2:$I$1018,8,0)</f>
        <v>0</v>
      </c>
      <c r="J478" s="103">
        <f>$C478*VLOOKUP($B478,FoodDB!$A$2:$I$1018,9,0)</f>
        <v>0</v>
      </c>
      <c r="K478" s="103"/>
      <c r="L478" s="103">
        <f>SUM(G478:G484)</f>
        <v>0</v>
      </c>
      <c r="M478" s="103">
        <f>SUM(H478:H484)</f>
        <v>0</v>
      </c>
      <c r="N478" s="103">
        <f>SUM(I478:I484)</f>
        <v>0</v>
      </c>
      <c r="O478" s="103">
        <f>SUM(L478:N478)</f>
        <v>0</v>
      </c>
      <c r="P478" s="103">
        <f>VLOOKUP($A478,LossChart!$A$3:$AB$105,14,0)-L478</f>
        <v>578.50003019696101</v>
      </c>
      <c r="Q478" s="103">
        <f>VLOOKUP($A478,LossChart!$A$3:$AB$105,15,0)-M478</f>
        <v>80</v>
      </c>
      <c r="R478" s="103">
        <f>VLOOKUP($A478,LossChart!$A$3:$AB$105,16,0)-N478</f>
        <v>477.30407413615825</v>
      </c>
      <c r="S478" s="103">
        <f>VLOOKUP($A478,LossChart!$A$3:$AB$105,17,0)-O478</f>
        <v>1135.8041043331193</v>
      </c>
    </row>
    <row r="479" spans="1:19" x14ac:dyDescent="0.25">
      <c r="B479" s="99" t="s">
        <v>108</v>
      </c>
      <c r="C479" s="100">
        <v>1</v>
      </c>
      <c r="D479" s="103">
        <f>$C479*VLOOKUP($B479,FoodDB!$A$2:$I$1018,3,0)</f>
        <v>0</v>
      </c>
      <c r="E479" s="103">
        <f>$C479*VLOOKUP($B479,FoodDB!$A$2:$I$1018,4,0)</f>
        <v>0</v>
      </c>
      <c r="F479" s="103">
        <f>$C479*VLOOKUP($B479,FoodDB!$A$2:$I$1018,5,0)</f>
        <v>0</v>
      </c>
      <c r="G479" s="103">
        <f>$C479*VLOOKUP($B479,FoodDB!$A$2:$I$1018,6,0)</f>
        <v>0</v>
      </c>
      <c r="H479" s="103">
        <f>$C479*VLOOKUP($B479,FoodDB!$A$2:$I$1018,7,0)</f>
        <v>0</v>
      </c>
      <c r="I479" s="103">
        <f>$C479*VLOOKUP($B479,FoodDB!$A$2:$I$1018,8,0)</f>
        <v>0</v>
      </c>
      <c r="J479" s="103">
        <f>$C479*VLOOKUP($B479,FoodDB!$A$2:$I$1018,9,0)</f>
        <v>0</v>
      </c>
      <c r="K479" s="103"/>
      <c r="L479" s="103"/>
      <c r="M479" s="103"/>
      <c r="N479" s="103"/>
      <c r="O479" s="103"/>
      <c r="P479" s="103"/>
      <c r="Q479" s="103"/>
      <c r="R479" s="103"/>
      <c r="S479" s="103"/>
    </row>
    <row r="480" spans="1:19" x14ac:dyDescent="0.25">
      <c r="B480" s="99" t="s">
        <v>108</v>
      </c>
      <c r="C480" s="100">
        <v>1</v>
      </c>
      <c r="D480" s="103">
        <f>$C480*VLOOKUP($B480,FoodDB!$A$2:$I$1018,3,0)</f>
        <v>0</v>
      </c>
      <c r="E480" s="103">
        <f>$C480*VLOOKUP($B480,FoodDB!$A$2:$I$1018,4,0)</f>
        <v>0</v>
      </c>
      <c r="F480" s="103">
        <f>$C480*VLOOKUP($B480,FoodDB!$A$2:$I$1018,5,0)</f>
        <v>0</v>
      </c>
      <c r="G480" s="103">
        <f>$C480*VLOOKUP($B480,FoodDB!$A$2:$I$1018,6,0)</f>
        <v>0</v>
      </c>
      <c r="H480" s="103">
        <f>$C480*VLOOKUP($B480,FoodDB!$A$2:$I$1018,7,0)</f>
        <v>0</v>
      </c>
      <c r="I480" s="103">
        <f>$C480*VLOOKUP($B480,FoodDB!$A$2:$I$1018,8,0)</f>
        <v>0</v>
      </c>
      <c r="J480" s="103">
        <f>$C480*VLOOKUP($B480,FoodDB!$A$2:$I$1018,9,0)</f>
        <v>0</v>
      </c>
      <c r="K480" s="103"/>
      <c r="L480" s="103"/>
      <c r="M480" s="103"/>
      <c r="N480" s="103"/>
      <c r="O480" s="103"/>
      <c r="P480" s="103"/>
      <c r="Q480" s="103"/>
      <c r="R480" s="103"/>
      <c r="S480" s="103"/>
    </row>
    <row r="481" spans="1:19" x14ac:dyDescent="0.25">
      <c r="B481" s="99" t="s">
        <v>108</v>
      </c>
      <c r="C481" s="100">
        <v>1</v>
      </c>
      <c r="D481" s="103">
        <f>$C481*VLOOKUP($B481,FoodDB!$A$2:$I$1018,3,0)</f>
        <v>0</v>
      </c>
      <c r="E481" s="103">
        <f>$C481*VLOOKUP($B481,FoodDB!$A$2:$I$1018,4,0)</f>
        <v>0</v>
      </c>
      <c r="F481" s="103">
        <f>$C481*VLOOKUP($B481,FoodDB!$A$2:$I$1018,5,0)</f>
        <v>0</v>
      </c>
      <c r="G481" s="103">
        <f>$C481*VLOOKUP($B481,FoodDB!$A$2:$I$1018,6,0)</f>
        <v>0</v>
      </c>
      <c r="H481" s="103">
        <f>$C481*VLOOKUP($B481,FoodDB!$A$2:$I$1018,7,0)</f>
        <v>0</v>
      </c>
      <c r="I481" s="103">
        <f>$C481*VLOOKUP($B481,FoodDB!$A$2:$I$1018,8,0)</f>
        <v>0</v>
      </c>
      <c r="J481" s="103">
        <f>$C481*VLOOKUP($B481,FoodDB!$A$2:$I$1018,9,0)</f>
        <v>0</v>
      </c>
      <c r="K481" s="103"/>
      <c r="L481" s="103"/>
      <c r="M481" s="103"/>
      <c r="N481" s="103"/>
      <c r="O481" s="103"/>
      <c r="P481" s="103"/>
      <c r="Q481" s="103"/>
      <c r="R481" s="103"/>
      <c r="S481" s="103"/>
    </row>
    <row r="482" spans="1:19" x14ac:dyDescent="0.25">
      <c r="B482" s="99" t="s">
        <v>108</v>
      </c>
      <c r="C482" s="100">
        <v>1</v>
      </c>
      <c r="D482" s="103">
        <f>$C482*VLOOKUP($B482,FoodDB!$A$2:$I$1018,3,0)</f>
        <v>0</v>
      </c>
      <c r="E482" s="103">
        <f>$C482*VLOOKUP($B482,FoodDB!$A$2:$I$1018,4,0)</f>
        <v>0</v>
      </c>
      <c r="F482" s="103">
        <f>$C482*VLOOKUP($B482,FoodDB!$A$2:$I$1018,5,0)</f>
        <v>0</v>
      </c>
      <c r="G482" s="103">
        <f>$C482*VLOOKUP($B482,FoodDB!$A$2:$I$1018,6,0)</f>
        <v>0</v>
      </c>
      <c r="H482" s="103">
        <f>$C482*VLOOKUP($B482,FoodDB!$A$2:$I$1018,7,0)</f>
        <v>0</v>
      </c>
      <c r="I482" s="103">
        <f>$C482*VLOOKUP($B482,FoodDB!$A$2:$I$1018,8,0)</f>
        <v>0</v>
      </c>
      <c r="J482" s="103">
        <f>$C482*VLOOKUP($B482,FoodDB!$A$2:$I$1018,9,0)</f>
        <v>0</v>
      </c>
      <c r="K482" s="103"/>
      <c r="L482" s="103"/>
      <c r="M482" s="103"/>
      <c r="N482" s="103"/>
      <c r="O482" s="103"/>
      <c r="P482" s="103"/>
      <c r="Q482" s="103"/>
      <c r="R482" s="103"/>
      <c r="S482" s="103"/>
    </row>
    <row r="483" spans="1:19" x14ac:dyDescent="0.25">
      <c r="B483" s="99" t="s">
        <v>108</v>
      </c>
      <c r="C483" s="100">
        <v>1</v>
      </c>
      <c r="D483" s="103">
        <f>$C483*VLOOKUP($B483,FoodDB!$A$2:$I$1018,3,0)</f>
        <v>0</v>
      </c>
      <c r="E483" s="103">
        <f>$C483*VLOOKUP($B483,FoodDB!$A$2:$I$1018,4,0)</f>
        <v>0</v>
      </c>
      <c r="F483" s="103">
        <f>$C483*VLOOKUP($B483,FoodDB!$A$2:$I$1018,5,0)</f>
        <v>0</v>
      </c>
      <c r="G483" s="103">
        <f>$C483*VLOOKUP($B483,FoodDB!$A$2:$I$1018,6,0)</f>
        <v>0</v>
      </c>
      <c r="H483" s="103">
        <f>$C483*VLOOKUP($B483,FoodDB!$A$2:$I$1018,7,0)</f>
        <v>0</v>
      </c>
      <c r="I483" s="103">
        <f>$C483*VLOOKUP($B483,FoodDB!$A$2:$I$1018,8,0)</f>
        <v>0</v>
      </c>
      <c r="J483" s="103">
        <f>$C483*VLOOKUP($B483,FoodDB!$A$2:$I$1018,9,0)</f>
        <v>0</v>
      </c>
      <c r="K483" s="103"/>
      <c r="L483" s="103"/>
      <c r="M483" s="103"/>
      <c r="N483" s="103"/>
      <c r="O483" s="103"/>
      <c r="P483" s="103"/>
      <c r="Q483" s="103"/>
      <c r="R483" s="103"/>
      <c r="S483" s="103"/>
    </row>
    <row r="484" spans="1:19" x14ac:dyDescent="0.25">
      <c r="B484" s="99" t="s">
        <v>108</v>
      </c>
      <c r="C484" s="100">
        <v>1</v>
      </c>
      <c r="D484" s="103">
        <f>$C484*VLOOKUP($B484,FoodDB!$A$2:$I$1018,3,0)</f>
        <v>0</v>
      </c>
      <c r="E484" s="103">
        <f>$C484*VLOOKUP($B484,FoodDB!$A$2:$I$1018,4,0)</f>
        <v>0</v>
      </c>
      <c r="F484" s="103">
        <f>$C484*VLOOKUP($B484,FoodDB!$A$2:$I$1018,5,0)</f>
        <v>0</v>
      </c>
      <c r="G484" s="103">
        <f>$C484*VLOOKUP($B484,FoodDB!$A$2:$I$1018,6,0)</f>
        <v>0</v>
      </c>
      <c r="H484" s="103">
        <f>$C484*VLOOKUP($B484,FoodDB!$A$2:$I$1018,7,0)</f>
        <v>0</v>
      </c>
      <c r="I484" s="103">
        <f>$C484*VLOOKUP($B484,FoodDB!$A$2:$I$1018,8,0)</f>
        <v>0</v>
      </c>
      <c r="J484" s="103">
        <f>$C484*VLOOKUP($B484,FoodDB!$A$2:$I$1018,9,0)</f>
        <v>0</v>
      </c>
      <c r="K484" s="103"/>
      <c r="L484" s="103"/>
      <c r="M484" s="103"/>
      <c r="N484" s="103"/>
      <c r="O484" s="103"/>
      <c r="P484" s="103"/>
      <c r="Q484" s="103"/>
      <c r="R484" s="103"/>
      <c r="S484" s="103"/>
    </row>
    <row r="485" spans="1:19" x14ac:dyDescent="0.25">
      <c r="A485" t="s">
        <v>98</v>
      </c>
      <c r="D485" s="103"/>
      <c r="E485" s="103"/>
      <c r="F485" s="103"/>
      <c r="G485" s="103">
        <f>SUM(G478:G484)</f>
        <v>0</v>
      </c>
      <c r="H485" s="103">
        <f>SUM(H478:H484)</f>
        <v>0</v>
      </c>
      <c r="I485" s="103">
        <f>SUM(I478:I484)</f>
        <v>0</v>
      </c>
      <c r="J485" s="103">
        <f>SUM(G485:I485)</f>
        <v>0</v>
      </c>
      <c r="K485" s="103"/>
      <c r="L485" s="103"/>
      <c r="M485" s="103"/>
      <c r="N485" s="103"/>
      <c r="O485" s="103"/>
      <c r="P485" s="103"/>
      <c r="Q485" s="103"/>
      <c r="R485" s="103"/>
      <c r="S485" s="103"/>
    </row>
    <row r="486" spans="1:19" x14ac:dyDescent="0.25">
      <c r="A486" t="s">
        <v>102</v>
      </c>
      <c r="B486" t="s">
        <v>103</v>
      </c>
      <c r="D486" s="103"/>
      <c r="E486" s="103"/>
      <c r="F486" s="103"/>
      <c r="G486" s="103">
        <f>VLOOKUP($A478,LossChart!$A$3:$AB$105,14,0)</f>
        <v>578.50003019696101</v>
      </c>
      <c r="H486" s="103">
        <f>VLOOKUP($A478,LossChart!$A$3:$AB$105,15,0)</f>
        <v>80</v>
      </c>
      <c r="I486" s="103">
        <f>VLOOKUP($A478,LossChart!$A$3:$AB$105,16,0)</f>
        <v>477.30407413615825</v>
      </c>
      <c r="J486" s="103">
        <f>VLOOKUP($A478,LossChart!$A$3:$AB$105,17,0)</f>
        <v>1135.8041043331193</v>
      </c>
      <c r="K486" s="103"/>
      <c r="L486" s="103"/>
      <c r="M486" s="103"/>
      <c r="N486" s="103"/>
      <c r="O486" s="103"/>
      <c r="P486" s="103"/>
      <c r="Q486" s="103"/>
      <c r="R486" s="103"/>
      <c r="S486" s="103"/>
    </row>
    <row r="487" spans="1:19" x14ac:dyDescent="0.25">
      <c r="A487" t="s">
        <v>104</v>
      </c>
      <c r="D487" s="103"/>
      <c r="E487" s="103"/>
      <c r="F487" s="103"/>
      <c r="G487" s="103">
        <f>G486-G485</f>
        <v>578.50003019696101</v>
      </c>
      <c r="H487" s="103">
        <f>H486-H485</f>
        <v>80</v>
      </c>
      <c r="I487" s="103">
        <f>I486-I485</f>
        <v>477.30407413615825</v>
      </c>
      <c r="J487" s="103">
        <f>J486-J485</f>
        <v>1135.8041043331193</v>
      </c>
      <c r="K487" s="103"/>
      <c r="L487" s="103"/>
      <c r="M487" s="103"/>
      <c r="N487" s="103"/>
      <c r="O487" s="103"/>
      <c r="P487" s="103"/>
      <c r="Q487" s="103"/>
      <c r="R487" s="103"/>
      <c r="S487" s="103"/>
    </row>
    <row r="489" spans="1:19" ht="60" x14ac:dyDescent="0.25">
      <c r="A489" s="26" t="s">
        <v>63</v>
      </c>
      <c r="B489" s="26" t="s">
        <v>93</v>
      </c>
      <c r="C489" s="26" t="s">
        <v>94</v>
      </c>
      <c r="D489" s="97" t="str">
        <f>FoodDB!$C$1</f>
        <v>Fat
(g)</v>
      </c>
      <c r="E489" s="97" t="str">
        <f>FoodDB!$D$1</f>
        <v xml:space="preserve"> Carbs
(g)</v>
      </c>
      <c r="F489" s="97" t="str">
        <f>FoodDB!$E$1</f>
        <v>Protein
(g)</v>
      </c>
      <c r="G489" s="97" t="str">
        <f>FoodDB!$F$1</f>
        <v>Fat
(Cal)</v>
      </c>
      <c r="H489" s="97" t="str">
        <f>FoodDB!$G$1</f>
        <v>Carb
(Cal)</v>
      </c>
      <c r="I489" s="97" t="str">
        <f>FoodDB!$H$1</f>
        <v>Protein
(Cal)</v>
      </c>
      <c r="J489" s="97" t="str">
        <f>FoodDB!$I$1</f>
        <v>Total
Calories</v>
      </c>
      <c r="K489" s="97"/>
      <c r="L489" s="97" t="s">
        <v>110</v>
      </c>
      <c r="M489" s="97" t="s">
        <v>111</v>
      </c>
      <c r="N489" s="97" t="s">
        <v>112</v>
      </c>
      <c r="O489" s="97" t="s">
        <v>113</v>
      </c>
      <c r="P489" s="97" t="s">
        <v>118</v>
      </c>
      <c r="Q489" s="97" t="s">
        <v>119</v>
      </c>
      <c r="R489" s="97" t="s">
        <v>120</v>
      </c>
      <c r="S489" s="97" t="s">
        <v>121</v>
      </c>
    </row>
    <row r="490" spans="1:19" x14ac:dyDescent="0.25">
      <c r="A490" s="98">
        <f>A478+1</f>
        <v>43034</v>
      </c>
      <c r="B490" s="99" t="s">
        <v>108</v>
      </c>
      <c r="C490" s="100">
        <v>1</v>
      </c>
      <c r="D490" s="103">
        <f>$C490*VLOOKUP($B490,FoodDB!$A$2:$I$1018,3,0)</f>
        <v>0</v>
      </c>
      <c r="E490" s="103">
        <f>$C490*VLOOKUP($B490,FoodDB!$A$2:$I$1018,4,0)</f>
        <v>0</v>
      </c>
      <c r="F490" s="103">
        <f>$C490*VLOOKUP($B490,FoodDB!$A$2:$I$1018,5,0)</f>
        <v>0</v>
      </c>
      <c r="G490" s="103">
        <f>$C490*VLOOKUP($B490,FoodDB!$A$2:$I$1018,6,0)</f>
        <v>0</v>
      </c>
      <c r="H490" s="103">
        <f>$C490*VLOOKUP($B490,FoodDB!$A$2:$I$1018,7,0)</f>
        <v>0</v>
      </c>
      <c r="I490" s="103">
        <f>$C490*VLOOKUP($B490,FoodDB!$A$2:$I$1018,8,0)</f>
        <v>0</v>
      </c>
      <c r="J490" s="103">
        <f>$C490*VLOOKUP($B490,FoodDB!$A$2:$I$1018,9,0)</f>
        <v>0</v>
      </c>
      <c r="K490" s="103"/>
      <c r="L490" s="103">
        <f>SUM(G490:G496)</f>
        <v>0</v>
      </c>
      <c r="M490" s="103">
        <f>SUM(H490:H496)</f>
        <v>0</v>
      </c>
      <c r="N490" s="103">
        <f>SUM(I490:I496)</f>
        <v>0</v>
      </c>
      <c r="O490" s="103">
        <f>SUM(L490:N490)</f>
        <v>0</v>
      </c>
      <c r="P490" s="103">
        <f>VLOOKUP($A490,LossChart!$A$3:$AB$105,14,0)-L490</f>
        <v>584.87862028157383</v>
      </c>
      <c r="Q490" s="103">
        <f>VLOOKUP($A490,LossChart!$A$3:$AB$105,15,0)-M490</f>
        <v>80</v>
      </c>
      <c r="R490" s="103">
        <f>VLOOKUP($A490,LossChart!$A$3:$AB$105,16,0)-N490</f>
        <v>477.30407413615825</v>
      </c>
      <c r="S490" s="103">
        <f>VLOOKUP($A490,LossChart!$A$3:$AB$105,17,0)-O490</f>
        <v>1142.1826944177321</v>
      </c>
    </row>
    <row r="491" spans="1:19" x14ac:dyDescent="0.25">
      <c r="B491" s="99" t="s">
        <v>108</v>
      </c>
      <c r="C491" s="100">
        <v>1</v>
      </c>
      <c r="D491" s="103">
        <f>$C491*VLOOKUP($B491,FoodDB!$A$2:$I$1018,3,0)</f>
        <v>0</v>
      </c>
      <c r="E491" s="103">
        <f>$C491*VLOOKUP($B491,FoodDB!$A$2:$I$1018,4,0)</f>
        <v>0</v>
      </c>
      <c r="F491" s="103">
        <f>$C491*VLOOKUP($B491,FoodDB!$A$2:$I$1018,5,0)</f>
        <v>0</v>
      </c>
      <c r="G491" s="103">
        <f>$C491*VLOOKUP($B491,FoodDB!$A$2:$I$1018,6,0)</f>
        <v>0</v>
      </c>
      <c r="H491" s="103">
        <f>$C491*VLOOKUP($B491,FoodDB!$A$2:$I$1018,7,0)</f>
        <v>0</v>
      </c>
      <c r="I491" s="103">
        <f>$C491*VLOOKUP($B491,FoodDB!$A$2:$I$1018,8,0)</f>
        <v>0</v>
      </c>
      <c r="J491" s="103">
        <f>$C491*VLOOKUP($B491,FoodDB!$A$2:$I$1018,9,0)</f>
        <v>0</v>
      </c>
      <c r="K491" s="103"/>
      <c r="L491" s="103"/>
      <c r="M491" s="103"/>
      <c r="N491" s="103"/>
      <c r="O491" s="103"/>
      <c r="P491" s="103"/>
      <c r="Q491" s="103"/>
      <c r="R491" s="103"/>
      <c r="S491" s="103"/>
    </row>
    <row r="492" spans="1:19" x14ac:dyDescent="0.25">
      <c r="B492" s="99" t="s">
        <v>108</v>
      </c>
      <c r="C492" s="100">
        <v>1</v>
      </c>
      <c r="D492" s="103">
        <f>$C492*VLOOKUP($B492,FoodDB!$A$2:$I$1018,3,0)</f>
        <v>0</v>
      </c>
      <c r="E492" s="103">
        <f>$C492*VLOOKUP($B492,FoodDB!$A$2:$I$1018,4,0)</f>
        <v>0</v>
      </c>
      <c r="F492" s="103">
        <f>$C492*VLOOKUP($B492,FoodDB!$A$2:$I$1018,5,0)</f>
        <v>0</v>
      </c>
      <c r="G492" s="103">
        <f>$C492*VLOOKUP($B492,FoodDB!$A$2:$I$1018,6,0)</f>
        <v>0</v>
      </c>
      <c r="H492" s="103">
        <f>$C492*VLOOKUP($B492,FoodDB!$A$2:$I$1018,7,0)</f>
        <v>0</v>
      </c>
      <c r="I492" s="103">
        <f>$C492*VLOOKUP($B492,FoodDB!$A$2:$I$1018,8,0)</f>
        <v>0</v>
      </c>
      <c r="J492" s="103">
        <f>$C492*VLOOKUP($B492,FoodDB!$A$2:$I$1018,9,0)</f>
        <v>0</v>
      </c>
      <c r="K492" s="103"/>
      <c r="L492" s="103"/>
      <c r="M492" s="103"/>
      <c r="N492" s="103"/>
      <c r="O492" s="103"/>
      <c r="P492" s="103"/>
      <c r="Q492" s="103"/>
      <c r="R492" s="103"/>
      <c r="S492" s="103"/>
    </row>
    <row r="493" spans="1:19" x14ac:dyDescent="0.25">
      <c r="B493" s="99" t="s">
        <v>108</v>
      </c>
      <c r="C493" s="100">
        <v>1</v>
      </c>
      <c r="D493" s="103">
        <f>$C493*VLOOKUP($B493,FoodDB!$A$2:$I$1018,3,0)</f>
        <v>0</v>
      </c>
      <c r="E493" s="103">
        <f>$C493*VLOOKUP($B493,FoodDB!$A$2:$I$1018,4,0)</f>
        <v>0</v>
      </c>
      <c r="F493" s="103">
        <f>$C493*VLOOKUP($B493,FoodDB!$A$2:$I$1018,5,0)</f>
        <v>0</v>
      </c>
      <c r="G493" s="103">
        <f>$C493*VLOOKUP($B493,FoodDB!$A$2:$I$1018,6,0)</f>
        <v>0</v>
      </c>
      <c r="H493" s="103">
        <f>$C493*VLOOKUP($B493,FoodDB!$A$2:$I$1018,7,0)</f>
        <v>0</v>
      </c>
      <c r="I493" s="103">
        <f>$C493*VLOOKUP($B493,FoodDB!$A$2:$I$1018,8,0)</f>
        <v>0</v>
      </c>
      <c r="J493" s="103">
        <f>$C493*VLOOKUP($B493,FoodDB!$A$2:$I$1018,9,0)</f>
        <v>0</v>
      </c>
      <c r="K493" s="103"/>
      <c r="L493" s="103"/>
      <c r="M493" s="103"/>
      <c r="N493" s="103"/>
      <c r="O493" s="103"/>
      <c r="P493" s="103"/>
      <c r="Q493" s="103"/>
      <c r="R493" s="103"/>
      <c r="S493" s="103"/>
    </row>
    <row r="494" spans="1:19" x14ac:dyDescent="0.25">
      <c r="B494" s="99" t="s">
        <v>108</v>
      </c>
      <c r="C494" s="100">
        <v>1</v>
      </c>
      <c r="D494" s="103">
        <f>$C494*VLOOKUP($B494,FoodDB!$A$2:$I$1018,3,0)</f>
        <v>0</v>
      </c>
      <c r="E494" s="103">
        <f>$C494*VLOOKUP($B494,FoodDB!$A$2:$I$1018,4,0)</f>
        <v>0</v>
      </c>
      <c r="F494" s="103">
        <f>$C494*VLOOKUP($B494,FoodDB!$A$2:$I$1018,5,0)</f>
        <v>0</v>
      </c>
      <c r="G494" s="103">
        <f>$C494*VLOOKUP($B494,FoodDB!$A$2:$I$1018,6,0)</f>
        <v>0</v>
      </c>
      <c r="H494" s="103">
        <f>$C494*VLOOKUP($B494,FoodDB!$A$2:$I$1018,7,0)</f>
        <v>0</v>
      </c>
      <c r="I494" s="103">
        <f>$C494*VLOOKUP($B494,FoodDB!$A$2:$I$1018,8,0)</f>
        <v>0</v>
      </c>
      <c r="J494" s="103">
        <f>$C494*VLOOKUP($B494,FoodDB!$A$2:$I$1018,9,0)</f>
        <v>0</v>
      </c>
      <c r="K494" s="103"/>
      <c r="L494" s="103"/>
      <c r="M494" s="103"/>
      <c r="N494" s="103"/>
      <c r="O494" s="103"/>
      <c r="P494" s="103"/>
      <c r="Q494" s="103"/>
      <c r="R494" s="103"/>
      <c r="S494" s="103"/>
    </row>
    <row r="495" spans="1:19" x14ac:dyDescent="0.25">
      <c r="B495" s="99" t="s">
        <v>108</v>
      </c>
      <c r="C495" s="100">
        <v>1</v>
      </c>
      <c r="D495" s="103">
        <f>$C495*VLOOKUP($B495,FoodDB!$A$2:$I$1018,3,0)</f>
        <v>0</v>
      </c>
      <c r="E495" s="103">
        <f>$C495*VLOOKUP($B495,FoodDB!$A$2:$I$1018,4,0)</f>
        <v>0</v>
      </c>
      <c r="F495" s="103">
        <f>$C495*VLOOKUP($B495,FoodDB!$A$2:$I$1018,5,0)</f>
        <v>0</v>
      </c>
      <c r="G495" s="103">
        <f>$C495*VLOOKUP($B495,FoodDB!$A$2:$I$1018,6,0)</f>
        <v>0</v>
      </c>
      <c r="H495" s="103">
        <f>$C495*VLOOKUP($B495,FoodDB!$A$2:$I$1018,7,0)</f>
        <v>0</v>
      </c>
      <c r="I495" s="103">
        <f>$C495*VLOOKUP($B495,FoodDB!$A$2:$I$1018,8,0)</f>
        <v>0</v>
      </c>
      <c r="J495" s="103">
        <f>$C495*VLOOKUP($B495,FoodDB!$A$2:$I$1018,9,0)</f>
        <v>0</v>
      </c>
      <c r="K495" s="103"/>
      <c r="L495" s="103"/>
      <c r="M495" s="103"/>
      <c r="N495" s="103"/>
      <c r="O495" s="103"/>
      <c r="P495" s="103"/>
      <c r="Q495" s="103"/>
      <c r="R495" s="103"/>
      <c r="S495" s="103"/>
    </row>
    <row r="496" spans="1:19" x14ac:dyDescent="0.25">
      <c r="B496" s="99" t="s">
        <v>108</v>
      </c>
      <c r="C496" s="100">
        <v>1</v>
      </c>
      <c r="D496" s="103">
        <f>$C496*VLOOKUP($B496,FoodDB!$A$2:$I$1018,3,0)</f>
        <v>0</v>
      </c>
      <c r="E496" s="103">
        <f>$C496*VLOOKUP($B496,FoodDB!$A$2:$I$1018,4,0)</f>
        <v>0</v>
      </c>
      <c r="F496" s="103">
        <f>$C496*VLOOKUP($B496,FoodDB!$A$2:$I$1018,5,0)</f>
        <v>0</v>
      </c>
      <c r="G496" s="103">
        <f>$C496*VLOOKUP($B496,FoodDB!$A$2:$I$1018,6,0)</f>
        <v>0</v>
      </c>
      <c r="H496" s="103">
        <f>$C496*VLOOKUP($B496,FoodDB!$A$2:$I$1018,7,0)</f>
        <v>0</v>
      </c>
      <c r="I496" s="103">
        <f>$C496*VLOOKUP($B496,FoodDB!$A$2:$I$1018,8,0)</f>
        <v>0</v>
      </c>
      <c r="J496" s="103">
        <f>$C496*VLOOKUP($B496,FoodDB!$A$2:$I$1018,9,0)</f>
        <v>0</v>
      </c>
      <c r="K496" s="103"/>
      <c r="L496" s="103"/>
      <c r="M496" s="103"/>
      <c r="N496" s="103"/>
      <c r="O496" s="103"/>
      <c r="P496" s="103"/>
      <c r="Q496" s="103"/>
      <c r="R496" s="103"/>
      <c r="S496" s="103"/>
    </row>
    <row r="497" spans="1:19" x14ac:dyDescent="0.25">
      <c r="A497" t="s">
        <v>98</v>
      </c>
      <c r="D497" s="103"/>
      <c r="E497" s="103"/>
      <c r="F497" s="103"/>
      <c r="G497" s="103">
        <f>SUM(G490:G496)</f>
        <v>0</v>
      </c>
      <c r="H497" s="103">
        <f>SUM(H490:H496)</f>
        <v>0</v>
      </c>
      <c r="I497" s="103">
        <f>SUM(I490:I496)</f>
        <v>0</v>
      </c>
      <c r="J497" s="103">
        <f>SUM(G497:I497)</f>
        <v>0</v>
      </c>
      <c r="K497" s="103"/>
      <c r="L497" s="103"/>
      <c r="M497" s="103"/>
      <c r="N497" s="103"/>
      <c r="O497" s="103"/>
      <c r="P497" s="103"/>
      <c r="Q497" s="103"/>
      <c r="R497" s="103"/>
      <c r="S497" s="103"/>
    </row>
    <row r="498" spans="1:19" x14ac:dyDescent="0.25">
      <c r="A498" t="s">
        <v>102</v>
      </c>
      <c r="B498" t="s">
        <v>103</v>
      </c>
      <c r="D498" s="103"/>
      <c r="E498" s="103"/>
      <c r="F498" s="103"/>
      <c r="G498" s="103">
        <f>VLOOKUP($A490,LossChart!$A$3:$AB$105,14,0)</f>
        <v>584.87862028157383</v>
      </c>
      <c r="H498" s="103">
        <f>VLOOKUP($A490,LossChart!$A$3:$AB$105,15,0)</f>
        <v>80</v>
      </c>
      <c r="I498" s="103">
        <f>VLOOKUP($A490,LossChart!$A$3:$AB$105,16,0)</f>
        <v>477.30407413615825</v>
      </c>
      <c r="J498" s="103">
        <f>VLOOKUP($A490,LossChart!$A$3:$AB$105,17,0)</f>
        <v>1142.1826944177321</v>
      </c>
      <c r="K498" s="103"/>
      <c r="L498" s="103"/>
      <c r="M498" s="103"/>
      <c r="N498" s="103"/>
      <c r="O498" s="103"/>
      <c r="P498" s="103"/>
      <c r="Q498" s="103"/>
      <c r="R498" s="103"/>
      <c r="S498" s="103"/>
    </row>
    <row r="499" spans="1:19" x14ac:dyDescent="0.25">
      <c r="A499" t="s">
        <v>104</v>
      </c>
      <c r="D499" s="103"/>
      <c r="E499" s="103"/>
      <c r="F499" s="103"/>
      <c r="G499" s="103">
        <f>G498-G497</f>
        <v>584.87862028157383</v>
      </c>
      <c r="H499" s="103">
        <f>H498-H497</f>
        <v>80</v>
      </c>
      <c r="I499" s="103">
        <f>I498-I497</f>
        <v>477.30407413615825</v>
      </c>
      <c r="J499" s="103">
        <f>J498-J497</f>
        <v>1142.1826944177321</v>
      </c>
      <c r="K499" s="103"/>
      <c r="L499" s="103"/>
      <c r="M499" s="103"/>
      <c r="N499" s="103"/>
      <c r="O499" s="103"/>
      <c r="P499" s="103"/>
      <c r="Q499" s="103"/>
      <c r="R499" s="103"/>
      <c r="S499" s="103"/>
    </row>
    <row r="501" spans="1:19" ht="60" x14ac:dyDescent="0.25">
      <c r="A501" s="26" t="s">
        <v>63</v>
      </c>
      <c r="B501" s="26" t="s">
        <v>93</v>
      </c>
      <c r="C501" s="26" t="s">
        <v>94</v>
      </c>
      <c r="D501" s="97" t="str">
        <f>FoodDB!$C$1</f>
        <v>Fat
(g)</v>
      </c>
      <c r="E501" s="97" t="str">
        <f>FoodDB!$D$1</f>
        <v xml:space="preserve"> Carbs
(g)</v>
      </c>
      <c r="F501" s="97" t="str">
        <f>FoodDB!$E$1</f>
        <v>Protein
(g)</v>
      </c>
      <c r="G501" s="97" t="str">
        <f>FoodDB!$F$1</f>
        <v>Fat
(Cal)</v>
      </c>
      <c r="H501" s="97" t="str">
        <f>FoodDB!$G$1</f>
        <v>Carb
(Cal)</v>
      </c>
      <c r="I501" s="97" t="str">
        <f>FoodDB!$H$1</f>
        <v>Protein
(Cal)</v>
      </c>
      <c r="J501" s="97" t="str">
        <f>FoodDB!$I$1</f>
        <v>Total
Calories</v>
      </c>
      <c r="K501" s="97"/>
      <c r="L501" s="97" t="s">
        <v>110</v>
      </c>
      <c r="M501" s="97" t="s">
        <v>111</v>
      </c>
      <c r="N501" s="97" t="s">
        <v>112</v>
      </c>
      <c r="O501" s="97" t="s">
        <v>113</v>
      </c>
      <c r="P501" s="97" t="s">
        <v>118</v>
      </c>
      <c r="Q501" s="97" t="s">
        <v>119</v>
      </c>
      <c r="R501" s="97" t="s">
        <v>120</v>
      </c>
      <c r="S501" s="97" t="s">
        <v>121</v>
      </c>
    </row>
    <row r="502" spans="1:19" x14ac:dyDescent="0.25">
      <c r="A502" s="98">
        <f>A490+1</f>
        <v>43035</v>
      </c>
      <c r="B502" s="99" t="s">
        <v>108</v>
      </c>
      <c r="C502" s="100">
        <v>1</v>
      </c>
      <c r="D502" s="103">
        <f>$C502*VLOOKUP($B502,FoodDB!$A$2:$I$1018,3,0)</f>
        <v>0</v>
      </c>
      <c r="E502" s="103">
        <f>$C502*VLOOKUP($B502,FoodDB!$A$2:$I$1018,4,0)</f>
        <v>0</v>
      </c>
      <c r="F502" s="103">
        <f>$C502*VLOOKUP($B502,FoodDB!$A$2:$I$1018,5,0)</f>
        <v>0</v>
      </c>
      <c r="G502" s="103">
        <f>$C502*VLOOKUP($B502,FoodDB!$A$2:$I$1018,6,0)</f>
        <v>0</v>
      </c>
      <c r="H502" s="103">
        <f>$C502*VLOOKUP($B502,FoodDB!$A$2:$I$1018,7,0)</f>
        <v>0</v>
      </c>
      <c r="I502" s="103">
        <f>$C502*VLOOKUP($B502,FoodDB!$A$2:$I$1018,8,0)</f>
        <v>0</v>
      </c>
      <c r="J502" s="103">
        <f>$C502*VLOOKUP($B502,FoodDB!$A$2:$I$1018,9,0)</f>
        <v>0</v>
      </c>
      <c r="K502" s="103"/>
      <c r="L502" s="103">
        <f>SUM(G502:G508)</f>
        <v>0</v>
      </c>
      <c r="M502" s="103">
        <f>SUM(H502:H508)</f>
        <v>0</v>
      </c>
      <c r="N502" s="103">
        <f>SUM(I502:I508)</f>
        <v>0</v>
      </c>
      <c r="O502" s="103">
        <f>SUM(L502:N502)</f>
        <v>0</v>
      </c>
      <c r="P502" s="103">
        <f>VLOOKUP($A502,LossChart!$A$3:$AB$105,14,0)-L502</f>
        <v>591.20071428258007</v>
      </c>
      <c r="Q502" s="103">
        <f>VLOOKUP($A502,LossChart!$A$3:$AB$105,15,0)-M502</f>
        <v>80</v>
      </c>
      <c r="R502" s="103">
        <f>VLOOKUP($A502,LossChart!$A$3:$AB$105,16,0)-N502</f>
        <v>477.30407413615825</v>
      </c>
      <c r="S502" s="103">
        <f>VLOOKUP($A502,LossChart!$A$3:$AB$105,17,0)-O502</f>
        <v>1148.5047884187384</v>
      </c>
    </row>
    <row r="503" spans="1:19" x14ac:dyDescent="0.25">
      <c r="B503" s="99" t="s">
        <v>108</v>
      </c>
      <c r="C503" s="100">
        <v>1</v>
      </c>
      <c r="D503" s="103">
        <f>$C503*VLOOKUP($B503,FoodDB!$A$2:$I$1018,3,0)</f>
        <v>0</v>
      </c>
      <c r="E503" s="103">
        <f>$C503*VLOOKUP($B503,FoodDB!$A$2:$I$1018,4,0)</f>
        <v>0</v>
      </c>
      <c r="F503" s="103">
        <f>$C503*VLOOKUP($B503,FoodDB!$A$2:$I$1018,5,0)</f>
        <v>0</v>
      </c>
      <c r="G503" s="103">
        <f>$C503*VLOOKUP($B503,FoodDB!$A$2:$I$1018,6,0)</f>
        <v>0</v>
      </c>
      <c r="H503" s="103">
        <f>$C503*VLOOKUP($B503,FoodDB!$A$2:$I$1018,7,0)</f>
        <v>0</v>
      </c>
      <c r="I503" s="103">
        <f>$C503*VLOOKUP($B503,FoodDB!$A$2:$I$1018,8,0)</f>
        <v>0</v>
      </c>
      <c r="J503" s="103">
        <f>$C503*VLOOKUP($B503,FoodDB!$A$2:$I$1018,9,0)</f>
        <v>0</v>
      </c>
      <c r="K503" s="103"/>
      <c r="L503" s="103"/>
      <c r="M503" s="103"/>
      <c r="N503" s="103"/>
      <c r="O503" s="103"/>
      <c r="P503" s="103"/>
      <c r="Q503" s="103"/>
      <c r="R503" s="103"/>
      <c r="S503" s="103"/>
    </row>
    <row r="504" spans="1:19" x14ac:dyDescent="0.25">
      <c r="B504" s="99" t="s">
        <v>108</v>
      </c>
      <c r="C504" s="100">
        <v>1</v>
      </c>
      <c r="D504" s="103">
        <f>$C504*VLOOKUP($B504,FoodDB!$A$2:$I$1018,3,0)</f>
        <v>0</v>
      </c>
      <c r="E504" s="103">
        <f>$C504*VLOOKUP($B504,FoodDB!$A$2:$I$1018,4,0)</f>
        <v>0</v>
      </c>
      <c r="F504" s="103">
        <f>$C504*VLOOKUP($B504,FoodDB!$A$2:$I$1018,5,0)</f>
        <v>0</v>
      </c>
      <c r="G504" s="103">
        <f>$C504*VLOOKUP($B504,FoodDB!$A$2:$I$1018,6,0)</f>
        <v>0</v>
      </c>
      <c r="H504" s="103">
        <f>$C504*VLOOKUP($B504,FoodDB!$A$2:$I$1018,7,0)</f>
        <v>0</v>
      </c>
      <c r="I504" s="103">
        <f>$C504*VLOOKUP($B504,FoodDB!$A$2:$I$1018,8,0)</f>
        <v>0</v>
      </c>
      <c r="J504" s="103">
        <f>$C504*VLOOKUP($B504,FoodDB!$A$2:$I$1018,9,0)</f>
        <v>0</v>
      </c>
      <c r="K504" s="103"/>
      <c r="L504" s="103"/>
      <c r="M504" s="103"/>
      <c r="N504" s="103"/>
      <c r="O504" s="103"/>
      <c r="P504" s="103"/>
      <c r="Q504" s="103"/>
      <c r="R504" s="103"/>
      <c r="S504" s="103"/>
    </row>
    <row r="505" spans="1:19" x14ac:dyDescent="0.25">
      <c r="B505" s="99" t="s">
        <v>108</v>
      </c>
      <c r="C505" s="100">
        <v>1</v>
      </c>
      <c r="D505" s="103">
        <f>$C505*VLOOKUP($B505,FoodDB!$A$2:$I$1018,3,0)</f>
        <v>0</v>
      </c>
      <c r="E505" s="103">
        <f>$C505*VLOOKUP($B505,FoodDB!$A$2:$I$1018,4,0)</f>
        <v>0</v>
      </c>
      <c r="F505" s="103">
        <f>$C505*VLOOKUP($B505,FoodDB!$A$2:$I$1018,5,0)</f>
        <v>0</v>
      </c>
      <c r="G505" s="103">
        <f>$C505*VLOOKUP($B505,FoodDB!$A$2:$I$1018,6,0)</f>
        <v>0</v>
      </c>
      <c r="H505" s="103">
        <f>$C505*VLOOKUP($B505,FoodDB!$A$2:$I$1018,7,0)</f>
        <v>0</v>
      </c>
      <c r="I505" s="103">
        <f>$C505*VLOOKUP($B505,FoodDB!$A$2:$I$1018,8,0)</f>
        <v>0</v>
      </c>
      <c r="J505" s="103">
        <f>$C505*VLOOKUP($B505,FoodDB!$A$2:$I$1018,9,0)</f>
        <v>0</v>
      </c>
      <c r="K505" s="103"/>
      <c r="L505" s="103"/>
      <c r="M505" s="103"/>
      <c r="N505" s="103"/>
      <c r="O505" s="103"/>
      <c r="P505" s="103"/>
      <c r="Q505" s="103"/>
      <c r="R505" s="103"/>
      <c r="S505" s="103"/>
    </row>
    <row r="506" spans="1:19" x14ac:dyDescent="0.25">
      <c r="B506" s="99" t="s">
        <v>108</v>
      </c>
      <c r="C506" s="100">
        <v>1</v>
      </c>
      <c r="D506" s="103">
        <f>$C506*VLOOKUP($B506,FoodDB!$A$2:$I$1018,3,0)</f>
        <v>0</v>
      </c>
      <c r="E506" s="103">
        <f>$C506*VLOOKUP($B506,FoodDB!$A$2:$I$1018,4,0)</f>
        <v>0</v>
      </c>
      <c r="F506" s="103">
        <f>$C506*VLOOKUP($B506,FoodDB!$A$2:$I$1018,5,0)</f>
        <v>0</v>
      </c>
      <c r="G506" s="103">
        <f>$C506*VLOOKUP($B506,FoodDB!$A$2:$I$1018,6,0)</f>
        <v>0</v>
      </c>
      <c r="H506" s="103">
        <f>$C506*VLOOKUP($B506,FoodDB!$A$2:$I$1018,7,0)</f>
        <v>0</v>
      </c>
      <c r="I506" s="103">
        <f>$C506*VLOOKUP($B506,FoodDB!$A$2:$I$1018,8,0)</f>
        <v>0</v>
      </c>
      <c r="J506" s="103">
        <f>$C506*VLOOKUP($B506,FoodDB!$A$2:$I$1018,9,0)</f>
        <v>0</v>
      </c>
      <c r="K506" s="103"/>
      <c r="L506" s="103"/>
      <c r="M506" s="103"/>
      <c r="N506" s="103"/>
      <c r="O506" s="103"/>
      <c r="P506" s="103"/>
      <c r="Q506" s="103"/>
      <c r="R506" s="103"/>
      <c r="S506" s="103"/>
    </row>
    <row r="507" spans="1:19" x14ac:dyDescent="0.25">
      <c r="B507" s="99" t="s">
        <v>108</v>
      </c>
      <c r="C507" s="100">
        <v>1</v>
      </c>
      <c r="D507" s="103">
        <f>$C507*VLOOKUP($B507,FoodDB!$A$2:$I$1018,3,0)</f>
        <v>0</v>
      </c>
      <c r="E507" s="103">
        <f>$C507*VLOOKUP($B507,FoodDB!$A$2:$I$1018,4,0)</f>
        <v>0</v>
      </c>
      <c r="F507" s="103">
        <f>$C507*VLOOKUP($B507,FoodDB!$A$2:$I$1018,5,0)</f>
        <v>0</v>
      </c>
      <c r="G507" s="103">
        <f>$C507*VLOOKUP($B507,FoodDB!$A$2:$I$1018,6,0)</f>
        <v>0</v>
      </c>
      <c r="H507" s="103">
        <f>$C507*VLOOKUP($B507,FoodDB!$A$2:$I$1018,7,0)</f>
        <v>0</v>
      </c>
      <c r="I507" s="103">
        <f>$C507*VLOOKUP($B507,FoodDB!$A$2:$I$1018,8,0)</f>
        <v>0</v>
      </c>
      <c r="J507" s="103">
        <f>$C507*VLOOKUP($B507,FoodDB!$A$2:$I$1018,9,0)</f>
        <v>0</v>
      </c>
      <c r="K507" s="103"/>
      <c r="L507" s="103"/>
      <c r="M507" s="103"/>
      <c r="N507" s="103"/>
      <c r="O507" s="103"/>
      <c r="P507" s="103"/>
      <c r="Q507" s="103"/>
      <c r="R507" s="103"/>
      <c r="S507" s="103"/>
    </row>
    <row r="508" spans="1:19" x14ac:dyDescent="0.25">
      <c r="B508" s="99" t="s">
        <v>108</v>
      </c>
      <c r="C508" s="100">
        <v>1</v>
      </c>
      <c r="D508" s="103">
        <f>$C508*VLOOKUP($B508,FoodDB!$A$2:$I$1018,3,0)</f>
        <v>0</v>
      </c>
      <c r="E508" s="103">
        <f>$C508*VLOOKUP($B508,FoodDB!$A$2:$I$1018,4,0)</f>
        <v>0</v>
      </c>
      <c r="F508" s="103">
        <f>$C508*VLOOKUP($B508,FoodDB!$A$2:$I$1018,5,0)</f>
        <v>0</v>
      </c>
      <c r="G508" s="103">
        <f>$C508*VLOOKUP($B508,FoodDB!$A$2:$I$1018,6,0)</f>
        <v>0</v>
      </c>
      <c r="H508" s="103">
        <f>$C508*VLOOKUP($B508,FoodDB!$A$2:$I$1018,7,0)</f>
        <v>0</v>
      </c>
      <c r="I508" s="103">
        <f>$C508*VLOOKUP($B508,FoodDB!$A$2:$I$1018,8,0)</f>
        <v>0</v>
      </c>
      <c r="J508" s="103">
        <f>$C508*VLOOKUP($B508,FoodDB!$A$2:$I$1018,9,0)</f>
        <v>0</v>
      </c>
      <c r="K508" s="103"/>
      <c r="L508" s="103"/>
      <c r="M508" s="103"/>
      <c r="N508" s="103"/>
      <c r="O508" s="103"/>
      <c r="P508" s="103"/>
      <c r="Q508" s="103"/>
      <c r="R508" s="103"/>
      <c r="S508" s="103"/>
    </row>
    <row r="509" spans="1:19" x14ac:dyDescent="0.25">
      <c r="A509" t="s">
        <v>98</v>
      </c>
      <c r="D509" s="103"/>
      <c r="E509" s="103"/>
      <c r="F509" s="103"/>
      <c r="G509" s="103">
        <f>SUM(G502:G508)</f>
        <v>0</v>
      </c>
      <c r="H509" s="103">
        <f>SUM(H502:H508)</f>
        <v>0</v>
      </c>
      <c r="I509" s="103">
        <f>SUM(I502:I508)</f>
        <v>0</v>
      </c>
      <c r="J509" s="103">
        <f>SUM(G509:I509)</f>
        <v>0</v>
      </c>
      <c r="K509" s="103"/>
      <c r="L509" s="103"/>
      <c r="M509" s="103"/>
      <c r="N509" s="103"/>
      <c r="O509" s="103"/>
      <c r="P509" s="103"/>
      <c r="Q509" s="103"/>
      <c r="R509" s="103"/>
      <c r="S509" s="103"/>
    </row>
    <row r="510" spans="1:19" x14ac:dyDescent="0.25">
      <c r="A510" t="s">
        <v>102</v>
      </c>
      <c r="B510" t="s">
        <v>103</v>
      </c>
      <c r="D510" s="103"/>
      <c r="E510" s="103"/>
      <c r="F510" s="103"/>
      <c r="G510" s="103">
        <f>VLOOKUP($A502,LossChart!$A$3:$AB$105,14,0)</f>
        <v>591.20071428258007</v>
      </c>
      <c r="H510" s="103">
        <f>VLOOKUP($A502,LossChart!$A$3:$AB$105,15,0)</f>
        <v>80</v>
      </c>
      <c r="I510" s="103">
        <f>VLOOKUP($A502,LossChart!$A$3:$AB$105,16,0)</f>
        <v>477.30407413615825</v>
      </c>
      <c r="J510" s="103">
        <f>VLOOKUP($A502,LossChart!$A$3:$AB$105,17,0)</f>
        <v>1148.5047884187384</v>
      </c>
      <c r="K510" s="103"/>
      <c r="L510" s="103"/>
      <c r="M510" s="103"/>
      <c r="N510" s="103"/>
      <c r="O510" s="103"/>
      <c r="P510" s="103"/>
      <c r="Q510" s="103"/>
      <c r="R510" s="103"/>
      <c r="S510" s="103"/>
    </row>
    <row r="511" spans="1:19" x14ac:dyDescent="0.25">
      <c r="A511" t="s">
        <v>104</v>
      </c>
      <c r="D511" s="103"/>
      <c r="E511" s="103"/>
      <c r="F511" s="103"/>
      <c r="G511" s="103">
        <f>G510-G509</f>
        <v>591.20071428258007</v>
      </c>
      <c r="H511" s="103">
        <f>H510-H509</f>
        <v>80</v>
      </c>
      <c r="I511" s="103">
        <f>I510-I509</f>
        <v>477.30407413615825</v>
      </c>
      <c r="J511" s="103">
        <f>J510-J509</f>
        <v>1148.5047884187384</v>
      </c>
      <c r="K511" s="103"/>
      <c r="L511" s="103"/>
      <c r="M511" s="103"/>
      <c r="N511" s="103"/>
      <c r="O511" s="103"/>
      <c r="P511" s="103"/>
      <c r="Q511" s="103"/>
      <c r="R511" s="103"/>
      <c r="S511" s="103"/>
    </row>
    <row r="513" spans="1:19" ht="60" x14ac:dyDescent="0.25">
      <c r="A513" s="26" t="s">
        <v>63</v>
      </c>
      <c r="B513" s="26" t="s">
        <v>93</v>
      </c>
      <c r="C513" s="26" t="s">
        <v>94</v>
      </c>
      <c r="D513" s="97" t="str">
        <f>FoodDB!$C$1</f>
        <v>Fat
(g)</v>
      </c>
      <c r="E513" s="97" t="str">
        <f>FoodDB!$D$1</f>
        <v xml:space="preserve"> Carbs
(g)</v>
      </c>
      <c r="F513" s="97" t="str">
        <f>FoodDB!$E$1</f>
        <v>Protein
(g)</v>
      </c>
      <c r="G513" s="97" t="str">
        <f>FoodDB!$F$1</f>
        <v>Fat
(Cal)</v>
      </c>
      <c r="H513" s="97" t="str">
        <f>FoodDB!$G$1</f>
        <v>Carb
(Cal)</v>
      </c>
      <c r="I513" s="97" t="str">
        <f>FoodDB!$H$1</f>
        <v>Protein
(Cal)</v>
      </c>
      <c r="J513" s="97" t="str">
        <f>FoodDB!$I$1</f>
        <v>Total
Calories</v>
      </c>
      <c r="K513" s="97"/>
      <c r="L513" s="97" t="s">
        <v>110</v>
      </c>
      <c r="M513" s="97" t="s">
        <v>111</v>
      </c>
      <c r="N513" s="97" t="s">
        <v>112</v>
      </c>
      <c r="O513" s="97" t="s">
        <v>113</v>
      </c>
      <c r="P513" s="97" t="s">
        <v>118</v>
      </c>
      <c r="Q513" s="97" t="s">
        <v>119</v>
      </c>
      <c r="R513" s="97" t="s">
        <v>120</v>
      </c>
      <c r="S513" s="97" t="s">
        <v>121</v>
      </c>
    </row>
    <row r="514" spans="1:19" x14ac:dyDescent="0.25">
      <c r="A514" s="98">
        <f>A502+1</f>
        <v>43036</v>
      </c>
      <c r="B514" s="99" t="s">
        <v>108</v>
      </c>
      <c r="C514" s="100">
        <v>1</v>
      </c>
      <c r="D514" s="103">
        <f>$C514*VLOOKUP($B514,FoodDB!$A$2:$I$1018,3,0)</f>
        <v>0</v>
      </c>
      <c r="E514" s="103">
        <f>$C514*VLOOKUP($B514,FoodDB!$A$2:$I$1018,4,0)</f>
        <v>0</v>
      </c>
      <c r="F514" s="103">
        <f>$C514*VLOOKUP($B514,FoodDB!$A$2:$I$1018,5,0)</f>
        <v>0</v>
      </c>
      <c r="G514" s="103">
        <f>$C514*VLOOKUP($B514,FoodDB!$A$2:$I$1018,6,0)</f>
        <v>0</v>
      </c>
      <c r="H514" s="103">
        <f>$C514*VLOOKUP($B514,FoodDB!$A$2:$I$1018,7,0)</f>
        <v>0</v>
      </c>
      <c r="I514" s="103">
        <f>$C514*VLOOKUP($B514,FoodDB!$A$2:$I$1018,8,0)</f>
        <v>0</v>
      </c>
      <c r="J514" s="103">
        <f>$C514*VLOOKUP($B514,FoodDB!$A$2:$I$1018,9,0)</f>
        <v>0</v>
      </c>
      <c r="K514" s="103"/>
      <c r="L514" s="103">
        <f>SUM(G514:G520)</f>
        <v>0</v>
      </c>
      <c r="M514" s="103">
        <f>SUM(H514:H520)</f>
        <v>0</v>
      </c>
      <c r="N514" s="103">
        <f>SUM(I514:I520)</f>
        <v>0</v>
      </c>
      <c r="O514" s="103">
        <f>SUM(L514:N514)</f>
        <v>0</v>
      </c>
      <c r="P514" s="103">
        <f>VLOOKUP($A514,LossChart!$A$3:$AB$105,14,0)-L514</f>
        <v>597.4668125938631</v>
      </c>
      <c r="Q514" s="103">
        <f>VLOOKUP($A514,LossChart!$A$3:$AB$105,15,0)-M514</f>
        <v>80</v>
      </c>
      <c r="R514" s="103">
        <f>VLOOKUP($A514,LossChart!$A$3:$AB$105,16,0)-N514</f>
        <v>477.30407413615825</v>
      </c>
      <c r="S514" s="103">
        <f>VLOOKUP($A514,LossChart!$A$3:$AB$105,17,0)-O514</f>
        <v>1154.7708867300214</v>
      </c>
    </row>
    <row r="515" spans="1:19" x14ac:dyDescent="0.25">
      <c r="B515" s="99" t="s">
        <v>108</v>
      </c>
      <c r="C515" s="100">
        <v>1</v>
      </c>
      <c r="D515" s="103">
        <f>$C515*VLOOKUP($B515,FoodDB!$A$2:$I$1018,3,0)</f>
        <v>0</v>
      </c>
      <c r="E515" s="103">
        <f>$C515*VLOOKUP($B515,FoodDB!$A$2:$I$1018,4,0)</f>
        <v>0</v>
      </c>
      <c r="F515" s="103">
        <f>$C515*VLOOKUP($B515,FoodDB!$A$2:$I$1018,5,0)</f>
        <v>0</v>
      </c>
      <c r="G515" s="103">
        <f>$C515*VLOOKUP($B515,FoodDB!$A$2:$I$1018,6,0)</f>
        <v>0</v>
      </c>
      <c r="H515" s="103">
        <f>$C515*VLOOKUP($B515,FoodDB!$A$2:$I$1018,7,0)</f>
        <v>0</v>
      </c>
      <c r="I515" s="103">
        <f>$C515*VLOOKUP($B515,FoodDB!$A$2:$I$1018,8,0)</f>
        <v>0</v>
      </c>
      <c r="J515" s="103">
        <f>$C515*VLOOKUP($B515,FoodDB!$A$2:$I$1018,9,0)</f>
        <v>0</v>
      </c>
      <c r="K515" s="103"/>
      <c r="L515" s="103"/>
      <c r="M515" s="103"/>
      <c r="N515" s="103"/>
      <c r="O515" s="103"/>
      <c r="P515" s="103"/>
      <c r="Q515" s="103"/>
      <c r="R515" s="103"/>
      <c r="S515" s="103"/>
    </row>
    <row r="516" spans="1:19" x14ac:dyDescent="0.25">
      <c r="B516" s="99" t="s">
        <v>108</v>
      </c>
      <c r="C516" s="100">
        <v>1</v>
      </c>
      <c r="D516" s="103">
        <f>$C516*VLOOKUP($B516,FoodDB!$A$2:$I$1018,3,0)</f>
        <v>0</v>
      </c>
      <c r="E516" s="103">
        <f>$C516*VLOOKUP($B516,FoodDB!$A$2:$I$1018,4,0)</f>
        <v>0</v>
      </c>
      <c r="F516" s="103">
        <f>$C516*VLOOKUP($B516,FoodDB!$A$2:$I$1018,5,0)</f>
        <v>0</v>
      </c>
      <c r="G516" s="103">
        <f>$C516*VLOOKUP($B516,FoodDB!$A$2:$I$1018,6,0)</f>
        <v>0</v>
      </c>
      <c r="H516" s="103">
        <f>$C516*VLOOKUP($B516,FoodDB!$A$2:$I$1018,7,0)</f>
        <v>0</v>
      </c>
      <c r="I516" s="103">
        <f>$C516*VLOOKUP($B516,FoodDB!$A$2:$I$1018,8,0)</f>
        <v>0</v>
      </c>
      <c r="J516" s="103">
        <f>$C516*VLOOKUP($B516,FoodDB!$A$2:$I$1018,9,0)</f>
        <v>0</v>
      </c>
      <c r="K516" s="103"/>
      <c r="L516" s="103"/>
      <c r="M516" s="103"/>
      <c r="N516" s="103"/>
      <c r="O516" s="103"/>
      <c r="P516" s="103"/>
      <c r="Q516" s="103"/>
      <c r="R516" s="103"/>
      <c r="S516" s="103"/>
    </row>
    <row r="517" spans="1:19" x14ac:dyDescent="0.25">
      <c r="B517" s="99" t="s">
        <v>108</v>
      </c>
      <c r="C517" s="100">
        <v>1</v>
      </c>
      <c r="D517" s="103">
        <f>$C517*VLOOKUP($B517,FoodDB!$A$2:$I$1018,3,0)</f>
        <v>0</v>
      </c>
      <c r="E517" s="103">
        <f>$C517*VLOOKUP($B517,FoodDB!$A$2:$I$1018,4,0)</f>
        <v>0</v>
      </c>
      <c r="F517" s="103">
        <f>$C517*VLOOKUP($B517,FoodDB!$A$2:$I$1018,5,0)</f>
        <v>0</v>
      </c>
      <c r="G517" s="103">
        <f>$C517*VLOOKUP($B517,FoodDB!$A$2:$I$1018,6,0)</f>
        <v>0</v>
      </c>
      <c r="H517" s="103">
        <f>$C517*VLOOKUP($B517,FoodDB!$A$2:$I$1018,7,0)</f>
        <v>0</v>
      </c>
      <c r="I517" s="103">
        <f>$C517*VLOOKUP($B517,FoodDB!$A$2:$I$1018,8,0)</f>
        <v>0</v>
      </c>
      <c r="J517" s="103">
        <f>$C517*VLOOKUP($B517,FoodDB!$A$2:$I$1018,9,0)</f>
        <v>0</v>
      </c>
      <c r="K517" s="103"/>
      <c r="L517" s="103"/>
      <c r="M517" s="103"/>
      <c r="N517" s="103"/>
      <c r="O517" s="103"/>
      <c r="P517" s="103"/>
      <c r="Q517" s="103"/>
      <c r="R517" s="103"/>
      <c r="S517" s="103"/>
    </row>
    <row r="518" spans="1:19" x14ac:dyDescent="0.25">
      <c r="B518" s="99" t="s">
        <v>108</v>
      </c>
      <c r="C518" s="100">
        <v>1</v>
      </c>
      <c r="D518" s="103">
        <f>$C518*VLOOKUP($B518,FoodDB!$A$2:$I$1018,3,0)</f>
        <v>0</v>
      </c>
      <c r="E518" s="103">
        <f>$C518*VLOOKUP($B518,FoodDB!$A$2:$I$1018,4,0)</f>
        <v>0</v>
      </c>
      <c r="F518" s="103">
        <f>$C518*VLOOKUP($B518,FoodDB!$A$2:$I$1018,5,0)</f>
        <v>0</v>
      </c>
      <c r="G518" s="103">
        <f>$C518*VLOOKUP($B518,FoodDB!$A$2:$I$1018,6,0)</f>
        <v>0</v>
      </c>
      <c r="H518" s="103">
        <f>$C518*VLOOKUP($B518,FoodDB!$A$2:$I$1018,7,0)</f>
        <v>0</v>
      </c>
      <c r="I518" s="103">
        <f>$C518*VLOOKUP($B518,FoodDB!$A$2:$I$1018,8,0)</f>
        <v>0</v>
      </c>
      <c r="J518" s="103">
        <f>$C518*VLOOKUP($B518,FoodDB!$A$2:$I$1018,9,0)</f>
        <v>0</v>
      </c>
      <c r="K518" s="103"/>
      <c r="L518" s="103"/>
      <c r="M518" s="103"/>
      <c r="N518" s="103"/>
      <c r="O518" s="103"/>
      <c r="P518" s="103"/>
      <c r="Q518" s="103"/>
      <c r="R518" s="103"/>
      <c r="S518" s="103"/>
    </row>
    <row r="519" spans="1:19" x14ac:dyDescent="0.25">
      <c r="B519" s="99" t="s">
        <v>108</v>
      </c>
      <c r="C519" s="100">
        <v>1</v>
      </c>
      <c r="D519" s="103">
        <f>$C519*VLOOKUP($B519,FoodDB!$A$2:$I$1018,3,0)</f>
        <v>0</v>
      </c>
      <c r="E519" s="103">
        <f>$C519*VLOOKUP($B519,FoodDB!$A$2:$I$1018,4,0)</f>
        <v>0</v>
      </c>
      <c r="F519" s="103">
        <f>$C519*VLOOKUP($B519,FoodDB!$A$2:$I$1018,5,0)</f>
        <v>0</v>
      </c>
      <c r="G519" s="103">
        <f>$C519*VLOOKUP($B519,FoodDB!$A$2:$I$1018,6,0)</f>
        <v>0</v>
      </c>
      <c r="H519" s="103">
        <f>$C519*VLOOKUP($B519,FoodDB!$A$2:$I$1018,7,0)</f>
        <v>0</v>
      </c>
      <c r="I519" s="103">
        <f>$C519*VLOOKUP($B519,FoodDB!$A$2:$I$1018,8,0)</f>
        <v>0</v>
      </c>
      <c r="J519" s="103">
        <f>$C519*VLOOKUP($B519,FoodDB!$A$2:$I$1018,9,0)</f>
        <v>0</v>
      </c>
      <c r="K519" s="103"/>
      <c r="L519" s="103"/>
      <c r="M519" s="103"/>
      <c r="N519" s="103"/>
      <c r="O519" s="103"/>
      <c r="P519" s="103"/>
      <c r="Q519" s="103"/>
      <c r="R519" s="103"/>
      <c r="S519" s="103"/>
    </row>
    <row r="520" spans="1:19" x14ac:dyDescent="0.25">
      <c r="B520" s="99" t="s">
        <v>108</v>
      </c>
      <c r="C520" s="100">
        <v>1</v>
      </c>
      <c r="D520" s="103">
        <f>$C520*VLOOKUP($B520,FoodDB!$A$2:$I$1018,3,0)</f>
        <v>0</v>
      </c>
      <c r="E520" s="103">
        <f>$C520*VLOOKUP($B520,FoodDB!$A$2:$I$1018,4,0)</f>
        <v>0</v>
      </c>
      <c r="F520" s="103">
        <f>$C520*VLOOKUP($B520,FoodDB!$A$2:$I$1018,5,0)</f>
        <v>0</v>
      </c>
      <c r="G520" s="103">
        <f>$C520*VLOOKUP($B520,FoodDB!$A$2:$I$1018,6,0)</f>
        <v>0</v>
      </c>
      <c r="H520" s="103">
        <f>$C520*VLOOKUP($B520,FoodDB!$A$2:$I$1018,7,0)</f>
        <v>0</v>
      </c>
      <c r="I520" s="103">
        <f>$C520*VLOOKUP($B520,FoodDB!$A$2:$I$1018,8,0)</f>
        <v>0</v>
      </c>
      <c r="J520" s="103">
        <f>$C520*VLOOKUP($B520,FoodDB!$A$2:$I$1018,9,0)</f>
        <v>0</v>
      </c>
      <c r="K520" s="103"/>
      <c r="L520" s="103"/>
      <c r="M520" s="103"/>
      <c r="N520" s="103"/>
      <c r="O520" s="103"/>
      <c r="P520" s="103"/>
      <c r="Q520" s="103"/>
      <c r="R520" s="103"/>
      <c r="S520" s="103"/>
    </row>
    <row r="521" spans="1:19" x14ac:dyDescent="0.25">
      <c r="A521" t="s">
        <v>98</v>
      </c>
      <c r="D521" s="103"/>
      <c r="E521" s="103"/>
      <c r="F521" s="103"/>
      <c r="G521" s="103">
        <f>SUM(G514:G520)</f>
        <v>0</v>
      </c>
      <c r="H521" s="103">
        <f>SUM(H514:H520)</f>
        <v>0</v>
      </c>
      <c r="I521" s="103">
        <f>SUM(I514:I520)</f>
        <v>0</v>
      </c>
      <c r="J521" s="103">
        <f>SUM(G521:I521)</f>
        <v>0</v>
      </c>
      <c r="K521" s="103"/>
      <c r="L521" s="103"/>
      <c r="M521" s="103"/>
      <c r="N521" s="103"/>
      <c r="O521" s="103"/>
      <c r="P521" s="103"/>
      <c r="Q521" s="103"/>
      <c r="R521" s="103"/>
      <c r="S521" s="103"/>
    </row>
    <row r="522" spans="1:19" x14ac:dyDescent="0.25">
      <c r="A522" t="s">
        <v>102</v>
      </c>
      <c r="B522" t="s">
        <v>103</v>
      </c>
      <c r="D522" s="103"/>
      <c r="E522" s="103"/>
      <c r="F522" s="103"/>
      <c r="G522" s="103">
        <f>VLOOKUP($A514,LossChart!$A$3:$AB$105,14,0)</f>
        <v>597.4668125938631</v>
      </c>
      <c r="H522" s="103">
        <f>VLOOKUP($A514,LossChart!$A$3:$AB$105,15,0)</f>
        <v>80</v>
      </c>
      <c r="I522" s="103">
        <f>VLOOKUP($A514,LossChart!$A$3:$AB$105,16,0)</f>
        <v>477.30407413615825</v>
      </c>
      <c r="J522" s="103">
        <f>VLOOKUP($A514,LossChart!$A$3:$AB$105,17,0)</f>
        <v>1154.7708867300214</v>
      </c>
      <c r="K522" s="103"/>
      <c r="L522" s="103"/>
      <c r="M522" s="103"/>
      <c r="N522" s="103"/>
      <c r="O522" s="103"/>
      <c r="P522" s="103"/>
      <c r="Q522" s="103"/>
      <c r="R522" s="103"/>
      <c r="S522" s="103"/>
    </row>
    <row r="523" spans="1:19" x14ac:dyDescent="0.25">
      <c r="A523" t="s">
        <v>104</v>
      </c>
      <c r="D523" s="103"/>
      <c r="E523" s="103"/>
      <c r="F523" s="103"/>
      <c r="G523" s="103">
        <f>G522-G521</f>
        <v>597.4668125938631</v>
      </c>
      <c r="H523" s="103">
        <f>H522-H521</f>
        <v>80</v>
      </c>
      <c r="I523" s="103">
        <f>I522-I521</f>
        <v>477.30407413615825</v>
      </c>
      <c r="J523" s="103">
        <f>J522-J521</f>
        <v>1154.7708867300214</v>
      </c>
      <c r="K523" s="103"/>
      <c r="L523" s="103"/>
      <c r="M523" s="103"/>
      <c r="N523" s="103"/>
      <c r="O523" s="103"/>
      <c r="P523" s="103"/>
      <c r="Q523" s="103"/>
      <c r="R523" s="103"/>
      <c r="S523" s="103"/>
    </row>
    <row r="525" spans="1:19" ht="60" x14ac:dyDescent="0.25">
      <c r="A525" s="26" t="s">
        <v>63</v>
      </c>
      <c r="B525" s="26" t="s">
        <v>93</v>
      </c>
      <c r="C525" s="26" t="s">
        <v>94</v>
      </c>
      <c r="D525" s="97" t="str">
        <f>FoodDB!$C$1</f>
        <v>Fat
(g)</v>
      </c>
      <c r="E525" s="97" t="str">
        <f>FoodDB!$D$1</f>
        <v xml:space="preserve"> Carbs
(g)</v>
      </c>
      <c r="F525" s="97" t="str">
        <f>FoodDB!$E$1</f>
        <v>Protein
(g)</v>
      </c>
      <c r="G525" s="97" t="str">
        <f>FoodDB!$F$1</f>
        <v>Fat
(Cal)</v>
      </c>
      <c r="H525" s="97" t="str">
        <f>FoodDB!$G$1</f>
        <v>Carb
(Cal)</v>
      </c>
      <c r="I525" s="97" t="str">
        <f>FoodDB!$H$1</f>
        <v>Protein
(Cal)</v>
      </c>
      <c r="J525" s="97" t="str">
        <f>FoodDB!$I$1</f>
        <v>Total
Calories</v>
      </c>
      <c r="K525" s="97"/>
      <c r="L525" s="97" t="s">
        <v>110</v>
      </c>
      <c r="M525" s="97" t="s">
        <v>111</v>
      </c>
      <c r="N525" s="97" t="s">
        <v>112</v>
      </c>
      <c r="O525" s="97" t="s">
        <v>113</v>
      </c>
      <c r="P525" s="97" t="s">
        <v>118</v>
      </c>
      <c r="Q525" s="97" t="s">
        <v>119</v>
      </c>
      <c r="R525" s="97" t="s">
        <v>120</v>
      </c>
      <c r="S525" s="97" t="s">
        <v>121</v>
      </c>
    </row>
    <row r="526" spans="1:19" x14ac:dyDescent="0.25">
      <c r="A526" s="98">
        <f>A514+1</f>
        <v>43037</v>
      </c>
      <c r="B526" s="99" t="s">
        <v>108</v>
      </c>
      <c r="C526" s="100">
        <v>1</v>
      </c>
      <c r="D526" s="103">
        <f>$C526*VLOOKUP($B526,FoodDB!$A$2:$I$1018,3,0)</f>
        <v>0</v>
      </c>
      <c r="E526" s="103">
        <f>$C526*VLOOKUP($B526,FoodDB!$A$2:$I$1018,4,0)</f>
        <v>0</v>
      </c>
      <c r="F526" s="103">
        <f>$C526*VLOOKUP($B526,FoodDB!$A$2:$I$1018,5,0)</f>
        <v>0</v>
      </c>
      <c r="G526" s="103">
        <f>$C526*VLOOKUP($B526,FoodDB!$A$2:$I$1018,6,0)</f>
        <v>0</v>
      </c>
      <c r="H526" s="103">
        <f>$C526*VLOOKUP($B526,FoodDB!$A$2:$I$1018,7,0)</f>
        <v>0</v>
      </c>
      <c r="I526" s="103">
        <f>$C526*VLOOKUP($B526,FoodDB!$A$2:$I$1018,8,0)</f>
        <v>0</v>
      </c>
      <c r="J526" s="103">
        <f>$C526*VLOOKUP($B526,FoodDB!$A$2:$I$1018,9,0)</f>
        <v>0</v>
      </c>
      <c r="K526" s="103"/>
      <c r="L526" s="103">
        <f>SUM(G526:G532)</f>
        <v>0</v>
      </c>
      <c r="M526" s="103">
        <f>SUM(H526:H532)</f>
        <v>0</v>
      </c>
      <c r="N526" s="103">
        <f>SUM(I526:I532)</f>
        <v>0</v>
      </c>
      <c r="O526" s="103">
        <f>SUM(L526:N526)</f>
        <v>0</v>
      </c>
      <c r="P526" s="103">
        <f>VLOOKUP($A526,LossChart!$A$3:$AB$105,14,0)-L526</f>
        <v>603.67741117724609</v>
      </c>
      <c r="Q526" s="103">
        <f>VLOOKUP($A526,LossChart!$A$3:$AB$105,15,0)-M526</f>
        <v>80</v>
      </c>
      <c r="R526" s="103">
        <f>VLOOKUP($A526,LossChart!$A$3:$AB$105,16,0)-N526</f>
        <v>477.30407413615825</v>
      </c>
      <c r="S526" s="103">
        <f>VLOOKUP($A526,LossChart!$A$3:$AB$105,17,0)-O526</f>
        <v>1160.9814853134044</v>
      </c>
    </row>
    <row r="527" spans="1:19" x14ac:dyDescent="0.25">
      <c r="B527" s="99" t="s">
        <v>108</v>
      </c>
      <c r="C527" s="100">
        <v>1</v>
      </c>
      <c r="D527" s="103">
        <f>$C527*VLOOKUP($B527,FoodDB!$A$2:$I$1018,3,0)</f>
        <v>0</v>
      </c>
      <c r="E527" s="103">
        <f>$C527*VLOOKUP($B527,FoodDB!$A$2:$I$1018,4,0)</f>
        <v>0</v>
      </c>
      <c r="F527" s="103">
        <f>$C527*VLOOKUP($B527,FoodDB!$A$2:$I$1018,5,0)</f>
        <v>0</v>
      </c>
      <c r="G527" s="103">
        <f>$C527*VLOOKUP($B527,FoodDB!$A$2:$I$1018,6,0)</f>
        <v>0</v>
      </c>
      <c r="H527" s="103">
        <f>$C527*VLOOKUP($B527,FoodDB!$A$2:$I$1018,7,0)</f>
        <v>0</v>
      </c>
      <c r="I527" s="103">
        <f>$C527*VLOOKUP($B527,FoodDB!$A$2:$I$1018,8,0)</f>
        <v>0</v>
      </c>
      <c r="J527" s="103">
        <f>$C527*VLOOKUP($B527,FoodDB!$A$2:$I$1018,9,0)</f>
        <v>0</v>
      </c>
      <c r="K527" s="103"/>
      <c r="L527" s="103"/>
      <c r="M527" s="103"/>
      <c r="N527" s="103"/>
      <c r="O527" s="103"/>
      <c r="P527" s="103"/>
      <c r="Q527" s="103"/>
      <c r="R527" s="103"/>
      <c r="S527" s="103"/>
    </row>
    <row r="528" spans="1:19" x14ac:dyDescent="0.25">
      <c r="B528" s="99" t="s">
        <v>108</v>
      </c>
      <c r="C528" s="100">
        <v>1</v>
      </c>
      <c r="D528" s="103">
        <f>$C528*VLOOKUP($B528,FoodDB!$A$2:$I$1018,3,0)</f>
        <v>0</v>
      </c>
      <c r="E528" s="103">
        <f>$C528*VLOOKUP($B528,FoodDB!$A$2:$I$1018,4,0)</f>
        <v>0</v>
      </c>
      <c r="F528" s="103">
        <f>$C528*VLOOKUP($B528,FoodDB!$A$2:$I$1018,5,0)</f>
        <v>0</v>
      </c>
      <c r="G528" s="103">
        <f>$C528*VLOOKUP($B528,FoodDB!$A$2:$I$1018,6,0)</f>
        <v>0</v>
      </c>
      <c r="H528" s="103">
        <f>$C528*VLOOKUP($B528,FoodDB!$A$2:$I$1018,7,0)</f>
        <v>0</v>
      </c>
      <c r="I528" s="103">
        <f>$C528*VLOOKUP($B528,FoodDB!$A$2:$I$1018,8,0)</f>
        <v>0</v>
      </c>
      <c r="J528" s="103">
        <f>$C528*VLOOKUP($B528,FoodDB!$A$2:$I$1018,9,0)</f>
        <v>0</v>
      </c>
      <c r="K528" s="103"/>
      <c r="L528" s="103"/>
      <c r="M528" s="103"/>
      <c r="N528" s="103"/>
      <c r="O528" s="103"/>
      <c r="P528" s="103"/>
      <c r="Q528" s="103"/>
      <c r="R528" s="103"/>
      <c r="S528" s="103"/>
    </row>
    <row r="529" spans="1:19" x14ac:dyDescent="0.25">
      <c r="B529" s="99" t="s">
        <v>108</v>
      </c>
      <c r="C529" s="100">
        <v>1</v>
      </c>
      <c r="D529" s="103">
        <f>$C529*VLOOKUP($B529,FoodDB!$A$2:$I$1018,3,0)</f>
        <v>0</v>
      </c>
      <c r="E529" s="103">
        <f>$C529*VLOOKUP($B529,FoodDB!$A$2:$I$1018,4,0)</f>
        <v>0</v>
      </c>
      <c r="F529" s="103">
        <f>$C529*VLOOKUP($B529,FoodDB!$A$2:$I$1018,5,0)</f>
        <v>0</v>
      </c>
      <c r="G529" s="103">
        <f>$C529*VLOOKUP($B529,FoodDB!$A$2:$I$1018,6,0)</f>
        <v>0</v>
      </c>
      <c r="H529" s="103">
        <f>$C529*VLOOKUP($B529,FoodDB!$A$2:$I$1018,7,0)</f>
        <v>0</v>
      </c>
      <c r="I529" s="103">
        <f>$C529*VLOOKUP($B529,FoodDB!$A$2:$I$1018,8,0)</f>
        <v>0</v>
      </c>
      <c r="J529" s="103">
        <f>$C529*VLOOKUP($B529,FoodDB!$A$2:$I$1018,9,0)</f>
        <v>0</v>
      </c>
      <c r="K529" s="103"/>
      <c r="L529" s="103"/>
      <c r="M529" s="103"/>
      <c r="N529" s="103"/>
      <c r="O529" s="103"/>
      <c r="P529" s="103"/>
      <c r="Q529" s="103"/>
      <c r="R529" s="103"/>
      <c r="S529" s="103"/>
    </row>
    <row r="530" spans="1:19" x14ac:dyDescent="0.25">
      <c r="B530" s="99" t="s">
        <v>108</v>
      </c>
      <c r="C530" s="100">
        <v>1</v>
      </c>
      <c r="D530" s="103">
        <f>$C530*VLOOKUP($B530,FoodDB!$A$2:$I$1018,3,0)</f>
        <v>0</v>
      </c>
      <c r="E530" s="103">
        <f>$C530*VLOOKUP($B530,FoodDB!$A$2:$I$1018,4,0)</f>
        <v>0</v>
      </c>
      <c r="F530" s="103">
        <f>$C530*VLOOKUP($B530,FoodDB!$A$2:$I$1018,5,0)</f>
        <v>0</v>
      </c>
      <c r="G530" s="103">
        <f>$C530*VLOOKUP($B530,FoodDB!$A$2:$I$1018,6,0)</f>
        <v>0</v>
      </c>
      <c r="H530" s="103">
        <f>$C530*VLOOKUP($B530,FoodDB!$A$2:$I$1018,7,0)</f>
        <v>0</v>
      </c>
      <c r="I530" s="103">
        <f>$C530*VLOOKUP($B530,FoodDB!$A$2:$I$1018,8,0)</f>
        <v>0</v>
      </c>
      <c r="J530" s="103">
        <f>$C530*VLOOKUP($B530,FoodDB!$A$2:$I$1018,9,0)</f>
        <v>0</v>
      </c>
      <c r="K530" s="103"/>
      <c r="L530" s="103"/>
      <c r="M530" s="103"/>
      <c r="N530" s="103"/>
      <c r="O530" s="103"/>
      <c r="P530" s="103"/>
      <c r="Q530" s="103"/>
      <c r="R530" s="103"/>
      <c r="S530" s="103"/>
    </row>
    <row r="531" spans="1:19" x14ac:dyDescent="0.25">
      <c r="B531" s="99" t="s">
        <v>108</v>
      </c>
      <c r="C531" s="100">
        <v>1</v>
      </c>
      <c r="D531" s="103">
        <f>$C531*VLOOKUP($B531,FoodDB!$A$2:$I$1018,3,0)</f>
        <v>0</v>
      </c>
      <c r="E531" s="103">
        <f>$C531*VLOOKUP($B531,FoodDB!$A$2:$I$1018,4,0)</f>
        <v>0</v>
      </c>
      <c r="F531" s="103">
        <f>$C531*VLOOKUP($B531,FoodDB!$A$2:$I$1018,5,0)</f>
        <v>0</v>
      </c>
      <c r="G531" s="103">
        <f>$C531*VLOOKUP($B531,FoodDB!$A$2:$I$1018,6,0)</f>
        <v>0</v>
      </c>
      <c r="H531" s="103">
        <f>$C531*VLOOKUP($B531,FoodDB!$A$2:$I$1018,7,0)</f>
        <v>0</v>
      </c>
      <c r="I531" s="103">
        <f>$C531*VLOOKUP($B531,FoodDB!$A$2:$I$1018,8,0)</f>
        <v>0</v>
      </c>
      <c r="J531" s="103">
        <f>$C531*VLOOKUP($B531,FoodDB!$A$2:$I$1018,9,0)</f>
        <v>0</v>
      </c>
      <c r="K531" s="103"/>
      <c r="L531" s="103"/>
      <c r="M531" s="103"/>
      <c r="N531" s="103"/>
      <c r="O531" s="103"/>
      <c r="P531" s="103"/>
      <c r="Q531" s="103"/>
      <c r="R531" s="103"/>
      <c r="S531" s="103"/>
    </row>
    <row r="532" spans="1:19" x14ac:dyDescent="0.25">
      <c r="B532" s="99" t="s">
        <v>108</v>
      </c>
      <c r="C532" s="100">
        <v>1</v>
      </c>
      <c r="D532" s="103">
        <f>$C532*VLOOKUP($B532,FoodDB!$A$2:$I$1018,3,0)</f>
        <v>0</v>
      </c>
      <c r="E532" s="103">
        <f>$C532*VLOOKUP($B532,FoodDB!$A$2:$I$1018,4,0)</f>
        <v>0</v>
      </c>
      <c r="F532" s="103">
        <f>$C532*VLOOKUP($B532,FoodDB!$A$2:$I$1018,5,0)</f>
        <v>0</v>
      </c>
      <c r="G532" s="103">
        <f>$C532*VLOOKUP($B532,FoodDB!$A$2:$I$1018,6,0)</f>
        <v>0</v>
      </c>
      <c r="H532" s="103">
        <f>$C532*VLOOKUP($B532,FoodDB!$A$2:$I$1018,7,0)</f>
        <v>0</v>
      </c>
      <c r="I532" s="103">
        <f>$C532*VLOOKUP($B532,FoodDB!$A$2:$I$1018,8,0)</f>
        <v>0</v>
      </c>
      <c r="J532" s="103">
        <f>$C532*VLOOKUP($B532,FoodDB!$A$2:$I$1018,9,0)</f>
        <v>0</v>
      </c>
      <c r="K532" s="103"/>
      <c r="L532" s="103"/>
      <c r="M532" s="103"/>
      <c r="N532" s="103"/>
      <c r="O532" s="103"/>
      <c r="P532" s="103"/>
      <c r="Q532" s="103"/>
      <c r="R532" s="103"/>
      <c r="S532" s="103"/>
    </row>
    <row r="533" spans="1:19" x14ac:dyDescent="0.25">
      <c r="A533" t="s">
        <v>98</v>
      </c>
      <c r="D533" s="103"/>
      <c r="E533" s="103"/>
      <c r="F533" s="103"/>
      <c r="G533" s="103">
        <f>SUM(G526:G532)</f>
        <v>0</v>
      </c>
      <c r="H533" s="103">
        <f>SUM(H526:H532)</f>
        <v>0</v>
      </c>
      <c r="I533" s="103">
        <f>SUM(I526:I532)</f>
        <v>0</v>
      </c>
      <c r="J533" s="103">
        <f>SUM(G533:I533)</f>
        <v>0</v>
      </c>
      <c r="K533" s="103"/>
      <c r="L533" s="103"/>
      <c r="M533" s="103"/>
      <c r="N533" s="103"/>
      <c r="O533" s="103"/>
      <c r="P533" s="103"/>
      <c r="Q533" s="103"/>
      <c r="R533" s="103"/>
      <c r="S533" s="103"/>
    </row>
    <row r="534" spans="1:19" x14ac:dyDescent="0.25">
      <c r="A534" t="s">
        <v>102</v>
      </c>
      <c r="B534" t="s">
        <v>103</v>
      </c>
      <c r="D534" s="103"/>
      <c r="E534" s="103"/>
      <c r="F534" s="103"/>
      <c r="G534" s="103">
        <f>VLOOKUP($A526,LossChart!$A$3:$AB$105,14,0)</f>
        <v>603.67741117724609</v>
      </c>
      <c r="H534" s="103">
        <f>VLOOKUP($A526,LossChart!$A$3:$AB$105,15,0)</f>
        <v>80</v>
      </c>
      <c r="I534" s="103">
        <f>VLOOKUP($A526,LossChart!$A$3:$AB$105,16,0)</f>
        <v>477.30407413615825</v>
      </c>
      <c r="J534" s="103">
        <f>VLOOKUP($A526,LossChart!$A$3:$AB$105,17,0)</f>
        <v>1160.9814853134044</v>
      </c>
      <c r="K534" s="103"/>
      <c r="L534" s="103"/>
      <c r="M534" s="103"/>
      <c r="N534" s="103"/>
      <c r="O534" s="103"/>
      <c r="P534" s="103"/>
      <c r="Q534" s="103"/>
      <c r="R534" s="103"/>
      <c r="S534" s="103"/>
    </row>
    <row r="535" spans="1:19" x14ac:dyDescent="0.25">
      <c r="A535" t="s">
        <v>104</v>
      </c>
      <c r="D535" s="103"/>
      <c r="E535" s="103"/>
      <c r="F535" s="103"/>
      <c r="G535" s="103">
        <f>G534-G533</f>
        <v>603.67741117724609</v>
      </c>
      <c r="H535" s="103">
        <f>H534-H533</f>
        <v>80</v>
      </c>
      <c r="I535" s="103">
        <f>I534-I533</f>
        <v>477.30407413615825</v>
      </c>
      <c r="J535" s="103">
        <f>J534-J533</f>
        <v>1160.9814853134044</v>
      </c>
      <c r="K535" s="103"/>
      <c r="L535" s="103"/>
      <c r="M535" s="103"/>
      <c r="N535" s="103"/>
      <c r="O535" s="103"/>
      <c r="P535" s="103"/>
      <c r="Q535" s="103"/>
      <c r="R535" s="103"/>
      <c r="S535" s="103"/>
    </row>
    <row r="537" spans="1:19" ht="60" x14ac:dyDescent="0.25">
      <c r="A537" s="26" t="s">
        <v>63</v>
      </c>
      <c r="B537" s="26" t="s">
        <v>93</v>
      </c>
      <c r="C537" s="26" t="s">
        <v>94</v>
      </c>
      <c r="D537" s="97" t="str">
        <f>FoodDB!$C$1</f>
        <v>Fat
(g)</v>
      </c>
      <c r="E537" s="97" t="str">
        <f>FoodDB!$D$1</f>
        <v xml:space="preserve"> Carbs
(g)</v>
      </c>
      <c r="F537" s="97" t="str">
        <f>FoodDB!$E$1</f>
        <v>Protein
(g)</v>
      </c>
      <c r="G537" s="97" t="str">
        <f>FoodDB!$F$1</f>
        <v>Fat
(Cal)</v>
      </c>
      <c r="H537" s="97" t="str">
        <f>FoodDB!$G$1</f>
        <v>Carb
(Cal)</v>
      </c>
      <c r="I537" s="97" t="str">
        <f>FoodDB!$H$1</f>
        <v>Protein
(Cal)</v>
      </c>
      <c r="J537" s="97" t="str">
        <f>FoodDB!$I$1</f>
        <v>Total
Calories</v>
      </c>
      <c r="K537" s="97"/>
      <c r="L537" s="97" t="s">
        <v>110</v>
      </c>
      <c r="M537" s="97" t="s">
        <v>111</v>
      </c>
      <c r="N537" s="97" t="s">
        <v>112</v>
      </c>
      <c r="O537" s="97" t="s">
        <v>113</v>
      </c>
      <c r="P537" s="97" t="s">
        <v>118</v>
      </c>
      <c r="Q537" s="97" t="s">
        <v>119</v>
      </c>
      <c r="R537" s="97" t="s">
        <v>120</v>
      </c>
      <c r="S537" s="97" t="s">
        <v>121</v>
      </c>
    </row>
    <row r="538" spans="1:19" x14ac:dyDescent="0.25">
      <c r="A538" s="98">
        <f>A526+1</f>
        <v>43038</v>
      </c>
      <c r="B538" s="99" t="s">
        <v>108</v>
      </c>
      <c r="C538" s="100">
        <v>1</v>
      </c>
      <c r="D538" s="103">
        <f>$C538*VLOOKUP($B538,FoodDB!$A$2:$I$1018,3,0)</f>
        <v>0</v>
      </c>
      <c r="E538" s="103">
        <f>$C538*VLOOKUP($B538,FoodDB!$A$2:$I$1018,4,0)</f>
        <v>0</v>
      </c>
      <c r="F538" s="103">
        <f>$C538*VLOOKUP($B538,FoodDB!$A$2:$I$1018,5,0)</f>
        <v>0</v>
      </c>
      <c r="G538" s="103">
        <f>$C538*VLOOKUP($B538,FoodDB!$A$2:$I$1018,6,0)</f>
        <v>0</v>
      </c>
      <c r="H538" s="103">
        <f>$C538*VLOOKUP($B538,FoodDB!$A$2:$I$1018,7,0)</f>
        <v>0</v>
      </c>
      <c r="I538" s="103">
        <f>$C538*VLOOKUP($B538,FoodDB!$A$2:$I$1018,8,0)</f>
        <v>0</v>
      </c>
      <c r="J538" s="103">
        <f>$C538*VLOOKUP($B538,FoodDB!$A$2:$I$1018,9,0)</f>
        <v>0</v>
      </c>
      <c r="K538" s="103"/>
      <c r="L538" s="103">
        <f>SUM(G538:G544)</f>
        <v>0</v>
      </c>
      <c r="M538" s="103">
        <f>SUM(H538:H544)</f>
        <v>0</v>
      </c>
      <c r="N538" s="103">
        <f>SUM(I538:I544)</f>
        <v>0</v>
      </c>
      <c r="O538" s="103">
        <f>SUM(L538:N538)</f>
        <v>0</v>
      </c>
      <c r="P538" s="103">
        <f>VLOOKUP($A538,LossChart!$A$3:$AB$105,14,0)-L538</f>
        <v>609.83300160174758</v>
      </c>
      <c r="Q538" s="103">
        <f>VLOOKUP($A538,LossChart!$A$3:$AB$105,15,0)-M538</f>
        <v>80</v>
      </c>
      <c r="R538" s="103">
        <f>VLOOKUP($A538,LossChart!$A$3:$AB$105,16,0)-N538</f>
        <v>477.30407413615825</v>
      </c>
      <c r="S538" s="103">
        <f>VLOOKUP($A538,LossChart!$A$3:$AB$105,17,0)-O538</f>
        <v>1167.1370757379059</v>
      </c>
    </row>
    <row r="539" spans="1:19" x14ac:dyDescent="0.25">
      <c r="B539" s="99" t="s">
        <v>108</v>
      </c>
      <c r="C539" s="100">
        <v>1</v>
      </c>
      <c r="D539" s="103">
        <f>$C539*VLOOKUP($B539,FoodDB!$A$2:$I$1018,3,0)</f>
        <v>0</v>
      </c>
      <c r="E539" s="103">
        <f>$C539*VLOOKUP($B539,FoodDB!$A$2:$I$1018,4,0)</f>
        <v>0</v>
      </c>
      <c r="F539" s="103">
        <f>$C539*VLOOKUP($B539,FoodDB!$A$2:$I$1018,5,0)</f>
        <v>0</v>
      </c>
      <c r="G539" s="103">
        <f>$C539*VLOOKUP($B539,FoodDB!$A$2:$I$1018,6,0)</f>
        <v>0</v>
      </c>
      <c r="H539" s="103">
        <f>$C539*VLOOKUP($B539,FoodDB!$A$2:$I$1018,7,0)</f>
        <v>0</v>
      </c>
      <c r="I539" s="103">
        <f>$C539*VLOOKUP($B539,FoodDB!$A$2:$I$1018,8,0)</f>
        <v>0</v>
      </c>
      <c r="J539" s="103">
        <f>$C539*VLOOKUP($B539,FoodDB!$A$2:$I$1018,9,0)</f>
        <v>0</v>
      </c>
      <c r="K539" s="103"/>
      <c r="L539" s="103"/>
      <c r="M539" s="103"/>
      <c r="N539" s="103"/>
      <c r="O539" s="103"/>
      <c r="P539" s="103"/>
      <c r="Q539" s="103"/>
      <c r="R539" s="103"/>
      <c r="S539" s="103"/>
    </row>
    <row r="540" spans="1:19" x14ac:dyDescent="0.25">
      <c r="B540" s="99" t="s">
        <v>108</v>
      </c>
      <c r="C540" s="100">
        <v>1</v>
      </c>
      <c r="D540" s="103">
        <f>$C540*VLOOKUP($B540,FoodDB!$A$2:$I$1018,3,0)</f>
        <v>0</v>
      </c>
      <c r="E540" s="103">
        <f>$C540*VLOOKUP($B540,FoodDB!$A$2:$I$1018,4,0)</f>
        <v>0</v>
      </c>
      <c r="F540" s="103">
        <f>$C540*VLOOKUP($B540,FoodDB!$A$2:$I$1018,5,0)</f>
        <v>0</v>
      </c>
      <c r="G540" s="103">
        <f>$C540*VLOOKUP($B540,FoodDB!$A$2:$I$1018,6,0)</f>
        <v>0</v>
      </c>
      <c r="H540" s="103">
        <f>$C540*VLOOKUP($B540,FoodDB!$A$2:$I$1018,7,0)</f>
        <v>0</v>
      </c>
      <c r="I540" s="103">
        <f>$C540*VLOOKUP($B540,FoodDB!$A$2:$I$1018,8,0)</f>
        <v>0</v>
      </c>
      <c r="J540" s="103">
        <f>$C540*VLOOKUP($B540,FoodDB!$A$2:$I$1018,9,0)</f>
        <v>0</v>
      </c>
      <c r="K540" s="103"/>
      <c r="L540" s="103"/>
      <c r="M540" s="103"/>
      <c r="N540" s="103"/>
      <c r="O540" s="103"/>
      <c r="P540" s="103"/>
      <c r="Q540" s="103"/>
      <c r="R540" s="103"/>
      <c r="S540" s="103"/>
    </row>
    <row r="541" spans="1:19" x14ac:dyDescent="0.25">
      <c r="B541" s="99" t="s">
        <v>108</v>
      </c>
      <c r="C541" s="100">
        <v>1</v>
      </c>
      <c r="D541" s="103">
        <f>$C541*VLOOKUP($B541,FoodDB!$A$2:$I$1018,3,0)</f>
        <v>0</v>
      </c>
      <c r="E541" s="103">
        <f>$C541*VLOOKUP($B541,FoodDB!$A$2:$I$1018,4,0)</f>
        <v>0</v>
      </c>
      <c r="F541" s="103">
        <f>$C541*VLOOKUP($B541,FoodDB!$A$2:$I$1018,5,0)</f>
        <v>0</v>
      </c>
      <c r="G541" s="103">
        <f>$C541*VLOOKUP($B541,FoodDB!$A$2:$I$1018,6,0)</f>
        <v>0</v>
      </c>
      <c r="H541" s="103">
        <f>$C541*VLOOKUP($B541,FoodDB!$A$2:$I$1018,7,0)</f>
        <v>0</v>
      </c>
      <c r="I541" s="103">
        <f>$C541*VLOOKUP($B541,FoodDB!$A$2:$I$1018,8,0)</f>
        <v>0</v>
      </c>
      <c r="J541" s="103">
        <f>$C541*VLOOKUP($B541,FoodDB!$A$2:$I$1018,9,0)</f>
        <v>0</v>
      </c>
      <c r="K541" s="103"/>
      <c r="L541" s="103"/>
      <c r="M541" s="103"/>
      <c r="N541" s="103"/>
      <c r="O541" s="103"/>
      <c r="P541" s="103"/>
      <c r="Q541" s="103"/>
      <c r="R541" s="103"/>
      <c r="S541" s="103"/>
    </row>
    <row r="542" spans="1:19" x14ac:dyDescent="0.25">
      <c r="B542" s="99" t="s">
        <v>108</v>
      </c>
      <c r="C542" s="100">
        <v>1</v>
      </c>
      <c r="D542" s="103">
        <f>$C542*VLOOKUP($B542,FoodDB!$A$2:$I$1018,3,0)</f>
        <v>0</v>
      </c>
      <c r="E542" s="103">
        <f>$C542*VLOOKUP($B542,FoodDB!$A$2:$I$1018,4,0)</f>
        <v>0</v>
      </c>
      <c r="F542" s="103">
        <f>$C542*VLOOKUP($B542,FoodDB!$A$2:$I$1018,5,0)</f>
        <v>0</v>
      </c>
      <c r="G542" s="103">
        <f>$C542*VLOOKUP($B542,FoodDB!$A$2:$I$1018,6,0)</f>
        <v>0</v>
      </c>
      <c r="H542" s="103">
        <f>$C542*VLOOKUP($B542,FoodDB!$A$2:$I$1018,7,0)</f>
        <v>0</v>
      </c>
      <c r="I542" s="103">
        <f>$C542*VLOOKUP($B542,FoodDB!$A$2:$I$1018,8,0)</f>
        <v>0</v>
      </c>
      <c r="J542" s="103">
        <f>$C542*VLOOKUP($B542,FoodDB!$A$2:$I$1018,9,0)</f>
        <v>0</v>
      </c>
      <c r="K542" s="103"/>
      <c r="L542" s="103"/>
      <c r="M542" s="103"/>
      <c r="N542" s="103"/>
      <c r="O542" s="103"/>
      <c r="P542" s="103"/>
      <c r="Q542" s="103"/>
      <c r="R542" s="103"/>
      <c r="S542" s="103"/>
    </row>
    <row r="543" spans="1:19" x14ac:dyDescent="0.25">
      <c r="B543" s="99" t="s">
        <v>108</v>
      </c>
      <c r="C543" s="100">
        <v>1</v>
      </c>
      <c r="D543" s="103">
        <f>$C543*VLOOKUP($B543,FoodDB!$A$2:$I$1018,3,0)</f>
        <v>0</v>
      </c>
      <c r="E543" s="103">
        <f>$C543*VLOOKUP($B543,FoodDB!$A$2:$I$1018,4,0)</f>
        <v>0</v>
      </c>
      <c r="F543" s="103">
        <f>$C543*VLOOKUP($B543,FoodDB!$A$2:$I$1018,5,0)</f>
        <v>0</v>
      </c>
      <c r="G543" s="103">
        <f>$C543*VLOOKUP($B543,FoodDB!$A$2:$I$1018,6,0)</f>
        <v>0</v>
      </c>
      <c r="H543" s="103">
        <f>$C543*VLOOKUP($B543,FoodDB!$A$2:$I$1018,7,0)</f>
        <v>0</v>
      </c>
      <c r="I543" s="103">
        <f>$C543*VLOOKUP($B543,FoodDB!$A$2:$I$1018,8,0)</f>
        <v>0</v>
      </c>
      <c r="J543" s="103">
        <f>$C543*VLOOKUP($B543,FoodDB!$A$2:$I$1018,9,0)</f>
        <v>0</v>
      </c>
      <c r="K543" s="103"/>
      <c r="L543" s="103"/>
      <c r="M543" s="103"/>
      <c r="N543" s="103"/>
      <c r="O543" s="103"/>
      <c r="P543" s="103"/>
      <c r="Q543" s="103"/>
      <c r="R543" s="103"/>
      <c r="S543" s="103"/>
    </row>
    <row r="544" spans="1:19" x14ac:dyDescent="0.25">
      <c r="B544" s="99" t="s">
        <v>108</v>
      </c>
      <c r="C544" s="100">
        <v>1</v>
      </c>
      <c r="D544" s="103">
        <f>$C544*VLOOKUP($B544,FoodDB!$A$2:$I$1018,3,0)</f>
        <v>0</v>
      </c>
      <c r="E544" s="103">
        <f>$C544*VLOOKUP($B544,FoodDB!$A$2:$I$1018,4,0)</f>
        <v>0</v>
      </c>
      <c r="F544" s="103">
        <f>$C544*VLOOKUP($B544,FoodDB!$A$2:$I$1018,5,0)</f>
        <v>0</v>
      </c>
      <c r="G544" s="103">
        <f>$C544*VLOOKUP($B544,FoodDB!$A$2:$I$1018,6,0)</f>
        <v>0</v>
      </c>
      <c r="H544" s="103">
        <f>$C544*VLOOKUP($B544,FoodDB!$A$2:$I$1018,7,0)</f>
        <v>0</v>
      </c>
      <c r="I544" s="103">
        <f>$C544*VLOOKUP($B544,FoodDB!$A$2:$I$1018,8,0)</f>
        <v>0</v>
      </c>
      <c r="J544" s="103">
        <f>$C544*VLOOKUP($B544,FoodDB!$A$2:$I$1018,9,0)</f>
        <v>0</v>
      </c>
      <c r="K544" s="103"/>
      <c r="L544" s="103"/>
      <c r="M544" s="103"/>
      <c r="N544" s="103"/>
      <c r="O544" s="103"/>
      <c r="P544" s="103"/>
      <c r="Q544" s="103"/>
      <c r="R544" s="103"/>
      <c r="S544" s="103"/>
    </row>
    <row r="545" spans="1:19" x14ac:dyDescent="0.25">
      <c r="A545" t="s">
        <v>98</v>
      </c>
      <c r="D545" s="103"/>
      <c r="E545" s="103"/>
      <c r="F545" s="103"/>
      <c r="G545" s="103">
        <f>SUM(G538:G544)</f>
        <v>0</v>
      </c>
      <c r="H545" s="103">
        <f>SUM(H538:H544)</f>
        <v>0</v>
      </c>
      <c r="I545" s="103">
        <f>SUM(I538:I544)</f>
        <v>0</v>
      </c>
      <c r="J545" s="103">
        <f>SUM(G545:I545)</f>
        <v>0</v>
      </c>
      <c r="K545" s="103"/>
      <c r="L545" s="103"/>
      <c r="M545" s="103"/>
      <c r="N545" s="103"/>
      <c r="O545" s="103"/>
      <c r="P545" s="103"/>
      <c r="Q545" s="103"/>
      <c r="R545" s="103"/>
      <c r="S545" s="103"/>
    </row>
    <row r="546" spans="1:19" x14ac:dyDescent="0.25">
      <c r="A546" t="s">
        <v>102</v>
      </c>
      <c r="B546" t="s">
        <v>103</v>
      </c>
      <c r="D546" s="103"/>
      <c r="E546" s="103"/>
      <c r="F546" s="103"/>
      <c r="G546" s="103">
        <f>VLOOKUP($A538,LossChart!$A$3:$AB$105,14,0)</f>
        <v>609.83300160174758</v>
      </c>
      <c r="H546" s="103">
        <f>VLOOKUP($A538,LossChart!$A$3:$AB$105,15,0)</f>
        <v>80</v>
      </c>
      <c r="I546" s="103">
        <f>VLOOKUP($A538,LossChart!$A$3:$AB$105,16,0)</f>
        <v>477.30407413615825</v>
      </c>
      <c r="J546" s="103">
        <f>VLOOKUP($A538,LossChart!$A$3:$AB$105,17,0)</f>
        <v>1167.1370757379059</v>
      </c>
      <c r="K546" s="103"/>
      <c r="L546" s="103"/>
      <c r="M546" s="103"/>
      <c r="N546" s="103"/>
      <c r="O546" s="103"/>
      <c r="P546" s="103"/>
      <c r="Q546" s="103"/>
      <c r="R546" s="103"/>
      <c r="S546" s="103"/>
    </row>
    <row r="547" spans="1:19" x14ac:dyDescent="0.25">
      <c r="A547" t="s">
        <v>104</v>
      </c>
      <c r="D547" s="103"/>
      <c r="E547" s="103"/>
      <c r="F547" s="103"/>
      <c r="G547" s="103">
        <f>G546-G545</f>
        <v>609.83300160174758</v>
      </c>
      <c r="H547" s="103">
        <f>H546-H545</f>
        <v>80</v>
      </c>
      <c r="I547" s="103">
        <f>I546-I545</f>
        <v>477.30407413615825</v>
      </c>
      <c r="J547" s="103">
        <f>J546-J545</f>
        <v>1167.1370757379059</v>
      </c>
      <c r="K547" s="103"/>
      <c r="L547" s="103"/>
      <c r="M547" s="103"/>
      <c r="N547" s="103"/>
      <c r="O547" s="103"/>
      <c r="P547" s="103"/>
      <c r="Q547" s="103"/>
      <c r="R547" s="103"/>
      <c r="S547" s="103"/>
    </row>
    <row r="549" spans="1:19" ht="60" x14ac:dyDescent="0.25">
      <c r="A549" s="26" t="s">
        <v>63</v>
      </c>
      <c r="B549" s="26" t="s">
        <v>93</v>
      </c>
      <c r="C549" s="26" t="s">
        <v>94</v>
      </c>
      <c r="D549" s="97" t="str">
        <f>FoodDB!$C$1</f>
        <v>Fat
(g)</v>
      </c>
      <c r="E549" s="97" t="str">
        <f>FoodDB!$D$1</f>
        <v xml:space="preserve"> Carbs
(g)</v>
      </c>
      <c r="F549" s="97" t="str">
        <f>FoodDB!$E$1</f>
        <v>Protein
(g)</v>
      </c>
      <c r="G549" s="97" t="str">
        <f>FoodDB!$F$1</f>
        <v>Fat
(Cal)</v>
      </c>
      <c r="H549" s="97" t="str">
        <f>FoodDB!$G$1</f>
        <v>Carb
(Cal)</v>
      </c>
      <c r="I549" s="97" t="str">
        <f>FoodDB!$H$1</f>
        <v>Protein
(Cal)</v>
      </c>
      <c r="J549" s="97" t="str">
        <f>FoodDB!$I$1</f>
        <v>Total
Calories</v>
      </c>
      <c r="K549" s="97"/>
      <c r="L549" s="97" t="s">
        <v>110</v>
      </c>
      <c r="M549" s="97" t="s">
        <v>111</v>
      </c>
      <c r="N549" s="97" t="s">
        <v>112</v>
      </c>
      <c r="O549" s="97" t="s">
        <v>113</v>
      </c>
      <c r="P549" s="97" t="s">
        <v>118</v>
      </c>
      <c r="Q549" s="97" t="s">
        <v>119</v>
      </c>
      <c r="R549" s="97" t="s">
        <v>120</v>
      </c>
      <c r="S549" s="97" t="s">
        <v>121</v>
      </c>
    </row>
    <row r="550" spans="1:19" x14ac:dyDescent="0.25">
      <c r="A550" s="98">
        <f>A538+1</f>
        <v>43039</v>
      </c>
      <c r="B550" s="99" t="s">
        <v>108</v>
      </c>
      <c r="C550" s="100">
        <v>1</v>
      </c>
      <c r="D550" s="103">
        <f>$C550*VLOOKUP($B550,FoodDB!$A$2:$I$1018,3,0)</f>
        <v>0</v>
      </c>
      <c r="E550" s="103">
        <f>$C550*VLOOKUP($B550,FoodDB!$A$2:$I$1018,4,0)</f>
        <v>0</v>
      </c>
      <c r="F550" s="103">
        <f>$C550*VLOOKUP($B550,FoodDB!$A$2:$I$1018,5,0)</f>
        <v>0</v>
      </c>
      <c r="G550" s="103">
        <f>$C550*VLOOKUP($B550,FoodDB!$A$2:$I$1018,6,0)</f>
        <v>0</v>
      </c>
      <c r="H550" s="103">
        <f>$C550*VLOOKUP($B550,FoodDB!$A$2:$I$1018,7,0)</f>
        <v>0</v>
      </c>
      <c r="I550" s="103">
        <f>$C550*VLOOKUP($B550,FoodDB!$A$2:$I$1018,8,0)</f>
        <v>0</v>
      </c>
      <c r="J550" s="103">
        <f>$C550*VLOOKUP($B550,FoodDB!$A$2:$I$1018,9,0)</f>
        <v>0</v>
      </c>
      <c r="K550" s="103"/>
      <c r="L550" s="103">
        <f>SUM(G550:G556)</f>
        <v>0</v>
      </c>
      <c r="M550" s="103">
        <f>SUM(H550:H556)</f>
        <v>0</v>
      </c>
      <c r="N550" s="103">
        <f>SUM(I550:I556)</f>
        <v>0</v>
      </c>
      <c r="O550" s="103">
        <f>SUM(L550:N550)</f>
        <v>0</v>
      </c>
      <c r="P550" s="103">
        <f>VLOOKUP($A550,LossChart!$A$3:$AB$105,14,0)-L550</f>
        <v>615.93407108248948</v>
      </c>
      <c r="Q550" s="103">
        <f>VLOOKUP($A550,LossChart!$A$3:$AB$105,15,0)-M550</f>
        <v>80</v>
      </c>
      <c r="R550" s="103">
        <f>VLOOKUP($A550,LossChart!$A$3:$AB$105,16,0)-N550</f>
        <v>477.30407413615825</v>
      </c>
      <c r="S550" s="103">
        <f>VLOOKUP($A550,LossChart!$A$3:$AB$105,17,0)-O550</f>
        <v>1173.2381452186478</v>
      </c>
    </row>
    <row r="551" spans="1:19" x14ac:dyDescent="0.25">
      <c r="B551" s="99" t="s">
        <v>108</v>
      </c>
      <c r="C551" s="100">
        <v>1</v>
      </c>
      <c r="D551" s="103">
        <f>$C551*VLOOKUP($B551,FoodDB!$A$2:$I$1018,3,0)</f>
        <v>0</v>
      </c>
      <c r="E551" s="103">
        <f>$C551*VLOOKUP($B551,FoodDB!$A$2:$I$1018,4,0)</f>
        <v>0</v>
      </c>
      <c r="F551" s="103">
        <f>$C551*VLOOKUP($B551,FoodDB!$A$2:$I$1018,5,0)</f>
        <v>0</v>
      </c>
      <c r="G551" s="103">
        <f>$C551*VLOOKUP($B551,FoodDB!$A$2:$I$1018,6,0)</f>
        <v>0</v>
      </c>
      <c r="H551" s="103">
        <f>$C551*VLOOKUP($B551,FoodDB!$A$2:$I$1018,7,0)</f>
        <v>0</v>
      </c>
      <c r="I551" s="103">
        <f>$C551*VLOOKUP($B551,FoodDB!$A$2:$I$1018,8,0)</f>
        <v>0</v>
      </c>
      <c r="J551" s="103">
        <f>$C551*VLOOKUP($B551,FoodDB!$A$2:$I$1018,9,0)</f>
        <v>0</v>
      </c>
      <c r="K551" s="103"/>
      <c r="L551" s="103"/>
      <c r="M551" s="103"/>
      <c r="N551" s="103"/>
      <c r="O551" s="103"/>
      <c r="P551" s="103"/>
      <c r="Q551" s="103"/>
      <c r="R551" s="103"/>
      <c r="S551" s="103"/>
    </row>
    <row r="552" spans="1:19" x14ac:dyDescent="0.25">
      <c r="B552" s="99" t="s">
        <v>108</v>
      </c>
      <c r="C552" s="100">
        <v>1</v>
      </c>
      <c r="D552" s="103">
        <f>$C552*VLOOKUP($B552,FoodDB!$A$2:$I$1018,3,0)</f>
        <v>0</v>
      </c>
      <c r="E552" s="103">
        <f>$C552*VLOOKUP($B552,FoodDB!$A$2:$I$1018,4,0)</f>
        <v>0</v>
      </c>
      <c r="F552" s="103">
        <f>$C552*VLOOKUP($B552,FoodDB!$A$2:$I$1018,5,0)</f>
        <v>0</v>
      </c>
      <c r="G552" s="103">
        <f>$C552*VLOOKUP($B552,FoodDB!$A$2:$I$1018,6,0)</f>
        <v>0</v>
      </c>
      <c r="H552" s="103">
        <f>$C552*VLOOKUP($B552,FoodDB!$A$2:$I$1018,7,0)</f>
        <v>0</v>
      </c>
      <c r="I552" s="103">
        <f>$C552*VLOOKUP($B552,FoodDB!$A$2:$I$1018,8,0)</f>
        <v>0</v>
      </c>
      <c r="J552" s="103">
        <f>$C552*VLOOKUP($B552,FoodDB!$A$2:$I$1018,9,0)</f>
        <v>0</v>
      </c>
      <c r="K552" s="103"/>
      <c r="L552" s="103"/>
      <c r="M552" s="103"/>
      <c r="N552" s="103"/>
      <c r="O552" s="103"/>
      <c r="P552" s="103"/>
      <c r="Q552" s="103"/>
      <c r="R552" s="103"/>
      <c r="S552" s="103"/>
    </row>
    <row r="553" spans="1:19" x14ac:dyDescent="0.25">
      <c r="B553" s="99" t="s">
        <v>108</v>
      </c>
      <c r="C553" s="100">
        <v>1</v>
      </c>
      <c r="D553" s="103">
        <f>$C553*VLOOKUP($B553,FoodDB!$A$2:$I$1018,3,0)</f>
        <v>0</v>
      </c>
      <c r="E553" s="103">
        <f>$C553*VLOOKUP($B553,FoodDB!$A$2:$I$1018,4,0)</f>
        <v>0</v>
      </c>
      <c r="F553" s="103">
        <f>$C553*VLOOKUP($B553,FoodDB!$A$2:$I$1018,5,0)</f>
        <v>0</v>
      </c>
      <c r="G553" s="103">
        <f>$C553*VLOOKUP($B553,FoodDB!$A$2:$I$1018,6,0)</f>
        <v>0</v>
      </c>
      <c r="H553" s="103">
        <f>$C553*VLOOKUP($B553,FoodDB!$A$2:$I$1018,7,0)</f>
        <v>0</v>
      </c>
      <c r="I553" s="103">
        <f>$C553*VLOOKUP($B553,FoodDB!$A$2:$I$1018,8,0)</f>
        <v>0</v>
      </c>
      <c r="J553" s="103">
        <f>$C553*VLOOKUP($B553,FoodDB!$A$2:$I$1018,9,0)</f>
        <v>0</v>
      </c>
      <c r="K553" s="103"/>
      <c r="L553" s="103"/>
      <c r="M553" s="103"/>
      <c r="N553" s="103"/>
      <c r="O553" s="103"/>
      <c r="P553" s="103"/>
      <c r="Q553" s="103"/>
      <c r="R553" s="103"/>
      <c r="S553" s="103"/>
    </row>
    <row r="554" spans="1:19" x14ac:dyDescent="0.25">
      <c r="B554" s="99" t="s">
        <v>108</v>
      </c>
      <c r="C554" s="100">
        <v>1</v>
      </c>
      <c r="D554" s="103">
        <f>$C554*VLOOKUP($B554,FoodDB!$A$2:$I$1018,3,0)</f>
        <v>0</v>
      </c>
      <c r="E554" s="103">
        <f>$C554*VLOOKUP($B554,FoodDB!$A$2:$I$1018,4,0)</f>
        <v>0</v>
      </c>
      <c r="F554" s="103">
        <f>$C554*VLOOKUP($B554,FoodDB!$A$2:$I$1018,5,0)</f>
        <v>0</v>
      </c>
      <c r="G554" s="103">
        <f>$C554*VLOOKUP($B554,FoodDB!$A$2:$I$1018,6,0)</f>
        <v>0</v>
      </c>
      <c r="H554" s="103">
        <f>$C554*VLOOKUP($B554,FoodDB!$A$2:$I$1018,7,0)</f>
        <v>0</v>
      </c>
      <c r="I554" s="103">
        <f>$C554*VLOOKUP($B554,FoodDB!$A$2:$I$1018,8,0)</f>
        <v>0</v>
      </c>
      <c r="J554" s="103">
        <f>$C554*VLOOKUP($B554,FoodDB!$A$2:$I$1018,9,0)</f>
        <v>0</v>
      </c>
      <c r="K554" s="103"/>
      <c r="L554" s="103"/>
      <c r="M554" s="103"/>
      <c r="N554" s="103"/>
      <c r="O554" s="103"/>
      <c r="P554" s="103"/>
      <c r="Q554" s="103"/>
      <c r="R554" s="103"/>
      <c r="S554" s="103"/>
    </row>
    <row r="555" spans="1:19" x14ac:dyDescent="0.25">
      <c r="B555" s="99" t="s">
        <v>108</v>
      </c>
      <c r="C555" s="100">
        <v>1</v>
      </c>
      <c r="D555" s="103">
        <f>$C555*VLOOKUP($B555,FoodDB!$A$2:$I$1018,3,0)</f>
        <v>0</v>
      </c>
      <c r="E555" s="103">
        <f>$C555*VLOOKUP($B555,FoodDB!$A$2:$I$1018,4,0)</f>
        <v>0</v>
      </c>
      <c r="F555" s="103">
        <f>$C555*VLOOKUP($B555,FoodDB!$A$2:$I$1018,5,0)</f>
        <v>0</v>
      </c>
      <c r="G555" s="103">
        <f>$C555*VLOOKUP($B555,FoodDB!$A$2:$I$1018,6,0)</f>
        <v>0</v>
      </c>
      <c r="H555" s="103">
        <f>$C555*VLOOKUP($B555,FoodDB!$A$2:$I$1018,7,0)</f>
        <v>0</v>
      </c>
      <c r="I555" s="103">
        <f>$C555*VLOOKUP($B555,FoodDB!$A$2:$I$1018,8,0)</f>
        <v>0</v>
      </c>
      <c r="J555" s="103">
        <f>$C555*VLOOKUP($B555,FoodDB!$A$2:$I$1018,9,0)</f>
        <v>0</v>
      </c>
      <c r="K555" s="103"/>
      <c r="L555" s="103"/>
      <c r="M555" s="103"/>
      <c r="N555" s="103"/>
      <c r="O555" s="103"/>
      <c r="P555" s="103"/>
      <c r="Q555" s="103"/>
      <c r="R555" s="103"/>
      <c r="S555" s="103"/>
    </row>
    <row r="556" spans="1:19" x14ac:dyDescent="0.25">
      <c r="B556" s="99" t="s">
        <v>108</v>
      </c>
      <c r="C556" s="100">
        <v>1</v>
      </c>
      <c r="D556" s="103">
        <f>$C556*VLOOKUP($B556,FoodDB!$A$2:$I$1018,3,0)</f>
        <v>0</v>
      </c>
      <c r="E556" s="103">
        <f>$C556*VLOOKUP($B556,FoodDB!$A$2:$I$1018,4,0)</f>
        <v>0</v>
      </c>
      <c r="F556" s="103">
        <f>$C556*VLOOKUP($B556,FoodDB!$A$2:$I$1018,5,0)</f>
        <v>0</v>
      </c>
      <c r="G556" s="103">
        <f>$C556*VLOOKUP($B556,FoodDB!$A$2:$I$1018,6,0)</f>
        <v>0</v>
      </c>
      <c r="H556" s="103">
        <f>$C556*VLOOKUP($B556,FoodDB!$A$2:$I$1018,7,0)</f>
        <v>0</v>
      </c>
      <c r="I556" s="103">
        <f>$C556*VLOOKUP($B556,FoodDB!$A$2:$I$1018,8,0)</f>
        <v>0</v>
      </c>
      <c r="J556" s="103">
        <f>$C556*VLOOKUP($B556,FoodDB!$A$2:$I$1018,9,0)</f>
        <v>0</v>
      </c>
      <c r="K556" s="103"/>
      <c r="L556" s="103"/>
      <c r="M556" s="103"/>
      <c r="N556" s="103"/>
      <c r="O556" s="103"/>
      <c r="P556" s="103"/>
      <c r="Q556" s="103"/>
      <c r="R556" s="103"/>
      <c r="S556" s="103"/>
    </row>
    <row r="557" spans="1:19" x14ac:dyDescent="0.25">
      <c r="A557" t="s">
        <v>98</v>
      </c>
      <c r="D557" s="103"/>
      <c r="E557" s="103"/>
      <c r="F557" s="103"/>
      <c r="G557" s="103">
        <f>SUM(G550:G556)</f>
        <v>0</v>
      </c>
      <c r="H557" s="103">
        <f>SUM(H550:H556)</f>
        <v>0</v>
      </c>
      <c r="I557" s="103">
        <f>SUM(I550:I556)</f>
        <v>0</v>
      </c>
      <c r="J557" s="103">
        <f>SUM(G557:I557)</f>
        <v>0</v>
      </c>
      <c r="K557" s="103"/>
      <c r="L557" s="103"/>
      <c r="M557" s="103"/>
      <c r="N557" s="103"/>
      <c r="O557" s="103"/>
      <c r="P557" s="103"/>
      <c r="Q557" s="103"/>
      <c r="R557" s="103"/>
      <c r="S557" s="103"/>
    </row>
    <row r="558" spans="1:19" x14ac:dyDescent="0.25">
      <c r="A558" t="s">
        <v>102</v>
      </c>
      <c r="B558" t="s">
        <v>103</v>
      </c>
      <c r="D558" s="103"/>
      <c r="E558" s="103"/>
      <c r="F558" s="103"/>
      <c r="G558" s="103">
        <f>VLOOKUP($A550,LossChart!$A$3:$AB$105,14,0)</f>
        <v>615.93407108248948</v>
      </c>
      <c r="H558" s="103">
        <f>VLOOKUP($A550,LossChart!$A$3:$AB$105,15,0)</f>
        <v>80</v>
      </c>
      <c r="I558" s="103">
        <f>VLOOKUP($A550,LossChart!$A$3:$AB$105,16,0)</f>
        <v>477.30407413615825</v>
      </c>
      <c r="J558" s="103">
        <f>VLOOKUP($A550,LossChart!$A$3:$AB$105,17,0)</f>
        <v>1173.2381452186478</v>
      </c>
      <c r="K558" s="103"/>
      <c r="L558" s="103"/>
      <c r="M558" s="103"/>
      <c r="N558" s="103"/>
      <c r="O558" s="103"/>
      <c r="P558" s="103"/>
      <c r="Q558" s="103"/>
      <c r="R558" s="103"/>
      <c r="S558" s="103"/>
    </row>
    <row r="559" spans="1:19" x14ac:dyDescent="0.25">
      <c r="A559" t="s">
        <v>104</v>
      </c>
      <c r="D559" s="103"/>
      <c r="E559" s="103"/>
      <c r="F559" s="103"/>
      <c r="G559" s="103">
        <f>G558-G557</f>
        <v>615.93407108248948</v>
      </c>
      <c r="H559" s="103">
        <f>H558-H557</f>
        <v>80</v>
      </c>
      <c r="I559" s="103">
        <f>I558-I557</f>
        <v>477.30407413615825</v>
      </c>
      <c r="J559" s="103">
        <f>J558-J557</f>
        <v>1173.2381452186478</v>
      </c>
      <c r="K559" s="103"/>
      <c r="L559" s="103"/>
      <c r="M559" s="103"/>
      <c r="N559" s="103"/>
      <c r="O559" s="103"/>
      <c r="P559" s="103"/>
      <c r="Q559" s="103"/>
      <c r="R559" s="103"/>
      <c r="S559" s="103"/>
    </row>
    <row r="561" spans="1:19" ht="60" x14ac:dyDescent="0.25">
      <c r="A561" s="26" t="s">
        <v>63</v>
      </c>
      <c r="B561" s="26" t="s">
        <v>93</v>
      </c>
      <c r="C561" s="26" t="s">
        <v>94</v>
      </c>
      <c r="D561" s="97" t="str">
        <f>FoodDB!$C$1</f>
        <v>Fat
(g)</v>
      </c>
      <c r="E561" s="97" t="str">
        <f>FoodDB!$D$1</f>
        <v xml:space="preserve"> Carbs
(g)</v>
      </c>
      <c r="F561" s="97" t="str">
        <f>FoodDB!$E$1</f>
        <v>Protein
(g)</v>
      </c>
      <c r="G561" s="97" t="str">
        <f>FoodDB!$F$1</f>
        <v>Fat
(Cal)</v>
      </c>
      <c r="H561" s="97" t="str">
        <f>FoodDB!$G$1</f>
        <v>Carb
(Cal)</v>
      </c>
      <c r="I561" s="97" t="str">
        <f>FoodDB!$H$1</f>
        <v>Protein
(Cal)</v>
      </c>
      <c r="J561" s="97" t="str">
        <f>FoodDB!$I$1</f>
        <v>Total
Calories</v>
      </c>
      <c r="K561" s="97"/>
      <c r="L561" s="97" t="s">
        <v>110</v>
      </c>
      <c r="M561" s="97" t="s">
        <v>111</v>
      </c>
      <c r="N561" s="97" t="s">
        <v>112</v>
      </c>
      <c r="O561" s="97" t="s">
        <v>113</v>
      </c>
      <c r="P561" s="97" t="s">
        <v>118</v>
      </c>
      <c r="Q561" s="97" t="s">
        <v>119</v>
      </c>
      <c r="R561" s="97" t="s">
        <v>120</v>
      </c>
      <c r="S561" s="97" t="s">
        <v>121</v>
      </c>
    </row>
    <row r="562" spans="1:19" x14ac:dyDescent="0.25">
      <c r="A562" s="98">
        <f>A550+1</f>
        <v>43040</v>
      </c>
      <c r="B562" s="99" t="s">
        <v>108</v>
      </c>
      <c r="C562" s="100">
        <v>1</v>
      </c>
      <c r="D562" s="103">
        <f>$C562*VLOOKUP($B562,FoodDB!$A$2:$I$1018,3,0)</f>
        <v>0</v>
      </c>
      <c r="E562" s="103">
        <f>$C562*VLOOKUP($B562,FoodDB!$A$2:$I$1018,4,0)</f>
        <v>0</v>
      </c>
      <c r="F562" s="103">
        <f>$C562*VLOOKUP($B562,FoodDB!$A$2:$I$1018,5,0)</f>
        <v>0</v>
      </c>
      <c r="G562" s="103">
        <f>$C562*VLOOKUP($B562,FoodDB!$A$2:$I$1018,6,0)</f>
        <v>0</v>
      </c>
      <c r="H562" s="103">
        <f>$C562*VLOOKUP($B562,FoodDB!$A$2:$I$1018,7,0)</f>
        <v>0</v>
      </c>
      <c r="I562" s="103">
        <f>$C562*VLOOKUP($B562,FoodDB!$A$2:$I$1018,8,0)</f>
        <v>0</v>
      </c>
      <c r="J562" s="103">
        <f>$C562*VLOOKUP($B562,FoodDB!$A$2:$I$1018,9,0)</f>
        <v>0</v>
      </c>
      <c r="K562" s="103"/>
      <c r="L562" s="103">
        <f>SUM(G562:G568)</f>
        <v>0</v>
      </c>
      <c r="M562" s="103">
        <f>SUM(H562:H568)</f>
        <v>0</v>
      </c>
      <c r="N562" s="103">
        <f>SUM(I562:I568)</f>
        <v>0</v>
      </c>
      <c r="O562" s="103">
        <f>SUM(L562:N562)</f>
        <v>0</v>
      </c>
      <c r="P562" s="103">
        <f>VLOOKUP($A562,LossChart!$A$3:$AB$105,14,0)-L562</f>
        <v>621.98110251925891</v>
      </c>
      <c r="Q562" s="103">
        <f>VLOOKUP($A562,LossChart!$A$3:$AB$105,15,0)-M562</f>
        <v>80</v>
      </c>
      <c r="R562" s="103">
        <f>VLOOKUP($A562,LossChart!$A$3:$AB$105,16,0)-N562</f>
        <v>477.30407413615825</v>
      </c>
      <c r="S562" s="103">
        <f>VLOOKUP($A562,LossChart!$A$3:$AB$105,17,0)-O562</f>
        <v>1179.2851766554172</v>
      </c>
    </row>
    <row r="563" spans="1:19" x14ac:dyDescent="0.25">
      <c r="B563" s="99" t="s">
        <v>108</v>
      </c>
      <c r="C563" s="100">
        <v>1</v>
      </c>
      <c r="D563" s="103">
        <f>$C563*VLOOKUP($B563,FoodDB!$A$2:$I$1018,3,0)</f>
        <v>0</v>
      </c>
      <c r="E563" s="103">
        <f>$C563*VLOOKUP($B563,FoodDB!$A$2:$I$1018,4,0)</f>
        <v>0</v>
      </c>
      <c r="F563" s="103">
        <f>$C563*VLOOKUP($B563,FoodDB!$A$2:$I$1018,5,0)</f>
        <v>0</v>
      </c>
      <c r="G563" s="103">
        <f>$C563*VLOOKUP($B563,FoodDB!$A$2:$I$1018,6,0)</f>
        <v>0</v>
      </c>
      <c r="H563" s="103">
        <f>$C563*VLOOKUP($B563,FoodDB!$A$2:$I$1018,7,0)</f>
        <v>0</v>
      </c>
      <c r="I563" s="103">
        <f>$C563*VLOOKUP($B563,FoodDB!$A$2:$I$1018,8,0)</f>
        <v>0</v>
      </c>
      <c r="J563" s="103">
        <f>$C563*VLOOKUP($B563,FoodDB!$A$2:$I$1018,9,0)</f>
        <v>0</v>
      </c>
      <c r="K563" s="103"/>
      <c r="L563" s="103"/>
      <c r="M563" s="103"/>
      <c r="N563" s="103"/>
      <c r="O563" s="103"/>
      <c r="P563" s="103"/>
      <c r="Q563" s="103"/>
      <c r="R563" s="103"/>
      <c r="S563" s="103"/>
    </row>
    <row r="564" spans="1:19" x14ac:dyDescent="0.25">
      <c r="B564" s="99" t="s">
        <v>108</v>
      </c>
      <c r="C564" s="100">
        <v>1</v>
      </c>
      <c r="D564" s="103">
        <f>$C564*VLOOKUP($B564,FoodDB!$A$2:$I$1018,3,0)</f>
        <v>0</v>
      </c>
      <c r="E564" s="103">
        <f>$C564*VLOOKUP($B564,FoodDB!$A$2:$I$1018,4,0)</f>
        <v>0</v>
      </c>
      <c r="F564" s="103">
        <f>$C564*VLOOKUP($B564,FoodDB!$A$2:$I$1018,5,0)</f>
        <v>0</v>
      </c>
      <c r="G564" s="103">
        <f>$C564*VLOOKUP($B564,FoodDB!$A$2:$I$1018,6,0)</f>
        <v>0</v>
      </c>
      <c r="H564" s="103">
        <f>$C564*VLOOKUP($B564,FoodDB!$A$2:$I$1018,7,0)</f>
        <v>0</v>
      </c>
      <c r="I564" s="103">
        <f>$C564*VLOOKUP($B564,FoodDB!$A$2:$I$1018,8,0)</f>
        <v>0</v>
      </c>
      <c r="J564" s="103">
        <f>$C564*VLOOKUP($B564,FoodDB!$A$2:$I$1018,9,0)</f>
        <v>0</v>
      </c>
      <c r="K564" s="103"/>
      <c r="L564" s="103"/>
      <c r="M564" s="103"/>
      <c r="N564" s="103"/>
      <c r="O564" s="103"/>
      <c r="P564" s="103"/>
      <c r="Q564" s="103"/>
      <c r="R564" s="103"/>
      <c r="S564" s="103"/>
    </row>
    <row r="565" spans="1:19" x14ac:dyDescent="0.25">
      <c r="B565" s="99" t="s">
        <v>108</v>
      </c>
      <c r="C565" s="100">
        <v>1</v>
      </c>
      <c r="D565" s="103">
        <f>$C565*VLOOKUP($B565,FoodDB!$A$2:$I$1018,3,0)</f>
        <v>0</v>
      </c>
      <c r="E565" s="103">
        <f>$C565*VLOOKUP($B565,FoodDB!$A$2:$I$1018,4,0)</f>
        <v>0</v>
      </c>
      <c r="F565" s="103">
        <f>$C565*VLOOKUP($B565,FoodDB!$A$2:$I$1018,5,0)</f>
        <v>0</v>
      </c>
      <c r="G565" s="103">
        <f>$C565*VLOOKUP($B565,FoodDB!$A$2:$I$1018,6,0)</f>
        <v>0</v>
      </c>
      <c r="H565" s="103">
        <f>$C565*VLOOKUP($B565,FoodDB!$A$2:$I$1018,7,0)</f>
        <v>0</v>
      </c>
      <c r="I565" s="103">
        <f>$C565*VLOOKUP($B565,FoodDB!$A$2:$I$1018,8,0)</f>
        <v>0</v>
      </c>
      <c r="J565" s="103">
        <f>$C565*VLOOKUP($B565,FoodDB!$A$2:$I$1018,9,0)</f>
        <v>0</v>
      </c>
      <c r="K565" s="103"/>
      <c r="L565" s="103"/>
      <c r="M565" s="103"/>
      <c r="N565" s="103"/>
      <c r="O565" s="103"/>
      <c r="P565" s="103"/>
      <c r="Q565" s="103"/>
      <c r="R565" s="103"/>
      <c r="S565" s="103"/>
    </row>
    <row r="566" spans="1:19" x14ac:dyDescent="0.25">
      <c r="B566" s="99" t="s">
        <v>108</v>
      </c>
      <c r="C566" s="100">
        <v>1</v>
      </c>
      <c r="D566" s="103">
        <f>$C566*VLOOKUP($B566,FoodDB!$A$2:$I$1018,3,0)</f>
        <v>0</v>
      </c>
      <c r="E566" s="103">
        <f>$C566*VLOOKUP($B566,FoodDB!$A$2:$I$1018,4,0)</f>
        <v>0</v>
      </c>
      <c r="F566" s="103">
        <f>$C566*VLOOKUP($B566,FoodDB!$A$2:$I$1018,5,0)</f>
        <v>0</v>
      </c>
      <c r="G566" s="103">
        <f>$C566*VLOOKUP($B566,FoodDB!$A$2:$I$1018,6,0)</f>
        <v>0</v>
      </c>
      <c r="H566" s="103">
        <f>$C566*VLOOKUP($B566,FoodDB!$A$2:$I$1018,7,0)</f>
        <v>0</v>
      </c>
      <c r="I566" s="103">
        <f>$C566*VLOOKUP($B566,FoodDB!$A$2:$I$1018,8,0)</f>
        <v>0</v>
      </c>
      <c r="J566" s="103">
        <f>$C566*VLOOKUP($B566,FoodDB!$A$2:$I$1018,9,0)</f>
        <v>0</v>
      </c>
      <c r="K566" s="103"/>
      <c r="L566" s="103"/>
      <c r="M566" s="103"/>
      <c r="N566" s="103"/>
      <c r="O566" s="103"/>
      <c r="P566" s="103"/>
      <c r="Q566" s="103"/>
      <c r="R566" s="103"/>
      <c r="S566" s="103"/>
    </row>
    <row r="567" spans="1:19" x14ac:dyDescent="0.25">
      <c r="B567" s="99" t="s">
        <v>108</v>
      </c>
      <c r="C567" s="100">
        <v>1</v>
      </c>
      <c r="D567" s="103">
        <f>$C567*VLOOKUP($B567,FoodDB!$A$2:$I$1018,3,0)</f>
        <v>0</v>
      </c>
      <c r="E567" s="103">
        <f>$C567*VLOOKUP($B567,FoodDB!$A$2:$I$1018,4,0)</f>
        <v>0</v>
      </c>
      <c r="F567" s="103">
        <f>$C567*VLOOKUP($B567,FoodDB!$A$2:$I$1018,5,0)</f>
        <v>0</v>
      </c>
      <c r="G567" s="103">
        <f>$C567*VLOOKUP($B567,FoodDB!$A$2:$I$1018,6,0)</f>
        <v>0</v>
      </c>
      <c r="H567" s="103">
        <f>$C567*VLOOKUP($B567,FoodDB!$A$2:$I$1018,7,0)</f>
        <v>0</v>
      </c>
      <c r="I567" s="103">
        <f>$C567*VLOOKUP($B567,FoodDB!$A$2:$I$1018,8,0)</f>
        <v>0</v>
      </c>
      <c r="J567" s="103">
        <f>$C567*VLOOKUP($B567,FoodDB!$A$2:$I$1018,9,0)</f>
        <v>0</v>
      </c>
      <c r="K567" s="103"/>
      <c r="L567" s="103"/>
      <c r="M567" s="103"/>
      <c r="N567" s="103"/>
      <c r="O567" s="103"/>
      <c r="P567" s="103"/>
      <c r="Q567" s="103"/>
      <c r="R567" s="103"/>
      <c r="S567" s="103"/>
    </row>
    <row r="568" spans="1:19" x14ac:dyDescent="0.25">
      <c r="B568" s="99" t="s">
        <v>108</v>
      </c>
      <c r="C568" s="100">
        <v>1</v>
      </c>
      <c r="D568" s="103">
        <f>$C568*VLOOKUP($B568,FoodDB!$A$2:$I$1018,3,0)</f>
        <v>0</v>
      </c>
      <c r="E568" s="103">
        <f>$C568*VLOOKUP($B568,FoodDB!$A$2:$I$1018,4,0)</f>
        <v>0</v>
      </c>
      <c r="F568" s="103">
        <f>$C568*VLOOKUP($B568,FoodDB!$A$2:$I$1018,5,0)</f>
        <v>0</v>
      </c>
      <c r="G568" s="103">
        <f>$C568*VLOOKUP($B568,FoodDB!$A$2:$I$1018,6,0)</f>
        <v>0</v>
      </c>
      <c r="H568" s="103">
        <f>$C568*VLOOKUP($B568,FoodDB!$A$2:$I$1018,7,0)</f>
        <v>0</v>
      </c>
      <c r="I568" s="103">
        <f>$C568*VLOOKUP($B568,FoodDB!$A$2:$I$1018,8,0)</f>
        <v>0</v>
      </c>
      <c r="J568" s="103">
        <f>$C568*VLOOKUP($B568,FoodDB!$A$2:$I$1018,9,0)</f>
        <v>0</v>
      </c>
      <c r="K568" s="103"/>
      <c r="L568" s="103"/>
      <c r="M568" s="103"/>
      <c r="N568" s="103"/>
      <c r="O568" s="103"/>
      <c r="P568" s="103"/>
      <c r="Q568" s="103"/>
      <c r="R568" s="103"/>
      <c r="S568" s="103"/>
    </row>
    <row r="569" spans="1:19" x14ac:dyDescent="0.25">
      <c r="A569" t="s">
        <v>98</v>
      </c>
      <c r="D569" s="103"/>
      <c r="E569" s="103"/>
      <c r="F569" s="103"/>
      <c r="G569" s="103">
        <f>SUM(G562:G568)</f>
        <v>0</v>
      </c>
      <c r="H569" s="103">
        <f>SUM(H562:H568)</f>
        <v>0</v>
      </c>
      <c r="I569" s="103">
        <f>SUM(I562:I568)</f>
        <v>0</v>
      </c>
      <c r="J569" s="103">
        <f>SUM(G569:I569)</f>
        <v>0</v>
      </c>
      <c r="K569" s="103"/>
      <c r="L569" s="103"/>
      <c r="M569" s="103"/>
      <c r="N569" s="103"/>
      <c r="O569" s="103"/>
      <c r="P569" s="103"/>
      <c r="Q569" s="103"/>
      <c r="R569" s="103"/>
      <c r="S569" s="103"/>
    </row>
    <row r="570" spans="1:19" x14ac:dyDescent="0.25">
      <c r="A570" t="s">
        <v>102</v>
      </c>
      <c r="B570" t="s">
        <v>103</v>
      </c>
      <c r="D570" s="103"/>
      <c r="E570" s="103"/>
      <c r="F570" s="103"/>
      <c r="G570" s="103">
        <f>VLOOKUP($A562,LossChart!$A$3:$AB$105,14,0)</f>
        <v>621.98110251925891</v>
      </c>
      <c r="H570" s="103">
        <f>VLOOKUP($A562,LossChart!$A$3:$AB$105,15,0)</f>
        <v>80</v>
      </c>
      <c r="I570" s="103">
        <f>VLOOKUP($A562,LossChart!$A$3:$AB$105,16,0)</f>
        <v>477.30407413615825</v>
      </c>
      <c r="J570" s="103">
        <f>VLOOKUP($A562,LossChart!$A$3:$AB$105,17,0)</f>
        <v>1179.2851766554172</v>
      </c>
      <c r="K570" s="103"/>
      <c r="L570" s="103"/>
      <c r="M570" s="103"/>
      <c r="N570" s="103"/>
      <c r="O570" s="103"/>
      <c r="P570" s="103"/>
      <c r="Q570" s="103"/>
      <c r="R570" s="103"/>
      <c r="S570" s="103"/>
    </row>
    <row r="571" spans="1:19" x14ac:dyDescent="0.25">
      <c r="A571" t="s">
        <v>104</v>
      </c>
      <c r="D571" s="103"/>
      <c r="E571" s="103"/>
      <c r="F571" s="103"/>
      <c r="G571" s="103">
        <f>G570-G569</f>
        <v>621.98110251925891</v>
      </c>
      <c r="H571" s="103">
        <f>H570-H569</f>
        <v>80</v>
      </c>
      <c r="I571" s="103">
        <f>I570-I569</f>
        <v>477.30407413615825</v>
      </c>
      <c r="J571" s="103">
        <f>J570-J569</f>
        <v>1179.2851766554172</v>
      </c>
      <c r="K571" s="103"/>
      <c r="L571" s="103"/>
      <c r="M571" s="103"/>
      <c r="N571" s="103"/>
      <c r="O571" s="103"/>
      <c r="P571" s="103"/>
      <c r="Q571" s="103"/>
      <c r="R571" s="103"/>
      <c r="S571" s="103"/>
    </row>
    <row r="573" spans="1:19" ht="60" x14ac:dyDescent="0.25">
      <c r="A573" s="26" t="s">
        <v>63</v>
      </c>
      <c r="B573" s="26" t="s">
        <v>93</v>
      </c>
      <c r="C573" s="26" t="s">
        <v>94</v>
      </c>
      <c r="D573" s="97" t="str">
        <f>FoodDB!$C$1</f>
        <v>Fat
(g)</v>
      </c>
      <c r="E573" s="97" t="str">
        <f>FoodDB!$D$1</f>
        <v xml:space="preserve"> Carbs
(g)</v>
      </c>
      <c r="F573" s="97" t="str">
        <f>FoodDB!$E$1</f>
        <v>Protein
(g)</v>
      </c>
      <c r="G573" s="97" t="str">
        <f>FoodDB!$F$1</f>
        <v>Fat
(Cal)</v>
      </c>
      <c r="H573" s="97" t="str">
        <f>FoodDB!$G$1</f>
        <v>Carb
(Cal)</v>
      </c>
      <c r="I573" s="97" t="str">
        <f>FoodDB!$H$1</f>
        <v>Protein
(Cal)</v>
      </c>
      <c r="J573" s="97" t="str">
        <f>FoodDB!$I$1</f>
        <v>Total
Calories</v>
      </c>
      <c r="K573" s="97"/>
      <c r="L573" s="97" t="s">
        <v>110</v>
      </c>
      <c r="M573" s="97" t="s">
        <v>111</v>
      </c>
      <c r="N573" s="97" t="s">
        <v>112</v>
      </c>
      <c r="O573" s="97" t="s">
        <v>113</v>
      </c>
      <c r="P573" s="97" t="s">
        <v>118</v>
      </c>
      <c r="Q573" s="97" t="s">
        <v>119</v>
      </c>
      <c r="R573" s="97" t="s">
        <v>120</v>
      </c>
      <c r="S573" s="97" t="s">
        <v>121</v>
      </c>
    </row>
    <row r="574" spans="1:19" x14ac:dyDescent="0.25">
      <c r="A574" s="98">
        <f>A562+1</f>
        <v>43041</v>
      </c>
      <c r="B574" s="99" t="s">
        <v>108</v>
      </c>
      <c r="C574" s="100">
        <v>1</v>
      </c>
      <c r="D574" s="103">
        <f>$C574*VLOOKUP($B574,FoodDB!$A$2:$I$1018,3,0)</f>
        <v>0</v>
      </c>
      <c r="E574" s="103">
        <f>$C574*VLOOKUP($B574,FoodDB!$A$2:$I$1018,4,0)</f>
        <v>0</v>
      </c>
      <c r="F574" s="103">
        <f>$C574*VLOOKUP($B574,FoodDB!$A$2:$I$1018,5,0)</f>
        <v>0</v>
      </c>
      <c r="G574" s="103">
        <f>$C574*VLOOKUP($B574,FoodDB!$A$2:$I$1018,6,0)</f>
        <v>0</v>
      </c>
      <c r="H574" s="103">
        <f>$C574*VLOOKUP($B574,FoodDB!$A$2:$I$1018,7,0)</f>
        <v>0</v>
      </c>
      <c r="I574" s="103">
        <f>$C574*VLOOKUP($B574,FoodDB!$A$2:$I$1018,8,0)</f>
        <v>0</v>
      </c>
      <c r="J574" s="103">
        <f>$C574*VLOOKUP($B574,FoodDB!$A$2:$I$1018,9,0)</f>
        <v>0</v>
      </c>
      <c r="K574" s="103"/>
      <c r="L574" s="103">
        <f>SUM(G574:G580)</f>
        <v>0</v>
      </c>
      <c r="M574" s="103">
        <f>SUM(H574:H580)</f>
        <v>0</v>
      </c>
      <c r="N574" s="103">
        <f>SUM(I574:I580)</f>
        <v>0</v>
      </c>
      <c r="O574" s="103">
        <f>SUM(L574:N574)</f>
        <v>0</v>
      </c>
      <c r="P574" s="103">
        <f>VLOOKUP($A574,LossChart!$A$3:$AB$105,14,0)-L574</f>
        <v>627.97457453473157</v>
      </c>
      <c r="Q574" s="103">
        <f>VLOOKUP($A574,LossChart!$A$3:$AB$105,15,0)-M574</f>
        <v>80</v>
      </c>
      <c r="R574" s="103">
        <f>VLOOKUP($A574,LossChart!$A$3:$AB$105,16,0)-N574</f>
        <v>477.30407413615825</v>
      </c>
      <c r="S574" s="103">
        <f>VLOOKUP($A574,LossChart!$A$3:$AB$105,17,0)-O574</f>
        <v>1185.2786486708899</v>
      </c>
    </row>
    <row r="575" spans="1:19" x14ac:dyDescent="0.25">
      <c r="B575" s="99" t="s">
        <v>108</v>
      </c>
      <c r="C575" s="100">
        <v>1</v>
      </c>
      <c r="D575" s="103">
        <f>$C575*VLOOKUP($B575,FoodDB!$A$2:$I$1018,3,0)</f>
        <v>0</v>
      </c>
      <c r="E575" s="103">
        <f>$C575*VLOOKUP($B575,FoodDB!$A$2:$I$1018,4,0)</f>
        <v>0</v>
      </c>
      <c r="F575" s="103">
        <f>$C575*VLOOKUP($B575,FoodDB!$A$2:$I$1018,5,0)</f>
        <v>0</v>
      </c>
      <c r="G575" s="103">
        <f>$C575*VLOOKUP($B575,FoodDB!$A$2:$I$1018,6,0)</f>
        <v>0</v>
      </c>
      <c r="H575" s="103">
        <f>$C575*VLOOKUP($B575,FoodDB!$A$2:$I$1018,7,0)</f>
        <v>0</v>
      </c>
      <c r="I575" s="103">
        <f>$C575*VLOOKUP($B575,FoodDB!$A$2:$I$1018,8,0)</f>
        <v>0</v>
      </c>
      <c r="J575" s="103">
        <f>$C575*VLOOKUP($B575,FoodDB!$A$2:$I$1018,9,0)</f>
        <v>0</v>
      </c>
      <c r="K575" s="103"/>
      <c r="L575" s="103"/>
      <c r="M575" s="103"/>
      <c r="N575" s="103"/>
      <c r="O575" s="103"/>
      <c r="P575" s="103"/>
      <c r="Q575" s="103"/>
      <c r="R575" s="103"/>
      <c r="S575" s="103"/>
    </row>
    <row r="576" spans="1:19" x14ac:dyDescent="0.25">
      <c r="B576" s="99" t="s">
        <v>108</v>
      </c>
      <c r="C576" s="100">
        <v>1</v>
      </c>
      <c r="D576" s="103">
        <f>$C576*VLOOKUP($B576,FoodDB!$A$2:$I$1018,3,0)</f>
        <v>0</v>
      </c>
      <c r="E576" s="103">
        <f>$C576*VLOOKUP($B576,FoodDB!$A$2:$I$1018,4,0)</f>
        <v>0</v>
      </c>
      <c r="F576" s="103">
        <f>$C576*VLOOKUP($B576,FoodDB!$A$2:$I$1018,5,0)</f>
        <v>0</v>
      </c>
      <c r="G576" s="103">
        <f>$C576*VLOOKUP($B576,FoodDB!$A$2:$I$1018,6,0)</f>
        <v>0</v>
      </c>
      <c r="H576" s="103">
        <f>$C576*VLOOKUP($B576,FoodDB!$A$2:$I$1018,7,0)</f>
        <v>0</v>
      </c>
      <c r="I576" s="103">
        <f>$C576*VLOOKUP($B576,FoodDB!$A$2:$I$1018,8,0)</f>
        <v>0</v>
      </c>
      <c r="J576" s="103">
        <f>$C576*VLOOKUP($B576,FoodDB!$A$2:$I$1018,9,0)</f>
        <v>0</v>
      </c>
      <c r="K576" s="103"/>
      <c r="L576" s="103"/>
      <c r="M576" s="103"/>
      <c r="N576" s="103"/>
      <c r="O576" s="103"/>
      <c r="P576" s="103"/>
      <c r="Q576" s="103"/>
      <c r="R576" s="103"/>
      <c r="S576" s="103"/>
    </row>
    <row r="577" spans="1:19" x14ac:dyDescent="0.25">
      <c r="B577" s="99" t="s">
        <v>108</v>
      </c>
      <c r="C577" s="100">
        <v>1</v>
      </c>
      <c r="D577" s="103">
        <f>$C577*VLOOKUP($B577,FoodDB!$A$2:$I$1018,3,0)</f>
        <v>0</v>
      </c>
      <c r="E577" s="103">
        <f>$C577*VLOOKUP($B577,FoodDB!$A$2:$I$1018,4,0)</f>
        <v>0</v>
      </c>
      <c r="F577" s="103">
        <f>$C577*VLOOKUP($B577,FoodDB!$A$2:$I$1018,5,0)</f>
        <v>0</v>
      </c>
      <c r="G577" s="103">
        <f>$C577*VLOOKUP($B577,FoodDB!$A$2:$I$1018,6,0)</f>
        <v>0</v>
      </c>
      <c r="H577" s="103">
        <f>$C577*VLOOKUP($B577,FoodDB!$A$2:$I$1018,7,0)</f>
        <v>0</v>
      </c>
      <c r="I577" s="103">
        <f>$C577*VLOOKUP($B577,FoodDB!$A$2:$I$1018,8,0)</f>
        <v>0</v>
      </c>
      <c r="J577" s="103">
        <f>$C577*VLOOKUP($B577,FoodDB!$A$2:$I$1018,9,0)</f>
        <v>0</v>
      </c>
      <c r="K577" s="103"/>
      <c r="L577" s="103"/>
      <c r="M577" s="103"/>
      <c r="N577" s="103"/>
      <c r="O577" s="103"/>
      <c r="P577" s="103"/>
      <c r="Q577" s="103"/>
      <c r="R577" s="103"/>
      <c r="S577" s="103"/>
    </row>
    <row r="578" spans="1:19" x14ac:dyDescent="0.25">
      <c r="B578" s="99" t="s">
        <v>108</v>
      </c>
      <c r="C578" s="100">
        <v>1</v>
      </c>
      <c r="D578" s="103">
        <f>$C578*VLOOKUP($B578,FoodDB!$A$2:$I$1018,3,0)</f>
        <v>0</v>
      </c>
      <c r="E578" s="103">
        <f>$C578*VLOOKUP($B578,FoodDB!$A$2:$I$1018,4,0)</f>
        <v>0</v>
      </c>
      <c r="F578" s="103">
        <f>$C578*VLOOKUP($B578,FoodDB!$A$2:$I$1018,5,0)</f>
        <v>0</v>
      </c>
      <c r="G578" s="103">
        <f>$C578*VLOOKUP($B578,FoodDB!$A$2:$I$1018,6,0)</f>
        <v>0</v>
      </c>
      <c r="H578" s="103">
        <f>$C578*VLOOKUP($B578,FoodDB!$A$2:$I$1018,7,0)</f>
        <v>0</v>
      </c>
      <c r="I578" s="103">
        <f>$C578*VLOOKUP($B578,FoodDB!$A$2:$I$1018,8,0)</f>
        <v>0</v>
      </c>
      <c r="J578" s="103">
        <f>$C578*VLOOKUP($B578,FoodDB!$A$2:$I$1018,9,0)</f>
        <v>0</v>
      </c>
      <c r="K578" s="103"/>
      <c r="L578" s="103"/>
      <c r="M578" s="103"/>
      <c r="N578" s="103"/>
      <c r="O578" s="103"/>
      <c r="P578" s="103"/>
      <c r="Q578" s="103"/>
      <c r="R578" s="103"/>
      <c r="S578" s="103"/>
    </row>
    <row r="579" spans="1:19" x14ac:dyDescent="0.25">
      <c r="B579" s="99" t="s">
        <v>108</v>
      </c>
      <c r="C579" s="100">
        <v>1</v>
      </c>
      <c r="D579" s="103">
        <f>$C579*VLOOKUP($B579,FoodDB!$A$2:$I$1018,3,0)</f>
        <v>0</v>
      </c>
      <c r="E579" s="103">
        <f>$C579*VLOOKUP($B579,FoodDB!$A$2:$I$1018,4,0)</f>
        <v>0</v>
      </c>
      <c r="F579" s="103">
        <f>$C579*VLOOKUP($B579,FoodDB!$A$2:$I$1018,5,0)</f>
        <v>0</v>
      </c>
      <c r="G579" s="103">
        <f>$C579*VLOOKUP($B579,FoodDB!$A$2:$I$1018,6,0)</f>
        <v>0</v>
      </c>
      <c r="H579" s="103">
        <f>$C579*VLOOKUP($B579,FoodDB!$A$2:$I$1018,7,0)</f>
        <v>0</v>
      </c>
      <c r="I579" s="103">
        <f>$C579*VLOOKUP($B579,FoodDB!$A$2:$I$1018,8,0)</f>
        <v>0</v>
      </c>
      <c r="J579" s="103">
        <f>$C579*VLOOKUP($B579,FoodDB!$A$2:$I$1018,9,0)</f>
        <v>0</v>
      </c>
      <c r="K579" s="103"/>
      <c r="L579" s="103"/>
      <c r="M579" s="103"/>
      <c r="N579" s="103"/>
      <c r="O579" s="103"/>
      <c r="P579" s="103"/>
      <c r="Q579" s="103"/>
      <c r="R579" s="103"/>
      <c r="S579" s="103"/>
    </row>
    <row r="580" spans="1:19" x14ac:dyDescent="0.25">
      <c r="B580" s="99" t="s">
        <v>108</v>
      </c>
      <c r="C580" s="100">
        <v>1</v>
      </c>
      <c r="D580" s="103">
        <f>$C580*VLOOKUP($B580,FoodDB!$A$2:$I$1018,3,0)</f>
        <v>0</v>
      </c>
      <c r="E580" s="103">
        <f>$C580*VLOOKUP($B580,FoodDB!$A$2:$I$1018,4,0)</f>
        <v>0</v>
      </c>
      <c r="F580" s="103">
        <f>$C580*VLOOKUP($B580,FoodDB!$A$2:$I$1018,5,0)</f>
        <v>0</v>
      </c>
      <c r="G580" s="103">
        <f>$C580*VLOOKUP($B580,FoodDB!$A$2:$I$1018,6,0)</f>
        <v>0</v>
      </c>
      <c r="H580" s="103">
        <f>$C580*VLOOKUP($B580,FoodDB!$A$2:$I$1018,7,0)</f>
        <v>0</v>
      </c>
      <c r="I580" s="103">
        <f>$C580*VLOOKUP($B580,FoodDB!$A$2:$I$1018,8,0)</f>
        <v>0</v>
      </c>
      <c r="J580" s="103">
        <f>$C580*VLOOKUP($B580,FoodDB!$A$2:$I$1018,9,0)</f>
        <v>0</v>
      </c>
      <c r="K580" s="103"/>
      <c r="L580" s="103"/>
      <c r="M580" s="103"/>
      <c r="N580" s="103"/>
      <c r="O580" s="103"/>
      <c r="P580" s="103"/>
      <c r="Q580" s="103"/>
      <c r="R580" s="103"/>
      <c r="S580" s="103"/>
    </row>
    <row r="581" spans="1:19" x14ac:dyDescent="0.25">
      <c r="A581" t="s">
        <v>98</v>
      </c>
      <c r="D581" s="103"/>
      <c r="E581" s="103"/>
      <c r="F581" s="103"/>
      <c r="G581" s="103">
        <f>SUM(G574:G580)</f>
        <v>0</v>
      </c>
      <c r="H581" s="103">
        <f>SUM(H574:H580)</f>
        <v>0</v>
      </c>
      <c r="I581" s="103">
        <f>SUM(I574:I580)</f>
        <v>0</v>
      </c>
      <c r="J581" s="103">
        <f>SUM(G581:I581)</f>
        <v>0</v>
      </c>
      <c r="K581" s="103"/>
      <c r="L581" s="103"/>
      <c r="M581" s="103"/>
      <c r="N581" s="103"/>
      <c r="O581" s="103"/>
      <c r="P581" s="103"/>
      <c r="Q581" s="103"/>
      <c r="R581" s="103"/>
      <c r="S581" s="103"/>
    </row>
    <row r="582" spans="1:19" x14ac:dyDescent="0.25">
      <c r="A582" t="s">
        <v>102</v>
      </c>
      <c r="B582" t="s">
        <v>103</v>
      </c>
      <c r="D582" s="103"/>
      <c r="E582" s="103"/>
      <c r="F582" s="103"/>
      <c r="G582" s="103">
        <f>VLOOKUP($A574,LossChart!$A$3:$AB$105,14,0)</f>
        <v>627.97457453473157</v>
      </c>
      <c r="H582" s="103">
        <f>VLOOKUP($A574,LossChart!$A$3:$AB$105,15,0)</f>
        <v>80</v>
      </c>
      <c r="I582" s="103">
        <f>VLOOKUP($A574,LossChart!$A$3:$AB$105,16,0)</f>
        <v>477.30407413615825</v>
      </c>
      <c r="J582" s="103">
        <f>VLOOKUP($A574,LossChart!$A$3:$AB$105,17,0)</f>
        <v>1185.2786486708899</v>
      </c>
      <c r="K582" s="103"/>
      <c r="L582" s="103"/>
      <c r="M582" s="103"/>
      <c r="N582" s="103"/>
      <c r="O582" s="103"/>
      <c r="P582" s="103"/>
      <c r="Q582" s="103"/>
      <c r="R582" s="103"/>
      <c r="S582" s="103"/>
    </row>
    <row r="583" spans="1:19" x14ac:dyDescent="0.25">
      <c r="A583" t="s">
        <v>104</v>
      </c>
      <c r="D583" s="103"/>
      <c r="E583" s="103"/>
      <c r="F583" s="103"/>
      <c r="G583" s="103">
        <f>G582-G581</f>
        <v>627.97457453473157</v>
      </c>
      <c r="H583" s="103">
        <f>H582-H581</f>
        <v>80</v>
      </c>
      <c r="I583" s="103">
        <f>I582-I581</f>
        <v>477.30407413615825</v>
      </c>
      <c r="J583" s="103">
        <f>J582-J581</f>
        <v>1185.2786486708899</v>
      </c>
      <c r="K583" s="103"/>
      <c r="L583" s="103"/>
      <c r="M583" s="103"/>
      <c r="N583" s="103"/>
      <c r="O583" s="103"/>
      <c r="P583" s="103"/>
      <c r="Q583" s="103"/>
      <c r="R583" s="103"/>
      <c r="S583" s="103"/>
    </row>
    <row r="585" spans="1:19" ht="60" x14ac:dyDescent="0.25">
      <c r="A585" s="26" t="s">
        <v>63</v>
      </c>
      <c r="B585" s="26" t="s">
        <v>93</v>
      </c>
      <c r="C585" s="26" t="s">
        <v>94</v>
      </c>
      <c r="D585" s="97" t="str">
        <f>FoodDB!$C$1</f>
        <v>Fat
(g)</v>
      </c>
      <c r="E585" s="97" t="str">
        <f>FoodDB!$D$1</f>
        <v xml:space="preserve"> Carbs
(g)</v>
      </c>
      <c r="F585" s="97" t="str">
        <f>FoodDB!$E$1</f>
        <v>Protein
(g)</v>
      </c>
      <c r="G585" s="97" t="str">
        <f>FoodDB!$F$1</f>
        <v>Fat
(Cal)</v>
      </c>
      <c r="H585" s="97" t="str">
        <f>FoodDB!$G$1</f>
        <v>Carb
(Cal)</v>
      </c>
      <c r="I585" s="97" t="str">
        <f>FoodDB!$H$1</f>
        <v>Protein
(Cal)</v>
      </c>
      <c r="J585" s="97" t="str">
        <f>FoodDB!$I$1</f>
        <v>Total
Calories</v>
      </c>
      <c r="K585" s="97"/>
      <c r="L585" s="97" t="s">
        <v>110</v>
      </c>
      <c r="M585" s="97" t="s">
        <v>111</v>
      </c>
      <c r="N585" s="97" t="s">
        <v>112</v>
      </c>
      <c r="O585" s="97" t="s">
        <v>113</v>
      </c>
      <c r="P585" s="97" t="s">
        <v>118</v>
      </c>
      <c r="Q585" s="97" t="s">
        <v>119</v>
      </c>
      <c r="R585" s="97" t="s">
        <v>120</v>
      </c>
      <c r="S585" s="97" t="s">
        <v>121</v>
      </c>
    </row>
    <row r="586" spans="1:19" x14ac:dyDescent="0.25">
      <c r="A586" s="98">
        <f>A574+1</f>
        <v>43042</v>
      </c>
      <c r="B586" s="99" t="s">
        <v>108</v>
      </c>
      <c r="C586" s="100">
        <v>1</v>
      </c>
      <c r="D586" s="103">
        <f>$C586*VLOOKUP($B586,FoodDB!$A$2:$I$1018,3,0)</f>
        <v>0</v>
      </c>
      <c r="E586" s="103">
        <f>$C586*VLOOKUP($B586,FoodDB!$A$2:$I$1018,4,0)</f>
        <v>0</v>
      </c>
      <c r="F586" s="103">
        <f>$C586*VLOOKUP($B586,FoodDB!$A$2:$I$1018,5,0)</f>
        <v>0</v>
      </c>
      <c r="G586" s="103">
        <f>$C586*VLOOKUP($B586,FoodDB!$A$2:$I$1018,6,0)</f>
        <v>0</v>
      </c>
      <c r="H586" s="103">
        <f>$C586*VLOOKUP($B586,FoodDB!$A$2:$I$1018,7,0)</f>
        <v>0</v>
      </c>
      <c r="I586" s="103">
        <f>$C586*VLOOKUP($B586,FoodDB!$A$2:$I$1018,8,0)</f>
        <v>0</v>
      </c>
      <c r="J586" s="103">
        <f>$C586*VLOOKUP($B586,FoodDB!$A$2:$I$1018,9,0)</f>
        <v>0</v>
      </c>
      <c r="K586" s="103"/>
      <c r="L586" s="103">
        <f>SUM(G586:G592)</f>
        <v>0</v>
      </c>
      <c r="M586" s="103">
        <f>SUM(H586:H592)</f>
        <v>0</v>
      </c>
      <c r="N586" s="103">
        <f>SUM(I586:I592)</f>
        <v>0</v>
      </c>
      <c r="O586" s="103">
        <f>SUM(L586:N586)</f>
        <v>0</v>
      </c>
      <c r="P586" s="103">
        <f>VLOOKUP($A586,LossChart!$A$3:$AB$105,14,0)-L586</f>
        <v>633.91496151235287</v>
      </c>
      <c r="Q586" s="103">
        <f>VLOOKUP($A586,LossChart!$A$3:$AB$105,15,0)-M586</f>
        <v>80</v>
      </c>
      <c r="R586" s="103">
        <f>VLOOKUP($A586,LossChart!$A$3:$AB$105,16,0)-N586</f>
        <v>477.30407413615825</v>
      </c>
      <c r="S586" s="103">
        <f>VLOOKUP($A586,LossChart!$A$3:$AB$105,17,0)-O586</f>
        <v>1191.2190356485112</v>
      </c>
    </row>
    <row r="587" spans="1:19" x14ac:dyDescent="0.25">
      <c r="B587" s="99" t="s">
        <v>108</v>
      </c>
      <c r="C587" s="100">
        <v>1</v>
      </c>
      <c r="D587" s="103">
        <f>$C587*VLOOKUP($B587,FoodDB!$A$2:$I$1018,3,0)</f>
        <v>0</v>
      </c>
      <c r="E587" s="103">
        <f>$C587*VLOOKUP($B587,FoodDB!$A$2:$I$1018,4,0)</f>
        <v>0</v>
      </c>
      <c r="F587" s="103">
        <f>$C587*VLOOKUP($B587,FoodDB!$A$2:$I$1018,5,0)</f>
        <v>0</v>
      </c>
      <c r="G587" s="103">
        <f>$C587*VLOOKUP($B587,FoodDB!$A$2:$I$1018,6,0)</f>
        <v>0</v>
      </c>
      <c r="H587" s="103">
        <f>$C587*VLOOKUP($B587,FoodDB!$A$2:$I$1018,7,0)</f>
        <v>0</v>
      </c>
      <c r="I587" s="103">
        <f>$C587*VLOOKUP($B587,FoodDB!$A$2:$I$1018,8,0)</f>
        <v>0</v>
      </c>
      <c r="J587" s="103">
        <f>$C587*VLOOKUP($B587,FoodDB!$A$2:$I$1018,9,0)</f>
        <v>0</v>
      </c>
      <c r="K587" s="103"/>
      <c r="L587" s="103"/>
      <c r="M587" s="103"/>
      <c r="N587" s="103"/>
      <c r="O587" s="103"/>
      <c r="P587" s="103"/>
      <c r="Q587" s="103"/>
      <c r="R587" s="103"/>
      <c r="S587" s="103"/>
    </row>
    <row r="588" spans="1:19" x14ac:dyDescent="0.25">
      <c r="B588" s="99" t="s">
        <v>108</v>
      </c>
      <c r="C588" s="100">
        <v>1</v>
      </c>
      <c r="D588" s="103">
        <f>$C588*VLOOKUP($B588,FoodDB!$A$2:$I$1018,3,0)</f>
        <v>0</v>
      </c>
      <c r="E588" s="103">
        <f>$C588*VLOOKUP($B588,FoodDB!$A$2:$I$1018,4,0)</f>
        <v>0</v>
      </c>
      <c r="F588" s="103">
        <f>$C588*VLOOKUP($B588,FoodDB!$A$2:$I$1018,5,0)</f>
        <v>0</v>
      </c>
      <c r="G588" s="103">
        <f>$C588*VLOOKUP($B588,FoodDB!$A$2:$I$1018,6,0)</f>
        <v>0</v>
      </c>
      <c r="H588" s="103">
        <f>$C588*VLOOKUP($B588,FoodDB!$A$2:$I$1018,7,0)</f>
        <v>0</v>
      </c>
      <c r="I588" s="103">
        <f>$C588*VLOOKUP($B588,FoodDB!$A$2:$I$1018,8,0)</f>
        <v>0</v>
      </c>
      <c r="J588" s="103">
        <f>$C588*VLOOKUP($B588,FoodDB!$A$2:$I$1018,9,0)</f>
        <v>0</v>
      </c>
      <c r="K588" s="103"/>
      <c r="L588" s="103"/>
      <c r="M588" s="103"/>
      <c r="N588" s="103"/>
      <c r="O588" s="103"/>
      <c r="P588" s="103"/>
      <c r="Q588" s="103"/>
      <c r="R588" s="103"/>
      <c r="S588" s="103"/>
    </row>
    <row r="589" spans="1:19" x14ac:dyDescent="0.25">
      <c r="B589" s="99" t="s">
        <v>108</v>
      </c>
      <c r="C589" s="100">
        <v>1</v>
      </c>
      <c r="D589" s="103">
        <f>$C589*VLOOKUP($B589,FoodDB!$A$2:$I$1018,3,0)</f>
        <v>0</v>
      </c>
      <c r="E589" s="103">
        <f>$C589*VLOOKUP($B589,FoodDB!$A$2:$I$1018,4,0)</f>
        <v>0</v>
      </c>
      <c r="F589" s="103">
        <f>$C589*VLOOKUP($B589,FoodDB!$A$2:$I$1018,5,0)</f>
        <v>0</v>
      </c>
      <c r="G589" s="103">
        <f>$C589*VLOOKUP($B589,FoodDB!$A$2:$I$1018,6,0)</f>
        <v>0</v>
      </c>
      <c r="H589" s="103">
        <f>$C589*VLOOKUP($B589,FoodDB!$A$2:$I$1018,7,0)</f>
        <v>0</v>
      </c>
      <c r="I589" s="103">
        <f>$C589*VLOOKUP($B589,FoodDB!$A$2:$I$1018,8,0)</f>
        <v>0</v>
      </c>
      <c r="J589" s="103">
        <f>$C589*VLOOKUP($B589,FoodDB!$A$2:$I$1018,9,0)</f>
        <v>0</v>
      </c>
      <c r="K589" s="103"/>
      <c r="L589" s="103"/>
      <c r="M589" s="103"/>
      <c r="N589" s="103"/>
      <c r="O589" s="103"/>
      <c r="P589" s="103"/>
      <c r="Q589" s="103"/>
      <c r="R589" s="103"/>
      <c r="S589" s="103"/>
    </row>
    <row r="590" spans="1:19" x14ac:dyDescent="0.25">
      <c r="B590" s="99" t="s">
        <v>108</v>
      </c>
      <c r="C590" s="100">
        <v>1</v>
      </c>
      <c r="D590" s="103">
        <f>$C590*VLOOKUP($B590,FoodDB!$A$2:$I$1018,3,0)</f>
        <v>0</v>
      </c>
      <c r="E590" s="103">
        <f>$C590*VLOOKUP($B590,FoodDB!$A$2:$I$1018,4,0)</f>
        <v>0</v>
      </c>
      <c r="F590" s="103">
        <f>$C590*VLOOKUP($B590,FoodDB!$A$2:$I$1018,5,0)</f>
        <v>0</v>
      </c>
      <c r="G590" s="103">
        <f>$C590*VLOOKUP($B590,FoodDB!$A$2:$I$1018,6,0)</f>
        <v>0</v>
      </c>
      <c r="H590" s="103">
        <f>$C590*VLOOKUP($B590,FoodDB!$A$2:$I$1018,7,0)</f>
        <v>0</v>
      </c>
      <c r="I590" s="103">
        <f>$C590*VLOOKUP($B590,FoodDB!$A$2:$I$1018,8,0)</f>
        <v>0</v>
      </c>
      <c r="J590" s="103">
        <f>$C590*VLOOKUP($B590,FoodDB!$A$2:$I$1018,9,0)</f>
        <v>0</v>
      </c>
      <c r="K590" s="103"/>
      <c r="L590" s="103"/>
      <c r="M590" s="103"/>
      <c r="N590" s="103"/>
      <c r="O590" s="103"/>
      <c r="P590" s="103"/>
      <c r="Q590" s="103"/>
      <c r="R590" s="103"/>
      <c r="S590" s="103"/>
    </row>
    <row r="591" spans="1:19" x14ac:dyDescent="0.25">
      <c r="B591" s="99" t="s">
        <v>108</v>
      </c>
      <c r="C591" s="100">
        <v>1</v>
      </c>
      <c r="D591" s="103">
        <f>$C591*VLOOKUP($B591,FoodDB!$A$2:$I$1018,3,0)</f>
        <v>0</v>
      </c>
      <c r="E591" s="103">
        <f>$C591*VLOOKUP($B591,FoodDB!$A$2:$I$1018,4,0)</f>
        <v>0</v>
      </c>
      <c r="F591" s="103">
        <f>$C591*VLOOKUP($B591,FoodDB!$A$2:$I$1018,5,0)</f>
        <v>0</v>
      </c>
      <c r="G591" s="103">
        <f>$C591*VLOOKUP($B591,FoodDB!$A$2:$I$1018,6,0)</f>
        <v>0</v>
      </c>
      <c r="H591" s="103">
        <f>$C591*VLOOKUP($B591,FoodDB!$A$2:$I$1018,7,0)</f>
        <v>0</v>
      </c>
      <c r="I591" s="103">
        <f>$C591*VLOOKUP($B591,FoodDB!$A$2:$I$1018,8,0)</f>
        <v>0</v>
      </c>
      <c r="J591" s="103">
        <f>$C591*VLOOKUP($B591,FoodDB!$A$2:$I$1018,9,0)</f>
        <v>0</v>
      </c>
      <c r="K591" s="103"/>
      <c r="L591" s="103"/>
      <c r="M591" s="103"/>
      <c r="N591" s="103"/>
      <c r="O591" s="103"/>
      <c r="P591" s="103"/>
      <c r="Q591" s="103"/>
      <c r="R591" s="103"/>
      <c r="S591" s="103"/>
    </row>
    <row r="592" spans="1:19" x14ac:dyDescent="0.25">
      <c r="B592" s="99" t="s">
        <v>108</v>
      </c>
      <c r="C592" s="100">
        <v>1</v>
      </c>
      <c r="D592" s="103">
        <f>$C592*VLOOKUP($B592,FoodDB!$A$2:$I$1018,3,0)</f>
        <v>0</v>
      </c>
      <c r="E592" s="103">
        <f>$C592*VLOOKUP($B592,FoodDB!$A$2:$I$1018,4,0)</f>
        <v>0</v>
      </c>
      <c r="F592" s="103">
        <f>$C592*VLOOKUP($B592,FoodDB!$A$2:$I$1018,5,0)</f>
        <v>0</v>
      </c>
      <c r="G592" s="103">
        <f>$C592*VLOOKUP($B592,FoodDB!$A$2:$I$1018,6,0)</f>
        <v>0</v>
      </c>
      <c r="H592" s="103">
        <f>$C592*VLOOKUP($B592,FoodDB!$A$2:$I$1018,7,0)</f>
        <v>0</v>
      </c>
      <c r="I592" s="103">
        <f>$C592*VLOOKUP($B592,FoodDB!$A$2:$I$1018,8,0)</f>
        <v>0</v>
      </c>
      <c r="J592" s="103">
        <f>$C592*VLOOKUP($B592,FoodDB!$A$2:$I$1018,9,0)</f>
        <v>0</v>
      </c>
      <c r="K592" s="103"/>
      <c r="L592" s="103"/>
      <c r="M592" s="103"/>
      <c r="N592" s="103"/>
      <c r="O592" s="103"/>
      <c r="P592" s="103"/>
      <c r="Q592" s="103"/>
      <c r="R592" s="103"/>
      <c r="S592" s="103"/>
    </row>
    <row r="593" spans="1:19" x14ac:dyDescent="0.25">
      <c r="A593" t="s">
        <v>98</v>
      </c>
      <c r="D593" s="103"/>
      <c r="E593" s="103"/>
      <c r="F593" s="103"/>
      <c r="G593" s="103">
        <f>SUM(G586:G592)</f>
        <v>0</v>
      </c>
      <c r="H593" s="103">
        <f>SUM(H586:H592)</f>
        <v>0</v>
      </c>
      <c r="I593" s="103">
        <f>SUM(I586:I592)</f>
        <v>0</v>
      </c>
      <c r="J593" s="103">
        <f>SUM(G593:I593)</f>
        <v>0</v>
      </c>
      <c r="K593" s="103"/>
      <c r="L593" s="103"/>
      <c r="M593" s="103"/>
      <c r="N593" s="103"/>
      <c r="O593" s="103"/>
      <c r="P593" s="103"/>
      <c r="Q593" s="103"/>
      <c r="R593" s="103"/>
      <c r="S593" s="103"/>
    </row>
    <row r="594" spans="1:19" x14ac:dyDescent="0.25">
      <c r="A594" t="s">
        <v>102</v>
      </c>
      <c r="B594" t="s">
        <v>103</v>
      </c>
      <c r="D594" s="103"/>
      <c r="E594" s="103"/>
      <c r="F594" s="103"/>
      <c r="G594" s="103">
        <f>VLOOKUP($A586,LossChart!$A$3:$AB$105,14,0)</f>
        <v>633.91496151235287</v>
      </c>
      <c r="H594" s="103">
        <f>VLOOKUP($A586,LossChart!$A$3:$AB$105,15,0)</f>
        <v>80</v>
      </c>
      <c r="I594" s="103">
        <f>VLOOKUP($A586,LossChart!$A$3:$AB$105,16,0)</f>
        <v>477.30407413615825</v>
      </c>
      <c r="J594" s="103">
        <f>VLOOKUP($A586,LossChart!$A$3:$AB$105,17,0)</f>
        <v>1191.2190356485112</v>
      </c>
      <c r="K594" s="103"/>
      <c r="L594" s="103"/>
      <c r="M594" s="103"/>
      <c r="N594" s="103"/>
      <c r="O594" s="103"/>
      <c r="P594" s="103"/>
      <c r="Q594" s="103"/>
      <c r="R594" s="103"/>
      <c r="S594" s="103"/>
    </row>
    <row r="595" spans="1:19" x14ac:dyDescent="0.25">
      <c r="A595" t="s">
        <v>104</v>
      </c>
      <c r="D595" s="103"/>
      <c r="E595" s="103"/>
      <c r="F595" s="103"/>
      <c r="G595" s="103">
        <f>G594-G593</f>
        <v>633.91496151235287</v>
      </c>
      <c r="H595" s="103">
        <f>H594-H593</f>
        <v>80</v>
      </c>
      <c r="I595" s="103">
        <f>I594-I593</f>
        <v>477.30407413615825</v>
      </c>
      <c r="J595" s="103">
        <f>J594-J593</f>
        <v>1191.2190356485112</v>
      </c>
      <c r="K595" s="103"/>
      <c r="L595" s="103"/>
      <c r="M595" s="103"/>
      <c r="N595" s="103"/>
      <c r="O595" s="103"/>
      <c r="P595" s="103"/>
      <c r="Q595" s="103"/>
      <c r="R595" s="103"/>
      <c r="S595" s="103"/>
    </row>
    <row r="597" spans="1:19" ht="60" x14ac:dyDescent="0.25">
      <c r="A597" s="26" t="s">
        <v>63</v>
      </c>
      <c r="B597" s="26" t="s">
        <v>93</v>
      </c>
      <c r="C597" s="26" t="s">
        <v>94</v>
      </c>
      <c r="D597" s="97" t="str">
        <f>FoodDB!$C$1</f>
        <v>Fat
(g)</v>
      </c>
      <c r="E597" s="97" t="str">
        <f>FoodDB!$D$1</f>
        <v xml:space="preserve"> Carbs
(g)</v>
      </c>
      <c r="F597" s="97" t="str">
        <f>FoodDB!$E$1</f>
        <v>Protein
(g)</v>
      </c>
      <c r="G597" s="97" t="str">
        <f>FoodDB!$F$1</f>
        <v>Fat
(Cal)</v>
      </c>
      <c r="H597" s="97" t="str">
        <f>FoodDB!$G$1</f>
        <v>Carb
(Cal)</v>
      </c>
      <c r="I597" s="97" t="str">
        <f>FoodDB!$H$1</f>
        <v>Protein
(Cal)</v>
      </c>
      <c r="J597" s="97" t="str">
        <f>FoodDB!$I$1</f>
        <v>Total
Calories</v>
      </c>
      <c r="K597" s="97"/>
      <c r="L597" s="97" t="s">
        <v>110</v>
      </c>
      <c r="M597" s="97" t="s">
        <v>111</v>
      </c>
      <c r="N597" s="97" t="s">
        <v>112</v>
      </c>
      <c r="O597" s="97" t="s">
        <v>113</v>
      </c>
      <c r="P597" s="97" t="s">
        <v>118</v>
      </c>
      <c r="Q597" s="97" t="s">
        <v>119</v>
      </c>
      <c r="R597" s="97" t="s">
        <v>120</v>
      </c>
      <c r="S597" s="97" t="s">
        <v>121</v>
      </c>
    </row>
    <row r="598" spans="1:19" x14ac:dyDescent="0.25">
      <c r="A598" s="98">
        <f>A586+1</f>
        <v>43043</v>
      </c>
      <c r="B598" s="99" t="s">
        <v>108</v>
      </c>
      <c r="C598" s="100">
        <v>1</v>
      </c>
      <c r="D598" s="103">
        <f>$C598*VLOOKUP($B598,FoodDB!$A$2:$I$1018,3,0)</f>
        <v>0</v>
      </c>
      <c r="E598" s="103">
        <f>$C598*VLOOKUP($B598,FoodDB!$A$2:$I$1018,4,0)</f>
        <v>0</v>
      </c>
      <c r="F598" s="103">
        <f>$C598*VLOOKUP($B598,FoodDB!$A$2:$I$1018,5,0)</f>
        <v>0</v>
      </c>
      <c r="G598" s="103">
        <f>$C598*VLOOKUP($B598,FoodDB!$A$2:$I$1018,6,0)</f>
        <v>0</v>
      </c>
      <c r="H598" s="103">
        <f>$C598*VLOOKUP($B598,FoodDB!$A$2:$I$1018,7,0)</f>
        <v>0</v>
      </c>
      <c r="I598" s="103">
        <f>$C598*VLOOKUP($B598,FoodDB!$A$2:$I$1018,8,0)</f>
        <v>0</v>
      </c>
      <c r="J598" s="103">
        <f>$C598*VLOOKUP($B598,FoodDB!$A$2:$I$1018,9,0)</f>
        <v>0</v>
      </c>
      <c r="K598" s="103"/>
      <c r="L598" s="103">
        <f>SUM(G598:G604)</f>
        <v>0</v>
      </c>
      <c r="M598" s="103">
        <f>SUM(H598:H604)</f>
        <v>0</v>
      </c>
      <c r="N598" s="103">
        <f>SUM(I598:I604)</f>
        <v>0</v>
      </c>
      <c r="O598" s="103">
        <f>SUM(L598:N598)</f>
        <v>0</v>
      </c>
      <c r="P598" s="103">
        <f>VLOOKUP($A598,LossChart!$A$3:$AB$105,14,0)-L598</f>
        <v>639.80273363388596</v>
      </c>
      <c r="Q598" s="103">
        <f>VLOOKUP($A598,LossChart!$A$3:$AB$105,15,0)-M598</f>
        <v>80</v>
      </c>
      <c r="R598" s="103">
        <f>VLOOKUP($A598,LossChart!$A$3:$AB$105,16,0)-N598</f>
        <v>477.30407413615825</v>
      </c>
      <c r="S598" s="103">
        <f>VLOOKUP($A598,LossChart!$A$3:$AB$105,17,0)-O598</f>
        <v>1197.1068077700443</v>
      </c>
    </row>
    <row r="599" spans="1:19" x14ac:dyDescent="0.25">
      <c r="B599" s="99" t="s">
        <v>108</v>
      </c>
      <c r="C599" s="100">
        <v>1</v>
      </c>
      <c r="D599" s="103">
        <f>$C599*VLOOKUP($B599,FoodDB!$A$2:$I$1018,3,0)</f>
        <v>0</v>
      </c>
      <c r="E599" s="103">
        <f>$C599*VLOOKUP($B599,FoodDB!$A$2:$I$1018,4,0)</f>
        <v>0</v>
      </c>
      <c r="F599" s="103">
        <f>$C599*VLOOKUP($B599,FoodDB!$A$2:$I$1018,5,0)</f>
        <v>0</v>
      </c>
      <c r="G599" s="103">
        <f>$C599*VLOOKUP($B599,FoodDB!$A$2:$I$1018,6,0)</f>
        <v>0</v>
      </c>
      <c r="H599" s="103">
        <f>$C599*VLOOKUP($B599,FoodDB!$A$2:$I$1018,7,0)</f>
        <v>0</v>
      </c>
      <c r="I599" s="103">
        <f>$C599*VLOOKUP($B599,FoodDB!$A$2:$I$1018,8,0)</f>
        <v>0</v>
      </c>
      <c r="J599" s="103">
        <f>$C599*VLOOKUP($B599,FoodDB!$A$2:$I$1018,9,0)</f>
        <v>0</v>
      </c>
      <c r="K599" s="103"/>
      <c r="L599" s="103"/>
      <c r="M599" s="103"/>
      <c r="N599" s="103"/>
      <c r="O599" s="103"/>
      <c r="P599" s="103"/>
      <c r="Q599" s="103"/>
      <c r="R599" s="103"/>
      <c r="S599" s="103"/>
    </row>
    <row r="600" spans="1:19" x14ac:dyDescent="0.25">
      <c r="B600" s="99" t="s">
        <v>108</v>
      </c>
      <c r="C600" s="100">
        <v>1</v>
      </c>
      <c r="D600" s="103">
        <f>$C600*VLOOKUP($B600,FoodDB!$A$2:$I$1018,3,0)</f>
        <v>0</v>
      </c>
      <c r="E600" s="103">
        <f>$C600*VLOOKUP($B600,FoodDB!$A$2:$I$1018,4,0)</f>
        <v>0</v>
      </c>
      <c r="F600" s="103">
        <f>$C600*VLOOKUP($B600,FoodDB!$A$2:$I$1018,5,0)</f>
        <v>0</v>
      </c>
      <c r="G600" s="103">
        <f>$C600*VLOOKUP($B600,FoodDB!$A$2:$I$1018,6,0)</f>
        <v>0</v>
      </c>
      <c r="H600" s="103">
        <f>$C600*VLOOKUP($B600,FoodDB!$A$2:$I$1018,7,0)</f>
        <v>0</v>
      </c>
      <c r="I600" s="103">
        <f>$C600*VLOOKUP($B600,FoodDB!$A$2:$I$1018,8,0)</f>
        <v>0</v>
      </c>
      <c r="J600" s="103">
        <f>$C600*VLOOKUP($B600,FoodDB!$A$2:$I$1018,9,0)</f>
        <v>0</v>
      </c>
      <c r="K600" s="103"/>
      <c r="L600" s="103"/>
      <c r="M600" s="103"/>
      <c r="N600" s="103"/>
      <c r="O600" s="103"/>
      <c r="P600" s="103"/>
      <c r="Q600" s="103"/>
      <c r="R600" s="103"/>
      <c r="S600" s="103"/>
    </row>
    <row r="601" spans="1:19" x14ac:dyDescent="0.25">
      <c r="B601" s="99" t="s">
        <v>108</v>
      </c>
      <c r="C601" s="100">
        <v>1</v>
      </c>
      <c r="D601" s="103">
        <f>$C601*VLOOKUP($B601,FoodDB!$A$2:$I$1018,3,0)</f>
        <v>0</v>
      </c>
      <c r="E601" s="103">
        <f>$C601*VLOOKUP($B601,FoodDB!$A$2:$I$1018,4,0)</f>
        <v>0</v>
      </c>
      <c r="F601" s="103">
        <f>$C601*VLOOKUP($B601,FoodDB!$A$2:$I$1018,5,0)</f>
        <v>0</v>
      </c>
      <c r="G601" s="103">
        <f>$C601*VLOOKUP($B601,FoodDB!$A$2:$I$1018,6,0)</f>
        <v>0</v>
      </c>
      <c r="H601" s="103">
        <f>$C601*VLOOKUP($B601,FoodDB!$A$2:$I$1018,7,0)</f>
        <v>0</v>
      </c>
      <c r="I601" s="103">
        <f>$C601*VLOOKUP($B601,FoodDB!$A$2:$I$1018,8,0)</f>
        <v>0</v>
      </c>
      <c r="J601" s="103">
        <f>$C601*VLOOKUP($B601,FoodDB!$A$2:$I$1018,9,0)</f>
        <v>0</v>
      </c>
      <c r="K601" s="103"/>
      <c r="L601" s="103"/>
      <c r="M601" s="103"/>
      <c r="N601" s="103"/>
      <c r="O601" s="103"/>
      <c r="P601" s="103"/>
      <c r="Q601" s="103"/>
      <c r="R601" s="103"/>
      <c r="S601" s="103"/>
    </row>
    <row r="602" spans="1:19" x14ac:dyDescent="0.25">
      <c r="B602" s="99" t="s">
        <v>108</v>
      </c>
      <c r="C602" s="100">
        <v>1</v>
      </c>
      <c r="D602" s="103">
        <f>$C602*VLOOKUP($B602,FoodDB!$A$2:$I$1018,3,0)</f>
        <v>0</v>
      </c>
      <c r="E602" s="103">
        <f>$C602*VLOOKUP($B602,FoodDB!$A$2:$I$1018,4,0)</f>
        <v>0</v>
      </c>
      <c r="F602" s="103">
        <f>$C602*VLOOKUP($B602,FoodDB!$A$2:$I$1018,5,0)</f>
        <v>0</v>
      </c>
      <c r="G602" s="103">
        <f>$C602*VLOOKUP($B602,FoodDB!$A$2:$I$1018,6,0)</f>
        <v>0</v>
      </c>
      <c r="H602" s="103">
        <f>$C602*VLOOKUP($B602,FoodDB!$A$2:$I$1018,7,0)</f>
        <v>0</v>
      </c>
      <c r="I602" s="103">
        <f>$C602*VLOOKUP($B602,FoodDB!$A$2:$I$1018,8,0)</f>
        <v>0</v>
      </c>
      <c r="J602" s="103">
        <f>$C602*VLOOKUP($B602,FoodDB!$A$2:$I$1018,9,0)</f>
        <v>0</v>
      </c>
      <c r="K602" s="103"/>
      <c r="L602" s="103"/>
      <c r="M602" s="103"/>
      <c r="N602" s="103"/>
      <c r="O602" s="103"/>
      <c r="P602" s="103"/>
      <c r="Q602" s="103"/>
      <c r="R602" s="103"/>
      <c r="S602" s="103"/>
    </row>
    <row r="603" spans="1:19" x14ac:dyDescent="0.25">
      <c r="B603" s="99" t="s">
        <v>108</v>
      </c>
      <c r="C603" s="100">
        <v>1</v>
      </c>
      <c r="D603" s="103">
        <f>$C603*VLOOKUP($B603,FoodDB!$A$2:$I$1018,3,0)</f>
        <v>0</v>
      </c>
      <c r="E603" s="103">
        <f>$C603*VLOOKUP($B603,FoodDB!$A$2:$I$1018,4,0)</f>
        <v>0</v>
      </c>
      <c r="F603" s="103">
        <f>$C603*VLOOKUP($B603,FoodDB!$A$2:$I$1018,5,0)</f>
        <v>0</v>
      </c>
      <c r="G603" s="103">
        <f>$C603*VLOOKUP($B603,FoodDB!$A$2:$I$1018,6,0)</f>
        <v>0</v>
      </c>
      <c r="H603" s="103">
        <f>$C603*VLOOKUP($B603,FoodDB!$A$2:$I$1018,7,0)</f>
        <v>0</v>
      </c>
      <c r="I603" s="103">
        <f>$C603*VLOOKUP($B603,FoodDB!$A$2:$I$1018,8,0)</f>
        <v>0</v>
      </c>
      <c r="J603" s="103">
        <f>$C603*VLOOKUP($B603,FoodDB!$A$2:$I$1018,9,0)</f>
        <v>0</v>
      </c>
      <c r="K603" s="103"/>
      <c r="L603" s="103"/>
      <c r="M603" s="103"/>
      <c r="N603" s="103"/>
      <c r="O603" s="103"/>
      <c r="P603" s="103"/>
      <c r="Q603" s="103"/>
      <c r="R603" s="103"/>
      <c r="S603" s="103"/>
    </row>
    <row r="604" spans="1:19" x14ac:dyDescent="0.25">
      <c r="B604" s="99" t="s">
        <v>108</v>
      </c>
      <c r="C604" s="100">
        <v>1</v>
      </c>
      <c r="D604" s="103">
        <f>$C604*VLOOKUP($B604,FoodDB!$A$2:$I$1018,3,0)</f>
        <v>0</v>
      </c>
      <c r="E604" s="103">
        <f>$C604*VLOOKUP($B604,FoodDB!$A$2:$I$1018,4,0)</f>
        <v>0</v>
      </c>
      <c r="F604" s="103">
        <f>$C604*VLOOKUP($B604,FoodDB!$A$2:$I$1018,5,0)</f>
        <v>0</v>
      </c>
      <c r="G604" s="103">
        <f>$C604*VLOOKUP($B604,FoodDB!$A$2:$I$1018,6,0)</f>
        <v>0</v>
      </c>
      <c r="H604" s="103">
        <f>$C604*VLOOKUP($B604,FoodDB!$A$2:$I$1018,7,0)</f>
        <v>0</v>
      </c>
      <c r="I604" s="103">
        <f>$C604*VLOOKUP($B604,FoodDB!$A$2:$I$1018,8,0)</f>
        <v>0</v>
      </c>
      <c r="J604" s="103">
        <f>$C604*VLOOKUP($B604,FoodDB!$A$2:$I$1018,9,0)</f>
        <v>0</v>
      </c>
      <c r="K604" s="103"/>
      <c r="L604" s="103"/>
      <c r="M604" s="103"/>
      <c r="N604" s="103"/>
      <c r="O604" s="103"/>
      <c r="P604" s="103"/>
      <c r="Q604" s="103"/>
      <c r="R604" s="103"/>
      <c r="S604" s="103"/>
    </row>
    <row r="605" spans="1:19" x14ac:dyDescent="0.25">
      <c r="A605" t="s">
        <v>98</v>
      </c>
      <c r="D605" s="103"/>
      <c r="E605" s="103"/>
      <c r="F605" s="103"/>
      <c r="G605" s="103">
        <f>SUM(G598:G604)</f>
        <v>0</v>
      </c>
      <c r="H605" s="103">
        <f>SUM(H598:H604)</f>
        <v>0</v>
      </c>
      <c r="I605" s="103">
        <f>SUM(I598:I604)</f>
        <v>0</v>
      </c>
      <c r="J605" s="103">
        <f>SUM(G605:I605)</f>
        <v>0</v>
      </c>
      <c r="K605" s="103"/>
      <c r="L605" s="103"/>
      <c r="M605" s="103"/>
      <c r="N605" s="103"/>
      <c r="O605" s="103"/>
      <c r="P605" s="103"/>
      <c r="Q605" s="103"/>
      <c r="R605" s="103"/>
      <c r="S605" s="103"/>
    </row>
    <row r="606" spans="1:19" x14ac:dyDescent="0.25">
      <c r="A606" t="s">
        <v>102</v>
      </c>
      <c r="B606" t="s">
        <v>103</v>
      </c>
      <c r="D606" s="103"/>
      <c r="E606" s="103"/>
      <c r="F606" s="103"/>
      <c r="G606" s="103">
        <f>VLOOKUP($A598,LossChart!$A$3:$AB$105,14,0)</f>
        <v>639.80273363388596</v>
      </c>
      <c r="H606" s="103">
        <f>VLOOKUP($A598,LossChart!$A$3:$AB$105,15,0)</f>
        <v>80</v>
      </c>
      <c r="I606" s="103">
        <f>VLOOKUP($A598,LossChart!$A$3:$AB$105,16,0)</f>
        <v>477.30407413615825</v>
      </c>
      <c r="J606" s="103">
        <f>VLOOKUP($A598,LossChart!$A$3:$AB$105,17,0)</f>
        <v>1197.1068077700443</v>
      </c>
      <c r="K606" s="103"/>
      <c r="L606" s="103"/>
      <c r="M606" s="103"/>
      <c r="N606" s="103"/>
      <c r="O606" s="103"/>
      <c r="P606" s="103"/>
      <c r="Q606" s="103"/>
      <c r="R606" s="103"/>
      <c r="S606" s="103"/>
    </row>
    <row r="607" spans="1:19" x14ac:dyDescent="0.25">
      <c r="A607" t="s">
        <v>104</v>
      </c>
      <c r="D607" s="103"/>
      <c r="E607" s="103"/>
      <c r="F607" s="103"/>
      <c r="G607" s="103">
        <f>G606-G605</f>
        <v>639.80273363388596</v>
      </c>
      <c r="H607" s="103">
        <f>H606-H605</f>
        <v>80</v>
      </c>
      <c r="I607" s="103">
        <f>I606-I605</f>
        <v>477.30407413615825</v>
      </c>
      <c r="J607" s="103">
        <f>J606-J605</f>
        <v>1197.1068077700443</v>
      </c>
      <c r="K607" s="103"/>
      <c r="L607" s="103"/>
      <c r="M607" s="103"/>
      <c r="N607" s="103"/>
      <c r="O607" s="103"/>
      <c r="P607" s="103"/>
      <c r="Q607" s="103"/>
      <c r="R607" s="103"/>
      <c r="S607" s="103"/>
    </row>
    <row r="609" spans="1:19" ht="60" x14ac:dyDescent="0.25">
      <c r="A609" s="26" t="s">
        <v>63</v>
      </c>
      <c r="B609" s="26" t="s">
        <v>93</v>
      </c>
      <c r="C609" s="26" t="s">
        <v>94</v>
      </c>
      <c r="D609" s="97" t="str">
        <f>FoodDB!$C$1</f>
        <v>Fat
(g)</v>
      </c>
      <c r="E609" s="97" t="str">
        <f>FoodDB!$D$1</f>
        <v xml:space="preserve"> Carbs
(g)</v>
      </c>
      <c r="F609" s="97" t="str">
        <f>FoodDB!$E$1</f>
        <v>Protein
(g)</v>
      </c>
      <c r="G609" s="97" t="str">
        <f>FoodDB!$F$1</f>
        <v>Fat
(Cal)</v>
      </c>
      <c r="H609" s="97" t="str">
        <f>FoodDB!$G$1</f>
        <v>Carb
(Cal)</v>
      </c>
      <c r="I609" s="97" t="str">
        <f>FoodDB!$H$1</f>
        <v>Protein
(Cal)</v>
      </c>
      <c r="J609" s="97" t="str">
        <f>FoodDB!$I$1</f>
        <v>Total
Calories</v>
      </c>
      <c r="K609" s="97"/>
      <c r="L609" s="97" t="s">
        <v>110</v>
      </c>
      <c r="M609" s="97" t="s">
        <v>111</v>
      </c>
      <c r="N609" s="97" t="s">
        <v>112</v>
      </c>
      <c r="O609" s="97" t="s">
        <v>113</v>
      </c>
      <c r="P609" s="97" t="s">
        <v>118</v>
      </c>
      <c r="Q609" s="97" t="s">
        <v>119</v>
      </c>
      <c r="R609" s="97" t="s">
        <v>120</v>
      </c>
      <c r="S609" s="97" t="s">
        <v>121</v>
      </c>
    </row>
    <row r="610" spans="1:19" x14ac:dyDescent="0.25">
      <c r="A610" s="98">
        <f>A598+1</f>
        <v>43044</v>
      </c>
      <c r="B610" s="99" t="s">
        <v>108</v>
      </c>
      <c r="C610" s="100">
        <v>1</v>
      </c>
      <c r="D610" s="103">
        <f>$C610*VLOOKUP($B610,FoodDB!$A$2:$I$1018,3,0)</f>
        <v>0</v>
      </c>
      <c r="E610" s="103">
        <f>$C610*VLOOKUP($B610,FoodDB!$A$2:$I$1018,4,0)</f>
        <v>0</v>
      </c>
      <c r="F610" s="103">
        <f>$C610*VLOOKUP($B610,FoodDB!$A$2:$I$1018,5,0)</f>
        <v>0</v>
      </c>
      <c r="G610" s="103">
        <f>$C610*VLOOKUP($B610,FoodDB!$A$2:$I$1018,6,0)</f>
        <v>0</v>
      </c>
      <c r="H610" s="103">
        <f>$C610*VLOOKUP($B610,FoodDB!$A$2:$I$1018,7,0)</f>
        <v>0</v>
      </c>
      <c r="I610" s="103">
        <f>$C610*VLOOKUP($B610,FoodDB!$A$2:$I$1018,8,0)</f>
        <v>0</v>
      </c>
      <c r="J610" s="103">
        <f>$C610*VLOOKUP($B610,FoodDB!$A$2:$I$1018,9,0)</f>
        <v>0</v>
      </c>
      <c r="K610" s="103"/>
      <c r="L610" s="103">
        <f>SUM(G610:G616)</f>
        <v>0</v>
      </c>
      <c r="M610" s="103">
        <f>SUM(H610:H616)</f>
        <v>0</v>
      </c>
      <c r="N610" s="103">
        <f>SUM(I610:I616)</f>
        <v>0</v>
      </c>
      <c r="O610" s="103">
        <f>SUM(L610:N610)</f>
        <v>0</v>
      </c>
      <c r="P610" s="103">
        <f>VLOOKUP($A610,LossChart!$A$3:$AB$105,14,0)-L610</f>
        <v>645.63835691662894</v>
      </c>
      <c r="Q610" s="103">
        <f>VLOOKUP($A610,LossChart!$A$3:$AB$105,15,0)-M610</f>
        <v>80</v>
      </c>
      <c r="R610" s="103">
        <f>VLOOKUP($A610,LossChart!$A$3:$AB$105,16,0)-N610</f>
        <v>477.30407413615825</v>
      </c>
      <c r="S610" s="103">
        <f>VLOOKUP($A610,LossChart!$A$3:$AB$105,17,0)-O610</f>
        <v>1202.9424310527872</v>
      </c>
    </row>
    <row r="611" spans="1:19" x14ac:dyDescent="0.25">
      <c r="B611" s="99" t="s">
        <v>108</v>
      </c>
      <c r="C611" s="100">
        <v>1</v>
      </c>
      <c r="D611" s="103">
        <f>$C611*VLOOKUP($B611,FoodDB!$A$2:$I$1018,3,0)</f>
        <v>0</v>
      </c>
      <c r="E611" s="103">
        <f>$C611*VLOOKUP($B611,FoodDB!$A$2:$I$1018,4,0)</f>
        <v>0</v>
      </c>
      <c r="F611" s="103">
        <f>$C611*VLOOKUP($B611,FoodDB!$A$2:$I$1018,5,0)</f>
        <v>0</v>
      </c>
      <c r="G611" s="103">
        <f>$C611*VLOOKUP($B611,FoodDB!$A$2:$I$1018,6,0)</f>
        <v>0</v>
      </c>
      <c r="H611" s="103">
        <f>$C611*VLOOKUP($B611,FoodDB!$A$2:$I$1018,7,0)</f>
        <v>0</v>
      </c>
      <c r="I611" s="103">
        <f>$C611*VLOOKUP($B611,FoodDB!$A$2:$I$1018,8,0)</f>
        <v>0</v>
      </c>
      <c r="J611" s="103">
        <f>$C611*VLOOKUP($B611,FoodDB!$A$2:$I$1018,9,0)</f>
        <v>0</v>
      </c>
      <c r="K611" s="103"/>
      <c r="L611" s="103"/>
      <c r="M611" s="103"/>
      <c r="N611" s="103"/>
      <c r="O611" s="103"/>
      <c r="P611" s="103"/>
      <c r="Q611" s="103"/>
      <c r="R611" s="103"/>
      <c r="S611" s="103"/>
    </row>
    <row r="612" spans="1:19" x14ac:dyDescent="0.25">
      <c r="B612" s="99" t="s">
        <v>108</v>
      </c>
      <c r="C612" s="100">
        <v>1</v>
      </c>
      <c r="D612" s="103">
        <f>$C612*VLOOKUP($B612,FoodDB!$A$2:$I$1018,3,0)</f>
        <v>0</v>
      </c>
      <c r="E612" s="103">
        <f>$C612*VLOOKUP($B612,FoodDB!$A$2:$I$1018,4,0)</f>
        <v>0</v>
      </c>
      <c r="F612" s="103">
        <f>$C612*VLOOKUP($B612,FoodDB!$A$2:$I$1018,5,0)</f>
        <v>0</v>
      </c>
      <c r="G612" s="103">
        <f>$C612*VLOOKUP($B612,FoodDB!$A$2:$I$1018,6,0)</f>
        <v>0</v>
      </c>
      <c r="H612" s="103">
        <f>$C612*VLOOKUP($B612,FoodDB!$A$2:$I$1018,7,0)</f>
        <v>0</v>
      </c>
      <c r="I612" s="103">
        <f>$C612*VLOOKUP($B612,FoodDB!$A$2:$I$1018,8,0)</f>
        <v>0</v>
      </c>
      <c r="J612" s="103">
        <f>$C612*VLOOKUP($B612,FoodDB!$A$2:$I$1018,9,0)</f>
        <v>0</v>
      </c>
      <c r="K612" s="103"/>
      <c r="L612" s="103"/>
      <c r="M612" s="103"/>
      <c r="N612" s="103"/>
      <c r="O612" s="103"/>
      <c r="P612" s="103"/>
      <c r="Q612" s="103"/>
      <c r="R612" s="103"/>
      <c r="S612" s="103"/>
    </row>
    <row r="613" spans="1:19" x14ac:dyDescent="0.25">
      <c r="B613" s="99" t="s">
        <v>108</v>
      </c>
      <c r="C613" s="100">
        <v>1</v>
      </c>
      <c r="D613" s="103">
        <f>$C613*VLOOKUP($B613,FoodDB!$A$2:$I$1018,3,0)</f>
        <v>0</v>
      </c>
      <c r="E613" s="103">
        <f>$C613*VLOOKUP($B613,FoodDB!$A$2:$I$1018,4,0)</f>
        <v>0</v>
      </c>
      <c r="F613" s="103">
        <f>$C613*VLOOKUP($B613,FoodDB!$A$2:$I$1018,5,0)</f>
        <v>0</v>
      </c>
      <c r="G613" s="103">
        <f>$C613*VLOOKUP($B613,FoodDB!$A$2:$I$1018,6,0)</f>
        <v>0</v>
      </c>
      <c r="H613" s="103">
        <f>$C613*VLOOKUP($B613,FoodDB!$A$2:$I$1018,7,0)</f>
        <v>0</v>
      </c>
      <c r="I613" s="103">
        <f>$C613*VLOOKUP($B613,FoodDB!$A$2:$I$1018,8,0)</f>
        <v>0</v>
      </c>
      <c r="J613" s="103">
        <f>$C613*VLOOKUP($B613,FoodDB!$A$2:$I$1018,9,0)</f>
        <v>0</v>
      </c>
      <c r="K613" s="103"/>
      <c r="L613" s="103"/>
      <c r="M613" s="103"/>
      <c r="N613" s="103"/>
      <c r="O613" s="103"/>
      <c r="P613" s="103"/>
      <c r="Q613" s="103"/>
      <c r="R613" s="103"/>
      <c r="S613" s="103"/>
    </row>
    <row r="614" spans="1:19" x14ac:dyDescent="0.25">
      <c r="B614" s="99" t="s">
        <v>108</v>
      </c>
      <c r="C614" s="100">
        <v>1</v>
      </c>
      <c r="D614" s="103">
        <f>$C614*VLOOKUP($B614,FoodDB!$A$2:$I$1018,3,0)</f>
        <v>0</v>
      </c>
      <c r="E614" s="103">
        <f>$C614*VLOOKUP($B614,FoodDB!$A$2:$I$1018,4,0)</f>
        <v>0</v>
      </c>
      <c r="F614" s="103">
        <f>$C614*VLOOKUP($B614,FoodDB!$A$2:$I$1018,5,0)</f>
        <v>0</v>
      </c>
      <c r="G614" s="103">
        <f>$C614*VLOOKUP($B614,FoodDB!$A$2:$I$1018,6,0)</f>
        <v>0</v>
      </c>
      <c r="H614" s="103">
        <f>$C614*VLOOKUP($B614,FoodDB!$A$2:$I$1018,7,0)</f>
        <v>0</v>
      </c>
      <c r="I614" s="103">
        <f>$C614*VLOOKUP($B614,FoodDB!$A$2:$I$1018,8,0)</f>
        <v>0</v>
      </c>
      <c r="J614" s="103">
        <f>$C614*VLOOKUP($B614,FoodDB!$A$2:$I$1018,9,0)</f>
        <v>0</v>
      </c>
      <c r="K614" s="103"/>
      <c r="L614" s="103"/>
      <c r="M614" s="103"/>
      <c r="N614" s="103"/>
      <c r="O614" s="103"/>
      <c r="P614" s="103"/>
      <c r="Q614" s="103"/>
      <c r="R614" s="103"/>
      <c r="S614" s="103"/>
    </row>
    <row r="615" spans="1:19" x14ac:dyDescent="0.25">
      <c r="B615" s="99" t="s">
        <v>108</v>
      </c>
      <c r="C615" s="100">
        <v>1</v>
      </c>
      <c r="D615" s="103">
        <f>$C615*VLOOKUP($B615,FoodDB!$A$2:$I$1018,3,0)</f>
        <v>0</v>
      </c>
      <c r="E615" s="103">
        <f>$C615*VLOOKUP($B615,FoodDB!$A$2:$I$1018,4,0)</f>
        <v>0</v>
      </c>
      <c r="F615" s="103">
        <f>$C615*VLOOKUP($B615,FoodDB!$A$2:$I$1018,5,0)</f>
        <v>0</v>
      </c>
      <c r="G615" s="103">
        <f>$C615*VLOOKUP($B615,FoodDB!$A$2:$I$1018,6,0)</f>
        <v>0</v>
      </c>
      <c r="H615" s="103">
        <f>$C615*VLOOKUP($B615,FoodDB!$A$2:$I$1018,7,0)</f>
        <v>0</v>
      </c>
      <c r="I615" s="103">
        <f>$C615*VLOOKUP($B615,FoodDB!$A$2:$I$1018,8,0)</f>
        <v>0</v>
      </c>
      <c r="J615" s="103">
        <f>$C615*VLOOKUP($B615,FoodDB!$A$2:$I$1018,9,0)</f>
        <v>0</v>
      </c>
      <c r="K615" s="103"/>
      <c r="L615" s="103"/>
      <c r="M615" s="103"/>
      <c r="N615" s="103"/>
      <c r="O615" s="103"/>
      <c r="P615" s="103"/>
      <c r="Q615" s="103"/>
      <c r="R615" s="103"/>
      <c r="S615" s="103"/>
    </row>
    <row r="616" spans="1:19" x14ac:dyDescent="0.25">
      <c r="B616" s="99" t="s">
        <v>108</v>
      </c>
      <c r="C616" s="100">
        <v>1</v>
      </c>
      <c r="D616" s="103">
        <f>$C616*VLOOKUP($B616,FoodDB!$A$2:$I$1018,3,0)</f>
        <v>0</v>
      </c>
      <c r="E616" s="103">
        <f>$C616*VLOOKUP($B616,FoodDB!$A$2:$I$1018,4,0)</f>
        <v>0</v>
      </c>
      <c r="F616" s="103">
        <f>$C616*VLOOKUP($B616,FoodDB!$A$2:$I$1018,5,0)</f>
        <v>0</v>
      </c>
      <c r="G616" s="103">
        <f>$C616*VLOOKUP($B616,FoodDB!$A$2:$I$1018,6,0)</f>
        <v>0</v>
      </c>
      <c r="H616" s="103">
        <f>$C616*VLOOKUP($B616,FoodDB!$A$2:$I$1018,7,0)</f>
        <v>0</v>
      </c>
      <c r="I616" s="103">
        <f>$C616*VLOOKUP($B616,FoodDB!$A$2:$I$1018,8,0)</f>
        <v>0</v>
      </c>
      <c r="J616" s="103">
        <f>$C616*VLOOKUP($B616,FoodDB!$A$2:$I$1018,9,0)</f>
        <v>0</v>
      </c>
      <c r="K616" s="103"/>
      <c r="L616" s="103"/>
      <c r="M616" s="103"/>
      <c r="N616" s="103"/>
      <c r="O616" s="103"/>
      <c r="P616" s="103"/>
      <c r="Q616" s="103"/>
      <c r="R616" s="103"/>
      <c r="S616" s="103"/>
    </row>
    <row r="617" spans="1:19" x14ac:dyDescent="0.25">
      <c r="A617" t="s">
        <v>98</v>
      </c>
      <c r="D617" s="103"/>
      <c r="E617" s="103"/>
      <c r="F617" s="103"/>
      <c r="G617" s="103">
        <f>SUM(G610:G616)</f>
        <v>0</v>
      </c>
      <c r="H617" s="103">
        <f>SUM(H610:H616)</f>
        <v>0</v>
      </c>
      <c r="I617" s="103">
        <f>SUM(I610:I616)</f>
        <v>0</v>
      </c>
      <c r="J617" s="103">
        <f>SUM(G617:I617)</f>
        <v>0</v>
      </c>
      <c r="K617" s="103"/>
      <c r="L617" s="103"/>
      <c r="M617" s="103"/>
      <c r="N617" s="103"/>
      <c r="O617" s="103"/>
      <c r="P617" s="103"/>
      <c r="Q617" s="103"/>
      <c r="R617" s="103"/>
      <c r="S617" s="103"/>
    </row>
    <row r="618" spans="1:19" x14ac:dyDescent="0.25">
      <c r="A618" t="s">
        <v>102</v>
      </c>
      <c r="B618" t="s">
        <v>103</v>
      </c>
      <c r="D618" s="103"/>
      <c r="E618" s="103"/>
      <c r="F618" s="103"/>
      <c r="G618" s="103">
        <f>VLOOKUP($A610,LossChart!$A$3:$AB$105,14,0)</f>
        <v>645.63835691662894</v>
      </c>
      <c r="H618" s="103">
        <f>VLOOKUP($A610,LossChart!$A$3:$AB$105,15,0)</f>
        <v>80</v>
      </c>
      <c r="I618" s="103">
        <f>VLOOKUP($A610,LossChart!$A$3:$AB$105,16,0)</f>
        <v>477.30407413615825</v>
      </c>
      <c r="J618" s="103">
        <f>VLOOKUP($A610,LossChart!$A$3:$AB$105,17,0)</f>
        <v>1202.9424310527872</v>
      </c>
      <c r="K618" s="103"/>
      <c r="L618" s="103"/>
      <c r="M618" s="103"/>
      <c r="N618" s="103"/>
      <c r="O618" s="103"/>
      <c r="P618" s="103"/>
      <c r="Q618" s="103"/>
      <c r="R618" s="103"/>
      <c r="S618" s="103"/>
    </row>
    <row r="619" spans="1:19" x14ac:dyDescent="0.25">
      <c r="A619" t="s">
        <v>104</v>
      </c>
      <c r="D619" s="103"/>
      <c r="E619" s="103"/>
      <c r="F619" s="103"/>
      <c r="G619" s="103">
        <f>G618-G617</f>
        <v>645.63835691662894</v>
      </c>
      <c r="H619" s="103">
        <f>H618-H617</f>
        <v>80</v>
      </c>
      <c r="I619" s="103">
        <f>I618-I617</f>
        <v>477.30407413615825</v>
      </c>
      <c r="J619" s="103">
        <f>J618-J617</f>
        <v>1202.9424310527872</v>
      </c>
      <c r="K619" s="103"/>
      <c r="L619" s="103"/>
      <c r="M619" s="103"/>
      <c r="N619" s="103"/>
      <c r="O619" s="103"/>
      <c r="P619" s="103"/>
      <c r="Q619" s="103"/>
      <c r="R619" s="103"/>
      <c r="S619" s="103"/>
    </row>
    <row r="621" spans="1:19" ht="60" x14ac:dyDescent="0.25">
      <c r="A621" s="26" t="s">
        <v>63</v>
      </c>
      <c r="B621" s="26" t="s">
        <v>93</v>
      </c>
      <c r="C621" s="26" t="s">
        <v>94</v>
      </c>
      <c r="D621" s="97" t="str">
        <f>FoodDB!$C$1</f>
        <v>Fat
(g)</v>
      </c>
      <c r="E621" s="97" t="str">
        <f>FoodDB!$D$1</f>
        <v xml:space="preserve"> Carbs
(g)</v>
      </c>
      <c r="F621" s="97" t="str">
        <f>FoodDB!$E$1</f>
        <v>Protein
(g)</v>
      </c>
      <c r="G621" s="97" t="str">
        <f>FoodDB!$F$1</f>
        <v>Fat
(Cal)</v>
      </c>
      <c r="H621" s="97" t="str">
        <f>FoodDB!$G$1</f>
        <v>Carb
(Cal)</v>
      </c>
      <c r="I621" s="97" t="str">
        <f>FoodDB!$H$1</f>
        <v>Protein
(Cal)</v>
      </c>
      <c r="J621" s="97" t="str">
        <f>FoodDB!$I$1</f>
        <v>Total
Calories</v>
      </c>
      <c r="K621" s="97"/>
      <c r="L621" s="97" t="s">
        <v>110</v>
      </c>
      <c r="M621" s="97" t="s">
        <v>111</v>
      </c>
      <c r="N621" s="97" t="s">
        <v>112</v>
      </c>
      <c r="O621" s="97" t="s">
        <v>113</v>
      </c>
      <c r="P621" s="97" t="s">
        <v>118</v>
      </c>
      <c r="Q621" s="97" t="s">
        <v>119</v>
      </c>
      <c r="R621" s="97" t="s">
        <v>120</v>
      </c>
      <c r="S621" s="97" t="s">
        <v>121</v>
      </c>
    </row>
    <row r="622" spans="1:19" x14ac:dyDescent="0.25">
      <c r="A622" s="98">
        <f>A610+1</f>
        <v>43045</v>
      </c>
      <c r="B622" s="99" t="s">
        <v>108</v>
      </c>
      <c r="C622" s="100">
        <v>1</v>
      </c>
      <c r="D622" s="103">
        <f>$C622*VLOOKUP($B622,FoodDB!$A$2:$I$1018,3,0)</f>
        <v>0</v>
      </c>
      <c r="E622" s="103">
        <f>$C622*VLOOKUP($B622,FoodDB!$A$2:$I$1018,4,0)</f>
        <v>0</v>
      </c>
      <c r="F622" s="103">
        <f>$C622*VLOOKUP($B622,FoodDB!$A$2:$I$1018,5,0)</f>
        <v>0</v>
      </c>
      <c r="G622" s="103">
        <f>$C622*VLOOKUP($B622,FoodDB!$A$2:$I$1018,6,0)</f>
        <v>0</v>
      </c>
      <c r="H622" s="103">
        <f>$C622*VLOOKUP($B622,FoodDB!$A$2:$I$1018,7,0)</f>
        <v>0</v>
      </c>
      <c r="I622" s="103">
        <f>$C622*VLOOKUP($B622,FoodDB!$A$2:$I$1018,8,0)</f>
        <v>0</v>
      </c>
      <c r="J622" s="103">
        <f>$C622*VLOOKUP($B622,FoodDB!$A$2:$I$1018,9,0)</f>
        <v>0</v>
      </c>
      <c r="K622" s="103"/>
      <c r="L622" s="103">
        <f>SUM(G622:G628)</f>
        <v>0</v>
      </c>
      <c r="M622" s="103">
        <f>SUM(H622:H628)</f>
        <v>0</v>
      </c>
      <c r="N622" s="103">
        <f>SUM(I622:I628)</f>
        <v>0</v>
      </c>
      <c r="O622" s="103">
        <f>SUM(L622:N622)</f>
        <v>0</v>
      </c>
      <c r="P622" s="103">
        <f>VLOOKUP($A622,LossChart!$A$3:$AB$105,14,0)-L622</f>
        <v>651.42229325029598</v>
      </c>
      <c r="Q622" s="103">
        <f>VLOOKUP($A622,LossChart!$A$3:$AB$105,15,0)-M622</f>
        <v>80</v>
      </c>
      <c r="R622" s="103">
        <f>VLOOKUP($A622,LossChart!$A$3:$AB$105,16,0)-N622</f>
        <v>477.30407413615825</v>
      </c>
      <c r="S622" s="103">
        <f>VLOOKUP($A622,LossChart!$A$3:$AB$105,17,0)-O622</f>
        <v>1208.7263673864543</v>
      </c>
    </row>
    <row r="623" spans="1:19" x14ac:dyDescent="0.25">
      <c r="B623" s="99" t="s">
        <v>108</v>
      </c>
      <c r="C623" s="100">
        <v>1</v>
      </c>
      <c r="D623" s="103">
        <f>$C623*VLOOKUP($B623,FoodDB!$A$2:$I$1018,3,0)</f>
        <v>0</v>
      </c>
      <c r="E623" s="103">
        <f>$C623*VLOOKUP($B623,FoodDB!$A$2:$I$1018,4,0)</f>
        <v>0</v>
      </c>
      <c r="F623" s="103">
        <f>$C623*VLOOKUP($B623,FoodDB!$A$2:$I$1018,5,0)</f>
        <v>0</v>
      </c>
      <c r="G623" s="103">
        <f>$C623*VLOOKUP($B623,FoodDB!$A$2:$I$1018,6,0)</f>
        <v>0</v>
      </c>
      <c r="H623" s="103">
        <f>$C623*VLOOKUP($B623,FoodDB!$A$2:$I$1018,7,0)</f>
        <v>0</v>
      </c>
      <c r="I623" s="103">
        <f>$C623*VLOOKUP($B623,FoodDB!$A$2:$I$1018,8,0)</f>
        <v>0</v>
      </c>
      <c r="J623" s="103">
        <f>$C623*VLOOKUP($B623,FoodDB!$A$2:$I$1018,9,0)</f>
        <v>0</v>
      </c>
      <c r="K623" s="103"/>
      <c r="L623" s="103"/>
      <c r="M623" s="103"/>
      <c r="N623" s="103"/>
      <c r="O623" s="103"/>
      <c r="P623" s="103"/>
      <c r="Q623" s="103"/>
      <c r="R623" s="103"/>
      <c r="S623" s="103"/>
    </row>
    <row r="624" spans="1:19" x14ac:dyDescent="0.25">
      <c r="B624" s="99" t="s">
        <v>108</v>
      </c>
      <c r="C624" s="100">
        <v>1</v>
      </c>
      <c r="D624" s="103">
        <f>$C624*VLOOKUP($B624,FoodDB!$A$2:$I$1018,3,0)</f>
        <v>0</v>
      </c>
      <c r="E624" s="103">
        <f>$C624*VLOOKUP($B624,FoodDB!$A$2:$I$1018,4,0)</f>
        <v>0</v>
      </c>
      <c r="F624" s="103">
        <f>$C624*VLOOKUP($B624,FoodDB!$A$2:$I$1018,5,0)</f>
        <v>0</v>
      </c>
      <c r="G624" s="103">
        <f>$C624*VLOOKUP($B624,FoodDB!$A$2:$I$1018,6,0)</f>
        <v>0</v>
      </c>
      <c r="H624" s="103">
        <f>$C624*VLOOKUP($B624,FoodDB!$A$2:$I$1018,7,0)</f>
        <v>0</v>
      </c>
      <c r="I624" s="103">
        <f>$C624*VLOOKUP($B624,FoodDB!$A$2:$I$1018,8,0)</f>
        <v>0</v>
      </c>
      <c r="J624" s="103">
        <f>$C624*VLOOKUP($B624,FoodDB!$A$2:$I$1018,9,0)</f>
        <v>0</v>
      </c>
      <c r="K624" s="103"/>
      <c r="L624" s="103"/>
      <c r="M624" s="103"/>
      <c r="N624" s="103"/>
      <c r="O624" s="103"/>
      <c r="P624" s="103"/>
      <c r="Q624" s="103"/>
      <c r="R624" s="103"/>
      <c r="S624" s="103"/>
    </row>
    <row r="625" spans="1:19" x14ac:dyDescent="0.25">
      <c r="B625" s="99" t="s">
        <v>108</v>
      </c>
      <c r="C625" s="100">
        <v>1</v>
      </c>
      <c r="D625" s="103">
        <f>$C625*VLOOKUP($B625,FoodDB!$A$2:$I$1018,3,0)</f>
        <v>0</v>
      </c>
      <c r="E625" s="103">
        <f>$C625*VLOOKUP($B625,FoodDB!$A$2:$I$1018,4,0)</f>
        <v>0</v>
      </c>
      <c r="F625" s="103">
        <f>$C625*VLOOKUP($B625,FoodDB!$A$2:$I$1018,5,0)</f>
        <v>0</v>
      </c>
      <c r="G625" s="103">
        <f>$C625*VLOOKUP($B625,FoodDB!$A$2:$I$1018,6,0)</f>
        <v>0</v>
      </c>
      <c r="H625" s="103">
        <f>$C625*VLOOKUP($B625,FoodDB!$A$2:$I$1018,7,0)</f>
        <v>0</v>
      </c>
      <c r="I625" s="103">
        <f>$C625*VLOOKUP($B625,FoodDB!$A$2:$I$1018,8,0)</f>
        <v>0</v>
      </c>
      <c r="J625" s="103">
        <f>$C625*VLOOKUP($B625,FoodDB!$A$2:$I$1018,9,0)</f>
        <v>0</v>
      </c>
      <c r="K625" s="103"/>
      <c r="L625" s="103"/>
      <c r="M625" s="103"/>
      <c r="N625" s="103"/>
      <c r="O625" s="103"/>
      <c r="P625" s="103"/>
      <c r="Q625" s="103"/>
      <c r="R625" s="103"/>
      <c r="S625" s="103"/>
    </row>
    <row r="626" spans="1:19" x14ac:dyDescent="0.25">
      <c r="B626" s="99" t="s">
        <v>108</v>
      </c>
      <c r="C626" s="100">
        <v>1</v>
      </c>
      <c r="D626" s="103">
        <f>$C626*VLOOKUP($B626,FoodDB!$A$2:$I$1018,3,0)</f>
        <v>0</v>
      </c>
      <c r="E626" s="103">
        <f>$C626*VLOOKUP($B626,FoodDB!$A$2:$I$1018,4,0)</f>
        <v>0</v>
      </c>
      <c r="F626" s="103">
        <f>$C626*VLOOKUP($B626,FoodDB!$A$2:$I$1018,5,0)</f>
        <v>0</v>
      </c>
      <c r="G626" s="103">
        <f>$C626*VLOOKUP($B626,FoodDB!$A$2:$I$1018,6,0)</f>
        <v>0</v>
      </c>
      <c r="H626" s="103">
        <f>$C626*VLOOKUP($B626,FoodDB!$A$2:$I$1018,7,0)</f>
        <v>0</v>
      </c>
      <c r="I626" s="103">
        <f>$C626*VLOOKUP($B626,FoodDB!$A$2:$I$1018,8,0)</f>
        <v>0</v>
      </c>
      <c r="J626" s="103">
        <f>$C626*VLOOKUP($B626,FoodDB!$A$2:$I$1018,9,0)</f>
        <v>0</v>
      </c>
      <c r="K626" s="103"/>
      <c r="L626" s="103"/>
      <c r="M626" s="103"/>
      <c r="N626" s="103"/>
      <c r="O626" s="103"/>
      <c r="P626" s="103"/>
      <c r="Q626" s="103"/>
      <c r="R626" s="103"/>
      <c r="S626" s="103"/>
    </row>
    <row r="627" spans="1:19" x14ac:dyDescent="0.25">
      <c r="B627" s="99" t="s">
        <v>108</v>
      </c>
      <c r="C627" s="100">
        <v>1</v>
      </c>
      <c r="D627" s="103">
        <f>$C627*VLOOKUP($B627,FoodDB!$A$2:$I$1018,3,0)</f>
        <v>0</v>
      </c>
      <c r="E627" s="103">
        <f>$C627*VLOOKUP($B627,FoodDB!$A$2:$I$1018,4,0)</f>
        <v>0</v>
      </c>
      <c r="F627" s="103">
        <f>$C627*VLOOKUP($B627,FoodDB!$A$2:$I$1018,5,0)</f>
        <v>0</v>
      </c>
      <c r="G627" s="103">
        <f>$C627*VLOOKUP($B627,FoodDB!$A$2:$I$1018,6,0)</f>
        <v>0</v>
      </c>
      <c r="H627" s="103">
        <f>$C627*VLOOKUP($B627,FoodDB!$A$2:$I$1018,7,0)</f>
        <v>0</v>
      </c>
      <c r="I627" s="103">
        <f>$C627*VLOOKUP($B627,FoodDB!$A$2:$I$1018,8,0)</f>
        <v>0</v>
      </c>
      <c r="J627" s="103">
        <f>$C627*VLOOKUP($B627,FoodDB!$A$2:$I$1018,9,0)</f>
        <v>0</v>
      </c>
      <c r="K627" s="103"/>
      <c r="L627" s="103"/>
      <c r="M627" s="103"/>
      <c r="N627" s="103"/>
      <c r="O627" s="103"/>
      <c r="P627" s="103"/>
      <c r="Q627" s="103"/>
      <c r="R627" s="103"/>
      <c r="S627" s="103"/>
    </row>
    <row r="628" spans="1:19" x14ac:dyDescent="0.25">
      <c r="B628" s="99" t="s">
        <v>108</v>
      </c>
      <c r="C628" s="100">
        <v>1</v>
      </c>
      <c r="D628" s="103">
        <f>$C628*VLOOKUP($B628,FoodDB!$A$2:$I$1018,3,0)</f>
        <v>0</v>
      </c>
      <c r="E628" s="103">
        <f>$C628*VLOOKUP($B628,FoodDB!$A$2:$I$1018,4,0)</f>
        <v>0</v>
      </c>
      <c r="F628" s="103">
        <f>$C628*VLOOKUP($B628,FoodDB!$A$2:$I$1018,5,0)</f>
        <v>0</v>
      </c>
      <c r="G628" s="103">
        <f>$C628*VLOOKUP($B628,FoodDB!$A$2:$I$1018,6,0)</f>
        <v>0</v>
      </c>
      <c r="H628" s="103">
        <f>$C628*VLOOKUP($B628,FoodDB!$A$2:$I$1018,7,0)</f>
        <v>0</v>
      </c>
      <c r="I628" s="103">
        <f>$C628*VLOOKUP($B628,FoodDB!$A$2:$I$1018,8,0)</f>
        <v>0</v>
      </c>
      <c r="J628" s="103">
        <f>$C628*VLOOKUP($B628,FoodDB!$A$2:$I$1018,9,0)</f>
        <v>0</v>
      </c>
      <c r="K628" s="103"/>
      <c r="L628" s="103"/>
      <c r="M628" s="103"/>
      <c r="N628" s="103"/>
      <c r="O628" s="103"/>
      <c r="P628" s="103"/>
      <c r="Q628" s="103"/>
      <c r="R628" s="103"/>
      <c r="S628" s="103"/>
    </row>
    <row r="629" spans="1:19" x14ac:dyDescent="0.25">
      <c r="A629" t="s">
        <v>98</v>
      </c>
      <c r="D629" s="103"/>
      <c r="E629" s="103"/>
      <c r="F629" s="103"/>
      <c r="G629" s="103">
        <f>SUM(G622:G628)</f>
        <v>0</v>
      </c>
      <c r="H629" s="103">
        <f>SUM(H622:H628)</f>
        <v>0</v>
      </c>
      <c r="I629" s="103">
        <f>SUM(I622:I628)</f>
        <v>0</v>
      </c>
      <c r="J629" s="103">
        <f>SUM(G629:I629)</f>
        <v>0</v>
      </c>
      <c r="K629" s="103"/>
      <c r="L629" s="103"/>
      <c r="M629" s="103"/>
      <c r="N629" s="103"/>
      <c r="O629" s="103"/>
      <c r="P629" s="103"/>
      <c r="Q629" s="103"/>
      <c r="R629" s="103"/>
      <c r="S629" s="103"/>
    </row>
    <row r="630" spans="1:19" x14ac:dyDescent="0.25">
      <c r="A630" t="s">
        <v>102</v>
      </c>
      <c r="B630" t="s">
        <v>103</v>
      </c>
      <c r="D630" s="103"/>
      <c r="E630" s="103"/>
      <c r="F630" s="103"/>
      <c r="G630" s="103">
        <f>VLOOKUP($A622,LossChart!$A$3:$AB$105,14,0)</f>
        <v>651.42229325029598</v>
      </c>
      <c r="H630" s="103">
        <f>VLOOKUP($A622,LossChart!$A$3:$AB$105,15,0)</f>
        <v>80</v>
      </c>
      <c r="I630" s="103">
        <f>VLOOKUP($A622,LossChart!$A$3:$AB$105,16,0)</f>
        <v>477.30407413615825</v>
      </c>
      <c r="J630" s="103">
        <f>VLOOKUP($A622,LossChart!$A$3:$AB$105,17,0)</f>
        <v>1208.7263673864543</v>
      </c>
      <c r="K630" s="103"/>
      <c r="L630" s="103"/>
      <c r="M630" s="103"/>
      <c r="N630" s="103"/>
      <c r="O630" s="103"/>
      <c r="P630" s="103"/>
      <c r="Q630" s="103"/>
      <c r="R630" s="103"/>
      <c r="S630" s="103"/>
    </row>
    <row r="631" spans="1:19" x14ac:dyDescent="0.25">
      <c r="A631" t="s">
        <v>104</v>
      </c>
      <c r="D631" s="103"/>
      <c r="E631" s="103"/>
      <c r="F631" s="103"/>
      <c r="G631" s="103">
        <f>G630-G629</f>
        <v>651.42229325029598</v>
      </c>
      <c r="H631" s="103">
        <f>H630-H629</f>
        <v>80</v>
      </c>
      <c r="I631" s="103">
        <f>I630-I629</f>
        <v>477.30407413615825</v>
      </c>
      <c r="J631" s="103">
        <f>J630-J629</f>
        <v>1208.7263673864543</v>
      </c>
      <c r="K631" s="103"/>
      <c r="L631" s="103"/>
      <c r="M631" s="103"/>
      <c r="N631" s="103"/>
      <c r="O631" s="103"/>
      <c r="P631" s="103"/>
      <c r="Q631" s="103"/>
      <c r="R631" s="103"/>
      <c r="S631" s="103"/>
    </row>
    <row r="633" spans="1:19" ht="60" x14ac:dyDescent="0.25">
      <c r="A633" s="26" t="s">
        <v>63</v>
      </c>
      <c r="B633" s="26" t="s">
        <v>93</v>
      </c>
      <c r="C633" s="26" t="s">
        <v>94</v>
      </c>
      <c r="D633" s="97" t="str">
        <f>FoodDB!$C$1</f>
        <v>Fat
(g)</v>
      </c>
      <c r="E633" s="97" t="str">
        <f>FoodDB!$D$1</f>
        <v xml:space="preserve"> Carbs
(g)</v>
      </c>
      <c r="F633" s="97" t="str">
        <f>FoodDB!$E$1</f>
        <v>Protein
(g)</v>
      </c>
      <c r="G633" s="97" t="str">
        <f>FoodDB!$F$1</f>
        <v>Fat
(Cal)</v>
      </c>
      <c r="H633" s="97" t="str">
        <f>FoodDB!$G$1</f>
        <v>Carb
(Cal)</v>
      </c>
      <c r="I633" s="97" t="str">
        <f>FoodDB!$H$1</f>
        <v>Protein
(Cal)</v>
      </c>
      <c r="J633" s="97" t="str">
        <f>FoodDB!$I$1</f>
        <v>Total
Calories</v>
      </c>
      <c r="K633" s="97"/>
      <c r="L633" s="97" t="s">
        <v>110</v>
      </c>
      <c r="M633" s="97" t="s">
        <v>111</v>
      </c>
      <c r="N633" s="97" t="s">
        <v>112</v>
      </c>
      <c r="O633" s="97" t="s">
        <v>113</v>
      </c>
      <c r="P633" s="97" t="s">
        <v>118</v>
      </c>
      <c r="Q633" s="97" t="s">
        <v>119</v>
      </c>
      <c r="R633" s="97" t="s">
        <v>120</v>
      </c>
      <c r="S633" s="97" t="s">
        <v>121</v>
      </c>
    </row>
    <row r="634" spans="1:19" x14ac:dyDescent="0.25">
      <c r="A634" s="98">
        <f>A622+1</f>
        <v>43046</v>
      </c>
      <c r="B634" s="99" t="s">
        <v>108</v>
      </c>
      <c r="C634" s="100">
        <v>1</v>
      </c>
      <c r="D634" s="103">
        <f>$C634*VLOOKUP($B634,FoodDB!$A$2:$I$1018,3,0)</f>
        <v>0</v>
      </c>
      <c r="E634" s="103">
        <f>$C634*VLOOKUP($B634,FoodDB!$A$2:$I$1018,4,0)</f>
        <v>0</v>
      </c>
      <c r="F634" s="103">
        <f>$C634*VLOOKUP($B634,FoodDB!$A$2:$I$1018,5,0)</f>
        <v>0</v>
      </c>
      <c r="G634" s="103">
        <f>$C634*VLOOKUP($B634,FoodDB!$A$2:$I$1018,6,0)</f>
        <v>0</v>
      </c>
      <c r="H634" s="103">
        <f>$C634*VLOOKUP($B634,FoodDB!$A$2:$I$1018,7,0)</f>
        <v>0</v>
      </c>
      <c r="I634" s="103">
        <f>$C634*VLOOKUP($B634,FoodDB!$A$2:$I$1018,8,0)</f>
        <v>0</v>
      </c>
      <c r="J634" s="103">
        <f>$C634*VLOOKUP($B634,FoodDB!$A$2:$I$1018,9,0)</f>
        <v>0</v>
      </c>
      <c r="K634" s="103"/>
      <c r="L634" s="103">
        <f>SUM(G634:G640)</f>
        <v>0</v>
      </c>
      <c r="M634" s="103">
        <f>SUM(H634:H640)</f>
        <v>0</v>
      </c>
      <c r="N634" s="103">
        <f>SUM(I634:I640)</f>
        <v>0</v>
      </c>
      <c r="O634" s="103">
        <f>SUM(L634:N634)</f>
        <v>0</v>
      </c>
      <c r="P634" s="103">
        <f>VLOOKUP($A634,LossChart!$A$3:$AB$105,14,0)-L634</f>
        <v>657.15500043357952</v>
      </c>
      <c r="Q634" s="103">
        <f>VLOOKUP($A634,LossChart!$A$3:$AB$105,15,0)-M634</f>
        <v>80</v>
      </c>
      <c r="R634" s="103">
        <f>VLOOKUP($A634,LossChart!$A$3:$AB$105,16,0)-N634</f>
        <v>477.30407413615825</v>
      </c>
      <c r="S634" s="103">
        <f>VLOOKUP($A634,LossChart!$A$3:$AB$105,17,0)-O634</f>
        <v>1214.4590745697378</v>
      </c>
    </row>
    <row r="635" spans="1:19" x14ac:dyDescent="0.25">
      <c r="B635" s="99" t="s">
        <v>108</v>
      </c>
      <c r="C635" s="100">
        <v>1</v>
      </c>
      <c r="D635" s="103">
        <f>$C635*VLOOKUP($B635,FoodDB!$A$2:$I$1018,3,0)</f>
        <v>0</v>
      </c>
      <c r="E635" s="103">
        <f>$C635*VLOOKUP($B635,FoodDB!$A$2:$I$1018,4,0)</f>
        <v>0</v>
      </c>
      <c r="F635" s="103">
        <f>$C635*VLOOKUP($B635,FoodDB!$A$2:$I$1018,5,0)</f>
        <v>0</v>
      </c>
      <c r="G635" s="103">
        <f>$C635*VLOOKUP($B635,FoodDB!$A$2:$I$1018,6,0)</f>
        <v>0</v>
      </c>
      <c r="H635" s="103">
        <f>$C635*VLOOKUP($B635,FoodDB!$A$2:$I$1018,7,0)</f>
        <v>0</v>
      </c>
      <c r="I635" s="103">
        <f>$C635*VLOOKUP($B635,FoodDB!$A$2:$I$1018,8,0)</f>
        <v>0</v>
      </c>
      <c r="J635" s="103">
        <f>$C635*VLOOKUP($B635,FoodDB!$A$2:$I$1018,9,0)</f>
        <v>0</v>
      </c>
      <c r="K635" s="103"/>
      <c r="L635" s="103"/>
      <c r="M635" s="103"/>
      <c r="N635" s="103"/>
      <c r="O635" s="103"/>
      <c r="P635" s="103"/>
      <c r="Q635" s="103"/>
      <c r="R635" s="103"/>
      <c r="S635" s="103"/>
    </row>
    <row r="636" spans="1:19" x14ac:dyDescent="0.25">
      <c r="B636" s="99" t="s">
        <v>108</v>
      </c>
      <c r="C636" s="100">
        <v>1</v>
      </c>
      <c r="D636" s="103">
        <f>$C636*VLOOKUP($B636,FoodDB!$A$2:$I$1018,3,0)</f>
        <v>0</v>
      </c>
      <c r="E636" s="103">
        <f>$C636*VLOOKUP($B636,FoodDB!$A$2:$I$1018,4,0)</f>
        <v>0</v>
      </c>
      <c r="F636" s="103">
        <f>$C636*VLOOKUP($B636,FoodDB!$A$2:$I$1018,5,0)</f>
        <v>0</v>
      </c>
      <c r="G636" s="103">
        <f>$C636*VLOOKUP($B636,FoodDB!$A$2:$I$1018,6,0)</f>
        <v>0</v>
      </c>
      <c r="H636" s="103">
        <f>$C636*VLOOKUP($B636,FoodDB!$A$2:$I$1018,7,0)</f>
        <v>0</v>
      </c>
      <c r="I636" s="103">
        <f>$C636*VLOOKUP($B636,FoodDB!$A$2:$I$1018,8,0)</f>
        <v>0</v>
      </c>
      <c r="J636" s="103">
        <f>$C636*VLOOKUP($B636,FoodDB!$A$2:$I$1018,9,0)</f>
        <v>0</v>
      </c>
      <c r="K636" s="103"/>
      <c r="L636" s="103"/>
      <c r="M636" s="103"/>
      <c r="N636" s="103"/>
      <c r="O636" s="103"/>
      <c r="P636" s="103"/>
      <c r="Q636" s="103"/>
      <c r="R636" s="103"/>
      <c r="S636" s="103"/>
    </row>
    <row r="637" spans="1:19" x14ac:dyDescent="0.25">
      <c r="B637" s="99" t="s">
        <v>108</v>
      </c>
      <c r="C637" s="100">
        <v>1</v>
      </c>
      <c r="D637" s="103">
        <f>$C637*VLOOKUP($B637,FoodDB!$A$2:$I$1018,3,0)</f>
        <v>0</v>
      </c>
      <c r="E637" s="103">
        <f>$C637*VLOOKUP($B637,FoodDB!$A$2:$I$1018,4,0)</f>
        <v>0</v>
      </c>
      <c r="F637" s="103">
        <f>$C637*VLOOKUP($B637,FoodDB!$A$2:$I$1018,5,0)</f>
        <v>0</v>
      </c>
      <c r="G637" s="103">
        <f>$C637*VLOOKUP($B637,FoodDB!$A$2:$I$1018,6,0)</f>
        <v>0</v>
      </c>
      <c r="H637" s="103">
        <f>$C637*VLOOKUP($B637,FoodDB!$A$2:$I$1018,7,0)</f>
        <v>0</v>
      </c>
      <c r="I637" s="103">
        <f>$C637*VLOOKUP($B637,FoodDB!$A$2:$I$1018,8,0)</f>
        <v>0</v>
      </c>
      <c r="J637" s="103">
        <f>$C637*VLOOKUP($B637,FoodDB!$A$2:$I$1018,9,0)</f>
        <v>0</v>
      </c>
      <c r="K637" s="103"/>
      <c r="L637" s="103"/>
      <c r="M637" s="103"/>
      <c r="N637" s="103"/>
      <c r="O637" s="103"/>
      <c r="P637" s="103"/>
      <c r="Q637" s="103"/>
      <c r="R637" s="103"/>
      <c r="S637" s="103"/>
    </row>
    <row r="638" spans="1:19" x14ac:dyDescent="0.25">
      <c r="B638" s="99" t="s">
        <v>108</v>
      </c>
      <c r="C638" s="100">
        <v>1</v>
      </c>
      <c r="D638" s="103">
        <f>$C638*VLOOKUP($B638,FoodDB!$A$2:$I$1018,3,0)</f>
        <v>0</v>
      </c>
      <c r="E638" s="103">
        <f>$C638*VLOOKUP($B638,FoodDB!$A$2:$I$1018,4,0)</f>
        <v>0</v>
      </c>
      <c r="F638" s="103">
        <f>$C638*VLOOKUP($B638,FoodDB!$A$2:$I$1018,5,0)</f>
        <v>0</v>
      </c>
      <c r="G638" s="103">
        <f>$C638*VLOOKUP($B638,FoodDB!$A$2:$I$1018,6,0)</f>
        <v>0</v>
      </c>
      <c r="H638" s="103">
        <f>$C638*VLOOKUP($B638,FoodDB!$A$2:$I$1018,7,0)</f>
        <v>0</v>
      </c>
      <c r="I638" s="103">
        <f>$C638*VLOOKUP($B638,FoodDB!$A$2:$I$1018,8,0)</f>
        <v>0</v>
      </c>
      <c r="J638" s="103">
        <f>$C638*VLOOKUP($B638,FoodDB!$A$2:$I$1018,9,0)</f>
        <v>0</v>
      </c>
      <c r="K638" s="103"/>
      <c r="L638" s="103"/>
      <c r="M638" s="103"/>
      <c r="N638" s="103"/>
      <c r="O638" s="103"/>
      <c r="P638" s="103"/>
      <c r="Q638" s="103"/>
      <c r="R638" s="103"/>
      <c r="S638" s="103"/>
    </row>
    <row r="639" spans="1:19" x14ac:dyDescent="0.25">
      <c r="B639" s="99" t="s">
        <v>108</v>
      </c>
      <c r="C639" s="100">
        <v>1</v>
      </c>
      <c r="D639" s="103">
        <f>$C639*VLOOKUP($B639,FoodDB!$A$2:$I$1018,3,0)</f>
        <v>0</v>
      </c>
      <c r="E639" s="103">
        <f>$C639*VLOOKUP($B639,FoodDB!$A$2:$I$1018,4,0)</f>
        <v>0</v>
      </c>
      <c r="F639" s="103">
        <f>$C639*VLOOKUP($B639,FoodDB!$A$2:$I$1018,5,0)</f>
        <v>0</v>
      </c>
      <c r="G639" s="103">
        <f>$C639*VLOOKUP($B639,FoodDB!$A$2:$I$1018,6,0)</f>
        <v>0</v>
      </c>
      <c r="H639" s="103">
        <f>$C639*VLOOKUP($B639,FoodDB!$A$2:$I$1018,7,0)</f>
        <v>0</v>
      </c>
      <c r="I639" s="103">
        <f>$C639*VLOOKUP($B639,FoodDB!$A$2:$I$1018,8,0)</f>
        <v>0</v>
      </c>
      <c r="J639" s="103">
        <f>$C639*VLOOKUP($B639,FoodDB!$A$2:$I$1018,9,0)</f>
        <v>0</v>
      </c>
      <c r="K639" s="103"/>
      <c r="L639" s="103"/>
      <c r="M639" s="103"/>
      <c r="N639" s="103"/>
      <c r="O639" s="103"/>
      <c r="P639" s="103"/>
      <c r="Q639" s="103"/>
      <c r="R639" s="103"/>
      <c r="S639" s="103"/>
    </row>
    <row r="640" spans="1:19" x14ac:dyDescent="0.25">
      <c r="B640" s="99" t="s">
        <v>108</v>
      </c>
      <c r="C640" s="100">
        <v>1</v>
      </c>
      <c r="D640" s="103">
        <f>$C640*VLOOKUP($B640,FoodDB!$A$2:$I$1018,3,0)</f>
        <v>0</v>
      </c>
      <c r="E640" s="103">
        <f>$C640*VLOOKUP($B640,FoodDB!$A$2:$I$1018,4,0)</f>
        <v>0</v>
      </c>
      <c r="F640" s="103">
        <f>$C640*VLOOKUP($B640,FoodDB!$A$2:$I$1018,5,0)</f>
        <v>0</v>
      </c>
      <c r="G640" s="103">
        <f>$C640*VLOOKUP($B640,FoodDB!$A$2:$I$1018,6,0)</f>
        <v>0</v>
      </c>
      <c r="H640" s="103">
        <f>$C640*VLOOKUP($B640,FoodDB!$A$2:$I$1018,7,0)</f>
        <v>0</v>
      </c>
      <c r="I640" s="103">
        <f>$C640*VLOOKUP($B640,FoodDB!$A$2:$I$1018,8,0)</f>
        <v>0</v>
      </c>
      <c r="J640" s="103">
        <f>$C640*VLOOKUP($B640,FoodDB!$A$2:$I$1018,9,0)</f>
        <v>0</v>
      </c>
      <c r="K640" s="103"/>
      <c r="L640" s="103"/>
      <c r="M640" s="103"/>
      <c r="N640" s="103"/>
      <c r="O640" s="103"/>
      <c r="P640" s="103"/>
      <c r="Q640" s="103"/>
      <c r="R640" s="103"/>
      <c r="S640" s="103"/>
    </row>
    <row r="641" spans="1:19" x14ac:dyDescent="0.25">
      <c r="A641" t="s">
        <v>98</v>
      </c>
      <c r="D641" s="103"/>
      <c r="E641" s="103"/>
      <c r="F641" s="103"/>
      <c r="G641" s="103">
        <f>SUM(G634:G640)</f>
        <v>0</v>
      </c>
      <c r="H641" s="103">
        <f>SUM(H634:H640)</f>
        <v>0</v>
      </c>
      <c r="I641" s="103">
        <f>SUM(I634:I640)</f>
        <v>0</v>
      </c>
      <c r="J641" s="103">
        <f>SUM(G641:I641)</f>
        <v>0</v>
      </c>
      <c r="K641" s="103"/>
      <c r="L641" s="103"/>
      <c r="M641" s="103"/>
      <c r="N641" s="103"/>
      <c r="O641" s="103"/>
      <c r="P641" s="103"/>
      <c r="Q641" s="103"/>
      <c r="R641" s="103"/>
      <c r="S641" s="103"/>
    </row>
    <row r="642" spans="1:19" x14ac:dyDescent="0.25">
      <c r="A642" t="s">
        <v>102</v>
      </c>
      <c r="B642" t="s">
        <v>103</v>
      </c>
      <c r="D642" s="103"/>
      <c r="E642" s="103"/>
      <c r="F642" s="103"/>
      <c r="G642" s="103">
        <f>VLOOKUP($A634,LossChart!$A$3:$AB$105,14,0)</f>
        <v>657.15500043357952</v>
      </c>
      <c r="H642" s="103">
        <f>VLOOKUP($A634,LossChart!$A$3:$AB$105,15,0)</f>
        <v>80</v>
      </c>
      <c r="I642" s="103">
        <f>VLOOKUP($A634,LossChart!$A$3:$AB$105,16,0)</f>
        <v>477.30407413615825</v>
      </c>
      <c r="J642" s="103">
        <f>VLOOKUP($A634,LossChart!$A$3:$AB$105,17,0)</f>
        <v>1214.4590745697378</v>
      </c>
      <c r="K642" s="103"/>
      <c r="L642" s="103"/>
      <c r="M642" s="103"/>
      <c r="N642" s="103"/>
      <c r="O642" s="103"/>
      <c r="P642" s="103"/>
      <c r="Q642" s="103"/>
      <c r="R642" s="103"/>
      <c r="S642" s="103"/>
    </row>
    <row r="643" spans="1:19" x14ac:dyDescent="0.25">
      <c r="A643" t="s">
        <v>104</v>
      </c>
      <c r="D643" s="103"/>
      <c r="E643" s="103"/>
      <c r="F643" s="103"/>
      <c r="G643" s="103">
        <f>G642-G641</f>
        <v>657.15500043357952</v>
      </c>
      <c r="H643" s="103">
        <f>H642-H641</f>
        <v>80</v>
      </c>
      <c r="I643" s="103">
        <f>I642-I641</f>
        <v>477.30407413615825</v>
      </c>
      <c r="J643" s="103">
        <f>J642-J641</f>
        <v>1214.4590745697378</v>
      </c>
      <c r="K643" s="103"/>
      <c r="L643" s="103"/>
      <c r="M643" s="103"/>
      <c r="N643" s="103"/>
      <c r="O643" s="103"/>
      <c r="P643" s="103"/>
      <c r="Q643" s="103"/>
      <c r="R643" s="103"/>
      <c r="S643" s="103"/>
    </row>
    <row r="645" spans="1:19" ht="60" x14ac:dyDescent="0.25">
      <c r="A645" s="26" t="s">
        <v>63</v>
      </c>
      <c r="B645" s="26" t="s">
        <v>93</v>
      </c>
      <c r="C645" s="26" t="s">
        <v>94</v>
      </c>
      <c r="D645" s="97" t="str">
        <f>FoodDB!$C$1</f>
        <v>Fat
(g)</v>
      </c>
      <c r="E645" s="97" t="str">
        <f>FoodDB!$D$1</f>
        <v xml:space="preserve"> Carbs
(g)</v>
      </c>
      <c r="F645" s="97" t="str">
        <f>FoodDB!$E$1</f>
        <v>Protein
(g)</v>
      </c>
      <c r="G645" s="97" t="str">
        <f>FoodDB!$F$1</f>
        <v>Fat
(Cal)</v>
      </c>
      <c r="H645" s="97" t="str">
        <f>FoodDB!$G$1</f>
        <v>Carb
(Cal)</v>
      </c>
      <c r="I645" s="97" t="str">
        <f>FoodDB!$H$1</f>
        <v>Protein
(Cal)</v>
      </c>
      <c r="J645" s="97" t="str">
        <f>FoodDB!$I$1</f>
        <v>Total
Calories</v>
      </c>
      <c r="K645" s="97"/>
      <c r="L645" s="97" t="s">
        <v>110</v>
      </c>
      <c r="M645" s="97" t="s">
        <v>111</v>
      </c>
      <c r="N645" s="97" t="s">
        <v>112</v>
      </c>
      <c r="O645" s="97" t="s">
        <v>113</v>
      </c>
      <c r="P645" s="97" t="s">
        <v>118</v>
      </c>
      <c r="Q645" s="97" t="s">
        <v>119</v>
      </c>
      <c r="R645" s="97" t="s">
        <v>120</v>
      </c>
      <c r="S645" s="97" t="s">
        <v>121</v>
      </c>
    </row>
    <row r="646" spans="1:19" x14ac:dyDescent="0.25">
      <c r="A646" s="98">
        <f>A634+1</f>
        <v>43047</v>
      </c>
      <c r="B646" s="99" t="s">
        <v>108</v>
      </c>
      <c r="C646" s="100">
        <v>1</v>
      </c>
      <c r="D646" s="103">
        <f>$C646*VLOOKUP($B646,FoodDB!$A$2:$I$1018,3,0)</f>
        <v>0</v>
      </c>
      <c r="E646" s="103">
        <f>$C646*VLOOKUP($B646,FoodDB!$A$2:$I$1018,4,0)</f>
        <v>0</v>
      </c>
      <c r="F646" s="103">
        <f>$C646*VLOOKUP($B646,FoodDB!$A$2:$I$1018,5,0)</f>
        <v>0</v>
      </c>
      <c r="G646" s="103">
        <f>$C646*VLOOKUP($B646,FoodDB!$A$2:$I$1018,6,0)</f>
        <v>0</v>
      </c>
      <c r="H646" s="103">
        <f>$C646*VLOOKUP($B646,FoodDB!$A$2:$I$1018,7,0)</f>
        <v>0</v>
      </c>
      <c r="I646" s="103">
        <f>$C646*VLOOKUP($B646,FoodDB!$A$2:$I$1018,8,0)</f>
        <v>0</v>
      </c>
      <c r="J646" s="103">
        <f>$C646*VLOOKUP($B646,FoodDB!$A$2:$I$1018,9,0)</f>
        <v>0</v>
      </c>
      <c r="K646" s="103"/>
      <c r="L646" s="103">
        <f>SUM(G646:G652)</f>
        <v>0</v>
      </c>
      <c r="M646" s="103">
        <f>SUM(H646:H652)</f>
        <v>0</v>
      </c>
      <c r="N646" s="103">
        <f>SUM(I646:I652)</f>
        <v>0</v>
      </c>
      <c r="O646" s="103">
        <f>SUM(L646:N646)</f>
        <v>0</v>
      </c>
      <c r="P646" s="103">
        <f>VLOOKUP($A646,LossChart!$A$3:$AB$105,14,0)-L646</f>
        <v>662.8369322103822</v>
      </c>
      <c r="Q646" s="103">
        <f>VLOOKUP($A646,LossChart!$A$3:$AB$105,15,0)-M646</f>
        <v>80</v>
      </c>
      <c r="R646" s="103">
        <f>VLOOKUP($A646,LossChart!$A$3:$AB$105,16,0)-N646</f>
        <v>477.30407413615825</v>
      </c>
      <c r="S646" s="103">
        <f>VLOOKUP($A646,LossChart!$A$3:$AB$105,17,0)-O646</f>
        <v>1220.1410063465405</v>
      </c>
    </row>
    <row r="647" spans="1:19" x14ac:dyDescent="0.25">
      <c r="B647" s="99" t="s">
        <v>108</v>
      </c>
      <c r="C647" s="100">
        <v>1</v>
      </c>
      <c r="D647" s="103">
        <f>$C647*VLOOKUP($B647,FoodDB!$A$2:$I$1018,3,0)</f>
        <v>0</v>
      </c>
      <c r="E647" s="103">
        <f>$C647*VLOOKUP($B647,FoodDB!$A$2:$I$1018,4,0)</f>
        <v>0</v>
      </c>
      <c r="F647" s="103">
        <f>$C647*VLOOKUP($B647,FoodDB!$A$2:$I$1018,5,0)</f>
        <v>0</v>
      </c>
      <c r="G647" s="103">
        <f>$C647*VLOOKUP($B647,FoodDB!$A$2:$I$1018,6,0)</f>
        <v>0</v>
      </c>
      <c r="H647" s="103">
        <f>$C647*VLOOKUP($B647,FoodDB!$A$2:$I$1018,7,0)</f>
        <v>0</v>
      </c>
      <c r="I647" s="103">
        <f>$C647*VLOOKUP($B647,FoodDB!$A$2:$I$1018,8,0)</f>
        <v>0</v>
      </c>
      <c r="J647" s="103">
        <f>$C647*VLOOKUP($B647,FoodDB!$A$2:$I$1018,9,0)</f>
        <v>0</v>
      </c>
      <c r="K647" s="103"/>
      <c r="L647" s="103"/>
      <c r="M647" s="103"/>
      <c r="N647" s="103"/>
      <c r="O647" s="103"/>
      <c r="P647" s="103"/>
      <c r="Q647" s="103"/>
      <c r="R647" s="103"/>
      <c r="S647" s="103"/>
    </row>
    <row r="648" spans="1:19" x14ac:dyDescent="0.25">
      <c r="B648" s="99" t="s">
        <v>108</v>
      </c>
      <c r="C648" s="100">
        <v>1</v>
      </c>
      <c r="D648" s="103">
        <f>$C648*VLOOKUP($B648,FoodDB!$A$2:$I$1018,3,0)</f>
        <v>0</v>
      </c>
      <c r="E648" s="103">
        <f>$C648*VLOOKUP($B648,FoodDB!$A$2:$I$1018,4,0)</f>
        <v>0</v>
      </c>
      <c r="F648" s="103">
        <f>$C648*VLOOKUP($B648,FoodDB!$A$2:$I$1018,5,0)</f>
        <v>0</v>
      </c>
      <c r="G648" s="103">
        <f>$C648*VLOOKUP($B648,FoodDB!$A$2:$I$1018,6,0)</f>
        <v>0</v>
      </c>
      <c r="H648" s="103">
        <f>$C648*VLOOKUP($B648,FoodDB!$A$2:$I$1018,7,0)</f>
        <v>0</v>
      </c>
      <c r="I648" s="103">
        <f>$C648*VLOOKUP($B648,FoodDB!$A$2:$I$1018,8,0)</f>
        <v>0</v>
      </c>
      <c r="J648" s="103">
        <f>$C648*VLOOKUP($B648,FoodDB!$A$2:$I$1018,9,0)</f>
        <v>0</v>
      </c>
      <c r="K648" s="103"/>
      <c r="L648" s="103"/>
      <c r="M648" s="103"/>
      <c r="N648" s="103"/>
      <c r="O648" s="103"/>
      <c r="P648" s="103"/>
      <c r="Q648" s="103"/>
      <c r="R648" s="103"/>
      <c r="S648" s="103"/>
    </row>
    <row r="649" spans="1:19" x14ac:dyDescent="0.25">
      <c r="B649" s="99" t="s">
        <v>108</v>
      </c>
      <c r="C649" s="100">
        <v>1</v>
      </c>
      <c r="D649" s="103">
        <f>$C649*VLOOKUP($B649,FoodDB!$A$2:$I$1018,3,0)</f>
        <v>0</v>
      </c>
      <c r="E649" s="103">
        <f>$C649*VLOOKUP($B649,FoodDB!$A$2:$I$1018,4,0)</f>
        <v>0</v>
      </c>
      <c r="F649" s="103">
        <f>$C649*VLOOKUP($B649,FoodDB!$A$2:$I$1018,5,0)</f>
        <v>0</v>
      </c>
      <c r="G649" s="103">
        <f>$C649*VLOOKUP($B649,FoodDB!$A$2:$I$1018,6,0)</f>
        <v>0</v>
      </c>
      <c r="H649" s="103">
        <f>$C649*VLOOKUP($B649,FoodDB!$A$2:$I$1018,7,0)</f>
        <v>0</v>
      </c>
      <c r="I649" s="103">
        <f>$C649*VLOOKUP($B649,FoodDB!$A$2:$I$1018,8,0)</f>
        <v>0</v>
      </c>
      <c r="J649" s="103">
        <f>$C649*VLOOKUP($B649,FoodDB!$A$2:$I$1018,9,0)</f>
        <v>0</v>
      </c>
      <c r="K649" s="103"/>
      <c r="L649" s="103"/>
      <c r="M649" s="103"/>
      <c r="N649" s="103"/>
      <c r="O649" s="103"/>
      <c r="P649" s="103"/>
      <c r="Q649" s="103"/>
      <c r="R649" s="103"/>
      <c r="S649" s="103"/>
    </row>
    <row r="650" spans="1:19" x14ac:dyDescent="0.25">
      <c r="B650" s="99" t="s">
        <v>108</v>
      </c>
      <c r="C650" s="100">
        <v>1</v>
      </c>
      <c r="D650" s="103">
        <f>$C650*VLOOKUP($B650,FoodDB!$A$2:$I$1018,3,0)</f>
        <v>0</v>
      </c>
      <c r="E650" s="103">
        <f>$C650*VLOOKUP($B650,FoodDB!$A$2:$I$1018,4,0)</f>
        <v>0</v>
      </c>
      <c r="F650" s="103">
        <f>$C650*VLOOKUP($B650,FoodDB!$A$2:$I$1018,5,0)</f>
        <v>0</v>
      </c>
      <c r="G650" s="103">
        <f>$C650*VLOOKUP($B650,FoodDB!$A$2:$I$1018,6,0)</f>
        <v>0</v>
      </c>
      <c r="H650" s="103">
        <f>$C650*VLOOKUP($B650,FoodDB!$A$2:$I$1018,7,0)</f>
        <v>0</v>
      </c>
      <c r="I650" s="103">
        <f>$C650*VLOOKUP($B650,FoodDB!$A$2:$I$1018,8,0)</f>
        <v>0</v>
      </c>
      <c r="J650" s="103">
        <f>$C650*VLOOKUP($B650,FoodDB!$A$2:$I$1018,9,0)</f>
        <v>0</v>
      </c>
      <c r="K650" s="103"/>
      <c r="L650" s="103"/>
      <c r="M650" s="103"/>
      <c r="N650" s="103"/>
      <c r="O650" s="103"/>
      <c r="P650" s="103"/>
      <c r="Q650" s="103"/>
      <c r="R650" s="103"/>
      <c r="S650" s="103"/>
    </row>
    <row r="651" spans="1:19" x14ac:dyDescent="0.25">
      <c r="B651" s="99" t="s">
        <v>108</v>
      </c>
      <c r="C651" s="100">
        <v>1</v>
      </c>
      <c r="D651" s="103">
        <f>$C651*VLOOKUP($B651,FoodDB!$A$2:$I$1018,3,0)</f>
        <v>0</v>
      </c>
      <c r="E651" s="103">
        <f>$C651*VLOOKUP($B651,FoodDB!$A$2:$I$1018,4,0)</f>
        <v>0</v>
      </c>
      <c r="F651" s="103">
        <f>$C651*VLOOKUP($B651,FoodDB!$A$2:$I$1018,5,0)</f>
        <v>0</v>
      </c>
      <c r="G651" s="103">
        <f>$C651*VLOOKUP($B651,FoodDB!$A$2:$I$1018,6,0)</f>
        <v>0</v>
      </c>
      <c r="H651" s="103">
        <f>$C651*VLOOKUP($B651,FoodDB!$A$2:$I$1018,7,0)</f>
        <v>0</v>
      </c>
      <c r="I651" s="103">
        <f>$C651*VLOOKUP($B651,FoodDB!$A$2:$I$1018,8,0)</f>
        <v>0</v>
      </c>
      <c r="J651" s="103">
        <f>$C651*VLOOKUP($B651,FoodDB!$A$2:$I$1018,9,0)</f>
        <v>0</v>
      </c>
      <c r="K651" s="103"/>
      <c r="L651" s="103"/>
      <c r="M651" s="103"/>
      <c r="N651" s="103"/>
      <c r="O651" s="103"/>
      <c r="P651" s="103"/>
      <c r="Q651" s="103"/>
      <c r="R651" s="103"/>
      <c r="S651" s="103"/>
    </row>
    <row r="652" spans="1:19" x14ac:dyDescent="0.25">
      <c r="B652" s="99" t="s">
        <v>108</v>
      </c>
      <c r="C652" s="100">
        <v>1</v>
      </c>
      <c r="D652" s="103">
        <f>$C652*VLOOKUP($B652,FoodDB!$A$2:$I$1018,3,0)</f>
        <v>0</v>
      </c>
      <c r="E652" s="103">
        <f>$C652*VLOOKUP($B652,FoodDB!$A$2:$I$1018,4,0)</f>
        <v>0</v>
      </c>
      <c r="F652" s="103">
        <f>$C652*VLOOKUP($B652,FoodDB!$A$2:$I$1018,5,0)</f>
        <v>0</v>
      </c>
      <c r="G652" s="103">
        <f>$C652*VLOOKUP($B652,FoodDB!$A$2:$I$1018,6,0)</f>
        <v>0</v>
      </c>
      <c r="H652" s="103">
        <f>$C652*VLOOKUP($B652,FoodDB!$A$2:$I$1018,7,0)</f>
        <v>0</v>
      </c>
      <c r="I652" s="103">
        <f>$C652*VLOOKUP($B652,FoodDB!$A$2:$I$1018,8,0)</f>
        <v>0</v>
      </c>
      <c r="J652" s="103">
        <f>$C652*VLOOKUP($B652,FoodDB!$A$2:$I$1018,9,0)</f>
        <v>0</v>
      </c>
      <c r="K652" s="103"/>
      <c r="L652" s="103"/>
      <c r="M652" s="103"/>
      <c r="N652" s="103"/>
      <c r="O652" s="103"/>
      <c r="P652" s="103"/>
      <c r="Q652" s="103"/>
      <c r="R652" s="103"/>
      <c r="S652" s="103"/>
    </row>
    <row r="653" spans="1:19" x14ac:dyDescent="0.25">
      <c r="A653" t="s">
        <v>98</v>
      </c>
      <c r="D653" s="103"/>
      <c r="E653" s="103"/>
      <c r="F653" s="103"/>
      <c r="G653" s="103">
        <f>SUM(G646:G652)</f>
        <v>0</v>
      </c>
      <c r="H653" s="103">
        <f>SUM(H646:H652)</f>
        <v>0</v>
      </c>
      <c r="I653" s="103">
        <f>SUM(I646:I652)</f>
        <v>0</v>
      </c>
      <c r="J653" s="103">
        <f>SUM(G653:I653)</f>
        <v>0</v>
      </c>
      <c r="K653" s="103"/>
      <c r="L653" s="103"/>
      <c r="M653" s="103"/>
      <c r="N653" s="103"/>
      <c r="O653" s="103"/>
      <c r="P653" s="103"/>
      <c r="Q653" s="103"/>
      <c r="R653" s="103"/>
      <c r="S653" s="103"/>
    </row>
    <row r="654" spans="1:19" x14ac:dyDescent="0.25">
      <c r="A654" t="s">
        <v>102</v>
      </c>
      <c r="B654" t="s">
        <v>103</v>
      </c>
      <c r="D654" s="103"/>
      <c r="E654" s="103"/>
      <c r="F654" s="103"/>
      <c r="G654" s="103">
        <f>VLOOKUP($A646,LossChart!$A$3:$AB$105,14,0)</f>
        <v>662.8369322103822</v>
      </c>
      <c r="H654" s="103">
        <f>VLOOKUP($A646,LossChart!$A$3:$AB$105,15,0)</f>
        <v>80</v>
      </c>
      <c r="I654" s="103">
        <f>VLOOKUP($A646,LossChart!$A$3:$AB$105,16,0)</f>
        <v>477.30407413615825</v>
      </c>
      <c r="J654" s="103">
        <f>VLOOKUP($A646,LossChart!$A$3:$AB$105,17,0)</f>
        <v>1220.1410063465405</v>
      </c>
      <c r="K654" s="103"/>
      <c r="L654" s="103"/>
      <c r="M654" s="103"/>
      <c r="N654" s="103"/>
      <c r="O654" s="103"/>
      <c r="P654" s="103"/>
      <c r="Q654" s="103"/>
      <c r="R654" s="103"/>
      <c r="S654" s="103"/>
    </row>
    <row r="655" spans="1:19" x14ac:dyDescent="0.25">
      <c r="A655" t="s">
        <v>104</v>
      </c>
      <c r="D655" s="103"/>
      <c r="E655" s="103"/>
      <c r="F655" s="103"/>
      <c r="G655" s="103">
        <f>G654-G653</f>
        <v>662.8369322103822</v>
      </c>
      <c r="H655" s="103">
        <f>H654-H653</f>
        <v>80</v>
      </c>
      <c r="I655" s="103">
        <f>I654-I653</f>
        <v>477.30407413615825</v>
      </c>
      <c r="J655" s="103">
        <f>J654-J653</f>
        <v>1220.1410063465405</v>
      </c>
      <c r="K655" s="103"/>
      <c r="L655" s="103"/>
      <c r="M655" s="103"/>
      <c r="N655" s="103"/>
      <c r="O655" s="103"/>
      <c r="P655" s="103"/>
      <c r="Q655" s="103"/>
      <c r="R655" s="103"/>
      <c r="S655" s="103"/>
    </row>
    <row r="657" spans="1:19" ht="60" x14ac:dyDescent="0.25">
      <c r="A657" s="26" t="s">
        <v>63</v>
      </c>
      <c r="B657" s="26" t="s">
        <v>93</v>
      </c>
      <c r="C657" s="26" t="s">
        <v>94</v>
      </c>
      <c r="D657" s="97" t="str">
        <f>FoodDB!$C$1</f>
        <v>Fat
(g)</v>
      </c>
      <c r="E657" s="97" t="str">
        <f>FoodDB!$D$1</f>
        <v xml:space="preserve"> Carbs
(g)</v>
      </c>
      <c r="F657" s="97" t="str">
        <f>FoodDB!$E$1</f>
        <v>Protein
(g)</v>
      </c>
      <c r="G657" s="97" t="str">
        <f>FoodDB!$F$1</f>
        <v>Fat
(Cal)</v>
      </c>
      <c r="H657" s="97" t="str">
        <f>FoodDB!$G$1</f>
        <v>Carb
(Cal)</v>
      </c>
      <c r="I657" s="97" t="str">
        <f>FoodDB!$H$1</f>
        <v>Protein
(Cal)</v>
      </c>
      <c r="J657" s="97" t="str">
        <f>FoodDB!$I$1</f>
        <v>Total
Calories</v>
      </c>
      <c r="K657" s="97"/>
      <c r="L657" s="97" t="s">
        <v>110</v>
      </c>
      <c r="M657" s="97" t="s">
        <v>111</v>
      </c>
      <c r="N657" s="97" t="s">
        <v>112</v>
      </c>
      <c r="O657" s="97" t="s">
        <v>113</v>
      </c>
      <c r="P657" s="97" t="s">
        <v>118</v>
      </c>
      <c r="Q657" s="97" t="s">
        <v>119</v>
      </c>
      <c r="R657" s="97" t="s">
        <v>120</v>
      </c>
      <c r="S657" s="97" t="s">
        <v>121</v>
      </c>
    </row>
    <row r="658" spans="1:19" x14ac:dyDescent="0.25">
      <c r="A658" s="98">
        <f>A646+1</f>
        <v>43048</v>
      </c>
      <c r="B658" s="99" t="s">
        <v>108</v>
      </c>
      <c r="C658" s="100">
        <v>1</v>
      </c>
      <c r="D658" s="103">
        <f>$C658*VLOOKUP($B658,FoodDB!$A$2:$I$1018,3,0)</f>
        <v>0</v>
      </c>
      <c r="E658" s="103">
        <f>$C658*VLOOKUP($B658,FoodDB!$A$2:$I$1018,4,0)</f>
        <v>0</v>
      </c>
      <c r="F658" s="103">
        <f>$C658*VLOOKUP($B658,FoodDB!$A$2:$I$1018,5,0)</f>
        <v>0</v>
      </c>
      <c r="G658" s="103">
        <f>$C658*VLOOKUP($B658,FoodDB!$A$2:$I$1018,6,0)</f>
        <v>0</v>
      </c>
      <c r="H658" s="103">
        <f>$C658*VLOOKUP($B658,FoodDB!$A$2:$I$1018,7,0)</f>
        <v>0</v>
      </c>
      <c r="I658" s="103">
        <f>$C658*VLOOKUP($B658,FoodDB!$A$2:$I$1018,8,0)</f>
        <v>0</v>
      </c>
      <c r="J658" s="103">
        <f>$C658*VLOOKUP($B658,FoodDB!$A$2:$I$1018,9,0)</f>
        <v>0</v>
      </c>
      <c r="K658" s="103"/>
      <c r="L658" s="103">
        <f>SUM(G658:G664)</f>
        <v>0</v>
      </c>
      <c r="M658" s="103">
        <f>SUM(H658:H664)</f>
        <v>0</v>
      </c>
      <c r="N658" s="103">
        <f>SUM(I658:I664)</f>
        <v>0</v>
      </c>
      <c r="O658" s="103">
        <f>SUM(L658:N658)</f>
        <v>0</v>
      </c>
      <c r="P658" s="103">
        <f>VLOOKUP($A658,LossChart!$A$3:$AB$105,14,0)-L658</f>
        <v>668.46853830573286</v>
      </c>
      <c r="Q658" s="103">
        <f>VLOOKUP($A658,LossChart!$A$3:$AB$105,15,0)-M658</f>
        <v>80</v>
      </c>
      <c r="R658" s="103">
        <f>VLOOKUP($A658,LossChart!$A$3:$AB$105,16,0)-N658</f>
        <v>477.30407413615825</v>
      </c>
      <c r="S658" s="103">
        <f>VLOOKUP($A658,LossChart!$A$3:$AB$105,17,0)-O658</f>
        <v>1225.7726124418912</v>
      </c>
    </row>
    <row r="659" spans="1:19" x14ac:dyDescent="0.25">
      <c r="B659" s="99" t="s">
        <v>108</v>
      </c>
      <c r="C659" s="100">
        <v>1</v>
      </c>
      <c r="D659" s="103">
        <f>$C659*VLOOKUP($B659,FoodDB!$A$2:$I$1018,3,0)</f>
        <v>0</v>
      </c>
      <c r="E659" s="103">
        <f>$C659*VLOOKUP($B659,FoodDB!$A$2:$I$1018,4,0)</f>
        <v>0</v>
      </c>
      <c r="F659" s="103">
        <f>$C659*VLOOKUP($B659,FoodDB!$A$2:$I$1018,5,0)</f>
        <v>0</v>
      </c>
      <c r="G659" s="103">
        <f>$C659*VLOOKUP($B659,FoodDB!$A$2:$I$1018,6,0)</f>
        <v>0</v>
      </c>
      <c r="H659" s="103">
        <f>$C659*VLOOKUP($B659,FoodDB!$A$2:$I$1018,7,0)</f>
        <v>0</v>
      </c>
      <c r="I659" s="103">
        <f>$C659*VLOOKUP($B659,FoodDB!$A$2:$I$1018,8,0)</f>
        <v>0</v>
      </c>
      <c r="J659" s="103">
        <f>$C659*VLOOKUP($B659,FoodDB!$A$2:$I$1018,9,0)</f>
        <v>0</v>
      </c>
      <c r="K659" s="103"/>
      <c r="L659" s="103"/>
      <c r="M659" s="103"/>
      <c r="N659" s="103"/>
      <c r="O659" s="103"/>
      <c r="P659" s="103"/>
      <c r="Q659" s="103"/>
      <c r="R659" s="103"/>
      <c r="S659" s="103"/>
    </row>
    <row r="660" spans="1:19" x14ac:dyDescent="0.25">
      <c r="B660" s="99" t="s">
        <v>108</v>
      </c>
      <c r="C660" s="100">
        <v>1</v>
      </c>
      <c r="D660" s="103">
        <f>$C660*VLOOKUP($B660,FoodDB!$A$2:$I$1018,3,0)</f>
        <v>0</v>
      </c>
      <c r="E660" s="103">
        <f>$C660*VLOOKUP($B660,FoodDB!$A$2:$I$1018,4,0)</f>
        <v>0</v>
      </c>
      <c r="F660" s="103">
        <f>$C660*VLOOKUP($B660,FoodDB!$A$2:$I$1018,5,0)</f>
        <v>0</v>
      </c>
      <c r="G660" s="103">
        <f>$C660*VLOOKUP($B660,FoodDB!$A$2:$I$1018,6,0)</f>
        <v>0</v>
      </c>
      <c r="H660" s="103">
        <f>$C660*VLOOKUP($B660,FoodDB!$A$2:$I$1018,7,0)</f>
        <v>0</v>
      </c>
      <c r="I660" s="103">
        <f>$C660*VLOOKUP($B660,FoodDB!$A$2:$I$1018,8,0)</f>
        <v>0</v>
      </c>
      <c r="J660" s="103">
        <f>$C660*VLOOKUP($B660,FoodDB!$A$2:$I$1018,9,0)</f>
        <v>0</v>
      </c>
      <c r="K660" s="103"/>
      <c r="L660" s="103"/>
      <c r="M660" s="103"/>
      <c r="N660" s="103"/>
      <c r="O660" s="103"/>
      <c r="P660" s="103"/>
      <c r="Q660" s="103"/>
      <c r="R660" s="103"/>
      <c r="S660" s="103"/>
    </row>
    <row r="661" spans="1:19" x14ac:dyDescent="0.25">
      <c r="B661" s="99" t="s">
        <v>108</v>
      </c>
      <c r="C661" s="100">
        <v>1</v>
      </c>
      <c r="D661" s="103">
        <f>$C661*VLOOKUP($B661,FoodDB!$A$2:$I$1018,3,0)</f>
        <v>0</v>
      </c>
      <c r="E661" s="103">
        <f>$C661*VLOOKUP($B661,FoodDB!$A$2:$I$1018,4,0)</f>
        <v>0</v>
      </c>
      <c r="F661" s="103">
        <f>$C661*VLOOKUP($B661,FoodDB!$A$2:$I$1018,5,0)</f>
        <v>0</v>
      </c>
      <c r="G661" s="103">
        <f>$C661*VLOOKUP($B661,FoodDB!$A$2:$I$1018,6,0)</f>
        <v>0</v>
      </c>
      <c r="H661" s="103">
        <f>$C661*VLOOKUP($B661,FoodDB!$A$2:$I$1018,7,0)</f>
        <v>0</v>
      </c>
      <c r="I661" s="103">
        <f>$C661*VLOOKUP($B661,FoodDB!$A$2:$I$1018,8,0)</f>
        <v>0</v>
      </c>
      <c r="J661" s="103">
        <f>$C661*VLOOKUP($B661,FoodDB!$A$2:$I$1018,9,0)</f>
        <v>0</v>
      </c>
      <c r="K661" s="103"/>
      <c r="L661" s="103"/>
      <c r="M661" s="103"/>
      <c r="N661" s="103"/>
      <c r="O661" s="103"/>
      <c r="P661" s="103"/>
      <c r="Q661" s="103"/>
      <c r="R661" s="103"/>
      <c r="S661" s="103"/>
    </row>
    <row r="662" spans="1:19" x14ac:dyDescent="0.25">
      <c r="B662" s="99" t="s">
        <v>108</v>
      </c>
      <c r="C662" s="100">
        <v>1</v>
      </c>
      <c r="D662" s="103">
        <f>$C662*VLOOKUP($B662,FoodDB!$A$2:$I$1018,3,0)</f>
        <v>0</v>
      </c>
      <c r="E662" s="103">
        <f>$C662*VLOOKUP($B662,FoodDB!$A$2:$I$1018,4,0)</f>
        <v>0</v>
      </c>
      <c r="F662" s="103">
        <f>$C662*VLOOKUP($B662,FoodDB!$A$2:$I$1018,5,0)</f>
        <v>0</v>
      </c>
      <c r="G662" s="103">
        <f>$C662*VLOOKUP($B662,FoodDB!$A$2:$I$1018,6,0)</f>
        <v>0</v>
      </c>
      <c r="H662" s="103">
        <f>$C662*VLOOKUP($B662,FoodDB!$A$2:$I$1018,7,0)</f>
        <v>0</v>
      </c>
      <c r="I662" s="103">
        <f>$C662*VLOOKUP($B662,FoodDB!$A$2:$I$1018,8,0)</f>
        <v>0</v>
      </c>
      <c r="J662" s="103">
        <f>$C662*VLOOKUP($B662,FoodDB!$A$2:$I$1018,9,0)</f>
        <v>0</v>
      </c>
      <c r="K662" s="103"/>
      <c r="L662" s="103"/>
      <c r="M662" s="103"/>
      <c r="N662" s="103"/>
      <c r="O662" s="103"/>
      <c r="P662" s="103"/>
      <c r="Q662" s="103"/>
      <c r="R662" s="103"/>
      <c r="S662" s="103"/>
    </row>
    <row r="663" spans="1:19" x14ac:dyDescent="0.25">
      <c r="B663" s="99" t="s">
        <v>108</v>
      </c>
      <c r="C663" s="100">
        <v>1</v>
      </c>
      <c r="D663" s="103">
        <f>$C663*VLOOKUP($B663,FoodDB!$A$2:$I$1018,3,0)</f>
        <v>0</v>
      </c>
      <c r="E663" s="103">
        <f>$C663*VLOOKUP($B663,FoodDB!$A$2:$I$1018,4,0)</f>
        <v>0</v>
      </c>
      <c r="F663" s="103">
        <f>$C663*VLOOKUP($B663,FoodDB!$A$2:$I$1018,5,0)</f>
        <v>0</v>
      </c>
      <c r="G663" s="103">
        <f>$C663*VLOOKUP($B663,FoodDB!$A$2:$I$1018,6,0)</f>
        <v>0</v>
      </c>
      <c r="H663" s="103">
        <f>$C663*VLOOKUP($B663,FoodDB!$A$2:$I$1018,7,0)</f>
        <v>0</v>
      </c>
      <c r="I663" s="103">
        <f>$C663*VLOOKUP($B663,FoodDB!$A$2:$I$1018,8,0)</f>
        <v>0</v>
      </c>
      <c r="J663" s="103">
        <f>$C663*VLOOKUP($B663,FoodDB!$A$2:$I$1018,9,0)</f>
        <v>0</v>
      </c>
      <c r="K663" s="103"/>
      <c r="L663" s="103"/>
      <c r="M663" s="103"/>
      <c r="N663" s="103"/>
      <c r="O663" s="103"/>
      <c r="P663" s="103"/>
      <c r="Q663" s="103"/>
      <c r="R663" s="103"/>
      <c r="S663" s="103"/>
    </row>
    <row r="664" spans="1:19" x14ac:dyDescent="0.25">
      <c r="B664" s="99" t="s">
        <v>108</v>
      </c>
      <c r="C664" s="100">
        <v>1</v>
      </c>
      <c r="D664" s="103">
        <f>$C664*VLOOKUP($B664,FoodDB!$A$2:$I$1018,3,0)</f>
        <v>0</v>
      </c>
      <c r="E664" s="103">
        <f>$C664*VLOOKUP($B664,FoodDB!$A$2:$I$1018,4,0)</f>
        <v>0</v>
      </c>
      <c r="F664" s="103">
        <f>$C664*VLOOKUP($B664,FoodDB!$A$2:$I$1018,5,0)</f>
        <v>0</v>
      </c>
      <c r="G664" s="103">
        <f>$C664*VLOOKUP($B664,FoodDB!$A$2:$I$1018,6,0)</f>
        <v>0</v>
      </c>
      <c r="H664" s="103">
        <f>$C664*VLOOKUP($B664,FoodDB!$A$2:$I$1018,7,0)</f>
        <v>0</v>
      </c>
      <c r="I664" s="103">
        <f>$C664*VLOOKUP($B664,FoodDB!$A$2:$I$1018,8,0)</f>
        <v>0</v>
      </c>
      <c r="J664" s="103">
        <f>$C664*VLOOKUP($B664,FoodDB!$A$2:$I$1018,9,0)</f>
        <v>0</v>
      </c>
      <c r="K664" s="103"/>
      <c r="L664" s="103"/>
      <c r="M664" s="103"/>
      <c r="N664" s="103"/>
      <c r="O664" s="103"/>
      <c r="P664" s="103"/>
      <c r="Q664" s="103"/>
      <c r="R664" s="103"/>
      <c r="S664" s="103"/>
    </row>
    <row r="665" spans="1:19" x14ac:dyDescent="0.25">
      <c r="A665" t="s">
        <v>98</v>
      </c>
      <c r="D665" s="103"/>
      <c r="E665" s="103"/>
      <c r="F665" s="103"/>
      <c r="G665" s="103">
        <f>SUM(G658:G664)</f>
        <v>0</v>
      </c>
      <c r="H665" s="103">
        <f>SUM(H658:H664)</f>
        <v>0</v>
      </c>
      <c r="I665" s="103">
        <f>SUM(I658:I664)</f>
        <v>0</v>
      </c>
      <c r="J665" s="103">
        <f>SUM(G665:I665)</f>
        <v>0</v>
      </c>
      <c r="K665" s="103"/>
      <c r="L665" s="103"/>
      <c r="M665" s="103"/>
      <c r="N665" s="103"/>
      <c r="O665" s="103"/>
      <c r="P665" s="103"/>
      <c r="Q665" s="103"/>
      <c r="R665" s="103"/>
      <c r="S665" s="103"/>
    </row>
    <row r="666" spans="1:19" x14ac:dyDescent="0.25">
      <c r="A666" t="s">
        <v>102</v>
      </c>
      <c r="B666" t="s">
        <v>103</v>
      </c>
      <c r="D666" s="103"/>
      <c r="E666" s="103"/>
      <c r="F666" s="103"/>
      <c r="G666" s="103">
        <f>VLOOKUP($A658,LossChart!$A$3:$AB$105,14,0)</f>
        <v>668.46853830573286</v>
      </c>
      <c r="H666" s="103">
        <f>VLOOKUP($A658,LossChart!$A$3:$AB$105,15,0)</f>
        <v>80</v>
      </c>
      <c r="I666" s="103">
        <f>VLOOKUP($A658,LossChart!$A$3:$AB$105,16,0)</f>
        <v>477.30407413615825</v>
      </c>
      <c r="J666" s="103">
        <f>VLOOKUP($A658,LossChart!$A$3:$AB$105,17,0)</f>
        <v>1225.7726124418912</v>
      </c>
      <c r="K666" s="103"/>
      <c r="L666" s="103"/>
      <c r="M666" s="103"/>
      <c r="N666" s="103"/>
      <c r="O666" s="103"/>
      <c r="P666" s="103"/>
      <c r="Q666" s="103"/>
      <c r="R666" s="103"/>
      <c r="S666" s="103"/>
    </row>
    <row r="667" spans="1:19" x14ac:dyDescent="0.25">
      <c r="A667" t="s">
        <v>104</v>
      </c>
      <c r="D667" s="103"/>
      <c r="E667" s="103"/>
      <c r="F667" s="103"/>
      <c r="G667" s="103">
        <f>G666-G665</f>
        <v>668.46853830573286</v>
      </c>
      <c r="H667" s="103">
        <f>H666-H665</f>
        <v>80</v>
      </c>
      <c r="I667" s="103">
        <f>I666-I665</f>
        <v>477.30407413615825</v>
      </c>
      <c r="J667" s="103">
        <f>J666-J665</f>
        <v>1225.7726124418912</v>
      </c>
      <c r="K667" s="103"/>
      <c r="L667" s="103"/>
      <c r="M667" s="103"/>
      <c r="N667" s="103"/>
      <c r="O667" s="103"/>
      <c r="P667" s="103"/>
      <c r="Q667" s="103"/>
      <c r="R667" s="103"/>
      <c r="S667" s="103"/>
    </row>
    <row r="669" spans="1:19" ht="60" x14ac:dyDescent="0.25">
      <c r="A669" s="26" t="s">
        <v>63</v>
      </c>
      <c r="B669" s="26" t="s">
        <v>93</v>
      </c>
      <c r="C669" s="26" t="s">
        <v>94</v>
      </c>
      <c r="D669" s="97" t="str">
        <f>FoodDB!$C$1</f>
        <v>Fat
(g)</v>
      </c>
      <c r="E669" s="97" t="str">
        <f>FoodDB!$D$1</f>
        <v xml:space="preserve"> Carbs
(g)</v>
      </c>
      <c r="F669" s="97" t="str">
        <f>FoodDB!$E$1</f>
        <v>Protein
(g)</v>
      </c>
      <c r="G669" s="97" t="str">
        <f>FoodDB!$F$1</f>
        <v>Fat
(Cal)</v>
      </c>
      <c r="H669" s="97" t="str">
        <f>FoodDB!$G$1</f>
        <v>Carb
(Cal)</v>
      </c>
      <c r="I669" s="97" t="str">
        <f>FoodDB!$H$1</f>
        <v>Protein
(Cal)</v>
      </c>
      <c r="J669" s="97" t="str">
        <f>FoodDB!$I$1</f>
        <v>Total
Calories</v>
      </c>
      <c r="K669" s="97"/>
      <c r="L669" s="97" t="s">
        <v>110</v>
      </c>
      <c r="M669" s="97" t="s">
        <v>111</v>
      </c>
      <c r="N669" s="97" t="s">
        <v>112</v>
      </c>
      <c r="O669" s="97" t="s">
        <v>113</v>
      </c>
      <c r="P669" s="97" t="s">
        <v>118</v>
      </c>
      <c r="Q669" s="97" t="s">
        <v>119</v>
      </c>
      <c r="R669" s="97" t="s">
        <v>120</v>
      </c>
      <c r="S669" s="97" t="s">
        <v>121</v>
      </c>
    </row>
    <row r="670" spans="1:19" x14ac:dyDescent="0.25">
      <c r="A670" s="98">
        <f>A658+1</f>
        <v>43049</v>
      </c>
      <c r="B670" s="99" t="s">
        <v>108</v>
      </c>
      <c r="C670" s="100">
        <v>1</v>
      </c>
      <c r="D670" s="103">
        <f>$C670*VLOOKUP($B670,FoodDB!$A$2:$I$1018,3,0)</f>
        <v>0</v>
      </c>
      <c r="E670" s="103">
        <f>$C670*VLOOKUP($B670,FoodDB!$A$2:$I$1018,4,0)</f>
        <v>0</v>
      </c>
      <c r="F670" s="103">
        <f>$C670*VLOOKUP($B670,FoodDB!$A$2:$I$1018,5,0)</f>
        <v>0</v>
      </c>
      <c r="G670" s="103">
        <f>$C670*VLOOKUP($B670,FoodDB!$A$2:$I$1018,6,0)</f>
        <v>0</v>
      </c>
      <c r="H670" s="103">
        <f>$C670*VLOOKUP($B670,FoodDB!$A$2:$I$1018,7,0)</f>
        <v>0</v>
      </c>
      <c r="I670" s="103">
        <f>$C670*VLOOKUP($B670,FoodDB!$A$2:$I$1018,8,0)</f>
        <v>0</v>
      </c>
      <c r="J670" s="103">
        <f>$C670*VLOOKUP($B670,FoodDB!$A$2:$I$1018,9,0)</f>
        <v>0</v>
      </c>
      <c r="K670" s="103"/>
      <c r="L670" s="103">
        <f>SUM(G670:G676)</f>
        <v>0</v>
      </c>
      <c r="M670" s="103">
        <f>SUM(H670:H676)</f>
        <v>0</v>
      </c>
      <c r="N670" s="103">
        <f>SUM(I670:I676)</f>
        <v>0</v>
      </c>
      <c r="O670" s="103">
        <f>SUM(L670:N670)</f>
        <v>0</v>
      </c>
      <c r="P670" s="103">
        <f>VLOOKUP($A670,LossChart!$A$3:$AB$105,14,0)-L670</f>
        <v>674.05026446138231</v>
      </c>
      <c r="Q670" s="103">
        <f>VLOOKUP($A670,LossChart!$A$3:$AB$105,15,0)-M670</f>
        <v>80</v>
      </c>
      <c r="R670" s="103">
        <f>VLOOKUP($A670,LossChart!$A$3:$AB$105,16,0)-N670</f>
        <v>477.30407413615825</v>
      </c>
      <c r="S670" s="103">
        <f>VLOOKUP($A670,LossChart!$A$3:$AB$105,17,0)-O670</f>
        <v>1231.3543385975406</v>
      </c>
    </row>
    <row r="671" spans="1:19" x14ac:dyDescent="0.25">
      <c r="B671" s="99" t="s">
        <v>108</v>
      </c>
      <c r="C671" s="100">
        <v>1</v>
      </c>
      <c r="D671" s="103">
        <f>$C671*VLOOKUP($B671,FoodDB!$A$2:$I$1018,3,0)</f>
        <v>0</v>
      </c>
      <c r="E671" s="103">
        <f>$C671*VLOOKUP($B671,FoodDB!$A$2:$I$1018,4,0)</f>
        <v>0</v>
      </c>
      <c r="F671" s="103">
        <f>$C671*VLOOKUP($B671,FoodDB!$A$2:$I$1018,5,0)</f>
        <v>0</v>
      </c>
      <c r="G671" s="103">
        <f>$C671*VLOOKUP($B671,FoodDB!$A$2:$I$1018,6,0)</f>
        <v>0</v>
      </c>
      <c r="H671" s="103">
        <f>$C671*VLOOKUP($B671,FoodDB!$A$2:$I$1018,7,0)</f>
        <v>0</v>
      </c>
      <c r="I671" s="103">
        <f>$C671*VLOOKUP($B671,FoodDB!$A$2:$I$1018,8,0)</f>
        <v>0</v>
      </c>
      <c r="J671" s="103">
        <f>$C671*VLOOKUP($B671,FoodDB!$A$2:$I$1018,9,0)</f>
        <v>0</v>
      </c>
      <c r="K671" s="103"/>
      <c r="L671" s="103"/>
      <c r="M671" s="103"/>
      <c r="N671" s="103"/>
      <c r="O671" s="103"/>
      <c r="P671" s="103"/>
      <c r="Q671" s="103"/>
      <c r="R671" s="103"/>
      <c r="S671" s="103"/>
    </row>
    <row r="672" spans="1:19" x14ac:dyDescent="0.25">
      <c r="B672" s="99" t="s">
        <v>108</v>
      </c>
      <c r="C672" s="100">
        <v>1</v>
      </c>
      <c r="D672" s="103">
        <f>$C672*VLOOKUP($B672,FoodDB!$A$2:$I$1018,3,0)</f>
        <v>0</v>
      </c>
      <c r="E672" s="103">
        <f>$C672*VLOOKUP($B672,FoodDB!$A$2:$I$1018,4,0)</f>
        <v>0</v>
      </c>
      <c r="F672" s="103">
        <f>$C672*VLOOKUP($B672,FoodDB!$A$2:$I$1018,5,0)</f>
        <v>0</v>
      </c>
      <c r="G672" s="103">
        <f>$C672*VLOOKUP($B672,FoodDB!$A$2:$I$1018,6,0)</f>
        <v>0</v>
      </c>
      <c r="H672" s="103">
        <f>$C672*VLOOKUP($B672,FoodDB!$A$2:$I$1018,7,0)</f>
        <v>0</v>
      </c>
      <c r="I672" s="103">
        <f>$C672*VLOOKUP($B672,FoodDB!$A$2:$I$1018,8,0)</f>
        <v>0</v>
      </c>
      <c r="J672" s="103">
        <f>$C672*VLOOKUP($B672,FoodDB!$A$2:$I$1018,9,0)</f>
        <v>0</v>
      </c>
      <c r="K672" s="103"/>
      <c r="L672" s="103"/>
      <c r="M672" s="103"/>
      <c r="N672" s="103"/>
      <c r="O672" s="103"/>
      <c r="P672" s="103"/>
      <c r="Q672" s="103"/>
      <c r="R672" s="103"/>
      <c r="S672" s="103"/>
    </row>
    <row r="673" spans="1:19" x14ac:dyDescent="0.25">
      <c r="B673" s="99" t="s">
        <v>108</v>
      </c>
      <c r="C673" s="100">
        <v>1</v>
      </c>
      <c r="D673" s="103">
        <f>$C673*VLOOKUP($B673,FoodDB!$A$2:$I$1018,3,0)</f>
        <v>0</v>
      </c>
      <c r="E673" s="103">
        <f>$C673*VLOOKUP($B673,FoodDB!$A$2:$I$1018,4,0)</f>
        <v>0</v>
      </c>
      <c r="F673" s="103">
        <f>$C673*VLOOKUP($B673,FoodDB!$A$2:$I$1018,5,0)</f>
        <v>0</v>
      </c>
      <c r="G673" s="103">
        <f>$C673*VLOOKUP($B673,FoodDB!$A$2:$I$1018,6,0)</f>
        <v>0</v>
      </c>
      <c r="H673" s="103">
        <f>$C673*VLOOKUP($B673,FoodDB!$A$2:$I$1018,7,0)</f>
        <v>0</v>
      </c>
      <c r="I673" s="103">
        <f>$C673*VLOOKUP($B673,FoodDB!$A$2:$I$1018,8,0)</f>
        <v>0</v>
      </c>
      <c r="J673" s="103">
        <f>$C673*VLOOKUP($B673,FoodDB!$A$2:$I$1018,9,0)</f>
        <v>0</v>
      </c>
      <c r="K673" s="103"/>
      <c r="L673" s="103"/>
      <c r="M673" s="103"/>
      <c r="N673" s="103"/>
      <c r="O673" s="103"/>
      <c r="P673" s="103"/>
      <c r="Q673" s="103"/>
      <c r="R673" s="103"/>
      <c r="S673" s="103"/>
    </row>
    <row r="674" spans="1:19" x14ac:dyDescent="0.25">
      <c r="B674" s="99" t="s">
        <v>108</v>
      </c>
      <c r="C674" s="100">
        <v>1</v>
      </c>
      <c r="D674" s="103">
        <f>$C674*VLOOKUP($B674,FoodDB!$A$2:$I$1018,3,0)</f>
        <v>0</v>
      </c>
      <c r="E674" s="103">
        <f>$C674*VLOOKUP($B674,FoodDB!$A$2:$I$1018,4,0)</f>
        <v>0</v>
      </c>
      <c r="F674" s="103">
        <f>$C674*VLOOKUP($B674,FoodDB!$A$2:$I$1018,5,0)</f>
        <v>0</v>
      </c>
      <c r="G674" s="103">
        <f>$C674*VLOOKUP($B674,FoodDB!$A$2:$I$1018,6,0)</f>
        <v>0</v>
      </c>
      <c r="H674" s="103">
        <f>$C674*VLOOKUP($B674,FoodDB!$A$2:$I$1018,7,0)</f>
        <v>0</v>
      </c>
      <c r="I674" s="103">
        <f>$C674*VLOOKUP($B674,FoodDB!$A$2:$I$1018,8,0)</f>
        <v>0</v>
      </c>
      <c r="J674" s="103">
        <f>$C674*VLOOKUP($B674,FoodDB!$A$2:$I$1018,9,0)</f>
        <v>0</v>
      </c>
      <c r="K674" s="103"/>
      <c r="L674" s="103"/>
      <c r="M674" s="103"/>
      <c r="N674" s="103"/>
      <c r="O674" s="103"/>
      <c r="P674" s="103"/>
      <c r="Q674" s="103"/>
      <c r="R674" s="103"/>
      <c r="S674" s="103"/>
    </row>
    <row r="675" spans="1:19" x14ac:dyDescent="0.25">
      <c r="B675" s="99" t="s">
        <v>108</v>
      </c>
      <c r="C675" s="100">
        <v>1</v>
      </c>
      <c r="D675" s="103">
        <f>$C675*VLOOKUP($B675,FoodDB!$A$2:$I$1018,3,0)</f>
        <v>0</v>
      </c>
      <c r="E675" s="103">
        <f>$C675*VLOOKUP($B675,FoodDB!$A$2:$I$1018,4,0)</f>
        <v>0</v>
      </c>
      <c r="F675" s="103">
        <f>$C675*VLOOKUP($B675,FoodDB!$A$2:$I$1018,5,0)</f>
        <v>0</v>
      </c>
      <c r="G675" s="103">
        <f>$C675*VLOOKUP($B675,FoodDB!$A$2:$I$1018,6,0)</f>
        <v>0</v>
      </c>
      <c r="H675" s="103">
        <f>$C675*VLOOKUP($B675,FoodDB!$A$2:$I$1018,7,0)</f>
        <v>0</v>
      </c>
      <c r="I675" s="103">
        <f>$C675*VLOOKUP($B675,FoodDB!$A$2:$I$1018,8,0)</f>
        <v>0</v>
      </c>
      <c r="J675" s="103">
        <f>$C675*VLOOKUP($B675,FoodDB!$A$2:$I$1018,9,0)</f>
        <v>0</v>
      </c>
      <c r="K675" s="103"/>
      <c r="L675" s="103"/>
      <c r="M675" s="103"/>
      <c r="N675" s="103"/>
      <c r="O675" s="103"/>
      <c r="P675" s="103"/>
      <c r="Q675" s="103"/>
      <c r="R675" s="103"/>
      <c r="S675" s="103"/>
    </row>
    <row r="676" spans="1:19" x14ac:dyDescent="0.25">
      <c r="B676" s="99" t="s">
        <v>108</v>
      </c>
      <c r="C676" s="100">
        <v>1</v>
      </c>
      <c r="D676" s="103">
        <f>$C676*VLOOKUP($B676,FoodDB!$A$2:$I$1018,3,0)</f>
        <v>0</v>
      </c>
      <c r="E676" s="103">
        <f>$C676*VLOOKUP($B676,FoodDB!$A$2:$I$1018,4,0)</f>
        <v>0</v>
      </c>
      <c r="F676" s="103">
        <f>$C676*VLOOKUP($B676,FoodDB!$A$2:$I$1018,5,0)</f>
        <v>0</v>
      </c>
      <c r="G676" s="103">
        <f>$C676*VLOOKUP($B676,FoodDB!$A$2:$I$1018,6,0)</f>
        <v>0</v>
      </c>
      <c r="H676" s="103">
        <f>$C676*VLOOKUP($B676,FoodDB!$A$2:$I$1018,7,0)</f>
        <v>0</v>
      </c>
      <c r="I676" s="103">
        <f>$C676*VLOOKUP($B676,FoodDB!$A$2:$I$1018,8,0)</f>
        <v>0</v>
      </c>
      <c r="J676" s="103">
        <f>$C676*VLOOKUP($B676,FoodDB!$A$2:$I$1018,9,0)</f>
        <v>0</v>
      </c>
      <c r="K676" s="103"/>
      <c r="L676" s="103"/>
      <c r="M676" s="103"/>
      <c r="N676" s="103"/>
      <c r="O676" s="103"/>
      <c r="P676" s="103"/>
      <c r="Q676" s="103"/>
      <c r="R676" s="103"/>
      <c r="S676" s="103"/>
    </row>
    <row r="677" spans="1:19" x14ac:dyDescent="0.25">
      <c r="A677" t="s">
        <v>98</v>
      </c>
      <c r="D677" s="103"/>
      <c r="E677" s="103"/>
      <c r="F677" s="103"/>
      <c r="G677" s="103">
        <f>SUM(G670:G676)</f>
        <v>0</v>
      </c>
      <c r="H677" s="103">
        <f>SUM(H670:H676)</f>
        <v>0</v>
      </c>
      <c r="I677" s="103">
        <f>SUM(I670:I676)</f>
        <v>0</v>
      </c>
      <c r="J677" s="103">
        <f>SUM(G677:I677)</f>
        <v>0</v>
      </c>
      <c r="K677" s="103"/>
      <c r="L677" s="103"/>
      <c r="M677" s="103"/>
      <c r="N677" s="103"/>
      <c r="O677" s="103"/>
      <c r="P677" s="103"/>
      <c r="Q677" s="103"/>
      <c r="R677" s="103"/>
      <c r="S677" s="103"/>
    </row>
    <row r="678" spans="1:19" x14ac:dyDescent="0.25">
      <c r="A678" t="s">
        <v>102</v>
      </c>
      <c r="B678" t="s">
        <v>103</v>
      </c>
      <c r="D678" s="103"/>
      <c r="E678" s="103"/>
      <c r="F678" s="103"/>
      <c r="G678" s="103">
        <f>VLOOKUP($A670,LossChart!$A$3:$AB$105,14,0)</f>
        <v>674.05026446138231</v>
      </c>
      <c r="H678" s="103">
        <f>VLOOKUP($A670,LossChart!$A$3:$AB$105,15,0)</f>
        <v>80</v>
      </c>
      <c r="I678" s="103">
        <f>VLOOKUP($A670,LossChart!$A$3:$AB$105,16,0)</f>
        <v>477.30407413615825</v>
      </c>
      <c r="J678" s="103">
        <f>VLOOKUP($A670,LossChart!$A$3:$AB$105,17,0)</f>
        <v>1231.3543385975406</v>
      </c>
      <c r="K678" s="103"/>
      <c r="L678" s="103"/>
      <c r="M678" s="103"/>
      <c r="N678" s="103"/>
      <c r="O678" s="103"/>
      <c r="P678" s="103"/>
      <c r="Q678" s="103"/>
      <c r="R678" s="103"/>
      <c r="S678" s="103"/>
    </row>
    <row r="679" spans="1:19" x14ac:dyDescent="0.25">
      <c r="A679" t="s">
        <v>104</v>
      </c>
      <c r="D679" s="103"/>
      <c r="E679" s="103"/>
      <c r="F679" s="103"/>
      <c r="G679" s="103">
        <f>G678-G677</f>
        <v>674.05026446138231</v>
      </c>
      <c r="H679" s="103">
        <f>H678-H677</f>
        <v>80</v>
      </c>
      <c r="I679" s="103">
        <f>I678-I677</f>
        <v>477.30407413615825</v>
      </c>
      <c r="J679" s="103">
        <f>J678-J677</f>
        <v>1231.3543385975406</v>
      </c>
      <c r="K679" s="103"/>
      <c r="L679" s="103"/>
      <c r="M679" s="103"/>
      <c r="N679" s="103"/>
      <c r="O679" s="103"/>
      <c r="P679" s="103"/>
      <c r="Q679" s="103"/>
      <c r="R679" s="103"/>
      <c r="S679" s="103"/>
    </row>
    <row r="681" spans="1:19" ht="60" x14ac:dyDescent="0.25">
      <c r="A681" s="26" t="s">
        <v>63</v>
      </c>
      <c r="B681" s="26" t="s">
        <v>93</v>
      </c>
      <c r="C681" s="26" t="s">
        <v>94</v>
      </c>
      <c r="D681" s="97" t="str">
        <f>FoodDB!$C$1</f>
        <v>Fat
(g)</v>
      </c>
      <c r="E681" s="97" t="str">
        <f>FoodDB!$D$1</f>
        <v xml:space="preserve"> Carbs
(g)</v>
      </c>
      <c r="F681" s="97" t="str">
        <f>FoodDB!$E$1</f>
        <v>Protein
(g)</v>
      </c>
      <c r="G681" s="97" t="str">
        <f>FoodDB!$F$1</f>
        <v>Fat
(Cal)</v>
      </c>
      <c r="H681" s="97" t="str">
        <f>FoodDB!$G$1</f>
        <v>Carb
(Cal)</v>
      </c>
      <c r="I681" s="97" t="str">
        <f>FoodDB!$H$1</f>
        <v>Protein
(Cal)</v>
      </c>
      <c r="J681" s="97" t="str">
        <f>FoodDB!$I$1</f>
        <v>Total
Calories</v>
      </c>
      <c r="K681" s="97"/>
      <c r="L681" s="97" t="s">
        <v>110</v>
      </c>
      <c r="M681" s="97" t="s">
        <v>111</v>
      </c>
      <c r="N681" s="97" t="s">
        <v>112</v>
      </c>
      <c r="O681" s="97" t="s">
        <v>113</v>
      </c>
      <c r="P681" s="97" t="s">
        <v>118</v>
      </c>
      <c r="Q681" s="97" t="s">
        <v>119</v>
      </c>
      <c r="R681" s="97" t="s">
        <v>120</v>
      </c>
      <c r="S681" s="97" t="s">
        <v>121</v>
      </c>
    </row>
    <row r="682" spans="1:19" x14ac:dyDescent="0.25">
      <c r="A682" s="98">
        <f>A670+1</f>
        <v>43050</v>
      </c>
      <c r="B682" s="99" t="s">
        <v>108</v>
      </c>
      <c r="C682" s="100">
        <v>1</v>
      </c>
      <c r="D682" s="103">
        <f>$C682*VLOOKUP($B682,FoodDB!$A$2:$I$1018,3,0)</f>
        <v>0</v>
      </c>
      <c r="E682" s="103">
        <f>$C682*VLOOKUP($B682,FoodDB!$A$2:$I$1018,4,0)</f>
        <v>0</v>
      </c>
      <c r="F682" s="103">
        <f>$C682*VLOOKUP($B682,FoodDB!$A$2:$I$1018,5,0)</f>
        <v>0</v>
      </c>
      <c r="G682" s="103">
        <f>$C682*VLOOKUP($B682,FoodDB!$A$2:$I$1018,6,0)</f>
        <v>0</v>
      </c>
      <c r="H682" s="103">
        <f>$C682*VLOOKUP($B682,FoodDB!$A$2:$I$1018,7,0)</f>
        <v>0</v>
      </c>
      <c r="I682" s="103">
        <f>$C682*VLOOKUP($B682,FoodDB!$A$2:$I$1018,8,0)</f>
        <v>0</v>
      </c>
      <c r="J682" s="103">
        <f>$C682*VLOOKUP($B682,FoodDB!$A$2:$I$1018,9,0)</f>
        <v>0</v>
      </c>
      <c r="K682" s="103"/>
      <c r="L682" s="103">
        <f>SUM(G682:G688)</f>
        <v>0</v>
      </c>
      <c r="M682" s="103">
        <f>SUM(H682:H688)</f>
        <v>0</v>
      </c>
      <c r="N682" s="103">
        <f>SUM(I682:I688)</f>
        <v>0</v>
      </c>
      <c r="O682" s="103">
        <f>SUM(L682:N682)</f>
        <v>0</v>
      </c>
      <c r="P682" s="103">
        <f>VLOOKUP($A682,LossChart!$A$3:$AB$105,14,0)-L682</f>
        <v>679.5825524710815</v>
      </c>
      <c r="Q682" s="103">
        <f>VLOOKUP($A682,LossChart!$A$3:$AB$105,15,0)-M682</f>
        <v>80</v>
      </c>
      <c r="R682" s="103">
        <f>VLOOKUP($A682,LossChart!$A$3:$AB$105,16,0)-N682</f>
        <v>477.30407413615825</v>
      </c>
      <c r="S682" s="103">
        <f>VLOOKUP($A682,LossChart!$A$3:$AB$105,17,0)-O682</f>
        <v>1236.8866266072398</v>
      </c>
    </row>
    <row r="683" spans="1:19" x14ac:dyDescent="0.25">
      <c r="B683" s="99" t="s">
        <v>108</v>
      </c>
      <c r="C683" s="100">
        <v>1</v>
      </c>
      <c r="D683" s="103">
        <f>$C683*VLOOKUP($B683,FoodDB!$A$2:$I$1018,3,0)</f>
        <v>0</v>
      </c>
      <c r="E683" s="103">
        <f>$C683*VLOOKUP($B683,FoodDB!$A$2:$I$1018,4,0)</f>
        <v>0</v>
      </c>
      <c r="F683" s="103">
        <f>$C683*VLOOKUP($B683,FoodDB!$A$2:$I$1018,5,0)</f>
        <v>0</v>
      </c>
      <c r="G683" s="103">
        <f>$C683*VLOOKUP($B683,FoodDB!$A$2:$I$1018,6,0)</f>
        <v>0</v>
      </c>
      <c r="H683" s="103">
        <f>$C683*VLOOKUP($B683,FoodDB!$A$2:$I$1018,7,0)</f>
        <v>0</v>
      </c>
      <c r="I683" s="103">
        <f>$C683*VLOOKUP($B683,FoodDB!$A$2:$I$1018,8,0)</f>
        <v>0</v>
      </c>
      <c r="J683" s="103">
        <f>$C683*VLOOKUP($B683,FoodDB!$A$2:$I$1018,9,0)</f>
        <v>0</v>
      </c>
      <c r="K683" s="103"/>
      <c r="L683" s="103"/>
      <c r="M683" s="103"/>
      <c r="N683" s="103"/>
      <c r="O683" s="103"/>
      <c r="P683" s="103"/>
      <c r="Q683" s="103"/>
      <c r="R683" s="103"/>
      <c r="S683" s="103"/>
    </row>
    <row r="684" spans="1:19" x14ac:dyDescent="0.25">
      <c r="B684" s="99" t="s">
        <v>108</v>
      </c>
      <c r="C684" s="100">
        <v>1</v>
      </c>
      <c r="D684" s="103">
        <f>$C684*VLOOKUP($B684,FoodDB!$A$2:$I$1018,3,0)</f>
        <v>0</v>
      </c>
      <c r="E684" s="103">
        <f>$C684*VLOOKUP($B684,FoodDB!$A$2:$I$1018,4,0)</f>
        <v>0</v>
      </c>
      <c r="F684" s="103">
        <f>$C684*VLOOKUP($B684,FoodDB!$A$2:$I$1018,5,0)</f>
        <v>0</v>
      </c>
      <c r="G684" s="103">
        <f>$C684*VLOOKUP($B684,FoodDB!$A$2:$I$1018,6,0)</f>
        <v>0</v>
      </c>
      <c r="H684" s="103">
        <f>$C684*VLOOKUP($B684,FoodDB!$A$2:$I$1018,7,0)</f>
        <v>0</v>
      </c>
      <c r="I684" s="103">
        <f>$C684*VLOOKUP($B684,FoodDB!$A$2:$I$1018,8,0)</f>
        <v>0</v>
      </c>
      <c r="J684" s="103">
        <f>$C684*VLOOKUP($B684,FoodDB!$A$2:$I$1018,9,0)</f>
        <v>0</v>
      </c>
      <c r="K684" s="103"/>
      <c r="L684" s="103"/>
      <c r="M684" s="103"/>
      <c r="N684" s="103"/>
      <c r="O684" s="103"/>
      <c r="P684" s="103"/>
      <c r="Q684" s="103"/>
      <c r="R684" s="103"/>
      <c r="S684" s="103"/>
    </row>
    <row r="685" spans="1:19" x14ac:dyDescent="0.25">
      <c r="B685" s="99" t="s">
        <v>108</v>
      </c>
      <c r="C685" s="100">
        <v>1</v>
      </c>
      <c r="D685" s="103">
        <f>$C685*VLOOKUP($B685,FoodDB!$A$2:$I$1018,3,0)</f>
        <v>0</v>
      </c>
      <c r="E685" s="103">
        <f>$C685*VLOOKUP($B685,FoodDB!$A$2:$I$1018,4,0)</f>
        <v>0</v>
      </c>
      <c r="F685" s="103">
        <f>$C685*VLOOKUP($B685,FoodDB!$A$2:$I$1018,5,0)</f>
        <v>0</v>
      </c>
      <c r="G685" s="103">
        <f>$C685*VLOOKUP($B685,FoodDB!$A$2:$I$1018,6,0)</f>
        <v>0</v>
      </c>
      <c r="H685" s="103">
        <f>$C685*VLOOKUP($B685,FoodDB!$A$2:$I$1018,7,0)</f>
        <v>0</v>
      </c>
      <c r="I685" s="103">
        <f>$C685*VLOOKUP($B685,FoodDB!$A$2:$I$1018,8,0)</f>
        <v>0</v>
      </c>
      <c r="J685" s="103">
        <f>$C685*VLOOKUP($B685,FoodDB!$A$2:$I$1018,9,0)</f>
        <v>0</v>
      </c>
      <c r="K685" s="103"/>
      <c r="L685" s="103"/>
      <c r="M685" s="103"/>
      <c r="N685" s="103"/>
      <c r="O685" s="103"/>
      <c r="P685" s="103"/>
      <c r="Q685" s="103"/>
      <c r="R685" s="103"/>
      <c r="S685" s="103"/>
    </row>
    <row r="686" spans="1:19" x14ac:dyDescent="0.25">
      <c r="B686" s="99" t="s">
        <v>108</v>
      </c>
      <c r="C686" s="100">
        <v>1</v>
      </c>
      <c r="D686" s="103">
        <f>$C686*VLOOKUP($B686,FoodDB!$A$2:$I$1018,3,0)</f>
        <v>0</v>
      </c>
      <c r="E686" s="103">
        <f>$C686*VLOOKUP($B686,FoodDB!$A$2:$I$1018,4,0)</f>
        <v>0</v>
      </c>
      <c r="F686" s="103">
        <f>$C686*VLOOKUP($B686,FoodDB!$A$2:$I$1018,5,0)</f>
        <v>0</v>
      </c>
      <c r="G686" s="103">
        <f>$C686*VLOOKUP($B686,FoodDB!$A$2:$I$1018,6,0)</f>
        <v>0</v>
      </c>
      <c r="H686" s="103">
        <f>$C686*VLOOKUP($B686,FoodDB!$A$2:$I$1018,7,0)</f>
        <v>0</v>
      </c>
      <c r="I686" s="103">
        <f>$C686*VLOOKUP($B686,FoodDB!$A$2:$I$1018,8,0)</f>
        <v>0</v>
      </c>
      <c r="J686" s="103">
        <f>$C686*VLOOKUP($B686,FoodDB!$A$2:$I$1018,9,0)</f>
        <v>0</v>
      </c>
      <c r="K686" s="103"/>
      <c r="L686" s="103"/>
      <c r="M686" s="103"/>
      <c r="N686" s="103"/>
      <c r="O686" s="103"/>
      <c r="P686" s="103"/>
      <c r="Q686" s="103"/>
      <c r="R686" s="103"/>
      <c r="S686" s="103"/>
    </row>
    <row r="687" spans="1:19" x14ac:dyDescent="0.25">
      <c r="B687" s="99" t="s">
        <v>108</v>
      </c>
      <c r="C687" s="100">
        <v>1</v>
      </c>
      <c r="D687" s="103">
        <f>$C687*VLOOKUP($B687,FoodDB!$A$2:$I$1018,3,0)</f>
        <v>0</v>
      </c>
      <c r="E687" s="103">
        <f>$C687*VLOOKUP($B687,FoodDB!$A$2:$I$1018,4,0)</f>
        <v>0</v>
      </c>
      <c r="F687" s="103">
        <f>$C687*VLOOKUP($B687,FoodDB!$A$2:$I$1018,5,0)</f>
        <v>0</v>
      </c>
      <c r="G687" s="103">
        <f>$C687*VLOOKUP($B687,FoodDB!$A$2:$I$1018,6,0)</f>
        <v>0</v>
      </c>
      <c r="H687" s="103">
        <f>$C687*VLOOKUP($B687,FoodDB!$A$2:$I$1018,7,0)</f>
        <v>0</v>
      </c>
      <c r="I687" s="103">
        <f>$C687*VLOOKUP($B687,FoodDB!$A$2:$I$1018,8,0)</f>
        <v>0</v>
      </c>
      <c r="J687" s="103">
        <f>$C687*VLOOKUP($B687,FoodDB!$A$2:$I$1018,9,0)</f>
        <v>0</v>
      </c>
      <c r="K687" s="103"/>
      <c r="L687" s="103"/>
      <c r="M687" s="103"/>
      <c r="N687" s="103"/>
      <c r="O687" s="103"/>
      <c r="P687" s="103"/>
      <c r="Q687" s="103"/>
      <c r="R687" s="103"/>
      <c r="S687" s="103"/>
    </row>
    <row r="688" spans="1:19" x14ac:dyDescent="0.25">
      <c r="B688" s="99" t="s">
        <v>108</v>
      </c>
      <c r="C688" s="100">
        <v>1</v>
      </c>
      <c r="D688" s="103">
        <f>$C688*VLOOKUP($B688,FoodDB!$A$2:$I$1018,3,0)</f>
        <v>0</v>
      </c>
      <c r="E688" s="103">
        <f>$C688*VLOOKUP($B688,FoodDB!$A$2:$I$1018,4,0)</f>
        <v>0</v>
      </c>
      <c r="F688" s="103">
        <f>$C688*VLOOKUP($B688,FoodDB!$A$2:$I$1018,5,0)</f>
        <v>0</v>
      </c>
      <c r="G688" s="103">
        <f>$C688*VLOOKUP($B688,FoodDB!$A$2:$I$1018,6,0)</f>
        <v>0</v>
      </c>
      <c r="H688" s="103">
        <f>$C688*VLOOKUP($B688,FoodDB!$A$2:$I$1018,7,0)</f>
        <v>0</v>
      </c>
      <c r="I688" s="103">
        <f>$C688*VLOOKUP($B688,FoodDB!$A$2:$I$1018,8,0)</f>
        <v>0</v>
      </c>
      <c r="J688" s="103">
        <f>$C688*VLOOKUP($B688,FoodDB!$A$2:$I$1018,9,0)</f>
        <v>0</v>
      </c>
      <c r="K688" s="103"/>
      <c r="L688" s="103"/>
      <c r="M688" s="103"/>
      <c r="N688" s="103"/>
      <c r="O688" s="103"/>
      <c r="P688" s="103"/>
      <c r="Q688" s="103"/>
      <c r="R688" s="103"/>
      <c r="S688" s="103"/>
    </row>
    <row r="689" spans="1:19" x14ac:dyDescent="0.25">
      <c r="A689" t="s">
        <v>98</v>
      </c>
      <c r="D689" s="103"/>
      <c r="E689" s="103"/>
      <c r="F689" s="103"/>
      <c r="G689" s="103">
        <f>SUM(G682:G688)</f>
        <v>0</v>
      </c>
      <c r="H689" s="103">
        <f>SUM(H682:H688)</f>
        <v>0</v>
      </c>
      <c r="I689" s="103">
        <f>SUM(I682:I688)</f>
        <v>0</v>
      </c>
      <c r="J689" s="103">
        <f>SUM(G689:I689)</f>
        <v>0</v>
      </c>
      <c r="K689" s="103"/>
      <c r="L689" s="103"/>
      <c r="M689" s="103"/>
      <c r="N689" s="103"/>
      <c r="O689" s="103"/>
      <c r="P689" s="103"/>
      <c r="Q689" s="103"/>
      <c r="R689" s="103"/>
      <c r="S689" s="103"/>
    </row>
    <row r="690" spans="1:19" x14ac:dyDescent="0.25">
      <c r="A690" t="s">
        <v>102</v>
      </c>
      <c r="B690" t="s">
        <v>103</v>
      </c>
      <c r="D690" s="103"/>
      <c r="E690" s="103"/>
      <c r="F690" s="103"/>
      <c r="G690" s="103">
        <f>VLOOKUP($A682,LossChart!$A$3:$AB$105,14,0)</f>
        <v>679.5825524710815</v>
      </c>
      <c r="H690" s="103">
        <f>VLOOKUP($A682,LossChart!$A$3:$AB$105,15,0)</f>
        <v>80</v>
      </c>
      <c r="I690" s="103">
        <f>VLOOKUP($A682,LossChart!$A$3:$AB$105,16,0)</f>
        <v>477.30407413615825</v>
      </c>
      <c r="J690" s="103">
        <f>VLOOKUP($A682,LossChart!$A$3:$AB$105,17,0)</f>
        <v>1236.8866266072398</v>
      </c>
      <c r="K690" s="103"/>
      <c r="L690" s="103"/>
      <c r="M690" s="103"/>
      <c r="N690" s="103"/>
      <c r="O690" s="103"/>
      <c r="P690" s="103"/>
      <c r="Q690" s="103"/>
      <c r="R690" s="103"/>
      <c r="S690" s="103"/>
    </row>
    <row r="691" spans="1:19" x14ac:dyDescent="0.25">
      <c r="A691" t="s">
        <v>104</v>
      </c>
      <c r="D691" s="103"/>
      <c r="E691" s="103"/>
      <c r="F691" s="103"/>
      <c r="G691" s="103">
        <f>G690-G689</f>
        <v>679.5825524710815</v>
      </c>
      <c r="H691" s="103">
        <f>H690-H689</f>
        <v>80</v>
      </c>
      <c r="I691" s="103">
        <f>I690-I689</f>
        <v>477.30407413615825</v>
      </c>
      <c r="J691" s="103">
        <f>J690-J689</f>
        <v>1236.8866266072398</v>
      </c>
      <c r="K691" s="103"/>
      <c r="L691" s="103"/>
      <c r="M691" s="103"/>
      <c r="N691" s="103"/>
      <c r="O691" s="103"/>
      <c r="P691" s="103"/>
      <c r="Q691" s="103"/>
      <c r="R691" s="103"/>
      <c r="S691" s="103"/>
    </row>
    <row r="693" spans="1:19" ht="60" x14ac:dyDescent="0.25">
      <c r="A693" s="26" t="s">
        <v>63</v>
      </c>
      <c r="B693" s="26" t="s">
        <v>93</v>
      </c>
      <c r="C693" s="26" t="s">
        <v>94</v>
      </c>
      <c r="D693" s="97" t="str">
        <f>FoodDB!$C$1</f>
        <v>Fat
(g)</v>
      </c>
      <c r="E693" s="97" t="str">
        <f>FoodDB!$D$1</f>
        <v xml:space="preserve"> Carbs
(g)</v>
      </c>
      <c r="F693" s="97" t="str">
        <f>FoodDB!$E$1</f>
        <v>Protein
(g)</v>
      </c>
      <c r="G693" s="97" t="str">
        <f>FoodDB!$F$1</f>
        <v>Fat
(Cal)</v>
      </c>
      <c r="H693" s="97" t="str">
        <f>FoodDB!$G$1</f>
        <v>Carb
(Cal)</v>
      </c>
      <c r="I693" s="97" t="str">
        <f>FoodDB!$H$1</f>
        <v>Protein
(Cal)</v>
      </c>
      <c r="J693" s="97" t="str">
        <f>FoodDB!$I$1</f>
        <v>Total
Calories</v>
      </c>
      <c r="K693" s="97"/>
      <c r="L693" s="97" t="s">
        <v>110</v>
      </c>
      <c r="M693" s="97" t="s">
        <v>111</v>
      </c>
      <c r="N693" s="97" t="s">
        <v>112</v>
      </c>
      <c r="O693" s="97" t="s">
        <v>113</v>
      </c>
      <c r="P693" s="97" t="s">
        <v>118</v>
      </c>
      <c r="Q693" s="97" t="s">
        <v>119</v>
      </c>
      <c r="R693" s="97" t="s">
        <v>120</v>
      </c>
      <c r="S693" s="97" t="s">
        <v>121</v>
      </c>
    </row>
    <row r="694" spans="1:19" x14ac:dyDescent="0.25">
      <c r="A694" s="98">
        <f>A682+1</f>
        <v>43051</v>
      </c>
      <c r="B694" s="99" t="s">
        <v>108</v>
      </c>
      <c r="C694" s="100">
        <v>1</v>
      </c>
      <c r="D694" s="103">
        <f>$C694*VLOOKUP($B694,FoodDB!$A$2:$I$1018,3,0)</f>
        <v>0</v>
      </c>
      <c r="E694" s="103">
        <f>$C694*VLOOKUP($B694,FoodDB!$A$2:$I$1018,4,0)</f>
        <v>0</v>
      </c>
      <c r="F694" s="103">
        <f>$C694*VLOOKUP($B694,FoodDB!$A$2:$I$1018,5,0)</f>
        <v>0</v>
      </c>
      <c r="G694" s="103">
        <f>$C694*VLOOKUP($B694,FoodDB!$A$2:$I$1018,6,0)</f>
        <v>0</v>
      </c>
      <c r="H694" s="103">
        <f>$C694*VLOOKUP($B694,FoodDB!$A$2:$I$1018,7,0)</f>
        <v>0</v>
      </c>
      <c r="I694" s="103">
        <f>$C694*VLOOKUP($B694,FoodDB!$A$2:$I$1018,8,0)</f>
        <v>0</v>
      </c>
      <c r="J694" s="103">
        <f>$C694*VLOOKUP($B694,FoodDB!$A$2:$I$1018,9,0)</f>
        <v>0</v>
      </c>
      <c r="K694" s="103"/>
      <c r="L694" s="103">
        <f>SUM(G694:G700)</f>
        <v>0</v>
      </c>
      <c r="M694" s="103">
        <f>SUM(H694:H700)</f>
        <v>0</v>
      </c>
      <c r="N694" s="103">
        <f>SUM(I694:I700)</f>
        <v>0</v>
      </c>
      <c r="O694" s="103">
        <f>SUM(L694:N694)</f>
        <v>0</v>
      </c>
      <c r="P694" s="103">
        <f>VLOOKUP($A694,LossChart!$A$3:$AB$105,14,0)-L694</f>
        <v>685.06584021555182</v>
      </c>
      <c r="Q694" s="103">
        <f>VLOOKUP($A694,LossChart!$A$3:$AB$105,15,0)-M694</f>
        <v>80</v>
      </c>
      <c r="R694" s="103">
        <f>VLOOKUP($A694,LossChart!$A$3:$AB$105,16,0)-N694</f>
        <v>477.30407413615825</v>
      </c>
      <c r="S694" s="103">
        <f>VLOOKUP($A694,LossChart!$A$3:$AB$105,17,0)-O694</f>
        <v>1242.3699143517101</v>
      </c>
    </row>
    <row r="695" spans="1:19" x14ac:dyDescent="0.25">
      <c r="B695" s="99" t="s">
        <v>108</v>
      </c>
      <c r="C695" s="100">
        <v>1</v>
      </c>
      <c r="D695" s="103">
        <f>$C695*VLOOKUP($B695,FoodDB!$A$2:$I$1018,3,0)</f>
        <v>0</v>
      </c>
      <c r="E695" s="103">
        <f>$C695*VLOOKUP($B695,FoodDB!$A$2:$I$1018,4,0)</f>
        <v>0</v>
      </c>
      <c r="F695" s="103">
        <f>$C695*VLOOKUP($B695,FoodDB!$A$2:$I$1018,5,0)</f>
        <v>0</v>
      </c>
      <c r="G695" s="103">
        <f>$C695*VLOOKUP($B695,FoodDB!$A$2:$I$1018,6,0)</f>
        <v>0</v>
      </c>
      <c r="H695" s="103">
        <f>$C695*VLOOKUP($B695,FoodDB!$A$2:$I$1018,7,0)</f>
        <v>0</v>
      </c>
      <c r="I695" s="103">
        <f>$C695*VLOOKUP($B695,FoodDB!$A$2:$I$1018,8,0)</f>
        <v>0</v>
      </c>
      <c r="J695" s="103">
        <f>$C695*VLOOKUP($B695,FoodDB!$A$2:$I$1018,9,0)</f>
        <v>0</v>
      </c>
      <c r="K695" s="103"/>
      <c r="L695" s="103"/>
      <c r="M695" s="103"/>
      <c r="N695" s="103"/>
      <c r="O695" s="103"/>
      <c r="P695" s="103"/>
      <c r="Q695" s="103"/>
      <c r="R695" s="103"/>
      <c r="S695" s="103"/>
    </row>
    <row r="696" spans="1:19" x14ac:dyDescent="0.25">
      <c r="B696" s="99" t="s">
        <v>108</v>
      </c>
      <c r="C696" s="100">
        <v>1</v>
      </c>
      <c r="D696" s="103">
        <f>$C696*VLOOKUP($B696,FoodDB!$A$2:$I$1018,3,0)</f>
        <v>0</v>
      </c>
      <c r="E696" s="103">
        <f>$C696*VLOOKUP($B696,FoodDB!$A$2:$I$1018,4,0)</f>
        <v>0</v>
      </c>
      <c r="F696" s="103">
        <f>$C696*VLOOKUP($B696,FoodDB!$A$2:$I$1018,5,0)</f>
        <v>0</v>
      </c>
      <c r="G696" s="103">
        <f>$C696*VLOOKUP($B696,FoodDB!$A$2:$I$1018,6,0)</f>
        <v>0</v>
      </c>
      <c r="H696" s="103">
        <f>$C696*VLOOKUP($B696,FoodDB!$A$2:$I$1018,7,0)</f>
        <v>0</v>
      </c>
      <c r="I696" s="103">
        <f>$C696*VLOOKUP($B696,FoodDB!$A$2:$I$1018,8,0)</f>
        <v>0</v>
      </c>
      <c r="J696" s="103">
        <f>$C696*VLOOKUP($B696,FoodDB!$A$2:$I$1018,9,0)</f>
        <v>0</v>
      </c>
      <c r="K696" s="103"/>
      <c r="L696" s="103"/>
      <c r="M696" s="103"/>
      <c r="N696" s="103"/>
      <c r="O696" s="103"/>
      <c r="P696" s="103"/>
      <c r="Q696" s="103"/>
      <c r="R696" s="103"/>
      <c r="S696" s="103"/>
    </row>
    <row r="697" spans="1:19" x14ac:dyDescent="0.25">
      <c r="B697" s="99" t="s">
        <v>108</v>
      </c>
      <c r="C697" s="100">
        <v>1</v>
      </c>
      <c r="D697" s="103">
        <f>$C697*VLOOKUP($B697,FoodDB!$A$2:$I$1018,3,0)</f>
        <v>0</v>
      </c>
      <c r="E697" s="103">
        <f>$C697*VLOOKUP($B697,FoodDB!$A$2:$I$1018,4,0)</f>
        <v>0</v>
      </c>
      <c r="F697" s="103">
        <f>$C697*VLOOKUP($B697,FoodDB!$A$2:$I$1018,5,0)</f>
        <v>0</v>
      </c>
      <c r="G697" s="103">
        <f>$C697*VLOOKUP($B697,FoodDB!$A$2:$I$1018,6,0)</f>
        <v>0</v>
      </c>
      <c r="H697" s="103">
        <f>$C697*VLOOKUP($B697,FoodDB!$A$2:$I$1018,7,0)</f>
        <v>0</v>
      </c>
      <c r="I697" s="103">
        <f>$C697*VLOOKUP($B697,FoodDB!$A$2:$I$1018,8,0)</f>
        <v>0</v>
      </c>
      <c r="J697" s="103">
        <f>$C697*VLOOKUP($B697,FoodDB!$A$2:$I$1018,9,0)</f>
        <v>0</v>
      </c>
      <c r="K697" s="103"/>
      <c r="L697" s="103"/>
      <c r="M697" s="103"/>
      <c r="N697" s="103"/>
      <c r="O697" s="103"/>
      <c r="P697" s="103"/>
      <c r="Q697" s="103"/>
      <c r="R697" s="103"/>
      <c r="S697" s="103"/>
    </row>
    <row r="698" spans="1:19" x14ac:dyDescent="0.25">
      <c r="B698" s="99" t="s">
        <v>108</v>
      </c>
      <c r="C698" s="100">
        <v>1</v>
      </c>
      <c r="D698" s="103">
        <f>$C698*VLOOKUP($B698,FoodDB!$A$2:$I$1018,3,0)</f>
        <v>0</v>
      </c>
      <c r="E698" s="103">
        <f>$C698*VLOOKUP($B698,FoodDB!$A$2:$I$1018,4,0)</f>
        <v>0</v>
      </c>
      <c r="F698" s="103">
        <f>$C698*VLOOKUP($B698,FoodDB!$A$2:$I$1018,5,0)</f>
        <v>0</v>
      </c>
      <c r="G698" s="103">
        <f>$C698*VLOOKUP($B698,FoodDB!$A$2:$I$1018,6,0)</f>
        <v>0</v>
      </c>
      <c r="H698" s="103">
        <f>$C698*VLOOKUP($B698,FoodDB!$A$2:$I$1018,7,0)</f>
        <v>0</v>
      </c>
      <c r="I698" s="103">
        <f>$C698*VLOOKUP($B698,FoodDB!$A$2:$I$1018,8,0)</f>
        <v>0</v>
      </c>
      <c r="J698" s="103">
        <f>$C698*VLOOKUP($B698,FoodDB!$A$2:$I$1018,9,0)</f>
        <v>0</v>
      </c>
      <c r="K698" s="103"/>
      <c r="L698" s="103"/>
      <c r="M698" s="103"/>
      <c r="N698" s="103"/>
      <c r="O698" s="103"/>
      <c r="P698" s="103"/>
      <c r="Q698" s="103"/>
      <c r="R698" s="103"/>
      <c r="S698" s="103"/>
    </row>
    <row r="699" spans="1:19" x14ac:dyDescent="0.25">
      <c r="B699" s="99" t="s">
        <v>108</v>
      </c>
      <c r="C699" s="100">
        <v>1</v>
      </c>
      <c r="D699" s="103">
        <f>$C699*VLOOKUP($B699,FoodDB!$A$2:$I$1018,3,0)</f>
        <v>0</v>
      </c>
      <c r="E699" s="103">
        <f>$C699*VLOOKUP($B699,FoodDB!$A$2:$I$1018,4,0)</f>
        <v>0</v>
      </c>
      <c r="F699" s="103">
        <f>$C699*VLOOKUP($B699,FoodDB!$A$2:$I$1018,5,0)</f>
        <v>0</v>
      </c>
      <c r="G699" s="103">
        <f>$C699*VLOOKUP($B699,FoodDB!$A$2:$I$1018,6,0)</f>
        <v>0</v>
      </c>
      <c r="H699" s="103">
        <f>$C699*VLOOKUP($B699,FoodDB!$A$2:$I$1018,7,0)</f>
        <v>0</v>
      </c>
      <c r="I699" s="103">
        <f>$C699*VLOOKUP($B699,FoodDB!$A$2:$I$1018,8,0)</f>
        <v>0</v>
      </c>
      <c r="J699" s="103">
        <f>$C699*VLOOKUP($B699,FoodDB!$A$2:$I$1018,9,0)</f>
        <v>0</v>
      </c>
      <c r="K699" s="103"/>
      <c r="L699" s="103"/>
      <c r="M699" s="103"/>
      <c r="N699" s="103"/>
      <c r="O699" s="103"/>
      <c r="P699" s="103"/>
      <c r="Q699" s="103"/>
      <c r="R699" s="103"/>
      <c r="S699" s="103"/>
    </row>
    <row r="700" spans="1:19" x14ac:dyDescent="0.25">
      <c r="B700" s="99" t="s">
        <v>108</v>
      </c>
      <c r="C700" s="100">
        <v>1</v>
      </c>
      <c r="D700" s="103">
        <f>$C700*VLOOKUP($B700,FoodDB!$A$2:$I$1018,3,0)</f>
        <v>0</v>
      </c>
      <c r="E700" s="103">
        <f>$C700*VLOOKUP($B700,FoodDB!$A$2:$I$1018,4,0)</f>
        <v>0</v>
      </c>
      <c r="F700" s="103">
        <f>$C700*VLOOKUP($B700,FoodDB!$A$2:$I$1018,5,0)</f>
        <v>0</v>
      </c>
      <c r="G700" s="103">
        <f>$C700*VLOOKUP($B700,FoodDB!$A$2:$I$1018,6,0)</f>
        <v>0</v>
      </c>
      <c r="H700" s="103">
        <f>$C700*VLOOKUP($B700,FoodDB!$A$2:$I$1018,7,0)</f>
        <v>0</v>
      </c>
      <c r="I700" s="103">
        <f>$C700*VLOOKUP($B700,FoodDB!$A$2:$I$1018,8,0)</f>
        <v>0</v>
      </c>
      <c r="J700" s="103">
        <f>$C700*VLOOKUP($B700,FoodDB!$A$2:$I$1018,9,0)</f>
        <v>0</v>
      </c>
      <c r="K700" s="103"/>
      <c r="L700" s="103"/>
      <c r="M700" s="103"/>
      <c r="N700" s="103"/>
      <c r="O700" s="103"/>
      <c r="P700" s="103"/>
      <c r="Q700" s="103"/>
      <c r="R700" s="103"/>
      <c r="S700" s="103"/>
    </row>
    <row r="701" spans="1:19" x14ac:dyDescent="0.25">
      <c r="A701" t="s">
        <v>98</v>
      </c>
      <c r="D701" s="103"/>
      <c r="E701" s="103"/>
      <c r="F701" s="103"/>
      <c r="G701" s="103">
        <f>SUM(G694:G700)</f>
        <v>0</v>
      </c>
      <c r="H701" s="103">
        <f>SUM(H694:H700)</f>
        <v>0</v>
      </c>
      <c r="I701" s="103">
        <f>SUM(I694:I700)</f>
        <v>0</v>
      </c>
      <c r="J701" s="103">
        <f>SUM(G701:I701)</f>
        <v>0</v>
      </c>
      <c r="K701" s="103"/>
      <c r="L701" s="103"/>
      <c r="M701" s="103"/>
      <c r="N701" s="103"/>
      <c r="O701" s="103"/>
      <c r="P701" s="103"/>
      <c r="Q701" s="103"/>
      <c r="R701" s="103"/>
      <c r="S701" s="103"/>
    </row>
    <row r="702" spans="1:19" x14ac:dyDescent="0.25">
      <c r="A702" t="s">
        <v>102</v>
      </c>
      <c r="B702" t="s">
        <v>103</v>
      </c>
      <c r="D702" s="103"/>
      <c r="E702" s="103"/>
      <c r="F702" s="103"/>
      <c r="G702" s="103">
        <f>VLOOKUP($A694,LossChart!$A$3:$AB$105,14,0)</f>
        <v>685.06584021555182</v>
      </c>
      <c r="H702" s="103">
        <f>VLOOKUP($A694,LossChart!$A$3:$AB$105,15,0)</f>
        <v>80</v>
      </c>
      <c r="I702" s="103">
        <f>VLOOKUP($A694,LossChart!$A$3:$AB$105,16,0)</f>
        <v>477.30407413615825</v>
      </c>
      <c r="J702" s="103">
        <f>VLOOKUP($A694,LossChart!$A$3:$AB$105,17,0)</f>
        <v>1242.3699143517101</v>
      </c>
      <c r="K702" s="103"/>
      <c r="L702" s="103"/>
      <c r="M702" s="103"/>
      <c r="N702" s="103"/>
      <c r="O702" s="103"/>
      <c r="P702" s="103"/>
      <c r="Q702" s="103"/>
      <c r="R702" s="103"/>
      <c r="S702" s="103"/>
    </row>
    <row r="703" spans="1:19" x14ac:dyDescent="0.25">
      <c r="A703" t="s">
        <v>104</v>
      </c>
      <c r="D703" s="103"/>
      <c r="E703" s="103"/>
      <c r="F703" s="103"/>
      <c r="G703" s="103">
        <f>G702-G701</f>
        <v>685.06584021555182</v>
      </c>
      <c r="H703" s="103">
        <f>H702-H701</f>
        <v>80</v>
      </c>
      <c r="I703" s="103">
        <f>I702-I701</f>
        <v>477.30407413615825</v>
      </c>
      <c r="J703" s="103">
        <f>J702-J701</f>
        <v>1242.3699143517101</v>
      </c>
      <c r="K703" s="103"/>
      <c r="L703" s="103"/>
      <c r="M703" s="103"/>
      <c r="N703" s="103"/>
      <c r="O703" s="103"/>
      <c r="P703" s="103"/>
      <c r="Q703" s="103"/>
      <c r="R703" s="103"/>
      <c r="S703" s="103"/>
    </row>
    <row r="705" spans="1:19" ht="60" x14ac:dyDescent="0.25">
      <c r="A705" s="26" t="s">
        <v>63</v>
      </c>
      <c r="B705" s="26" t="s">
        <v>93</v>
      </c>
      <c r="C705" s="26" t="s">
        <v>94</v>
      </c>
      <c r="D705" s="97" t="str">
        <f>FoodDB!$C$1</f>
        <v>Fat
(g)</v>
      </c>
      <c r="E705" s="97" t="str">
        <f>FoodDB!$D$1</f>
        <v xml:space="preserve"> Carbs
(g)</v>
      </c>
      <c r="F705" s="97" t="str">
        <f>FoodDB!$E$1</f>
        <v>Protein
(g)</v>
      </c>
      <c r="G705" s="97" t="str">
        <f>FoodDB!$F$1</f>
        <v>Fat
(Cal)</v>
      </c>
      <c r="H705" s="97" t="str">
        <f>FoodDB!$G$1</f>
        <v>Carb
(Cal)</v>
      </c>
      <c r="I705" s="97" t="str">
        <f>FoodDB!$H$1</f>
        <v>Protein
(Cal)</v>
      </c>
      <c r="J705" s="97" t="str">
        <f>FoodDB!$I$1</f>
        <v>Total
Calories</v>
      </c>
      <c r="K705" s="97"/>
      <c r="L705" s="97" t="s">
        <v>110</v>
      </c>
      <c r="M705" s="97" t="s">
        <v>111</v>
      </c>
      <c r="N705" s="97" t="s">
        <v>112</v>
      </c>
      <c r="O705" s="97" t="s">
        <v>113</v>
      </c>
      <c r="P705" s="97" t="s">
        <v>118</v>
      </c>
      <c r="Q705" s="97" t="s">
        <v>119</v>
      </c>
      <c r="R705" s="97" t="s">
        <v>120</v>
      </c>
      <c r="S705" s="97" t="s">
        <v>121</v>
      </c>
    </row>
    <row r="706" spans="1:19" x14ac:dyDescent="0.25">
      <c r="A706" s="98">
        <f>A694+1</f>
        <v>43052</v>
      </c>
      <c r="B706" s="99" t="s">
        <v>108</v>
      </c>
      <c r="C706" s="100">
        <v>1</v>
      </c>
      <c r="D706" s="103">
        <f>$C706*VLOOKUP($B706,FoodDB!$A$2:$I$1018,3,0)</f>
        <v>0</v>
      </c>
      <c r="E706" s="103">
        <f>$C706*VLOOKUP($B706,FoodDB!$A$2:$I$1018,4,0)</f>
        <v>0</v>
      </c>
      <c r="F706" s="103">
        <f>$C706*VLOOKUP($B706,FoodDB!$A$2:$I$1018,5,0)</f>
        <v>0</v>
      </c>
      <c r="G706" s="103">
        <f>$C706*VLOOKUP($B706,FoodDB!$A$2:$I$1018,6,0)</f>
        <v>0</v>
      </c>
      <c r="H706" s="103">
        <f>$C706*VLOOKUP($B706,FoodDB!$A$2:$I$1018,7,0)</f>
        <v>0</v>
      </c>
      <c r="I706" s="103">
        <f>$C706*VLOOKUP($B706,FoodDB!$A$2:$I$1018,8,0)</f>
        <v>0</v>
      </c>
      <c r="J706" s="103">
        <f>$C706*VLOOKUP($B706,FoodDB!$A$2:$I$1018,9,0)</f>
        <v>0</v>
      </c>
      <c r="K706" s="103"/>
      <c r="L706" s="103">
        <f>SUM(G706:G712)</f>
        <v>0</v>
      </c>
      <c r="M706" s="103">
        <f>SUM(H706:H712)</f>
        <v>0</v>
      </c>
      <c r="N706" s="103">
        <f>SUM(I706:I712)</f>
        <v>0</v>
      </c>
      <c r="O706" s="103">
        <f>SUM(L706:N706)</f>
        <v>0</v>
      </c>
      <c r="P706" s="103">
        <f>VLOOKUP($A706,LossChart!$A$3:$AB$105,14,0)-L706</f>
        <v>690.50056169714298</v>
      </c>
      <c r="Q706" s="103">
        <f>VLOOKUP($A706,LossChart!$A$3:$AB$105,15,0)-M706</f>
        <v>80</v>
      </c>
      <c r="R706" s="103">
        <f>VLOOKUP($A706,LossChart!$A$3:$AB$105,16,0)-N706</f>
        <v>477.30407413615825</v>
      </c>
      <c r="S706" s="103">
        <f>VLOOKUP($A706,LossChart!$A$3:$AB$105,17,0)-O706</f>
        <v>1247.8046358333013</v>
      </c>
    </row>
    <row r="707" spans="1:19" x14ac:dyDescent="0.25">
      <c r="B707" s="99" t="s">
        <v>108</v>
      </c>
      <c r="C707" s="100">
        <v>1</v>
      </c>
      <c r="D707" s="103">
        <f>$C707*VLOOKUP($B707,FoodDB!$A$2:$I$1018,3,0)</f>
        <v>0</v>
      </c>
      <c r="E707" s="103">
        <f>$C707*VLOOKUP($B707,FoodDB!$A$2:$I$1018,4,0)</f>
        <v>0</v>
      </c>
      <c r="F707" s="103">
        <f>$C707*VLOOKUP($B707,FoodDB!$A$2:$I$1018,5,0)</f>
        <v>0</v>
      </c>
      <c r="G707" s="103">
        <f>$C707*VLOOKUP($B707,FoodDB!$A$2:$I$1018,6,0)</f>
        <v>0</v>
      </c>
      <c r="H707" s="103">
        <f>$C707*VLOOKUP($B707,FoodDB!$A$2:$I$1018,7,0)</f>
        <v>0</v>
      </c>
      <c r="I707" s="103">
        <f>$C707*VLOOKUP($B707,FoodDB!$A$2:$I$1018,8,0)</f>
        <v>0</v>
      </c>
      <c r="J707" s="103">
        <f>$C707*VLOOKUP($B707,FoodDB!$A$2:$I$1018,9,0)</f>
        <v>0</v>
      </c>
      <c r="K707" s="103"/>
      <c r="L707" s="103"/>
      <c r="M707" s="103"/>
      <c r="N707" s="103"/>
      <c r="O707" s="103"/>
      <c r="P707" s="103"/>
      <c r="Q707" s="103"/>
      <c r="R707" s="103"/>
      <c r="S707" s="103"/>
    </row>
    <row r="708" spans="1:19" x14ac:dyDescent="0.25">
      <c r="B708" s="99" t="s">
        <v>108</v>
      </c>
      <c r="C708" s="100">
        <v>1</v>
      </c>
      <c r="D708" s="103">
        <f>$C708*VLOOKUP($B708,FoodDB!$A$2:$I$1018,3,0)</f>
        <v>0</v>
      </c>
      <c r="E708" s="103">
        <f>$C708*VLOOKUP($B708,FoodDB!$A$2:$I$1018,4,0)</f>
        <v>0</v>
      </c>
      <c r="F708" s="103">
        <f>$C708*VLOOKUP($B708,FoodDB!$A$2:$I$1018,5,0)</f>
        <v>0</v>
      </c>
      <c r="G708" s="103">
        <f>$C708*VLOOKUP($B708,FoodDB!$A$2:$I$1018,6,0)</f>
        <v>0</v>
      </c>
      <c r="H708" s="103">
        <f>$C708*VLOOKUP($B708,FoodDB!$A$2:$I$1018,7,0)</f>
        <v>0</v>
      </c>
      <c r="I708" s="103">
        <f>$C708*VLOOKUP($B708,FoodDB!$A$2:$I$1018,8,0)</f>
        <v>0</v>
      </c>
      <c r="J708" s="103">
        <f>$C708*VLOOKUP($B708,FoodDB!$A$2:$I$1018,9,0)</f>
        <v>0</v>
      </c>
      <c r="K708" s="103"/>
      <c r="L708" s="103"/>
      <c r="M708" s="103"/>
      <c r="N708" s="103"/>
      <c r="O708" s="103"/>
      <c r="P708" s="103"/>
      <c r="Q708" s="103"/>
      <c r="R708" s="103"/>
      <c r="S708" s="103"/>
    </row>
    <row r="709" spans="1:19" x14ac:dyDescent="0.25">
      <c r="B709" s="99" t="s">
        <v>108</v>
      </c>
      <c r="C709" s="100">
        <v>1</v>
      </c>
      <c r="D709" s="103">
        <f>$C709*VLOOKUP($B709,FoodDB!$A$2:$I$1018,3,0)</f>
        <v>0</v>
      </c>
      <c r="E709" s="103">
        <f>$C709*VLOOKUP($B709,FoodDB!$A$2:$I$1018,4,0)</f>
        <v>0</v>
      </c>
      <c r="F709" s="103">
        <f>$C709*VLOOKUP($B709,FoodDB!$A$2:$I$1018,5,0)</f>
        <v>0</v>
      </c>
      <c r="G709" s="103">
        <f>$C709*VLOOKUP($B709,FoodDB!$A$2:$I$1018,6,0)</f>
        <v>0</v>
      </c>
      <c r="H709" s="103">
        <f>$C709*VLOOKUP($B709,FoodDB!$A$2:$I$1018,7,0)</f>
        <v>0</v>
      </c>
      <c r="I709" s="103">
        <f>$C709*VLOOKUP($B709,FoodDB!$A$2:$I$1018,8,0)</f>
        <v>0</v>
      </c>
      <c r="J709" s="103">
        <f>$C709*VLOOKUP($B709,FoodDB!$A$2:$I$1018,9,0)</f>
        <v>0</v>
      </c>
      <c r="K709" s="103"/>
      <c r="L709" s="103"/>
      <c r="M709" s="103"/>
      <c r="N709" s="103"/>
      <c r="O709" s="103"/>
      <c r="P709" s="103"/>
      <c r="Q709" s="103"/>
      <c r="R709" s="103"/>
      <c r="S709" s="103"/>
    </row>
    <row r="710" spans="1:19" x14ac:dyDescent="0.25">
      <c r="B710" s="99" t="s">
        <v>108</v>
      </c>
      <c r="C710" s="100">
        <v>1</v>
      </c>
      <c r="D710" s="103">
        <f>$C710*VLOOKUP($B710,FoodDB!$A$2:$I$1018,3,0)</f>
        <v>0</v>
      </c>
      <c r="E710" s="103">
        <f>$C710*VLOOKUP($B710,FoodDB!$A$2:$I$1018,4,0)</f>
        <v>0</v>
      </c>
      <c r="F710" s="103">
        <f>$C710*VLOOKUP($B710,FoodDB!$A$2:$I$1018,5,0)</f>
        <v>0</v>
      </c>
      <c r="G710" s="103">
        <f>$C710*VLOOKUP($B710,FoodDB!$A$2:$I$1018,6,0)</f>
        <v>0</v>
      </c>
      <c r="H710" s="103">
        <f>$C710*VLOOKUP($B710,FoodDB!$A$2:$I$1018,7,0)</f>
        <v>0</v>
      </c>
      <c r="I710" s="103">
        <f>$C710*VLOOKUP($B710,FoodDB!$A$2:$I$1018,8,0)</f>
        <v>0</v>
      </c>
      <c r="J710" s="103">
        <f>$C710*VLOOKUP($B710,FoodDB!$A$2:$I$1018,9,0)</f>
        <v>0</v>
      </c>
      <c r="K710" s="103"/>
      <c r="L710" s="103"/>
      <c r="M710" s="103"/>
      <c r="N710" s="103"/>
      <c r="O710" s="103"/>
      <c r="P710" s="103"/>
      <c r="Q710" s="103"/>
      <c r="R710" s="103"/>
      <c r="S710" s="103"/>
    </row>
    <row r="711" spans="1:19" x14ac:dyDescent="0.25">
      <c r="B711" s="99" t="s">
        <v>108</v>
      </c>
      <c r="C711" s="100">
        <v>1</v>
      </c>
      <c r="D711" s="103">
        <f>$C711*VLOOKUP($B711,FoodDB!$A$2:$I$1018,3,0)</f>
        <v>0</v>
      </c>
      <c r="E711" s="103">
        <f>$C711*VLOOKUP($B711,FoodDB!$A$2:$I$1018,4,0)</f>
        <v>0</v>
      </c>
      <c r="F711" s="103">
        <f>$C711*VLOOKUP($B711,FoodDB!$A$2:$I$1018,5,0)</f>
        <v>0</v>
      </c>
      <c r="G711" s="103">
        <f>$C711*VLOOKUP($B711,FoodDB!$A$2:$I$1018,6,0)</f>
        <v>0</v>
      </c>
      <c r="H711" s="103">
        <f>$C711*VLOOKUP($B711,FoodDB!$A$2:$I$1018,7,0)</f>
        <v>0</v>
      </c>
      <c r="I711" s="103">
        <f>$C711*VLOOKUP($B711,FoodDB!$A$2:$I$1018,8,0)</f>
        <v>0</v>
      </c>
      <c r="J711" s="103">
        <f>$C711*VLOOKUP($B711,FoodDB!$A$2:$I$1018,9,0)</f>
        <v>0</v>
      </c>
      <c r="K711" s="103"/>
      <c r="L711" s="103"/>
      <c r="M711" s="103"/>
      <c r="N711" s="103"/>
      <c r="O711" s="103"/>
      <c r="P711" s="103"/>
      <c r="Q711" s="103"/>
      <c r="R711" s="103"/>
      <c r="S711" s="103"/>
    </row>
    <row r="712" spans="1:19" x14ac:dyDescent="0.25">
      <c r="B712" s="99" t="s">
        <v>108</v>
      </c>
      <c r="C712" s="100">
        <v>1</v>
      </c>
      <c r="D712" s="103">
        <f>$C712*VLOOKUP($B712,FoodDB!$A$2:$I$1018,3,0)</f>
        <v>0</v>
      </c>
      <c r="E712" s="103">
        <f>$C712*VLOOKUP($B712,FoodDB!$A$2:$I$1018,4,0)</f>
        <v>0</v>
      </c>
      <c r="F712" s="103">
        <f>$C712*VLOOKUP($B712,FoodDB!$A$2:$I$1018,5,0)</f>
        <v>0</v>
      </c>
      <c r="G712" s="103">
        <f>$C712*VLOOKUP($B712,FoodDB!$A$2:$I$1018,6,0)</f>
        <v>0</v>
      </c>
      <c r="H712" s="103">
        <f>$C712*VLOOKUP($B712,FoodDB!$A$2:$I$1018,7,0)</f>
        <v>0</v>
      </c>
      <c r="I712" s="103">
        <f>$C712*VLOOKUP($B712,FoodDB!$A$2:$I$1018,8,0)</f>
        <v>0</v>
      </c>
      <c r="J712" s="103">
        <f>$C712*VLOOKUP($B712,FoodDB!$A$2:$I$1018,9,0)</f>
        <v>0</v>
      </c>
      <c r="K712" s="103"/>
      <c r="L712" s="103"/>
      <c r="M712" s="103"/>
      <c r="N712" s="103"/>
      <c r="O712" s="103"/>
      <c r="P712" s="103"/>
      <c r="Q712" s="103"/>
      <c r="R712" s="103"/>
      <c r="S712" s="103"/>
    </row>
    <row r="713" spans="1:19" x14ac:dyDescent="0.25">
      <c r="A713" t="s">
        <v>98</v>
      </c>
      <c r="D713" s="103"/>
      <c r="E713" s="103"/>
      <c r="F713" s="103"/>
      <c r="G713" s="103">
        <f>SUM(G706:G712)</f>
        <v>0</v>
      </c>
      <c r="H713" s="103">
        <f>SUM(H706:H712)</f>
        <v>0</v>
      </c>
      <c r="I713" s="103">
        <f>SUM(I706:I712)</f>
        <v>0</v>
      </c>
      <c r="J713" s="103">
        <f>SUM(G713:I713)</f>
        <v>0</v>
      </c>
      <c r="K713" s="103"/>
      <c r="L713" s="103"/>
      <c r="M713" s="103"/>
      <c r="N713" s="103"/>
      <c r="O713" s="103"/>
      <c r="P713" s="103"/>
      <c r="Q713" s="103"/>
      <c r="R713" s="103"/>
      <c r="S713" s="103"/>
    </row>
    <row r="714" spans="1:19" x14ac:dyDescent="0.25">
      <c r="A714" t="s">
        <v>102</v>
      </c>
      <c r="B714" t="s">
        <v>103</v>
      </c>
      <c r="D714" s="103"/>
      <c r="E714" s="103"/>
      <c r="F714" s="103"/>
      <c r="G714" s="103">
        <f>VLOOKUP($A706,LossChart!$A$3:$AB$105,14,0)</f>
        <v>690.50056169714298</v>
      </c>
      <c r="H714" s="103">
        <f>VLOOKUP($A706,LossChart!$A$3:$AB$105,15,0)</f>
        <v>80</v>
      </c>
      <c r="I714" s="103">
        <f>VLOOKUP($A706,LossChart!$A$3:$AB$105,16,0)</f>
        <v>477.30407413615825</v>
      </c>
      <c r="J714" s="103">
        <f>VLOOKUP($A706,LossChart!$A$3:$AB$105,17,0)</f>
        <v>1247.8046358333013</v>
      </c>
      <c r="K714" s="103"/>
      <c r="L714" s="103"/>
      <c r="M714" s="103"/>
      <c r="N714" s="103"/>
      <c r="O714" s="103"/>
      <c r="P714" s="103"/>
      <c r="Q714" s="103"/>
      <c r="R714" s="103"/>
      <c r="S714" s="103"/>
    </row>
    <row r="715" spans="1:19" x14ac:dyDescent="0.25">
      <c r="A715" t="s">
        <v>104</v>
      </c>
      <c r="D715" s="103"/>
      <c r="E715" s="103"/>
      <c r="F715" s="103"/>
      <c r="G715" s="103">
        <f>G714-G713</f>
        <v>690.50056169714298</v>
      </c>
      <c r="H715" s="103">
        <f>H714-H713</f>
        <v>80</v>
      </c>
      <c r="I715" s="103">
        <f>I714-I713</f>
        <v>477.30407413615825</v>
      </c>
      <c r="J715" s="103">
        <f>J714-J713</f>
        <v>1247.8046358333013</v>
      </c>
      <c r="K715" s="103"/>
      <c r="L715" s="103"/>
      <c r="M715" s="103"/>
      <c r="N715" s="103"/>
      <c r="O715" s="103"/>
      <c r="P715" s="103"/>
      <c r="Q715" s="103"/>
      <c r="R715" s="103"/>
      <c r="S715" s="103"/>
    </row>
    <row r="717" spans="1:19" ht="60" x14ac:dyDescent="0.25">
      <c r="A717" s="26" t="s">
        <v>63</v>
      </c>
      <c r="B717" s="26" t="s">
        <v>93</v>
      </c>
      <c r="C717" s="26" t="s">
        <v>94</v>
      </c>
      <c r="D717" s="97" t="str">
        <f>FoodDB!$C$1</f>
        <v>Fat
(g)</v>
      </c>
      <c r="E717" s="97" t="str">
        <f>FoodDB!$D$1</f>
        <v xml:space="preserve"> Carbs
(g)</v>
      </c>
      <c r="F717" s="97" t="str">
        <f>FoodDB!$E$1</f>
        <v>Protein
(g)</v>
      </c>
      <c r="G717" s="97" t="str">
        <f>FoodDB!$F$1</f>
        <v>Fat
(Cal)</v>
      </c>
      <c r="H717" s="97" t="str">
        <f>FoodDB!$G$1</f>
        <v>Carb
(Cal)</v>
      </c>
      <c r="I717" s="97" t="str">
        <f>FoodDB!$H$1</f>
        <v>Protein
(Cal)</v>
      </c>
      <c r="J717" s="97" t="str">
        <f>FoodDB!$I$1</f>
        <v>Total
Calories</v>
      </c>
      <c r="K717" s="97"/>
      <c r="L717" s="97" t="s">
        <v>110</v>
      </c>
      <c r="M717" s="97" t="s">
        <v>111</v>
      </c>
      <c r="N717" s="97" t="s">
        <v>112</v>
      </c>
      <c r="O717" s="97" t="s">
        <v>113</v>
      </c>
      <c r="P717" s="97" t="s">
        <v>118</v>
      </c>
      <c r="Q717" s="97" t="s">
        <v>119</v>
      </c>
      <c r="R717" s="97" t="s">
        <v>120</v>
      </c>
      <c r="S717" s="97" t="s">
        <v>121</v>
      </c>
    </row>
    <row r="718" spans="1:19" x14ac:dyDescent="0.25">
      <c r="A718" s="98">
        <f>A706+1</f>
        <v>43053</v>
      </c>
      <c r="B718" s="99" t="s">
        <v>108</v>
      </c>
      <c r="C718" s="100">
        <v>1</v>
      </c>
      <c r="D718" s="103">
        <f>$C718*VLOOKUP($B718,FoodDB!$A$2:$I$1018,3,0)</f>
        <v>0</v>
      </c>
      <c r="E718" s="103">
        <f>$C718*VLOOKUP($B718,FoodDB!$A$2:$I$1018,4,0)</f>
        <v>0</v>
      </c>
      <c r="F718" s="103">
        <f>$C718*VLOOKUP($B718,FoodDB!$A$2:$I$1018,5,0)</f>
        <v>0</v>
      </c>
      <c r="G718" s="103">
        <f>$C718*VLOOKUP($B718,FoodDB!$A$2:$I$1018,6,0)</f>
        <v>0</v>
      </c>
      <c r="H718" s="103">
        <f>$C718*VLOOKUP($B718,FoodDB!$A$2:$I$1018,7,0)</f>
        <v>0</v>
      </c>
      <c r="I718" s="103">
        <f>$C718*VLOOKUP($B718,FoodDB!$A$2:$I$1018,8,0)</f>
        <v>0</v>
      </c>
      <c r="J718" s="103">
        <f>$C718*VLOOKUP($B718,FoodDB!$A$2:$I$1018,9,0)</f>
        <v>0</v>
      </c>
      <c r="K718" s="103"/>
      <c r="L718" s="103">
        <f>SUM(G718:G724)</f>
        <v>0</v>
      </c>
      <c r="M718" s="103">
        <f>SUM(H718:H724)</f>
        <v>0</v>
      </c>
      <c r="N718" s="103">
        <f>SUM(I718:I724)</f>
        <v>0</v>
      </c>
      <c r="O718" s="103">
        <f>SUM(L718:N718)</f>
        <v>0</v>
      </c>
      <c r="P718" s="103">
        <f>VLOOKUP($A718,LossChart!$A$3:$AB$105,14,0)-L718</f>
        <v>695.88714707418239</v>
      </c>
      <c r="Q718" s="103">
        <f>VLOOKUP($A718,LossChart!$A$3:$AB$105,15,0)-M718</f>
        <v>80</v>
      </c>
      <c r="R718" s="103">
        <f>VLOOKUP($A718,LossChart!$A$3:$AB$105,16,0)-N718</f>
        <v>477.30407413615825</v>
      </c>
      <c r="S718" s="103">
        <f>VLOOKUP($A718,LossChart!$A$3:$AB$105,17,0)-O718</f>
        <v>1253.1912212103407</v>
      </c>
    </row>
    <row r="719" spans="1:19" x14ac:dyDescent="0.25">
      <c r="B719" s="99" t="s">
        <v>108</v>
      </c>
      <c r="C719" s="100">
        <v>1</v>
      </c>
      <c r="D719" s="103">
        <f>$C719*VLOOKUP($B719,FoodDB!$A$2:$I$1018,3,0)</f>
        <v>0</v>
      </c>
      <c r="E719" s="103">
        <f>$C719*VLOOKUP($B719,FoodDB!$A$2:$I$1018,4,0)</f>
        <v>0</v>
      </c>
      <c r="F719" s="103">
        <f>$C719*VLOOKUP($B719,FoodDB!$A$2:$I$1018,5,0)</f>
        <v>0</v>
      </c>
      <c r="G719" s="103">
        <f>$C719*VLOOKUP($B719,FoodDB!$A$2:$I$1018,6,0)</f>
        <v>0</v>
      </c>
      <c r="H719" s="103">
        <f>$C719*VLOOKUP($B719,FoodDB!$A$2:$I$1018,7,0)</f>
        <v>0</v>
      </c>
      <c r="I719" s="103">
        <f>$C719*VLOOKUP($B719,FoodDB!$A$2:$I$1018,8,0)</f>
        <v>0</v>
      </c>
      <c r="J719" s="103">
        <f>$C719*VLOOKUP($B719,FoodDB!$A$2:$I$1018,9,0)</f>
        <v>0</v>
      </c>
      <c r="K719" s="103"/>
      <c r="L719" s="103"/>
      <c r="M719" s="103"/>
      <c r="N719" s="103"/>
      <c r="O719" s="103"/>
      <c r="P719" s="103"/>
      <c r="Q719" s="103"/>
      <c r="R719" s="103"/>
      <c r="S719" s="103"/>
    </row>
    <row r="720" spans="1:19" x14ac:dyDescent="0.25">
      <c r="B720" s="99" t="s">
        <v>108</v>
      </c>
      <c r="C720" s="100">
        <v>1</v>
      </c>
      <c r="D720" s="103">
        <f>$C720*VLOOKUP($B720,FoodDB!$A$2:$I$1018,3,0)</f>
        <v>0</v>
      </c>
      <c r="E720" s="103">
        <f>$C720*VLOOKUP($B720,FoodDB!$A$2:$I$1018,4,0)</f>
        <v>0</v>
      </c>
      <c r="F720" s="103">
        <f>$C720*VLOOKUP($B720,FoodDB!$A$2:$I$1018,5,0)</f>
        <v>0</v>
      </c>
      <c r="G720" s="103">
        <f>$C720*VLOOKUP($B720,FoodDB!$A$2:$I$1018,6,0)</f>
        <v>0</v>
      </c>
      <c r="H720" s="103">
        <f>$C720*VLOOKUP($B720,FoodDB!$A$2:$I$1018,7,0)</f>
        <v>0</v>
      </c>
      <c r="I720" s="103">
        <f>$C720*VLOOKUP($B720,FoodDB!$A$2:$I$1018,8,0)</f>
        <v>0</v>
      </c>
      <c r="J720" s="103">
        <f>$C720*VLOOKUP($B720,FoodDB!$A$2:$I$1018,9,0)</f>
        <v>0</v>
      </c>
      <c r="K720" s="103"/>
      <c r="L720" s="103"/>
      <c r="M720" s="103"/>
      <c r="N720" s="103"/>
      <c r="O720" s="103"/>
      <c r="P720" s="103"/>
      <c r="Q720" s="103"/>
      <c r="R720" s="103"/>
      <c r="S720" s="103"/>
    </row>
    <row r="721" spans="1:19" x14ac:dyDescent="0.25">
      <c r="B721" s="99" t="s">
        <v>108</v>
      </c>
      <c r="C721" s="100">
        <v>1</v>
      </c>
      <c r="D721" s="103">
        <f>$C721*VLOOKUP($B721,FoodDB!$A$2:$I$1018,3,0)</f>
        <v>0</v>
      </c>
      <c r="E721" s="103">
        <f>$C721*VLOOKUP($B721,FoodDB!$A$2:$I$1018,4,0)</f>
        <v>0</v>
      </c>
      <c r="F721" s="103">
        <f>$C721*VLOOKUP($B721,FoodDB!$A$2:$I$1018,5,0)</f>
        <v>0</v>
      </c>
      <c r="G721" s="103">
        <f>$C721*VLOOKUP($B721,FoodDB!$A$2:$I$1018,6,0)</f>
        <v>0</v>
      </c>
      <c r="H721" s="103">
        <f>$C721*VLOOKUP($B721,FoodDB!$A$2:$I$1018,7,0)</f>
        <v>0</v>
      </c>
      <c r="I721" s="103">
        <f>$C721*VLOOKUP($B721,FoodDB!$A$2:$I$1018,8,0)</f>
        <v>0</v>
      </c>
      <c r="J721" s="103">
        <f>$C721*VLOOKUP($B721,FoodDB!$A$2:$I$1018,9,0)</f>
        <v>0</v>
      </c>
      <c r="K721" s="103"/>
      <c r="L721" s="103"/>
      <c r="M721" s="103"/>
      <c r="N721" s="103"/>
      <c r="O721" s="103"/>
      <c r="P721" s="103"/>
      <c r="Q721" s="103"/>
      <c r="R721" s="103"/>
      <c r="S721" s="103"/>
    </row>
    <row r="722" spans="1:19" x14ac:dyDescent="0.25">
      <c r="B722" s="99" t="s">
        <v>108</v>
      </c>
      <c r="C722" s="100">
        <v>1</v>
      </c>
      <c r="D722" s="103">
        <f>$C722*VLOOKUP($B722,FoodDB!$A$2:$I$1018,3,0)</f>
        <v>0</v>
      </c>
      <c r="E722" s="103">
        <f>$C722*VLOOKUP($B722,FoodDB!$A$2:$I$1018,4,0)</f>
        <v>0</v>
      </c>
      <c r="F722" s="103">
        <f>$C722*VLOOKUP($B722,FoodDB!$A$2:$I$1018,5,0)</f>
        <v>0</v>
      </c>
      <c r="G722" s="103">
        <f>$C722*VLOOKUP($B722,FoodDB!$A$2:$I$1018,6,0)</f>
        <v>0</v>
      </c>
      <c r="H722" s="103">
        <f>$C722*VLOOKUP($B722,FoodDB!$A$2:$I$1018,7,0)</f>
        <v>0</v>
      </c>
      <c r="I722" s="103">
        <f>$C722*VLOOKUP($B722,FoodDB!$A$2:$I$1018,8,0)</f>
        <v>0</v>
      </c>
      <c r="J722" s="103">
        <f>$C722*VLOOKUP($B722,FoodDB!$A$2:$I$1018,9,0)</f>
        <v>0</v>
      </c>
      <c r="K722" s="103"/>
      <c r="L722" s="103"/>
      <c r="M722" s="103"/>
      <c r="N722" s="103"/>
      <c r="O722" s="103"/>
      <c r="P722" s="103"/>
      <c r="Q722" s="103"/>
      <c r="R722" s="103"/>
      <c r="S722" s="103"/>
    </row>
    <row r="723" spans="1:19" x14ac:dyDescent="0.25">
      <c r="B723" s="99" t="s">
        <v>108</v>
      </c>
      <c r="C723" s="100">
        <v>1</v>
      </c>
      <c r="D723" s="103">
        <f>$C723*VLOOKUP($B723,FoodDB!$A$2:$I$1018,3,0)</f>
        <v>0</v>
      </c>
      <c r="E723" s="103">
        <f>$C723*VLOOKUP($B723,FoodDB!$A$2:$I$1018,4,0)</f>
        <v>0</v>
      </c>
      <c r="F723" s="103">
        <f>$C723*VLOOKUP($B723,FoodDB!$A$2:$I$1018,5,0)</f>
        <v>0</v>
      </c>
      <c r="G723" s="103">
        <f>$C723*VLOOKUP($B723,FoodDB!$A$2:$I$1018,6,0)</f>
        <v>0</v>
      </c>
      <c r="H723" s="103">
        <f>$C723*VLOOKUP($B723,FoodDB!$A$2:$I$1018,7,0)</f>
        <v>0</v>
      </c>
      <c r="I723" s="103">
        <f>$C723*VLOOKUP($B723,FoodDB!$A$2:$I$1018,8,0)</f>
        <v>0</v>
      </c>
      <c r="J723" s="103">
        <f>$C723*VLOOKUP($B723,FoodDB!$A$2:$I$1018,9,0)</f>
        <v>0</v>
      </c>
      <c r="K723" s="103"/>
      <c r="L723" s="103"/>
      <c r="M723" s="103"/>
      <c r="N723" s="103"/>
      <c r="O723" s="103"/>
      <c r="P723" s="103"/>
      <c r="Q723" s="103"/>
      <c r="R723" s="103"/>
      <c r="S723" s="103"/>
    </row>
    <row r="724" spans="1:19" x14ac:dyDescent="0.25">
      <c r="B724" s="99" t="s">
        <v>108</v>
      </c>
      <c r="C724" s="100">
        <v>1</v>
      </c>
      <c r="D724" s="103">
        <f>$C724*VLOOKUP($B724,FoodDB!$A$2:$I$1018,3,0)</f>
        <v>0</v>
      </c>
      <c r="E724" s="103">
        <f>$C724*VLOOKUP($B724,FoodDB!$A$2:$I$1018,4,0)</f>
        <v>0</v>
      </c>
      <c r="F724" s="103">
        <f>$C724*VLOOKUP($B724,FoodDB!$A$2:$I$1018,5,0)</f>
        <v>0</v>
      </c>
      <c r="G724" s="103">
        <f>$C724*VLOOKUP($B724,FoodDB!$A$2:$I$1018,6,0)</f>
        <v>0</v>
      </c>
      <c r="H724" s="103">
        <f>$C724*VLOOKUP($B724,FoodDB!$A$2:$I$1018,7,0)</f>
        <v>0</v>
      </c>
      <c r="I724" s="103">
        <f>$C724*VLOOKUP($B724,FoodDB!$A$2:$I$1018,8,0)</f>
        <v>0</v>
      </c>
      <c r="J724" s="103">
        <f>$C724*VLOOKUP($B724,FoodDB!$A$2:$I$1018,9,0)</f>
        <v>0</v>
      </c>
      <c r="K724" s="103"/>
      <c r="L724" s="103"/>
      <c r="M724" s="103"/>
      <c r="N724" s="103"/>
      <c r="O724" s="103"/>
      <c r="P724" s="103"/>
      <c r="Q724" s="103"/>
      <c r="R724" s="103"/>
      <c r="S724" s="103"/>
    </row>
    <row r="725" spans="1:19" x14ac:dyDescent="0.25">
      <c r="A725" t="s">
        <v>98</v>
      </c>
      <c r="D725" s="103"/>
      <c r="E725" s="103"/>
      <c r="F725" s="103"/>
      <c r="G725" s="103">
        <f>SUM(G718:G724)</f>
        <v>0</v>
      </c>
      <c r="H725" s="103">
        <f>SUM(H718:H724)</f>
        <v>0</v>
      </c>
      <c r="I725" s="103">
        <f>SUM(I718:I724)</f>
        <v>0</v>
      </c>
      <c r="J725" s="103">
        <f>SUM(G725:I725)</f>
        <v>0</v>
      </c>
      <c r="K725" s="103"/>
      <c r="L725" s="103"/>
      <c r="M725" s="103"/>
      <c r="N725" s="103"/>
      <c r="O725" s="103"/>
      <c r="P725" s="103"/>
      <c r="Q725" s="103"/>
      <c r="R725" s="103"/>
      <c r="S725" s="103"/>
    </row>
    <row r="726" spans="1:19" x14ac:dyDescent="0.25">
      <c r="A726" t="s">
        <v>102</v>
      </c>
      <c r="B726" t="s">
        <v>103</v>
      </c>
      <c r="D726" s="103"/>
      <c r="E726" s="103"/>
      <c r="F726" s="103"/>
      <c r="G726" s="103">
        <f>VLOOKUP($A718,LossChart!$A$3:$AB$105,14,0)</f>
        <v>695.88714707418239</v>
      </c>
      <c r="H726" s="103">
        <f>VLOOKUP($A718,LossChart!$A$3:$AB$105,15,0)</f>
        <v>80</v>
      </c>
      <c r="I726" s="103">
        <f>VLOOKUP($A718,LossChart!$A$3:$AB$105,16,0)</f>
        <v>477.30407413615825</v>
      </c>
      <c r="J726" s="103">
        <f>VLOOKUP($A718,LossChart!$A$3:$AB$105,17,0)</f>
        <v>1253.1912212103407</v>
      </c>
      <c r="K726" s="103"/>
      <c r="L726" s="103"/>
      <c r="M726" s="103"/>
      <c r="N726" s="103"/>
      <c r="O726" s="103"/>
      <c r="P726" s="103"/>
      <c r="Q726" s="103"/>
      <c r="R726" s="103"/>
      <c r="S726" s="103"/>
    </row>
    <row r="727" spans="1:19" x14ac:dyDescent="0.25">
      <c r="A727" t="s">
        <v>104</v>
      </c>
      <c r="D727" s="103"/>
      <c r="E727" s="103"/>
      <c r="F727" s="103"/>
      <c r="G727" s="103">
        <f>G726-G725</f>
        <v>695.88714707418239</v>
      </c>
      <c r="H727" s="103">
        <f>H726-H725</f>
        <v>80</v>
      </c>
      <c r="I727" s="103">
        <f>I726-I725</f>
        <v>477.30407413615825</v>
      </c>
      <c r="J727" s="103">
        <f>J726-J725</f>
        <v>1253.1912212103407</v>
      </c>
      <c r="K727" s="103"/>
      <c r="L727" s="103"/>
      <c r="M727" s="103"/>
      <c r="N727" s="103"/>
      <c r="O727" s="103"/>
      <c r="P727" s="103"/>
      <c r="Q727" s="103"/>
      <c r="R727" s="103"/>
      <c r="S727" s="103"/>
    </row>
    <row r="729" spans="1:19" ht="60" x14ac:dyDescent="0.25">
      <c r="A729" s="26" t="s">
        <v>63</v>
      </c>
      <c r="B729" s="26" t="s">
        <v>93</v>
      </c>
      <c r="C729" s="26" t="s">
        <v>94</v>
      </c>
      <c r="D729" s="97" t="str">
        <f>FoodDB!$C$1</f>
        <v>Fat
(g)</v>
      </c>
      <c r="E729" s="97" t="str">
        <f>FoodDB!$D$1</f>
        <v xml:space="preserve"> Carbs
(g)</v>
      </c>
      <c r="F729" s="97" t="str">
        <f>FoodDB!$E$1</f>
        <v>Protein
(g)</v>
      </c>
      <c r="G729" s="97" t="str">
        <f>FoodDB!$F$1</f>
        <v>Fat
(Cal)</v>
      </c>
      <c r="H729" s="97" t="str">
        <f>FoodDB!$G$1</f>
        <v>Carb
(Cal)</v>
      </c>
      <c r="I729" s="97" t="str">
        <f>FoodDB!$H$1</f>
        <v>Protein
(Cal)</v>
      </c>
      <c r="J729" s="97" t="str">
        <f>FoodDB!$I$1</f>
        <v>Total
Calories</v>
      </c>
      <c r="K729" s="97"/>
      <c r="L729" s="97" t="s">
        <v>110</v>
      </c>
      <c r="M729" s="97" t="s">
        <v>111</v>
      </c>
      <c r="N729" s="97" t="s">
        <v>112</v>
      </c>
      <c r="O729" s="97" t="s">
        <v>113</v>
      </c>
      <c r="P729" s="97" t="s">
        <v>118</v>
      </c>
      <c r="Q729" s="97" t="s">
        <v>119</v>
      </c>
      <c r="R729" s="97" t="s">
        <v>120</v>
      </c>
      <c r="S729" s="97" t="s">
        <v>121</v>
      </c>
    </row>
    <row r="730" spans="1:19" x14ac:dyDescent="0.25">
      <c r="A730" s="98">
        <f>A718+1</f>
        <v>43054</v>
      </c>
      <c r="B730" s="99" t="s">
        <v>108</v>
      </c>
      <c r="C730" s="100">
        <v>1</v>
      </c>
      <c r="D730" s="103">
        <f>$C730*VLOOKUP($B730,FoodDB!$A$2:$I$1018,3,0)</f>
        <v>0</v>
      </c>
      <c r="E730" s="103">
        <f>$C730*VLOOKUP($B730,FoodDB!$A$2:$I$1018,4,0)</f>
        <v>0</v>
      </c>
      <c r="F730" s="103">
        <f>$C730*VLOOKUP($B730,FoodDB!$A$2:$I$1018,5,0)</f>
        <v>0</v>
      </c>
      <c r="G730" s="103">
        <f>$C730*VLOOKUP($B730,FoodDB!$A$2:$I$1018,6,0)</f>
        <v>0</v>
      </c>
      <c r="H730" s="103">
        <f>$C730*VLOOKUP($B730,FoodDB!$A$2:$I$1018,7,0)</f>
        <v>0</v>
      </c>
      <c r="I730" s="103">
        <f>$C730*VLOOKUP($B730,FoodDB!$A$2:$I$1018,8,0)</f>
        <v>0</v>
      </c>
      <c r="J730" s="103">
        <f>$C730*VLOOKUP($B730,FoodDB!$A$2:$I$1018,9,0)</f>
        <v>0</v>
      </c>
      <c r="K730" s="103"/>
      <c r="L730" s="103">
        <f>SUM(G730:G736)</f>
        <v>0</v>
      </c>
      <c r="M730" s="103">
        <f>SUM(H730:H736)</f>
        <v>0</v>
      </c>
      <c r="N730" s="103">
        <f>SUM(I730:I736)</f>
        <v>0</v>
      </c>
      <c r="O730" s="103">
        <f>SUM(L730:N730)</f>
        <v>0</v>
      </c>
      <c r="P730" s="103">
        <f>VLOOKUP($A730,LossChart!$A$3:$AB$105,14,0)-L730</f>
        <v>701.22602269502545</v>
      </c>
      <c r="Q730" s="103">
        <f>VLOOKUP($A730,LossChart!$A$3:$AB$105,15,0)-M730</f>
        <v>80</v>
      </c>
      <c r="R730" s="103">
        <f>VLOOKUP($A730,LossChart!$A$3:$AB$105,16,0)-N730</f>
        <v>477.30407413615825</v>
      </c>
      <c r="S730" s="103">
        <f>VLOOKUP($A730,LossChart!$A$3:$AB$105,17,0)-O730</f>
        <v>1258.5300968311838</v>
      </c>
    </row>
    <row r="731" spans="1:19" x14ac:dyDescent="0.25">
      <c r="B731" s="99" t="s">
        <v>108</v>
      </c>
      <c r="C731" s="100">
        <v>1</v>
      </c>
      <c r="D731" s="103">
        <f>$C731*VLOOKUP($B731,FoodDB!$A$2:$I$1018,3,0)</f>
        <v>0</v>
      </c>
      <c r="E731" s="103">
        <f>$C731*VLOOKUP($B731,FoodDB!$A$2:$I$1018,4,0)</f>
        <v>0</v>
      </c>
      <c r="F731" s="103">
        <f>$C731*VLOOKUP($B731,FoodDB!$A$2:$I$1018,5,0)</f>
        <v>0</v>
      </c>
      <c r="G731" s="103">
        <f>$C731*VLOOKUP($B731,FoodDB!$A$2:$I$1018,6,0)</f>
        <v>0</v>
      </c>
      <c r="H731" s="103">
        <f>$C731*VLOOKUP($B731,FoodDB!$A$2:$I$1018,7,0)</f>
        <v>0</v>
      </c>
      <c r="I731" s="103">
        <f>$C731*VLOOKUP($B731,FoodDB!$A$2:$I$1018,8,0)</f>
        <v>0</v>
      </c>
      <c r="J731" s="103">
        <f>$C731*VLOOKUP($B731,FoodDB!$A$2:$I$1018,9,0)</f>
        <v>0</v>
      </c>
      <c r="K731" s="103"/>
      <c r="L731" s="103"/>
      <c r="M731" s="103"/>
      <c r="N731" s="103"/>
      <c r="O731" s="103"/>
      <c r="P731" s="103"/>
      <c r="Q731" s="103"/>
      <c r="R731" s="103"/>
      <c r="S731" s="103"/>
    </row>
    <row r="732" spans="1:19" x14ac:dyDescent="0.25">
      <c r="B732" s="99" t="s">
        <v>108</v>
      </c>
      <c r="C732" s="100">
        <v>1</v>
      </c>
      <c r="D732" s="103">
        <f>$C732*VLOOKUP($B732,FoodDB!$A$2:$I$1018,3,0)</f>
        <v>0</v>
      </c>
      <c r="E732" s="103">
        <f>$C732*VLOOKUP($B732,FoodDB!$A$2:$I$1018,4,0)</f>
        <v>0</v>
      </c>
      <c r="F732" s="103">
        <f>$C732*VLOOKUP($B732,FoodDB!$A$2:$I$1018,5,0)</f>
        <v>0</v>
      </c>
      <c r="G732" s="103">
        <f>$C732*VLOOKUP($B732,FoodDB!$A$2:$I$1018,6,0)</f>
        <v>0</v>
      </c>
      <c r="H732" s="103">
        <f>$C732*VLOOKUP($B732,FoodDB!$A$2:$I$1018,7,0)</f>
        <v>0</v>
      </c>
      <c r="I732" s="103">
        <f>$C732*VLOOKUP($B732,FoodDB!$A$2:$I$1018,8,0)</f>
        <v>0</v>
      </c>
      <c r="J732" s="103">
        <f>$C732*VLOOKUP($B732,FoodDB!$A$2:$I$1018,9,0)</f>
        <v>0</v>
      </c>
      <c r="K732" s="103"/>
      <c r="L732" s="103"/>
      <c r="M732" s="103"/>
      <c r="N732" s="103"/>
      <c r="O732" s="103"/>
      <c r="P732" s="103"/>
      <c r="Q732" s="103"/>
      <c r="R732" s="103"/>
      <c r="S732" s="103"/>
    </row>
    <row r="733" spans="1:19" x14ac:dyDescent="0.25">
      <c r="B733" s="99" t="s">
        <v>108</v>
      </c>
      <c r="C733" s="100">
        <v>1</v>
      </c>
      <c r="D733" s="103">
        <f>$C733*VLOOKUP($B733,FoodDB!$A$2:$I$1018,3,0)</f>
        <v>0</v>
      </c>
      <c r="E733" s="103">
        <f>$C733*VLOOKUP($B733,FoodDB!$A$2:$I$1018,4,0)</f>
        <v>0</v>
      </c>
      <c r="F733" s="103">
        <f>$C733*VLOOKUP($B733,FoodDB!$A$2:$I$1018,5,0)</f>
        <v>0</v>
      </c>
      <c r="G733" s="103">
        <f>$C733*VLOOKUP($B733,FoodDB!$A$2:$I$1018,6,0)</f>
        <v>0</v>
      </c>
      <c r="H733" s="103">
        <f>$C733*VLOOKUP($B733,FoodDB!$A$2:$I$1018,7,0)</f>
        <v>0</v>
      </c>
      <c r="I733" s="103">
        <f>$C733*VLOOKUP($B733,FoodDB!$A$2:$I$1018,8,0)</f>
        <v>0</v>
      </c>
      <c r="J733" s="103">
        <f>$C733*VLOOKUP($B733,FoodDB!$A$2:$I$1018,9,0)</f>
        <v>0</v>
      </c>
      <c r="K733" s="103"/>
      <c r="L733" s="103"/>
      <c r="M733" s="103"/>
      <c r="N733" s="103"/>
      <c r="O733" s="103"/>
      <c r="P733" s="103"/>
      <c r="Q733" s="103"/>
      <c r="R733" s="103"/>
      <c r="S733" s="103"/>
    </row>
    <row r="734" spans="1:19" x14ac:dyDescent="0.25">
      <c r="B734" s="99" t="s">
        <v>108</v>
      </c>
      <c r="C734" s="100">
        <v>1</v>
      </c>
      <c r="D734" s="103">
        <f>$C734*VLOOKUP($B734,FoodDB!$A$2:$I$1018,3,0)</f>
        <v>0</v>
      </c>
      <c r="E734" s="103">
        <f>$C734*VLOOKUP($B734,FoodDB!$A$2:$I$1018,4,0)</f>
        <v>0</v>
      </c>
      <c r="F734" s="103">
        <f>$C734*VLOOKUP($B734,FoodDB!$A$2:$I$1018,5,0)</f>
        <v>0</v>
      </c>
      <c r="G734" s="103">
        <f>$C734*VLOOKUP($B734,FoodDB!$A$2:$I$1018,6,0)</f>
        <v>0</v>
      </c>
      <c r="H734" s="103">
        <f>$C734*VLOOKUP($B734,FoodDB!$A$2:$I$1018,7,0)</f>
        <v>0</v>
      </c>
      <c r="I734" s="103">
        <f>$C734*VLOOKUP($B734,FoodDB!$A$2:$I$1018,8,0)</f>
        <v>0</v>
      </c>
      <c r="J734" s="103">
        <f>$C734*VLOOKUP($B734,FoodDB!$A$2:$I$1018,9,0)</f>
        <v>0</v>
      </c>
      <c r="K734" s="103"/>
      <c r="L734" s="103"/>
      <c r="M734" s="103"/>
      <c r="N734" s="103"/>
      <c r="O734" s="103"/>
      <c r="P734" s="103"/>
      <c r="Q734" s="103"/>
      <c r="R734" s="103"/>
      <c r="S734" s="103"/>
    </row>
    <row r="735" spans="1:19" x14ac:dyDescent="0.25">
      <c r="B735" s="99" t="s">
        <v>108</v>
      </c>
      <c r="C735" s="100">
        <v>1</v>
      </c>
      <c r="D735" s="103">
        <f>$C735*VLOOKUP($B735,FoodDB!$A$2:$I$1018,3,0)</f>
        <v>0</v>
      </c>
      <c r="E735" s="103">
        <f>$C735*VLOOKUP($B735,FoodDB!$A$2:$I$1018,4,0)</f>
        <v>0</v>
      </c>
      <c r="F735" s="103">
        <f>$C735*VLOOKUP($B735,FoodDB!$A$2:$I$1018,5,0)</f>
        <v>0</v>
      </c>
      <c r="G735" s="103">
        <f>$C735*VLOOKUP($B735,FoodDB!$A$2:$I$1018,6,0)</f>
        <v>0</v>
      </c>
      <c r="H735" s="103">
        <f>$C735*VLOOKUP($B735,FoodDB!$A$2:$I$1018,7,0)</f>
        <v>0</v>
      </c>
      <c r="I735" s="103">
        <f>$C735*VLOOKUP($B735,FoodDB!$A$2:$I$1018,8,0)</f>
        <v>0</v>
      </c>
      <c r="J735" s="103">
        <f>$C735*VLOOKUP($B735,FoodDB!$A$2:$I$1018,9,0)</f>
        <v>0</v>
      </c>
      <c r="K735" s="103"/>
      <c r="L735" s="103"/>
      <c r="M735" s="103"/>
      <c r="N735" s="103"/>
      <c r="O735" s="103"/>
      <c r="P735" s="103"/>
      <c r="Q735" s="103"/>
      <c r="R735" s="103"/>
      <c r="S735" s="103"/>
    </row>
    <row r="736" spans="1:19" x14ac:dyDescent="0.25">
      <c r="B736" s="99" t="s">
        <v>108</v>
      </c>
      <c r="C736" s="100">
        <v>1</v>
      </c>
      <c r="D736" s="103">
        <f>$C736*VLOOKUP($B736,FoodDB!$A$2:$I$1018,3,0)</f>
        <v>0</v>
      </c>
      <c r="E736" s="103">
        <f>$C736*VLOOKUP($B736,FoodDB!$A$2:$I$1018,4,0)</f>
        <v>0</v>
      </c>
      <c r="F736" s="103">
        <f>$C736*VLOOKUP($B736,FoodDB!$A$2:$I$1018,5,0)</f>
        <v>0</v>
      </c>
      <c r="G736" s="103">
        <f>$C736*VLOOKUP($B736,FoodDB!$A$2:$I$1018,6,0)</f>
        <v>0</v>
      </c>
      <c r="H736" s="103">
        <f>$C736*VLOOKUP($B736,FoodDB!$A$2:$I$1018,7,0)</f>
        <v>0</v>
      </c>
      <c r="I736" s="103">
        <f>$C736*VLOOKUP($B736,FoodDB!$A$2:$I$1018,8,0)</f>
        <v>0</v>
      </c>
      <c r="J736" s="103">
        <f>$C736*VLOOKUP($B736,FoodDB!$A$2:$I$1018,9,0)</f>
        <v>0</v>
      </c>
      <c r="K736" s="103"/>
      <c r="L736" s="103"/>
      <c r="M736" s="103"/>
      <c r="N736" s="103"/>
      <c r="O736" s="103"/>
      <c r="P736" s="103"/>
      <c r="Q736" s="103"/>
      <c r="R736" s="103"/>
      <c r="S736" s="103"/>
    </row>
    <row r="737" spans="1:19" x14ac:dyDescent="0.25">
      <c r="A737" t="s">
        <v>98</v>
      </c>
      <c r="D737" s="103"/>
      <c r="E737" s="103"/>
      <c r="F737" s="103"/>
      <c r="G737" s="103">
        <f>SUM(G730:G736)</f>
        <v>0</v>
      </c>
      <c r="H737" s="103">
        <f>SUM(H730:H736)</f>
        <v>0</v>
      </c>
      <c r="I737" s="103">
        <f>SUM(I730:I736)</f>
        <v>0</v>
      </c>
      <c r="J737" s="103">
        <f>SUM(G737:I737)</f>
        <v>0</v>
      </c>
      <c r="K737" s="103"/>
      <c r="L737" s="103"/>
      <c r="M737" s="103"/>
      <c r="N737" s="103"/>
      <c r="O737" s="103"/>
      <c r="P737" s="103"/>
      <c r="Q737" s="103"/>
      <c r="R737" s="103"/>
      <c r="S737" s="103"/>
    </row>
    <row r="738" spans="1:19" x14ac:dyDescent="0.25">
      <c r="A738" t="s">
        <v>102</v>
      </c>
      <c r="B738" t="s">
        <v>103</v>
      </c>
      <c r="D738" s="103"/>
      <c r="E738" s="103"/>
      <c r="F738" s="103"/>
      <c r="G738" s="103">
        <f>VLOOKUP($A730,LossChart!$A$3:$AB$105,14,0)</f>
        <v>701.22602269502545</v>
      </c>
      <c r="H738" s="103">
        <f>VLOOKUP($A730,LossChart!$A$3:$AB$105,15,0)</f>
        <v>80</v>
      </c>
      <c r="I738" s="103">
        <f>VLOOKUP($A730,LossChart!$A$3:$AB$105,16,0)</f>
        <v>477.30407413615825</v>
      </c>
      <c r="J738" s="103">
        <f>VLOOKUP($A730,LossChart!$A$3:$AB$105,17,0)</f>
        <v>1258.5300968311838</v>
      </c>
      <c r="K738" s="103"/>
      <c r="L738" s="103"/>
      <c r="M738" s="103"/>
      <c r="N738" s="103"/>
      <c r="O738" s="103"/>
      <c r="P738" s="103"/>
      <c r="Q738" s="103"/>
      <c r="R738" s="103"/>
      <c r="S738" s="103"/>
    </row>
    <row r="739" spans="1:19" x14ac:dyDescent="0.25">
      <c r="A739" t="s">
        <v>104</v>
      </c>
      <c r="D739" s="103"/>
      <c r="E739" s="103"/>
      <c r="F739" s="103"/>
      <c r="G739" s="103">
        <f>G738-G737</f>
        <v>701.22602269502545</v>
      </c>
      <c r="H739" s="103">
        <f>H738-H737</f>
        <v>80</v>
      </c>
      <c r="I739" s="103">
        <f>I738-I737</f>
        <v>477.30407413615825</v>
      </c>
      <c r="J739" s="103">
        <f>J738-J737</f>
        <v>1258.5300968311838</v>
      </c>
      <c r="K739" s="103"/>
      <c r="L739" s="103"/>
      <c r="M739" s="103"/>
      <c r="N739" s="103"/>
      <c r="O739" s="103"/>
      <c r="P739" s="103"/>
      <c r="Q739" s="103"/>
      <c r="R739" s="103"/>
      <c r="S739" s="103"/>
    </row>
    <row r="741" spans="1:19" ht="60" x14ac:dyDescent="0.25">
      <c r="A741" s="26" t="s">
        <v>63</v>
      </c>
      <c r="B741" s="26" t="s">
        <v>93</v>
      </c>
      <c r="C741" s="26" t="s">
        <v>94</v>
      </c>
      <c r="D741" s="97" t="str">
        <f>FoodDB!$C$1</f>
        <v>Fat
(g)</v>
      </c>
      <c r="E741" s="97" t="str">
        <f>FoodDB!$D$1</f>
        <v xml:space="preserve"> Carbs
(g)</v>
      </c>
      <c r="F741" s="97" t="str">
        <f>FoodDB!$E$1</f>
        <v>Protein
(g)</v>
      </c>
      <c r="G741" s="97" t="str">
        <f>FoodDB!$F$1</f>
        <v>Fat
(Cal)</v>
      </c>
      <c r="H741" s="97" t="str">
        <f>FoodDB!$G$1</f>
        <v>Carb
(Cal)</v>
      </c>
      <c r="I741" s="97" t="str">
        <f>FoodDB!$H$1</f>
        <v>Protein
(Cal)</v>
      </c>
      <c r="J741" s="97" t="str">
        <f>FoodDB!$I$1</f>
        <v>Total
Calories</v>
      </c>
      <c r="K741" s="97"/>
      <c r="L741" s="97" t="s">
        <v>110</v>
      </c>
      <c r="M741" s="97" t="s">
        <v>111</v>
      </c>
      <c r="N741" s="97" t="s">
        <v>112</v>
      </c>
      <c r="O741" s="97" t="s">
        <v>113</v>
      </c>
      <c r="P741" s="97" t="s">
        <v>118</v>
      </c>
      <c r="Q741" s="97" t="s">
        <v>119</v>
      </c>
      <c r="R741" s="97" t="s">
        <v>120</v>
      </c>
      <c r="S741" s="97" t="s">
        <v>121</v>
      </c>
    </row>
    <row r="742" spans="1:19" x14ac:dyDescent="0.25">
      <c r="A742" s="98">
        <f>A730+1</f>
        <v>43055</v>
      </c>
      <c r="B742" s="99" t="s">
        <v>108</v>
      </c>
      <c r="C742" s="100">
        <v>1</v>
      </c>
      <c r="D742" s="103">
        <f>$C742*VLOOKUP($B742,FoodDB!$A$2:$I$1018,3,0)</f>
        <v>0</v>
      </c>
      <c r="E742" s="103">
        <f>$C742*VLOOKUP($B742,FoodDB!$A$2:$I$1018,4,0)</f>
        <v>0</v>
      </c>
      <c r="F742" s="103">
        <f>$C742*VLOOKUP($B742,FoodDB!$A$2:$I$1018,5,0)</f>
        <v>0</v>
      </c>
      <c r="G742" s="103">
        <f>$C742*VLOOKUP($B742,FoodDB!$A$2:$I$1018,6,0)</f>
        <v>0</v>
      </c>
      <c r="H742" s="103">
        <f>$C742*VLOOKUP($B742,FoodDB!$A$2:$I$1018,7,0)</f>
        <v>0</v>
      </c>
      <c r="I742" s="103">
        <f>$C742*VLOOKUP($B742,FoodDB!$A$2:$I$1018,8,0)</f>
        <v>0</v>
      </c>
      <c r="J742" s="103">
        <f>$C742*VLOOKUP($B742,FoodDB!$A$2:$I$1018,9,0)</f>
        <v>0</v>
      </c>
      <c r="K742" s="103"/>
      <c r="L742" s="103">
        <f>SUM(G742:G748)</f>
        <v>0</v>
      </c>
      <c r="M742" s="103">
        <f>SUM(H742:H748)</f>
        <v>0</v>
      </c>
      <c r="N742" s="103">
        <f>SUM(I742:I748)</f>
        <v>0</v>
      </c>
      <c r="O742" s="103">
        <f>SUM(L742:N742)</f>
        <v>0</v>
      </c>
      <c r="P742" s="103">
        <f>VLOOKUP($A742,LossChart!$A$3:$AB$105,14,0)-L742</f>
        <v>706.51761113179759</v>
      </c>
      <c r="Q742" s="103">
        <f>VLOOKUP($A742,LossChart!$A$3:$AB$105,15,0)-M742</f>
        <v>80</v>
      </c>
      <c r="R742" s="103">
        <f>VLOOKUP($A742,LossChart!$A$3:$AB$105,16,0)-N742</f>
        <v>477.30407413615825</v>
      </c>
      <c r="S742" s="103">
        <f>VLOOKUP($A742,LossChart!$A$3:$AB$105,17,0)-O742</f>
        <v>1263.8216852679559</v>
      </c>
    </row>
    <row r="743" spans="1:19" x14ac:dyDescent="0.25">
      <c r="B743" s="99" t="s">
        <v>108</v>
      </c>
      <c r="C743" s="100">
        <v>1</v>
      </c>
      <c r="D743" s="103">
        <f>$C743*VLOOKUP($B743,FoodDB!$A$2:$I$1018,3,0)</f>
        <v>0</v>
      </c>
      <c r="E743" s="103">
        <f>$C743*VLOOKUP($B743,FoodDB!$A$2:$I$1018,4,0)</f>
        <v>0</v>
      </c>
      <c r="F743" s="103">
        <f>$C743*VLOOKUP($B743,FoodDB!$A$2:$I$1018,5,0)</f>
        <v>0</v>
      </c>
      <c r="G743" s="103">
        <f>$C743*VLOOKUP($B743,FoodDB!$A$2:$I$1018,6,0)</f>
        <v>0</v>
      </c>
      <c r="H743" s="103">
        <f>$C743*VLOOKUP($B743,FoodDB!$A$2:$I$1018,7,0)</f>
        <v>0</v>
      </c>
      <c r="I743" s="103">
        <f>$C743*VLOOKUP($B743,FoodDB!$A$2:$I$1018,8,0)</f>
        <v>0</v>
      </c>
      <c r="J743" s="103">
        <f>$C743*VLOOKUP($B743,FoodDB!$A$2:$I$1018,9,0)</f>
        <v>0</v>
      </c>
      <c r="K743" s="103"/>
      <c r="L743" s="103"/>
      <c r="M743" s="103"/>
      <c r="N743" s="103"/>
      <c r="O743" s="103"/>
      <c r="P743" s="103"/>
      <c r="Q743" s="103"/>
      <c r="R743" s="103"/>
      <c r="S743" s="103"/>
    </row>
    <row r="744" spans="1:19" x14ac:dyDescent="0.25">
      <c r="B744" s="99" t="s">
        <v>108</v>
      </c>
      <c r="C744" s="100">
        <v>1</v>
      </c>
      <c r="D744" s="103">
        <f>$C744*VLOOKUP($B744,FoodDB!$A$2:$I$1018,3,0)</f>
        <v>0</v>
      </c>
      <c r="E744" s="103">
        <f>$C744*VLOOKUP($B744,FoodDB!$A$2:$I$1018,4,0)</f>
        <v>0</v>
      </c>
      <c r="F744" s="103">
        <f>$C744*VLOOKUP($B744,FoodDB!$A$2:$I$1018,5,0)</f>
        <v>0</v>
      </c>
      <c r="G744" s="103">
        <f>$C744*VLOOKUP($B744,FoodDB!$A$2:$I$1018,6,0)</f>
        <v>0</v>
      </c>
      <c r="H744" s="103">
        <f>$C744*VLOOKUP($B744,FoodDB!$A$2:$I$1018,7,0)</f>
        <v>0</v>
      </c>
      <c r="I744" s="103">
        <f>$C744*VLOOKUP($B744,FoodDB!$A$2:$I$1018,8,0)</f>
        <v>0</v>
      </c>
      <c r="J744" s="103">
        <f>$C744*VLOOKUP($B744,FoodDB!$A$2:$I$1018,9,0)</f>
        <v>0</v>
      </c>
      <c r="K744" s="103"/>
      <c r="L744" s="103"/>
      <c r="M744" s="103"/>
      <c r="N744" s="103"/>
      <c r="O744" s="103"/>
      <c r="P744" s="103"/>
      <c r="Q744" s="103"/>
      <c r="R744" s="103"/>
      <c r="S744" s="103"/>
    </row>
    <row r="745" spans="1:19" x14ac:dyDescent="0.25">
      <c r="B745" s="99" t="s">
        <v>108</v>
      </c>
      <c r="C745" s="100">
        <v>1</v>
      </c>
      <c r="D745" s="103">
        <f>$C745*VLOOKUP($B745,FoodDB!$A$2:$I$1018,3,0)</f>
        <v>0</v>
      </c>
      <c r="E745" s="103">
        <f>$C745*VLOOKUP($B745,FoodDB!$A$2:$I$1018,4,0)</f>
        <v>0</v>
      </c>
      <c r="F745" s="103">
        <f>$C745*VLOOKUP($B745,FoodDB!$A$2:$I$1018,5,0)</f>
        <v>0</v>
      </c>
      <c r="G745" s="103">
        <f>$C745*VLOOKUP($B745,FoodDB!$A$2:$I$1018,6,0)</f>
        <v>0</v>
      </c>
      <c r="H745" s="103">
        <f>$C745*VLOOKUP($B745,FoodDB!$A$2:$I$1018,7,0)</f>
        <v>0</v>
      </c>
      <c r="I745" s="103">
        <f>$C745*VLOOKUP($B745,FoodDB!$A$2:$I$1018,8,0)</f>
        <v>0</v>
      </c>
      <c r="J745" s="103">
        <f>$C745*VLOOKUP($B745,FoodDB!$A$2:$I$1018,9,0)</f>
        <v>0</v>
      </c>
      <c r="K745" s="103"/>
      <c r="L745" s="103"/>
      <c r="M745" s="103"/>
      <c r="N745" s="103"/>
      <c r="O745" s="103"/>
      <c r="P745" s="103"/>
      <c r="Q745" s="103"/>
      <c r="R745" s="103"/>
      <c r="S745" s="103"/>
    </row>
    <row r="746" spans="1:19" x14ac:dyDescent="0.25">
      <c r="B746" s="99" t="s">
        <v>108</v>
      </c>
      <c r="C746" s="100">
        <v>1</v>
      </c>
      <c r="D746" s="103">
        <f>$C746*VLOOKUP($B746,FoodDB!$A$2:$I$1018,3,0)</f>
        <v>0</v>
      </c>
      <c r="E746" s="103">
        <f>$C746*VLOOKUP($B746,FoodDB!$A$2:$I$1018,4,0)</f>
        <v>0</v>
      </c>
      <c r="F746" s="103">
        <f>$C746*VLOOKUP($B746,FoodDB!$A$2:$I$1018,5,0)</f>
        <v>0</v>
      </c>
      <c r="G746" s="103">
        <f>$C746*VLOOKUP($B746,FoodDB!$A$2:$I$1018,6,0)</f>
        <v>0</v>
      </c>
      <c r="H746" s="103">
        <f>$C746*VLOOKUP($B746,FoodDB!$A$2:$I$1018,7,0)</f>
        <v>0</v>
      </c>
      <c r="I746" s="103">
        <f>$C746*VLOOKUP($B746,FoodDB!$A$2:$I$1018,8,0)</f>
        <v>0</v>
      </c>
      <c r="J746" s="103">
        <f>$C746*VLOOKUP($B746,FoodDB!$A$2:$I$1018,9,0)</f>
        <v>0</v>
      </c>
      <c r="K746" s="103"/>
      <c r="L746" s="103"/>
      <c r="M746" s="103"/>
      <c r="N746" s="103"/>
      <c r="O746" s="103"/>
      <c r="P746" s="103"/>
      <c r="Q746" s="103"/>
      <c r="R746" s="103"/>
      <c r="S746" s="103"/>
    </row>
    <row r="747" spans="1:19" x14ac:dyDescent="0.25">
      <c r="B747" s="99" t="s">
        <v>108</v>
      </c>
      <c r="C747" s="100">
        <v>1</v>
      </c>
      <c r="D747" s="103">
        <f>$C747*VLOOKUP($B747,FoodDB!$A$2:$I$1018,3,0)</f>
        <v>0</v>
      </c>
      <c r="E747" s="103">
        <f>$C747*VLOOKUP($B747,FoodDB!$A$2:$I$1018,4,0)</f>
        <v>0</v>
      </c>
      <c r="F747" s="103">
        <f>$C747*VLOOKUP($B747,FoodDB!$A$2:$I$1018,5,0)</f>
        <v>0</v>
      </c>
      <c r="G747" s="103">
        <f>$C747*VLOOKUP($B747,FoodDB!$A$2:$I$1018,6,0)</f>
        <v>0</v>
      </c>
      <c r="H747" s="103">
        <f>$C747*VLOOKUP($B747,FoodDB!$A$2:$I$1018,7,0)</f>
        <v>0</v>
      </c>
      <c r="I747" s="103">
        <f>$C747*VLOOKUP($B747,FoodDB!$A$2:$I$1018,8,0)</f>
        <v>0</v>
      </c>
      <c r="J747" s="103">
        <f>$C747*VLOOKUP($B747,FoodDB!$A$2:$I$1018,9,0)</f>
        <v>0</v>
      </c>
      <c r="K747" s="103"/>
      <c r="L747" s="103"/>
      <c r="M747" s="103"/>
      <c r="N747" s="103"/>
      <c r="O747" s="103"/>
      <c r="P747" s="103"/>
      <c r="Q747" s="103"/>
      <c r="R747" s="103"/>
      <c r="S747" s="103"/>
    </row>
    <row r="748" spans="1:19" x14ac:dyDescent="0.25">
      <c r="B748" s="99" t="s">
        <v>108</v>
      </c>
      <c r="C748" s="100">
        <v>1</v>
      </c>
      <c r="D748" s="103">
        <f>$C748*VLOOKUP($B748,FoodDB!$A$2:$I$1018,3,0)</f>
        <v>0</v>
      </c>
      <c r="E748" s="103">
        <f>$C748*VLOOKUP($B748,FoodDB!$A$2:$I$1018,4,0)</f>
        <v>0</v>
      </c>
      <c r="F748" s="103">
        <f>$C748*VLOOKUP($B748,FoodDB!$A$2:$I$1018,5,0)</f>
        <v>0</v>
      </c>
      <c r="G748" s="103">
        <f>$C748*VLOOKUP($B748,FoodDB!$A$2:$I$1018,6,0)</f>
        <v>0</v>
      </c>
      <c r="H748" s="103">
        <f>$C748*VLOOKUP($B748,FoodDB!$A$2:$I$1018,7,0)</f>
        <v>0</v>
      </c>
      <c r="I748" s="103">
        <f>$C748*VLOOKUP($B748,FoodDB!$A$2:$I$1018,8,0)</f>
        <v>0</v>
      </c>
      <c r="J748" s="103">
        <f>$C748*VLOOKUP($B748,FoodDB!$A$2:$I$1018,9,0)</f>
        <v>0</v>
      </c>
      <c r="K748" s="103"/>
      <c r="L748" s="103"/>
      <c r="M748" s="103"/>
      <c r="N748" s="103"/>
      <c r="O748" s="103"/>
      <c r="P748" s="103"/>
      <c r="Q748" s="103"/>
      <c r="R748" s="103"/>
      <c r="S748" s="103"/>
    </row>
    <row r="749" spans="1:19" x14ac:dyDescent="0.25">
      <c r="A749" t="s">
        <v>98</v>
      </c>
      <c r="D749" s="103"/>
      <c r="E749" s="103"/>
      <c r="F749" s="103"/>
      <c r="G749" s="103">
        <f>SUM(G742:G748)</f>
        <v>0</v>
      </c>
      <c r="H749" s="103">
        <f>SUM(H742:H748)</f>
        <v>0</v>
      </c>
      <c r="I749" s="103">
        <f>SUM(I742:I748)</f>
        <v>0</v>
      </c>
      <c r="J749" s="103">
        <f>SUM(G749:I749)</f>
        <v>0</v>
      </c>
      <c r="K749" s="103"/>
      <c r="L749" s="103"/>
      <c r="M749" s="103"/>
      <c r="N749" s="103"/>
      <c r="O749" s="103"/>
      <c r="P749" s="103"/>
      <c r="Q749" s="103"/>
      <c r="R749" s="103"/>
      <c r="S749" s="103"/>
    </row>
    <row r="750" spans="1:19" x14ac:dyDescent="0.25">
      <c r="A750" t="s">
        <v>102</v>
      </c>
      <c r="B750" t="s">
        <v>103</v>
      </c>
      <c r="D750" s="103"/>
      <c r="E750" s="103"/>
      <c r="F750" s="103"/>
      <c r="G750" s="103">
        <f>VLOOKUP($A742,LossChart!$A$3:$AB$105,14,0)</f>
        <v>706.51761113179759</v>
      </c>
      <c r="H750" s="103">
        <f>VLOOKUP($A742,LossChart!$A$3:$AB$105,15,0)</f>
        <v>80</v>
      </c>
      <c r="I750" s="103">
        <f>VLOOKUP($A742,LossChart!$A$3:$AB$105,16,0)</f>
        <v>477.30407413615825</v>
      </c>
      <c r="J750" s="103">
        <f>VLOOKUP($A742,LossChart!$A$3:$AB$105,17,0)</f>
        <v>1263.8216852679559</v>
      </c>
      <c r="K750" s="103"/>
      <c r="L750" s="103"/>
      <c r="M750" s="103"/>
      <c r="N750" s="103"/>
      <c r="O750" s="103"/>
      <c r="P750" s="103"/>
      <c r="Q750" s="103"/>
      <c r="R750" s="103"/>
      <c r="S750" s="103"/>
    </row>
    <row r="751" spans="1:19" x14ac:dyDescent="0.25">
      <c r="A751" t="s">
        <v>104</v>
      </c>
      <c r="D751" s="103"/>
      <c r="E751" s="103"/>
      <c r="F751" s="103"/>
      <c r="G751" s="103">
        <f>G750-G749</f>
        <v>706.51761113179759</v>
      </c>
      <c r="H751" s="103">
        <f>H750-H749</f>
        <v>80</v>
      </c>
      <c r="I751" s="103">
        <f>I750-I749</f>
        <v>477.30407413615825</v>
      </c>
      <c r="J751" s="103">
        <f>J750-J749</f>
        <v>1263.8216852679559</v>
      </c>
      <c r="K751" s="103"/>
      <c r="L751" s="103"/>
      <c r="M751" s="103"/>
      <c r="N751" s="103"/>
      <c r="O751" s="103"/>
      <c r="P751" s="103"/>
      <c r="Q751" s="103"/>
      <c r="R751" s="103"/>
      <c r="S751" s="103"/>
    </row>
    <row r="753" spans="1:19" ht="60" x14ac:dyDescent="0.25">
      <c r="A753" s="26" t="s">
        <v>63</v>
      </c>
      <c r="B753" s="26" t="s">
        <v>93</v>
      </c>
      <c r="C753" s="26" t="s">
        <v>94</v>
      </c>
      <c r="D753" s="97" t="str">
        <f>FoodDB!$C$1</f>
        <v>Fat
(g)</v>
      </c>
      <c r="E753" s="97" t="str">
        <f>FoodDB!$D$1</f>
        <v xml:space="preserve"> Carbs
(g)</v>
      </c>
      <c r="F753" s="97" t="str">
        <f>FoodDB!$E$1</f>
        <v>Protein
(g)</v>
      </c>
      <c r="G753" s="97" t="str">
        <f>FoodDB!$F$1</f>
        <v>Fat
(Cal)</v>
      </c>
      <c r="H753" s="97" t="str">
        <f>FoodDB!$G$1</f>
        <v>Carb
(Cal)</v>
      </c>
      <c r="I753" s="97" t="str">
        <f>FoodDB!$H$1</f>
        <v>Protein
(Cal)</v>
      </c>
      <c r="J753" s="97" t="str">
        <f>FoodDB!$I$1</f>
        <v>Total
Calories</v>
      </c>
      <c r="K753" s="97"/>
      <c r="L753" s="97" t="s">
        <v>110</v>
      </c>
      <c r="M753" s="97" t="s">
        <v>111</v>
      </c>
      <c r="N753" s="97" t="s">
        <v>112</v>
      </c>
      <c r="O753" s="97" t="s">
        <v>113</v>
      </c>
      <c r="P753" s="97" t="s">
        <v>118</v>
      </c>
      <c r="Q753" s="97" t="s">
        <v>119</v>
      </c>
      <c r="R753" s="97" t="s">
        <v>120</v>
      </c>
      <c r="S753" s="97" t="s">
        <v>121</v>
      </c>
    </row>
    <row r="754" spans="1:19" x14ac:dyDescent="0.25">
      <c r="A754" s="98">
        <f>A742+1</f>
        <v>43056</v>
      </c>
      <c r="B754" s="99" t="s">
        <v>108</v>
      </c>
      <c r="C754" s="100">
        <v>1</v>
      </c>
      <c r="D754" s="103">
        <f>$C754*VLOOKUP($B754,FoodDB!$A$2:$I$1018,3,0)</f>
        <v>0</v>
      </c>
      <c r="E754" s="103">
        <f>$C754*VLOOKUP($B754,FoodDB!$A$2:$I$1018,4,0)</f>
        <v>0</v>
      </c>
      <c r="F754" s="103">
        <f>$C754*VLOOKUP($B754,FoodDB!$A$2:$I$1018,5,0)</f>
        <v>0</v>
      </c>
      <c r="G754" s="103">
        <f>$C754*VLOOKUP($B754,FoodDB!$A$2:$I$1018,6,0)</f>
        <v>0</v>
      </c>
      <c r="H754" s="103">
        <f>$C754*VLOOKUP($B754,FoodDB!$A$2:$I$1018,7,0)</f>
        <v>0</v>
      </c>
      <c r="I754" s="103">
        <f>$C754*VLOOKUP($B754,FoodDB!$A$2:$I$1018,8,0)</f>
        <v>0</v>
      </c>
      <c r="J754" s="103">
        <f>$C754*VLOOKUP($B754,FoodDB!$A$2:$I$1018,9,0)</f>
        <v>0</v>
      </c>
      <c r="K754" s="103"/>
      <c r="L754" s="103">
        <f>SUM(G754:G760)</f>
        <v>0</v>
      </c>
      <c r="M754" s="103">
        <f>SUM(H754:H760)</f>
        <v>0</v>
      </c>
      <c r="N754" s="103">
        <f>SUM(I754:I760)</f>
        <v>0</v>
      </c>
      <c r="O754" s="103">
        <f>SUM(L754:N754)</f>
        <v>0</v>
      </c>
      <c r="P754" s="103">
        <f>VLOOKUP($A754,LossChart!$A$3:$AB$105,14,0)-L754</f>
        <v>711.76233121384507</v>
      </c>
      <c r="Q754" s="103">
        <f>VLOOKUP($A754,LossChart!$A$3:$AB$105,15,0)-M754</f>
        <v>80</v>
      </c>
      <c r="R754" s="103">
        <f>VLOOKUP($A754,LossChart!$A$3:$AB$105,16,0)-N754</f>
        <v>477.30407413615825</v>
      </c>
      <c r="S754" s="103">
        <f>VLOOKUP($A754,LossChart!$A$3:$AB$105,17,0)-O754</f>
        <v>1269.0664053500034</v>
      </c>
    </row>
    <row r="755" spans="1:19" x14ac:dyDescent="0.25">
      <c r="B755" s="99" t="s">
        <v>108</v>
      </c>
      <c r="C755" s="100">
        <v>1</v>
      </c>
      <c r="D755" s="103">
        <f>$C755*VLOOKUP($B755,FoodDB!$A$2:$I$1018,3,0)</f>
        <v>0</v>
      </c>
      <c r="E755" s="103">
        <f>$C755*VLOOKUP($B755,FoodDB!$A$2:$I$1018,4,0)</f>
        <v>0</v>
      </c>
      <c r="F755" s="103">
        <f>$C755*VLOOKUP($B755,FoodDB!$A$2:$I$1018,5,0)</f>
        <v>0</v>
      </c>
      <c r="G755" s="103">
        <f>$C755*VLOOKUP($B755,FoodDB!$A$2:$I$1018,6,0)</f>
        <v>0</v>
      </c>
      <c r="H755" s="103">
        <f>$C755*VLOOKUP($B755,FoodDB!$A$2:$I$1018,7,0)</f>
        <v>0</v>
      </c>
      <c r="I755" s="103">
        <f>$C755*VLOOKUP($B755,FoodDB!$A$2:$I$1018,8,0)</f>
        <v>0</v>
      </c>
      <c r="J755" s="103">
        <f>$C755*VLOOKUP($B755,FoodDB!$A$2:$I$1018,9,0)</f>
        <v>0</v>
      </c>
      <c r="K755" s="103"/>
      <c r="L755" s="103"/>
      <c r="M755" s="103"/>
      <c r="N755" s="103"/>
      <c r="O755" s="103"/>
      <c r="P755" s="103"/>
      <c r="Q755" s="103"/>
      <c r="R755" s="103"/>
      <c r="S755" s="103"/>
    </row>
    <row r="756" spans="1:19" x14ac:dyDescent="0.25">
      <c r="B756" s="99" t="s">
        <v>108</v>
      </c>
      <c r="C756" s="100">
        <v>1</v>
      </c>
      <c r="D756" s="103">
        <f>$C756*VLOOKUP($B756,FoodDB!$A$2:$I$1018,3,0)</f>
        <v>0</v>
      </c>
      <c r="E756" s="103">
        <f>$C756*VLOOKUP($B756,FoodDB!$A$2:$I$1018,4,0)</f>
        <v>0</v>
      </c>
      <c r="F756" s="103">
        <f>$C756*VLOOKUP($B756,FoodDB!$A$2:$I$1018,5,0)</f>
        <v>0</v>
      </c>
      <c r="G756" s="103">
        <f>$C756*VLOOKUP($B756,FoodDB!$A$2:$I$1018,6,0)</f>
        <v>0</v>
      </c>
      <c r="H756" s="103">
        <f>$C756*VLOOKUP($B756,FoodDB!$A$2:$I$1018,7,0)</f>
        <v>0</v>
      </c>
      <c r="I756" s="103">
        <f>$C756*VLOOKUP($B756,FoodDB!$A$2:$I$1018,8,0)</f>
        <v>0</v>
      </c>
      <c r="J756" s="103">
        <f>$C756*VLOOKUP($B756,FoodDB!$A$2:$I$1018,9,0)</f>
        <v>0</v>
      </c>
      <c r="K756" s="103"/>
      <c r="L756" s="103"/>
      <c r="M756" s="103"/>
      <c r="N756" s="103"/>
      <c r="O756" s="103"/>
      <c r="P756" s="103"/>
      <c r="Q756" s="103"/>
      <c r="R756" s="103"/>
      <c r="S756" s="103"/>
    </row>
    <row r="757" spans="1:19" x14ac:dyDescent="0.25">
      <c r="B757" s="99" t="s">
        <v>108</v>
      </c>
      <c r="C757" s="100">
        <v>1</v>
      </c>
      <c r="D757" s="103">
        <f>$C757*VLOOKUP($B757,FoodDB!$A$2:$I$1018,3,0)</f>
        <v>0</v>
      </c>
      <c r="E757" s="103">
        <f>$C757*VLOOKUP($B757,FoodDB!$A$2:$I$1018,4,0)</f>
        <v>0</v>
      </c>
      <c r="F757" s="103">
        <f>$C757*VLOOKUP($B757,FoodDB!$A$2:$I$1018,5,0)</f>
        <v>0</v>
      </c>
      <c r="G757" s="103">
        <f>$C757*VLOOKUP($B757,FoodDB!$A$2:$I$1018,6,0)</f>
        <v>0</v>
      </c>
      <c r="H757" s="103">
        <f>$C757*VLOOKUP($B757,FoodDB!$A$2:$I$1018,7,0)</f>
        <v>0</v>
      </c>
      <c r="I757" s="103">
        <f>$C757*VLOOKUP($B757,FoodDB!$A$2:$I$1018,8,0)</f>
        <v>0</v>
      </c>
      <c r="J757" s="103">
        <f>$C757*VLOOKUP($B757,FoodDB!$A$2:$I$1018,9,0)</f>
        <v>0</v>
      </c>
      <c r="K757" s="103"/>
      <c r="L757" s="103"/>
      <c r="M757" s="103"/>
      <c r="N757" s="103"/>
      <c r="O757" s="103"/>
      <c r="P757" s="103"/>
      <c r="Q757" s="103"/>
      <c r="R757" s="103"/>
      <c r="S757" s="103"/>
    </row>
    <row r="758" spans="1:19" x14ac:dyDescent="0.25">
      <c r="B758" s="99" t="s">
        <v>108</v>
      </c>
      <c r="C758" s="100">
        <v>1</v>
      </c>
      <c r="D758" s="103">
        <f>$C758*VLOOKUP($B758,FoodDB!$A$2:$I$1018,3,0)</f>
        <v>0</v>
      </c>
      <c r="E758" s="103">
        <f>$C758*VLOOKUP($B758,FoodDB!$A$2:$I$1018,4,0)</f>
        <v>0</v>
      </c>
      <c r="F758" s="103">
        <f>$C758*VLOOKUP($B758,FoodDB!$A$2:$I$1018,5,0)</f>
        <v>0</v>
      </c>
      <c r="G758" s="103">
        <f>$C758*VLOOKUP($B758,FoodDB!$A$2:$I$1018,6,0)</f>
        <v>0</v>
      </c>
      <c r="H758" s="103">
        <f>$C758*VLOOKUP($B758,FoodDB!$A$2:$I$1018,7,0)</f>
        <v>0</v>
      </c>
      <c r="I758" s="103">
        <f>$C758*VLOOKUP($B758,FoodDB!$A$2:$I$1018,8,0)</f>
        <v>0</v>
      </c>
      <c r="J758" s="103">
        <f>$C758*VLOOKUP($B758,FoodDB!$A$2:$I$1018,9,0)</f>
        <v>0</v>
      </c>
      <c r="K758" s="103"/>
      <c r="L758" s="103"/>
      <c r="M758" s="103"/>
      <c r="N758" s="103"/>
      <c r="O758" s="103"/>
      <c r="P758" s="103"/>
      <c r="Q758" s="103"/>
      <c r="R758" s="103"/>
      <c r="S758" s="103"/>
    </row>
    <row r="759" spans="1:19" x14ac:dyDescent="0.25">
      <c r="B759" s="99" t="s">
        <v>108</v>
      </c>
      <c r="C759" s="100">
        <v>1</v>
      </c>
      <c r="D759" s="103">
        <f>$C759*VLOOKUP($B759,FoodDB!$A$2:$I$1018,3,0)</f>
        <v>0</v>
      </c>
      <c r="E759" s="103">
        <f>$C759*VLOOKUP($B759,FoodDB!$A$2:$I$1018,4,0)</f>
        <v>0</v>
      </c>
      <c r="F759" s="103">
        <f>$C759*VLOOKUP($B759,FoodDB!$A$2:$I$1018,5,0)</f>
        <v>0</v>
      </c>
      <c r="G759" s="103">
        <f>$C759*VLOOKUP($B759,FoodDB!$A$2:$I$1018,6,0)</f>
        <v>0</v>
      </c>
      <c r="H759" s="103">
        <f>$C759*VLOOKUP($B759,FoodDB!$A$2:$I$1018,7,0)</f>
        <v>0</v>
      </c>
      <c r="I759" s="103">
        <f>$C759*VLOOKUP($B759,FoodDB!$A$2:$I$1018,8,0)</f>
        <v>0</v>
      </c>
      <c r="J759" s="103">
        <f>$C759*VLOOKUP($B759,FoodDB!$A$2:$I$1018,9,0)</f>
        <v>0</v>
      </c>
      <c r="K759" s="103"/>
      <c r="L759" s="103"/>
      <c r="M759" s="103"/>
      <c r="N759" s="103"/>
      <c r="O759" s="103"/>
      <c r="P759" s="103"/>
      <c r="Q759" s="103"/>
      <c r="R759" s="103"/>
      <c r="S759" s="103"/>
    </row>
    <row r="760" spans="1:19" x14ac:dyDescent="0.25">
      <c r="B760" s="99" t="s">
        <v>108</v>
      </c>
      <c r="C760" s="100">
        <v>1</v>
      </c>
      <c r="D760" s="103">
        <f>$C760*VLOOKUP($B760,FoodDB!$A$2:$I$1018,3,0)</f>
        <v>0</v>
      </c>
      <c r="E760" s="103">
        <f>$C760*VLOOKUP($B760,FoodDB!$A$2:$I$1018,4,0)</f>
        <v>0</v>
      </c>
      <c r="F760" s="103">
        <f>$C760*VLOOKUP($B760,FoodDB!$A$2:$I$1018,5,0)</f>
        <v>0</v>
      </c>
      <c r="G760" s="103">
        <f>$C760*VLOOKUP($B760,FoodDB!$A$2:$I$1018,6,0)</f>
        <v>0</v>
      </c>
      <c r="H760" s="103">
        <f>$C760*VLOOKUP($B760,FoodDB!$A$2:$I$1018,7,0)</f>
        <v>0</v>
      </c>
      <c r="I760" s="103">
        <f>$C760*VLOOKUP($B760,FoodDB!$A$2:$I$1018,8,0)</f>
        <v>0</v>
      </c>
      <c r="J760" s="103">
        <f>$C760*VLOOKUP($B760,FoodDB!$A$2:$I$1018,9,0)</f>
        <v>0</v>
      </c>
      <c r="K760" s="103"/>
      <c r="L760" s="103"/>
      <c r="M760" s="103"/>
      <c r="N760" s="103"/>
      <c r="O760" s="103"/>
      <c r="P760" s="103"/>
      <c r="Q760" s="103"/>
      <c r="R760" s="103"/>
      <c r="S760" s="103"/>
    </row>
    <row r="761" spans="1:19" x14ac:dyDescent="0.25">
      <c r="A761" t="s">
        <v>98</v>
      </c>
      <c r="D761" s="103"/>
      <c r="E761" s="103"/>
      <c r="F761" s="103"/>
      <c r="G761" s="103">
        <f>SUM(G754:G760)</f>
        <v>0</v>
      </c>
      <c r="H761" s="103">
        <f>SUM(H754:H760)</f>
        <v>0</v>
      </c>
      <c r="I761" s="103">
        <f>SUM(I754:I760)</f>
        <v>0</v>
      </c>
      <c r="J761" s="103">
        <f>SUM(G761:I761)</f>
        <v>0</v>
      </c>
      <c r="K761" s="103"/>
      <c r="L761" s="103"/>
      <c r="M761" s="103"/>
      <c r="N761" s="103"/>
      <c r="O761" s="103"/>
      <c r="P761" s="103"/>
      <c r="Q761" s="103"/>
      <c r="R761" s="103"/>
      <c r="S761" s="103"/>
    </row>
    <row r="762" spans="1:19" x14ac:dyDescent="0.25">
      <c r="A762" t="s">
        <v>102</v>
      </c>
      <c r="B762" t="s">
        <v>103</v>
      </c>
      <c r="D762" s="103"/>
      <c r="E762" s="103"/>
      <c r="F762" s="103"/>
      <c r="G762" s="103">
        <f>VLOOKUP($A754,LossChart!$A$3:$AB$105,14,0)</f>
        <v>711.76233121384507</v>
      </c>
      <c r="H762" s="103">
        <f>VLOOKUP($A754,LossChart!$A$3:$AB$105,15,0)</f>
        <v>80</v>
      </c>
      <c r="I762" s="103">
        <f>VLOOKUP($A754,LossChart!$A$3:$AB$105,16,0)</f>
        <v>477.30407413615825</v>
      </c>
      <c r="J762" s="103">
        <f>VLOOKUP($A754,LossChart!$A$3:$AB$105,17,0)</f>
        <v>1269.0664053500034</v>
      </c>
      <c r="K762" s="103"/>
      <c r="L762" s="103"/>
      <c r="M762" s="103"/>
      <c r="N762" s="103"/>
      <c r="O762" s="103"/>
      <c r="P762" s="103"/>
      <c r="Q762" s="103"/>
      <c r="R762" s="103"/>
      <c r="S762" s="103"/>
    </row>
    <row r="763" spans="1:19" x14ac:dyDescent="0.25">
      <c r="A763" t="s">
        <v>104</v>
      </c>
      <c r="D763" s="103"/>
      <c r="E763" s="103"/>
      <c r="F763" s="103"/>
      <c r="G763" s="103">
        <f>G762-G761</f>
        <v>711.76233121384507</v>
      </c>
      <c r="H763" s="103">
        <f>H762-H761</f>
        <v>80</v>
      </c>
      <c r="I763" s="103">
        <f>I762-I761</f>
        <v>477.30407413615825</v>
      </c>
      <c r="J763" s="103">
        <f>J762-J761</f>
        <v>1269.0664053500034</v>
      </c>
      <c r="K763" s="103"/>
      <c r="L763" s="103"/>
      <c r="M763" s="103"/>
      <c r="N763" s="103"/>
      <c r="O763" s="103"/>
      <c r="P763" s="103"/>
      <c r="Q763" s="103"/>
      <c r="R763" s="103"/>
      <c r="S763" s="103"/>
    </row>
    <row r="765" spans="1:19" ht="60" x14ac:dyDescent="0.25">
      <c r="A765" s="26" t="s">
        <v>63</v>
      </c>
      <c r="B765" s="26" t="s">
        <v>93</v>
      </c>
      <c r="C765" s="26" t="s">
        <v>94</v>
      </c>
      <c r="D765" s="97" t="str">
        <f>FoodDB!$C$1</f>
        <v>Fat
(g)</v>
      </c>
      <c r="E765" s="97" t="str">
        <f>FoodDB!$D$1</f>
        <v xml:space="preserve"> Carbs
(g)</v>
      </c>
      <c r="F765" s="97" t="str">
        <f>FoodDB!$E$1</f>
        <v>Protein
(g)</v>
      </c>
      <c r="G765" s="97" t="str">
        <f>FoodDB!$F$1</f>
        <v>Fat
(Cal)</v>
      </c>
      <c r="H765" s="97" t="str">
        <f>FoodDB!$G$1</f>
        <v>Carb
(Cal)</v>
      </c>
      <c r="I765" s="97" t="str">
        <f>FoodDB!$H$1</f>
        <v>Protein
(Cal)</v>
      </c>
      <c r="J765" s="97" t="str">
        <f>FoodDB!$I$1</f>
        <v>Total
Calories</v>
      </c>
      <c r="K765" s="97"/>
      <c r="L765" s="97" t="s">
        <v>110</v>
      </c>
      <c r="M765" s="97" t="s">
        <v>111</v>
      </c>
      <c r="N765" s="97" t="s">
        <v>112</v>
      </c>
      <c r="O765" s="97" t="s">
        <v>113</v>
      </c>
      <c r="P765" s="97" t="s">
        <v>118</v>
      </c>
      <c r="Q765" s="97" t="s">
        <v>119</v>
      </c>
      <c r="R765" s="97" t="s">
        <v>120</v>
      </c>
      <c r="S765" s="97" t="s">
        <v>121</v>
      </c>
    </row>
    <row r="766" spans="1:19" x14ac:dyDescent="0.25">
      <c r="A766" s="98">
        <f>A754+1</f>
        <v>43057</v>
      </c>
      <c r="B766" s="99" t="s">
        <v>108</v>
      </c>
      <c r="C766" s="100">
        <v>1</v>
      </c>
      <c r="D766" s="103">
        <f>$C766*VLOOKUP($B766,FoodDB!$A$2:$I$1018,3,0)</f>
        <v>0</v>
      </c>
      <c r="E766" s="103">
        <f>$C766*VLOOKUP($B766,FoodDB!$A$2:$I$1018,4,0)</f>
        <v>0</v>
      </c>
      <c r="F766" s="103">
        <f>$C766*VLOOKUP($B766,FoodDB!$A$2:$I$1018,5,0)</f>
        <v>0</v>
      </c>
      <c r="G766" s="103">
        <f>$C766*VLOOKUP($B766,FoodDB!$A$2:$I$1018,6,0)</f>
        <v>0</v>
      </c>
      <c r="H766" s="103">
        <f>$C766*VLOOKUP($B766,FoodDB!$A$2:$I$1018,7,0)</f>
        <v>0</v>
      </c>
      <c r="I766" s="103">
        <f>$C766*VLOOKUP($B766,FoodDB!$A$2:$I$1018,8,0)</f>
        <v>0</v>
      </c>
      <c r="J766" s="103">
        <f>$C766*VLOOKUP($B766,FoodDB!$A$2:$I$1018,9,0)</f>
        <v>0</v>
      </c>
      <c r="K766" s="103"/>
      <c r="L766" s="103">
        <f>SUM(G766:G772)</f>
        <v>0</v>
      </c>
      <c r="M766" s="103">
        <f>SUM(H766:H772)</f>
        <v>0</v>
      </c>
      <c r="N766" s="103">
        <f>SUM(I766:I772)</f>
        <v>0</v>
      </c>
      <c r="O766" s="103">
        <f>SUM(L766:N766)</f>
        <v>0</v>
      </c>
      <c r="P766" s="103">
        <f>VLOOKUP($A766,LossChart!$A$3:$AB$105,14,0)-L766</f>
        <v>716.96059806087942</v>
      </c>
      <c r="Q766" s="103">
        <f>VLOOKUP($A766,LossChart!$A$3:$AB$105,15,0)-M766</f>
        <v>80</v>
      </c>
      <c r="R766" s="103">
        <f>VLOOKUP($A766,LossChart!$A$3:$AB$105,16,0)-N766</f>
        <v>477.30407413615825</v>
      </c>
      <c r="S766" s="103">
        <f>VLOOKUP($A766,LossChart!$A$3:$AB$105,17,0)-O766</f>
        <v>1274.2646721970377</v>
      </c>
    </row>
    <row r="767" spans="1:19" x14ac:dyDescent="0.25">
      <c r="B767" s="99" t="s">
        <v>108</v>
      </c>
      <c r="C767" s="100">
        <v>1</v>
      </c>
      <c r="D767" s="103">
        <f>$C767*VLOOKUP($B767,FoodDB!$A$2:$I$1018,3,0)</f>
        <v>0</v>
      </c>
      <c r="E767" s="103">
        <f>$C767*VLOOKUP($B767,FoodDB!$A$2:$I$1018,4,0)</f>
        <v>0</v>
      </c>
      <c r="F767" s="103">
        <f>$C767*VLOOKUP($B767,FoodDB!$A$2:$I$1018,5,0)</f>
        <v>0</v>
      </c>
      <c r="G767" s="103">
        <f>$C767*VLOOKUP($B767,FoodDB!$A$2:$I$1018,6,0)</f>
        <v>0</v>
      </c>
      <c r="H767" s="103">
        <f>$C767*VLOOKUP($B767,FoodDB!$A$2:$I$1018,7,0)</f>
        <v>0</v>
      </c>
      <c r="I767" s="103">
        <f>$C767*VLOOKUP($B767,FoodDB!$A$2:$I$1018,8,0)</f>
        <v>0</v>
      </c>
      <c r="J767" s="103">
        <f>$C767*VLOOKUP($B767,FoodDB!$A$2:$I$1018,9,0)</f>
        <v>0</v>
      </c>
      <c r="K767" s="103"/>
      <c r="L767" s="103"/>
      <c r="M767" s="103"/>
      <c r="N767" s="103"/>
      <c r="O767" s="103"/>
      <c r="P767" s="103"/>
      <c r="Q767" s="103"/>
      <c r="R767" s="103"/>
      <c r="S767" s="103"/>
    </row>
    <row r="768" spans="1:19" x14ac:dyDescent="0.25">
      <c r="B768" s="99" t="s">
        <v>108</v>
      </c>
      <c r="C768" s="100">
        <v>1</v>
      </c>
      <c r="D768" s="103">
        <f>$C768*VLOOKUP($B768,FoodDB!$A$2:$I$1018,3,0)</f>
        <v>0</v>
      </c>
      <c r="E768" s="103">
        <f>$C768*VLOOKUP($B768,FoodDB!$A$2:$I$1018,4,0)</f>
        <v>0</v>
      </c>
      <c r="F768" s="103">
        <f>$C768*VLOOKUP($B768,FoodDB!$A$2:$I$1018,5,0)</f>
        <v>0</v>
      </c>
      <c r="G768" s="103">
        <f>$C768*VLOOKUP($B768,FoodDB!$A$2:$I$1018,6,0)</f>
        <v>0</v>
      </c>
      <c r="H768" s="103">
        <f>$C768*VLOOKUP($B768,FoodDB!$A$2:$I$1018,7,0)</f>
        <v>0</v>
      </c>
      <c r="I768" s="103">
        <f>$C768*VLOOKUP($B768,FoodDB!$A$2:$I$1018,8,0)</f>
        <v>0</v>
      </c>
      <c r="J768" s="103">
        <f>$C768*VLOOKUP($B768,FoodDB!$A$2:$I$1018,9,0)</f>
        <v>0</v>
      </c>
      <c r="K768" s="103"/>
      <c r="L768" s="103"/>
      <c r="M768" s="103"/>
      <c r="N768" s="103"/>
      <c r="O768" s="103"/>
      <c r="P768" s="103"/>
      <c r="Q768" s="103"/>
      <c r="R768" s="103"/>
      <c r="S768" s="103"/>
    </row>
    <row r="769" spans="1:19" x14ac:dyDescent="0.25">
      <c r="B769" s="99" t="s">
        <v>108</v>
      </c>
      <c r="C769" s="100">
        <v>1</v>
      </c>
      <c r="D769" s="103">
        <f>$C769*VLOOKUP($B769,FoodDB!$A$2:$I$1018,3,0)</f>
        <v>0</v>
      </c>
      <c r="E769" s="103">
        <f>$C769*VLOOKUP($B769,FoodDB!$A$2:$I$1018,4,0)</f>
        <v>0</v>
      </c>
      <c r="F769" s="103">
        <f>$C769*VLOOKUP($B769,FoodDB!$A$2:$I$1018,5,0)</f>
        <v>0</v>
      </c>
      <c r="G769" s="103">
        <f>$C769*VLOOKUP($B769,FoodDB!$A$2:$I$1018,6,0)</f>
        <v>0</v>
      </c>
      <c r="H769" s="103">
        <f>$C769*VLOOKUP($B769,FoodDB!$A$2:$I$1018,7,0)</f>
        <v>0</v>
      </c>
      <c r="I769" s="103">
        <f>$C769*VLOOKUP($B769,FoodDB!$A$2:$I$1018,8,0)</f>
        <v>0</v>
      </c>
      <c r="J769" s="103">
        <f>$C769*VLOOKUP($B769,FoodDB!$A$2:$I$1018,9,0)</f>
        <v>0</v>
      </c>
      <c r="K769" s="103"/>
      <c r="L769" s="103"/>
      <c r="M769" s="103"/>
      <c r="N769" s="103"/>
      <c r="O769" s="103"/>
      <c r="P769" s="103"/>
      <c r="Q769" s="103"/>
      <c r="R769" s="103"/>
      <c r="S769" s="103"/>
    </row>
    <row r="770" spans="1:19" x14ac:dyDescent="0.25">
      <c r="B770" s="99" t="s">
        <v>108</v>
      </c>
      <c r="C770" s="100">
        <v>1</v>
      </c>
      <c r="D770" s="103">
        <f>$C770*VLOOKUP($B770,FoodDB!$A$2:$I$1018,3,0)</f>
        <v>0</v>
      </c>
      <c r="E770" s="103">
        <f>$C770*VLOOKUP($B770,FoodDB!$A$2:$I$1018,4,0)</f>
        <v>0</v>
      </c>
      <c r="F770" s="103">
        <f>$C770*VLOOKUP($B770,FoodDB!$A$2:$I$1018,5,0)</f>
        <v>0</v>
      </c>
      <c r="G770" s="103">
        <f>$C770*VLOOKUP($B770,FoodDB!$A$2:$I$1018,6,0)</f>
        <v>0</v>
      </c>
      <c r="H770" s="103">
        <f>$C770*VLOOKUP($B770,FoodDB!$A$2:$I$1018,7,0)</f>
        <v>0</v>
      </c>
      <c r="I770" s="103">
        <f>$C770*VLOOKUP($B770,FoodDB!$A$2:$I$1018,8,0)</f>
        <v>0</v>
      </c>
      <c r="J770" s="103">
        <f>$C770*VLOOKUP($B770,FoodDB!$A$2:$I$1018,9,0)</f>
        <v>0</v>
      </c>
      <c r="K770" s="103"/>
      <c r="L770" s="103"/>
      <c r="M770" s="103"/>
      <c r="N770" s="103"/>
      <c r="O770" s="103"/>
      <c r="P770" s="103"/>
      <c r="Q770" s="103"/>
      <c r="R770" s="103"/>
      <c r="S770" s="103"/>
    </row>
    <row r="771" spans="1:19" x14ac:dyDescent="0.25">
      <c r="B771" s="99" t="s">
        <v>108</v>
      </c>
      <c r="C771" s="100">
        <v>1</v>
      </c>
      <c r="D771" s="103">
        <f>$C771*VLOOKUP($B771,FoodDB!$A$2:$I$1018,3,0)</f>
        <v>0</v>
      </c>
      <c r="E771" s="103">
        <f>$C771*VLOOKUP($B771,FoodDB!$A$2:$I$1018,4,0)</f>
        <v>0</v>
      </c>
      <c r="F771" s="103">
        <f>$C771*VLOOKUP($B771,FoodDB!$A$2:$I$1018,5,0)</f>
        <v>0</v>
      </c>
      <c r="G771" s="103">
        <f>$C771*VLOOKUP($B771,FoodDB!$A$2:$I$1018,6,0)</f>
        <v>0</v>
      </c>
      <c r="H771" s="103">
        <f>$C771*VLOOKUP($B771,FoodDB!$A$2:$I$1018,7,0)</f>
        <v>0</v>
      </c>
      <c r="I771" s="103">
        <f>$C771*VLOOKUP($B771,FoodDB!$A$2:$I$1018,8,0)</f>
        <v>0</v>
      </c>
      <c r="J771" s="103">
        <f>$C771*VLOOKUP($B771,FoodDB!$A$2:$I$1018,9,0)</f>
        <v>0</v>
      </c>
      <c r="K771" s="103"/>
      <c r="L771" s="103"/>
      <c r="M771" s="103"/>
      <c r="N771" s="103"/>
      <c r="O771" s="103"/>
      <c r="P771" s="103"/>
      <c r="Q771" s="103"/>
      <c r="R771" s="103"/>
      <c r="S771" s="103"/>
    </row>
    <row r="772" spans="1:19" x14ac:dyDescent="0.25">
      <c r="B772" s="99" t="s">
        <v>108</v>
      </c>
      <c r="C772" s="100">
        <v>1</v>
      </c>
      <c r="D772" s="103">
        <f>$C772*VLOOKUP($B772,FoodDB!$A$2:$I$1018,3,0)</f>
        <v>0</v>
      </c>
      <c r="E772" s="103">
        <f>$C772*VLOOKUP($B772,FoodDB!$A$2:$I$1018,4,0)</f>
        <v>0</v>
      </c>
      <c r="F772" s="103">
        <f>$C772*VLOOKUP($B772,FoodDB!$A$2:$I$1018,5,0)</f>
        <v>0</v>
      </c>
      <c r="G772" s="103">
        <f>$C772*VLOOKUP($B772,FoodDB!$A$2:$I$1018,6,0)</f>
        <v>0</v>
      </c>
      <c r="H772" s="103">
        <f>$C772*VLOOKUP($B772,FoodDB!$A$2:$I$1018,7,0)</f>
        <v>0</v>
      </c>
      <c r="I772" s="103">
        <f>$C772*VLOOKUP($B772,FoodDB!$A$2:$I$1018,8,0)</f>
        <v>0</v>
      </c>
      <c r="J772" s="103">
        <f>$C772*VLOOKUP($B772,FoodDB!$A$2:$I$1018,9,0)</f>
        <v>0</v>
      </c>
      <c r="K772" s="103"/>
      <c r="L772" s="103"/>
      <c r="M772" s="103"/>
      <c r="N772" s="103"/>
      <c r="O772" s="103"/>
      <c r="P772" s="103"/>
      <c r="Q772" s="103"/>
      <c r="R772" s="103"/>
      <c r="S772" s="103"/>
    </row>
    <row r="773" spans="1:19" x14ac:dyDescent="0.25">
      <c r="A773" t="s">
        <v>98</v>
      </c>
      <c r="D773" s="103"/>
      <c r="E773" s="103"/>
      <c r="F773" s="103"/>
      <c r="G773" s="103">
        <f>SUM(G766:G772)</f>
        <v>0</v>
      </c>
      <c r="H773" s="103">
        <f>SUM(H766:H772)</f>
        <v>0</v>
      </c>
      <c r="I773" s="103">
        <f>SUM(I766:I772)</f>
        <v>0</v>
      </c>
      <c r="J773" s="103">
        <f>SUM(G773:I773)</f>
        <v>0</v>
      </c>
      <c r="K773" s="103"/>
      <c r="L773" s="103"/>
      <c r="M773" s="103"/>
      <c r="N773" s="103"/>
      <c r="O773" s="103"/>
      <c r="P773" s="103"/>
      <c r="Q773" s="103"/>
      <c r="R773" s="103"/>
      <c r="S773" s="103"/>
    </row>
    <row r="774" spans="1:19" x14ac:dyDescent="0.25">
      <c r="A774" t="s">
        <v>102</v>
      </c>
      <c r="B774" t="s">
        <v>103</v>
      </c>
      <c r="D774" s="103"/>
      <c r="E774" s="103"/>
      <c r="F774" s="103"/>
      <c r="G774" s="103">
        <f>VLOOKUP($A766,LossChart!$A$3:$AB$105,14,0)</f>
        <v>716.96059806087942</v>
      </c>
      <c r="H774" s="103">
        <f>VLOOKUP($A766,LossChart!$A$3:$AB$105,15,0)</f>
        <v>80</v>
      </c>
      <c r="I774" s="103">
        <f>VLOOKUP($A766,LossChart!$A$3:$AB$105,16,0)</f>
        <v>477.30407413615825</v>
      </c>
      <c r="J774" s="103">
        <f>VLOOKUP($A766,LossChart!$A$3:$AB$105,17,0)</f>
        <v>1274.2646721970377</v>
      </c>
      <c r="K774" s="103"/>
      <c r="L774" s="103"/>
      <c r="M774" s="103"/>
      <c r="N774" s="103"/>
      <c r="O774" s="103"/>
      <c r="P774" s="103"/>
      <c r="Q774" s="103"/>
      <c r="R774" s="103"/>
      <c r="S774" s="103"/>
    </row>
    <row r="775" spans="1:19" x14ac:dyDescent="0.25">
      <c r="A775" t="s">
        <v>104</v>
      </c>
      <c r="D775" s="103"/>
      <c r="E775" s="103"/>
      <c r="F775" s="103"/>
      <c r="G775" s="103">
        <f>G774-G773</f>
        <v>716.96059806087942</v>
      </c>
      <c r="H775" s="103">
        <f>H774-H773</f>
        <v>80</v>
      </c>
      <c r="I775" s="103">
        <f>I774-I773</f>
        <v>477.30407413615825</v>
      </c>
      <c r="J775" s="103">
        <f>J774-J773</f>
        <v>1274.2646721970377</v>
      </c>
      <c r="K775" s="103"/>
      <c r="L775" s="103"/>
      <c r="M775" s="103"/>
      <c r="N775" s="103"/>
      <c r="O775" s="103"/>
      <c r="P775" s="103"/>
      <c r="Q775" s="103"/>
      <c r="R775" s="103"/>
      <c r="S775" s="103"/>
    </row>
    <row r="777" spans="1:19" ht="60" x14ac:dyDescent="0.25">
      <c r="A777" s="26" t="s">
        <v>63</v>
      </c>
      <c r="B777" s="26" t="s">
        <v>93</v>
      </c>
      <c r="C777" s="26" t="s">
        <v>94</v>
      </c>
      <c r="D777" s="97" t="str">
        <f>FoodDB!$C$1</f>
        <v>Fat
(g)</v>
      </c>
      <c r="E777" s="97" t="str">
        <f>FoodDB!$D$1</f>
        <v xml:space="preserve"> Carbs
(g)</v>
      </c>
      <c r="F777" s="97" t="str">
        <f>FoodDB!$E$1</f>
        <v>Protein
(g)</v>
      </c>
      <c r="G777" s="97" t="str">
        <f>FoodDB!$F$1</f>
        <v>Fat
(Cal)</v>
      </c>
      <c r="H777" s="97" t="str">
        <f>FoodDB!$G$1</f>
        <v>Carb
(Cal)</v>
      </c>
      <c r="I777" s="97" t="str">
        <f>FoodDB!$H$1</f>
        <v>Protein
(Cal)</v>
      </c>
      <c r="J777" s="97" t="str">
        <f>FoodDB!$I$1</f>
        <v>Total
Calories</v>
      </c>
      <c r="K777" s="97"/>
      <c r="L777" s="97" t="s">
        <v>110</v>
      </c>
      <c r="M777" s="97" t="s">
        <v>111</v>
      </c>
      <c r="N777" s="97" t="s">
        <v>112</v>
      </c>
      <c r="O777" s="97" t="s">
        <v>113</v>
      </c>
      <c r="P777" s="97" t="s">
        <v>118</v>
      </c>
      <c r="Q777" s="97" t="s">
        <v>119</v>
      </c>
      <c r="R777" s="97" t="s">
        <v>120</v>
      </c>
      <c r="S777" s="97" t="s">
        <v>121</v>
      </c>
    </row>
    <row r="778" spans="1:19" x14ac:dyDescent="0.25">
      <c r="A778" s="98">
        <f>A766+1</f>
        <v>43058</v>
      </c>
      <c r="B778" s="99" t="s">
        <v>108</v>
      </c>
      <c r="C778" s="100">
        <v>1</v>
      </c>
      <c r="D778" s="103">
        <f>$C778*VLOOKUP($B778,FoodDB!$A$2:$I$1018,3,0)</f>
        <v>0</v>
      </c>
      <c r="E778" s="103">
        <f>$C778*VLOOKUP($B778,FoodDB!$A$2:$I$1018,4,0)</f>
        <v>0</v>
      </c>
      <c r="F778" s="103">
        <f>$C778*VLOOKUP($B778,FoodDB!$A$2:$I$1018,5,0)</f>
        <v>0</v>
      </c>
      <c r="G778" s="103">
        <f>$C778*VLOOKUP($B778,FoodDB!$A$2:$I$1018,6,0)</f>
        <v>0</v>
      </c>
      <c r="H778" s="103">
        <f>$C778*VLOOKUP($B778,FoodDB!$A$2:$I$1018,7,0)</f>
        <v>0</v>
      </c>
      <c r="I778" s="103">
        <f>$C778*VLOOKUP($B778,FoodDB!$A$2:$I$1018,8,0)</f>
        <v>0</v>
      </c>
      <c r="J778" s="103">
        <f>$C778*VLOOKUP($B778,FoodDB!$A$2:$I$1018,9,0)</f>
        <v>0</v>
      </c>
      <c r="K778" s="103"/>
      <c r="L778" s="103">
        <f>SUM(G778:G784)</f>
        <v>0</v>
      </c>
      <c r="M778" s="103">
        <f>SUM(H778:H784)</f>
        <v>0</v>
      </c>
      <c r="N778" s="103">
        <f>SUM(I778:I784)</f>
        <v>0</v>
      </c>
      <c r="O778" s="103">
        <f>SUM(L778:N778)</f>
        <v>0</v>
      </c>
      <c r="P778" s="103">
        <f>VLOOKUP($A778,LossChart!$A$3:$AB$105,14,0)-L778</f>
        <v>722.11282311584046</v>
      </c>
      <c r="Q778" s="103">
        <f>VLOOKUP($A778,LossChart!$A$3:$AB$105,15,0)-M778</f>
        <v>80</v>
      </c>
      <c r="R778" s="103">
        <f>VLOOKUP($A778,LossChart!$A$3:$AB$105,16,0)-N778</f>
        <v>477.30407413615825</v>
      </c>
      <c r="S778" s="103">
        <f>VLOOKUP($A778,LossChart!$A$3:$AB$105,17,0)-O778</f>
        <v>1279.4168972519988</v>
      </c>
    </row>
    <row r="779" spans="1:19" x14ac:dyDescent="0.25">
      <c r="B779" s="99" t="s">
        <v>108</v>
      </c>
      <c r="C779" s="100">
        <v>1</v>
      </c>
      <c r="D779" s="103">
        <f>$C779*VLOOKUP($B779,FoodDB!$A$2:$I$1018,3,0)</f>
        <v>0</v>
      </c>
      <c r="E779" s="103">
        <f>$C779*VLOOKUP($B779,FoodDB!$A$2:$I$1018,4,0)</f>
        <v>0</v>
      </c>
      <c r="F779" s="103">
        <f>$C779*VLOOKUP($B779,FoodDB!$A$2:$I$1018,5,0)</f>
        <v>0</v>
      </c>
      <c r="G779" s="103">
        <f>$C779*VLOOKUP($B779,FoodDB!$A$2:$I$1018,6,0)</f>
        <v>0</v>
      </c>
      <c r="H779" s="103">
        <f>$C779*VLOOKUP($B779,FoodDB!$A$2:$I$1018,7,0)</f>
        <v>0</v>
      </c>
      <c r="I779" s="103">
        <f>$C779*VLOOKUP($B779,FoodDB!$A$2:$I$1018,8,0)</f>
        <v>0</v>
      </c>
      <c r="J779" s="103">
        <f>$C779*VLOOKUP($B779,FoodDB!$A$2:$I$1018,9,0)</f>
        <v>0</v>
      </c>
      <c r="K779" s="103"/>
      <c r="L779" s="103"/>
      <c r="M779" s="103"/>
      <c r="N779" s="103"/>
      <c r="O779" s="103"/>
      <c r="P779" s="103"/>
      <c r="Q779" s="103"/>
      <c r="R779" s="103"/>
      <c r="S779" s="103"/>
    </row>
    <row r="780" spans="1:19" x14ac:dyDescent="0.25">
      <c r="B780" s="99" t="s">
        <v>108</v>
      </c>
      <c r="C780" s="100">
        <v>1</v>
      </c>
      <c r="D780" s="103">
        <f>$C780*VLOOKUP($B780,FoodDB!$A$2:$I$1018,3,0)</f>
        <v>0</v>
      </c>
      <c r="E780" s="103">
        <f>$C780*VLOOKUP($B780,FoodDB!$A$2:$I$1018,4,0)</f>
        <v>0</v>
      </c>
      <c r="F780" s="103">
        <f>$C780*VLOOKUP($B780,FoodDB!$A$2:$I$1018,5,0)</f>
        <v>0</v>
      </c>
      <c r="G780" s="103">
        <f>$C780*VLOOKUP($B780,FoodDB!$A$2:$I$1018,6,0)</f>
        <v>0</v>
      </c>
      <c r="H780" s="103">
        <f>$C780*VLOOKUP($B780,FoodDB!$A$2:$I$1018,7,0)</f>
        <v>0</v>
      </c>
      <c r="I780" s="103">
        <f>$C780*VLOOKUP($B780,FoodDB!$A$2:$I$1018,8,0)</f>
        <v>0</v>
      </c>
      <c r="J780" s="103">
        <f>$C780*VLOOKUP($B780,FoodDB!$A$2:$I$1018,9,0)</f>
        <v>0</v>
      </c>
      <c r="K780" s="103"/>
      <c r="L780" s="103"/>
      <c r="M780" s="103"/>
      <c r="N780" s="103"/>
      <c r="O780" s="103"/>
      <c r="P780" s="103"/>
      <c r="Q780" s="103"/>
      <c r="R780" s="103"/>
      <c r="S780" s="103"/>
    </row>
    <row r="781" spans="1:19" x14ac:dyDescent="0.25">
      <c r="B781" s="99" t="s">
        <v>108</v>
      </c>
      <c r="C781" s="100">
        <v>1</v>
      </c>
      <c r="D781" s="103">
        <f>$C781*VLOOKUP($B781,FoodDB!$A$2:$I$1018,3,0)</f>
        <v>0</v>
      </c>
      <c r="E781" s="103">
        <f>$C781*VLOOKUP($B781,FoodDB!$A$2:$I$1018,4,0)</f>
        <v>0</v>
      </c>
      <c r="F781" s="103">
        <f>$C781*VLOOKUP($B781,FoodDB!$A$2:$I$1018,5,0)</f>
        <v>0</v>
      </c>
      <c r="G781" s="103">
        <f>$C781*VLOOKUP($B781,FoodDB!$A$2:$I$1018,6,0)</f>
        <v>0</v>
      </c>
      <c r="H781" s="103">
        <f>$C781*VLOOKUP($B781,FoodDB!$A$2:$I$1018,7,0)</f>
        <v>0</v>
      </c>
      <c r="I781" s="103">
        <f>$C781*VLOOKUP($B781,FoodDB!$A$2:$I$1018,8,0)</f>
        <v>0</v>
      </c>
      <c r="J781" s="103">
        <f>$C781*VLOOKUP($B781,FoodDB!$A$2:$I$1018,9,0)</f>
        <v>0</v>
      </c>
      <c r="K781" s="103"/>
      <c r="L781" s="103"/>
      <c r="M781" s="103"/>
      <c r="N781" s="103"/>
      <c r="O781" s="103"/>
      <c r="P781" s="103"/>
      <c r="Q781" s="103"/>
      <c r="R781" s="103"/>
      <c r="S781" s="103"/>
    </row>
    <row r="782" spans="1:19" x14ac:dyDescent="0.25">
      <c r="B782" s="99" t="s">
        <v>108</v>
      </c>
      <c r="C782" s="100">
        <v>1</v>
      </c>
      <c r="D782" s="103">
        <f>$C782*VLOOKUP($B782,FoodDB!$A$2:$I$1018,3,0)</f>
        <v>0</v>
      </c>
      <c r="E782" s="103">
        <f>$C782*VLOOKUP($B782,FoodDB!$A$2:$I$1018,4,0)</f>
        <v>0</v>
      </c>
      <c r="F782" s="103">
        <f>$C782*VLOOKUP($B782,FoodDB!$A$2:$I$1018,5,0)</f>
        <v>0</v>
      </c>
      <c r="G782" s="103">
        <f>$C782*VLOOKUP($B782,FoodDB!$A$2:$I$1018,6,0)</f>
        <v>0</v>
      </c>
      <c r="H782" s="103">
        <f>$C782*VLOOKUP($B782,FoodDB!$A$2:$I$1018,7,0)</f>
        <v>0</v>
      </c>
      <c r="I782" s="103">
        <f>$C782*VLOOKUP($B782,FoodDB!$A$2:$I$1018,8,0)</f>
        <v>0</v>
      </c>
      <c r="J782" s="103">
        <f>$C782*VLOOKUP($B782,FoodDB!$A$2:$I$1018,9,0)</f>
        <v>0</v>
      </c>
      <c r="K782" s="103"/>
      <c r="L782" s="103"/>
      <c r="M782" s="103"/>
      <c r="N782" s="103"/>
      <c r="O782" s="103"/>
      <c r="P782" s="103"/>
      <c r="Q782" s="103"/>
      <c r="R782" s="103"/>
      <c r="S782" s="103"/>
    </row>
    <row r="783" spans="1:19" x14ac:dyDescent="0.25">
      <c r="B783" s="99" t="s">
        <v>108</v>
      </c>
      <c r="C783" s="100">
        <v>1</v>
      </c>
      <c r="D783" s="103">
        <f>$C783*VLOOKUP($B783,FoodDB!$A$2:$I$1018,3,0)</f>
        <v>0</v>
      </c>
      <c r="E783" s="103">
        <f>$C783*VLOOKUP($B783,FoodDB!$A$2:$I$1018,4,0)</f>
        <v>0</v>
      </c>
      <c r="F783" s="103">
        <f>$C783*VLOOKUP($B783,FoodDB!$A$2:$I$1018,5,0)</f>
        <v>0</v>
      </c>
      <c r="G783" s="103">
        <f>$C783*VLOOKUP($B783,FoodDB!$A$2:$I$1018,6,0)</f>
        <v>0</v>
      </c>
      <c r="H783" s="103">
        <f>$C783*VLOOKUP($B783,FoodDB!$A$2:$I$1018,7,0)</f>
        <v>0</v>
      </c>
      <c r="I783" s="103">
        <f>$C783*VLOOKUP($B783,FoodDB!$A$2:$I$1018,8,0)</f>
        <v>0</v>
      </c>
      <c r="J783" s="103">
        <f>$C783*VLOOKUP($B783,FoodDB!$A$2:$I$1018,9,0)</f>
        <v>0</v>
      </c>
      <c r="K783" s="103"/>
      <c r="L783" s="103"/>
      <c r="M783" s="103"/>
      <c r="N783" s="103"/>
      <c r="O783" s="103"/>
      <c r="P783" s="103"/>
      <c r="Q783" s="103"/>
      <c r="R783" s="103"/>
      <c r="S783" s="103"/>
    </row>
    <row r="784" spans="1:19" x14ac:dyDescent="0.25">
      <c r="B784" s="99" t="s">
        <v>108</v>
      </c>
      <c r="C784" s="100">
        <v>1</v>
      </c>
      <c r="D784" s="103">
        <f>$C784*VLOOKUP($B784,FoodDB!$A$2:$I$1018,3,0)</f>
        <v>0</v>
      </c>
      <c r="E784" s="103">
        <f>$C784*VLOOKUP($B784,FoodDB!$A$2:$I$1018,4,0)</f>
        <v>0</v>
      </c>
      <c r="F784" s="103">
        <f>$C784*VLOOKUP($B784,FoodDB!$A$2:$I$1018,5,0)</f>
        <v>0</v>
      </c>
      <c r="G784" s="103">
        <f>$C784*VLOOKUP($B784,FoodDB!$A$2:$I$1018,6,0)</f>
        <v>0</v>
      </c>
      <c r="H784" s="103">
        <f>$C784*VLOOKUP($B784,FoodDB!$A$2:$I$1018,7,0)</f>
        <v>0</v>
      </c>
      <c r="I784" s="103">
        <f>$C784*VLOOKUP($B784,FoodDB!$A$2:$I$1018,8,0)</f>
        <v>0</v>
      </c>
      <c r="J784" s="103">
        <f>$C784*VLOOKUP($B784,FoodDB!$A$2:$I$1018,9,0)</f>
        <v>0</v>
      </c>
      <c r="K784" s="103"/>
      <c r="L784" s="103"/>
      <c r="M784" s="103"/>
      <c r="N784" s="103"/>
      <c r="O784" s="103"/>
      <c r="P784" s="103"/>
      <c r="Q784" s="103"/>
      <c r="R784" s="103"/>
      <c r="S784" s="103"/>
    </row>
    <row r="785" spans="1:19" x14ac:dyDescent="0.25">
      <c r="A785" t="s">
        <v>98</v>
      </c>
      <c r="D785" s="103"/>
      <c r="E785" s="103"/>
      <c r="F785" s="103"/>
      <c r="G785" s="103">
        <f>SUM(G778:G784)</f>
        <v>0</v>
      </c>
      <c r="H785" s="103">
        <f>SUM(H778:H784)</f>
        <v>0</v>
      </c>
      <c r="I785" s="103">
        <f>SUM(I778:I784)</f>
        <v>0</v>
      </c>
      <c r="J785" s="103">
        <f>SUM(G785:I785)</f>
        <v>0</v>
      </c>
      <c r="K785" s="103"/>
      <c r="L785" s="103"/>
      <c r="M785" s="103"/>
      <c r="N785" s="103"/>
      <c r="O785" s="103"/>
      <c r="P785" s="103"/>
      <c r="Q785" s="103"/>
      <c r="R785" s="103"/>
      <c r="S785" s="103"/>
    </row>
    <row r="786" spans="1:19" x14ac:dyDescent="0.25">
      <c r="A786" t="s">
        <v>102</v>
      </c>
      <c r="B786" t="s">
        <v>103</v>
      </c>
      <c r="D786" s="103"/>
      <c r="E786" s="103"/>
      <c r="F786" s="103"/>
      <c r="G786" s="103">
        <f>VLOOKUP($A778,LossChart!$A$3:$AB$105,14,0)</f>
        <v>722.11282311584046</v>
      </c>
      <c r="H786" s="103">
        <f>VLOOKUP($A778,LossChart!$A$3:$AB$105,15,0)</f>
        <v>80</v>
      </c>
      <c r="I786" s="103">
        <f>VLOOKUP($A778,LossChart!$A$3:$AB$105,16,0)</f>
        <v>477.30407413615825</v>
      </c>
      <c r="J786" s="103">
        <f>VLOOKUP($A778,LossChart!$A$3:$AB$105,17,0)</f>
        <v>1279.4168972519988</v>
      </c>
      <c r="K786" s="103"/>
      <c r="L786" s="103"/>
      <c r="M786" s="103"/>
      <c r="N786" s="103"/>
      <c r="O786" s="103"/>
      <c r="P786" s="103"/>
      <c r="Q786" s="103"/>
      <c r="R786" s="103"/>
      <c r="S786" s="103"/>
    </row>
    <row r="787" spans="1:19" x14ac:dyDescent="0.25">
      <c r="A787" t="s">
        <v>104</v>
      </c>
      <c r="D787" s="103"/>
      <c r="E787" s="103"/>
      <c r="F787" s="103"/>
      <c r="G787" s="103">
        <f>G786-G785</f>
        <v>722.11282311584046</v>
      </c>
      <c r="H787" s="103">
        <f>H786-H785</f>
        <v>80</v>
      </c>
      <c r="I787" s="103">
        <f>I786-I785</f>
        <v>477.30407413615825</v>
      </c>
      <c r="J787" s="103">
        <f>J786-J785</f>
        <v>1279.4168972519988</v>
      </c>
      <c r="K787" s="103"/>
      <c r="L787" s="103"/>
      <c r="M787" s="103"/>
      <c r="N787" s="103"/>
      <c r="O787" s="103"/>
      <c r="P787" s="103"/>
      <c r="Q787" s="103"/>
      <c r="R787" s="103"/>
      <c r="S787" s="103"/>
    </row>
    <row r="789" spans="1:19" ht="60" x14ac:dyDescent="0.25">
      <c r="A789" s="26" t="s">
        <v>63</v>
      </c>
      <c r="B789" s="26" t="s">
        <v>93</v>
      </c>
      <c r="C789" s="26" t="s">
        <v>94</v>
      </c>
      <c r="D789" s="97" t="str">
        <f>FoodDB!$C$1</f>
        <v>Fat
(g)</v>
      </c>
      <c r="E789" s="97" t="str">
        <f>FoodDB!$D$1</f>
        <v xml:space="preserve"> Carbs
(g)</v>
      </c>
      <c r="F789" s="97" t="str">
        <f>FoodDB!$E$1</f>
        <v>Protein
(g)</v>
      </c>
      <c r="G789" s="97" t="str">
        <f>FoodDB!$F$1</f>
        <v>Fat
(Cal)</v>
      </c>
      <c r="H789" s="97" t="str">
        <f>FoodDB!$G$1</f>
        <v>Carb
(Cal)</v>
      </c>
      <c r="I789" s="97" t="str">
        <f>FoodDB!$H$1</f>
        <v>Protein
(Cal)</v>
      </c>
      <c r="J789" s="97" t="str">
        <f>FoodDB!$I$1</f>
        <v>Total
Calories</v>
      </c>
      <c r="K789" s="97"/>
      <c r="L789" s="97" t="s">
        <v>110</v>
      </c>
      <c r="M789" s="97" t="s">
        <v>111</v>
      </c>
      <c r="N789" s="97" t="s">
        <v>112</v>
      </c>
      <c r="O789" s="97" t="s">
        <v>113</v>
      </c>
      <c r="P789" s="97" t="s">
        <v>118</v>
      </c>
      <c r="Q789" s="97" t="s">
        <v>119</v>
      </c>
      <c r="R789" s="97" t="s">
        <v>120</v>
      </c>
      <c r="S789" s="97" t="s">
        <v>121</v>
      </c>
    </row>
    <row r="790" spans="1:19" x14ac:dyDescent="0.25">
      <c r="A790" s="98">
        <f>A778+1</f>
        <v>43059</v>
      </c>
      <c r="B790" s="99" t="s">
        <v>108</v>
      </c>
      <c r="C790" s="100">
        <v>1</v>
      </c>
      <c r="D790" s="103">
        <f>$C790*VLOOKUP($B790,FoodDB!$A$2:$I$1018,3,0)</f>
        <v>0</v>
      </c>
      <c r="E790" s="103">
        <f>$C790*VLOOKUP($B790,FoodDB!$A$2:$I$1018,4,0)</f>
        <v>0</v>
      </c>
      <c r="F790" s="103">
        <f>$C790*VLOOKUP($B790,FoodDB!$A$2:$I$1018,5,0)</f>
        <v>0</v>
      </c>
      <c r="G790" s="103">
        <f>$C790*VLOOKUP($B790,FoodDB!$A$2:$I$1018,6,0)</f>
        <v>0</v>
      </c>
      <c r="H790" s="103">
        <f>$C790*VLOOKUP($B790,FoodDB!$A$2:$I$1018,7,0)</f>
        <v>0</v>
      </c>
      <c r="I790" s="103">
        <f>$C790*VLOOKUP($B790,FoodDB!$A$2:$I$1018,8,0)</f>
        <v>0</v>
      </c>
      <c r="J790" s="103">
        <f>$C790*VLOOKUP($B790,FoodDB!$A$2:$I$1018,9,0)</f>
        <v>0</v>
      </c>
      <c r="K790" s="103"/>
      <c r="L790" s="103">
        <f>SUM(G790:G796)</f>
        <v>0</v>
      </c>
      <c r="M790" s="103">
        <f>SUM(H790:H796)</f>
        <v>0</v>
      </c>
      <c r="N790" s="103">
        <f>SUM(I790:I796)</f>
        <v>0</v>
      </c>
      <c r="O790" s="103">
        <f>SUM(L790:N790)</f>
        <v>0</v>
      </c>
      <c r="P790" s="103">
        <f>VLOOKUP($A790,LossChart!$A$3:$AB$105,14,0)-L790</f>
        <v>727.21941417745666</v>
      </c>
      <c r="Q790" s="103">
        <f>VLOOKUP($A790,LossChart!$A$3:$AB$105,15,0)-M790</f>
        <v>80</v>
      </c>
      <c r="R790" s="103">
        <f>VLOOKUP($A790,LossChart!$A$3:$AB$105,16,0)-N790</f>
        <v>477.30407413615825</v>
      </c>
      <c r="S790" s="103">
        <f>VLOOKUP($A790,LossChart!$A$3:$AB$105,17,0)-O790</f>
        <v>1284.523488313615</v>
      </c>
    </row>
    <row r="791" spans="1:19" x14ac:dyDescent="0.25">
      <c r="B791" s="99" t="s">
        <v>108</v>
      </c>
      <c r="C791" s="100">
        <v>1</v>
      </c>
      <c r="D791" s="103">
        <f>$C791*VLOOKUP($B791,FoodDB!$A$2:$I$1018,3,0)</f>
        <v>0</v>
      </c>
      <c r="E791" s="103">
        <f>$C791*VLOOKUP($B791,FoodDB!$A$2:$I$1018,4,0)</f>
        <v>0</v>
      </c>
      <c r="F791" s="103">
        <f>$C791*VLOOKUP($B791,FoodDB!$A$2:$I$1018,5,0)</f>
        <v>0</v>
      </c>
      <c r="G791" s="103">
        <f>$C791*VLOOKUP($B791,FoodDB!$A$2:$I$1018,6,0)</f>
        <v>0</v>
      </c>
      <c r="H791" s="103">
        <f>$C791*VLOOKUP($B791,FoodDB!$A$2:$I$1018,7,0)</f>
        <v>0</v>
      </c>
      <c r="I791" s="103">
        <f>$C791*VLOOKUP($B791,FoodDB!$A$2:$I$1018,8,0)</f>
        <v>0</v>
      </c>
      <c r="J791" s="103">
        <f>$C791*VLOOKUP($B791,FoodDB!$A$2:$I$1018,9,0)</f>
        <v>0</v>
      </c>
      <c r="K791" s="103"/>
      <c r="L791" s="103"/>
      <c r="M791" s="103"/>
      <c r="N791" s="103"/>
      <c r="O791" s="103"/>
      <c r="P791" s="103"/>
      <c r="Q791" s="103"/>
      <c r="R791" s="103"/>
      <c r="S791" s="103"/>
    </row>
    <row r="792" spans="1:19" x14ac:dyDescent="0.25">
      <c r="B792" s="99" t="s">
        <v>108</v>
      </c>
      <c r="C792" s="100">
        <v>1</v>
      </c>
      <c r="D792" s="103">
        <f>$C792*VLOOKUP($B792,FoodDB!$A$2:$I$1018,3,0)</f>
        <v>0</v>
      </c>
      <c r="E792" s="103">
        <f>$C792*VLOOKUP($B792,FoodDB!$A$2:$I$1018,4,0)</f>
        <v>0</v>
      </c>
      <c r="F792" s="103">
        <f>$C792*VLOOKUP($B792,FoodDB!$A$2:$I$1018,5,0)</f>
        <v>0</v>
      </c>
      <c r="G792" s="103">
        <f>$C792*VLOOKUP($B792,FoodDB!$A$2:$I$1018,6,0)</f>
        <v>0</v>
      </c>
      <c r="H792" s="103">
        <f>$C792*VLOOKUP($B792,FoodDB!$A$2:$I$1018,7,0)</f>
        <v>0</v>
      </c>
      <c r="I792" s="103">
        <f>$C792*VLOOKUP($B792,FoodDB!$A$2:$I$1018,8,0)</f>
        <v>0</v>
      </c>
      <c r="J792" s="103">
        <f>$C792*VLOOKUP($B792,FoodDB!$A$2:$I$1018,9,0)</f>
        <v>0</v>
      </c>
      <c r="K792" s="103"/>
      <c r="L792" s="103"/>
      <c r="M792" s="103"/>
      <c r="N792" s="103"/>
      <c r="O792" s="103"/>
      <c r="P792" s="103"/>
      <c r="Q792" s="103"/>
      <c r="R792" s="103"/>
      <c r="S792" s="103"/>
    </row>
    <row r="793" spans="1:19" x14ac:dyDescent="0.25">
      <c r="B793" s="99" t="s">
        <v>108</v>
      </c>
      <c r="C793" s="100">
        <v>1</v>
      </c>
      <c r="D793" s="103">
        <f>$C793*VLOOKUP($B793,FoodDB!$A$2:$I$1018,3,0)</f>
        <v>0</v>
      </c>
      <c r="E793" s="103">
        <f>$C793*VLOOKUP($B793,FoodDB!$A$2:$I$1018,4,0)</f>
        <v>0</v>
      </c>
      <c r="F793" s="103">
        <f>$C793*VLOOKUP($B793,FoodDB!$A$2:$I$1018,5,0)</f>
        <v>0</v>
      </c>
      <c r="G793" s="103">
        <f>$C793*VLOOKUP($B793,FoodDB!$A$2:$I$1018,6,0)</f>
        <v>0</v>
      </c>
      <c r="H793" s="103">
        <f>$C793*VLOOKUP($B793,FoodDB!$A$2:$I$1018,7,0)</f>
        <v>0</v>
      </c>
      <c r="I793" s="103">
        <f>$C793*VLOOKUP($B793,FoodDB!$A$2:$I$1018,8,0)</f>
        <v>0</v>
      </c>
      <c r="J793" s="103">
        <f>$C793*VLOOKUP($B793,FoodDB!$A$2:$I$1018,9,0)</f>
        <v>0</v>
      </c>
      <c r="K793" s="103"/>
      <c r="L793" s="103"/>
      <c r="M793" s="103"/>
      <c r="N793" s="103"/>
      <c r="O793" s="103"/>
      <c r="P793" s="103"/>
      <c r="Q793" s="103"/>
      <c r="R793" s="103"/>
      <c r="S793" s="103"/>
    </row>
    <row r="794" spans="1:19" x14ac:dyDescent="0.25">
      <c r="B794" s="99" t="s">
        <v>108</v>
      </c>
      <c r="C794" s="100">
        <v>1</v>
      </c>
      <c r="D794" s="103">
        <f>$C794*VLOOKUP($B794,FoodDB!$A$2:$I$1018,3,0)</f>
        <v>0</v>
      </c>
      <c r="E794" s="103">
        <f>$C794*VLOOKUP($B794,FoodDB!$A$2:$I$1018,4,0)</f>
        <v>0</v>
      </c>
      <c r="F794" s="103">
        <f>$C794*VLOOKUP($B794,FoodDB!$A$2:$I$1018,5,0)</f>
        <v>0</v>
      </c>
      <c r="G794" s="103">
        <f>$C794*VLOOKUP($B794,FoodDB!$A$2:$I$1018,6,0)</f>
        <v>0</v>
      </c>
      <c r="H794" s="103">
        <f>$C794*VLOOKUP($B794,FoodDB!$A$2:$I$1018,7,0)</f>
        <v>0</v>
      </c>
      <c r="I794" s="103">
        <f>$C794*VLOOKUP($B794,FoodDB!$A$2:$I$1018,8,0)</f>
        <v>0</v>
      </c>
      <c r="J794" s="103">
        <f>$C794*VLOOKUP($B794,FoodDB!$A$2:$I$1018,9,0)</f>
        <v>0</v>
      </c>
      <c r="K794" s="103"/>
      <c r="L794" s="103"/>
      <c r="M794" s="103"/>
      <c r="N794" s="103"/>
      <c r="O794" s="103"/>
      <c r="P794" s="103"/>
      <c r="Q794" s="103"/>
      <c r="R794" s="103"/>
      <c r="S794" s="103"/>
    </row>
    <row r="795" spans="1:19" x14ac:dyDescent="0.25">
      <c r="B795" s="99" t="s">
        <v>108</v>
      </c>
      <c r="C795" s="100">
        <v>1</v>
      </c>
      <c r="D795" s="103">
        <f>$C795*VLOOKUP($B795,FoodDB!$A$2:$I$1018,3,0)</f>
        <v>0</v>
      </c>
      <c r="E795" s="103">
        <f>$C795*VLOOKUP($B795,FoodDB!$A$2:$I$1018,4,0)</f>
        <v>0</v>
      </c>
      <c r="F795" s="103">
        <f>$C795*VLOOKUP($B795,FoodDB!$A$2:$I$1018,5,0)</f>
        <v>0</v>
      </c>
      <c r="G795" s="103">
        <f>$C795*VLOOKUP($B795,FoodDB!$A$2:$I$1018,6,0)</f>
        <v>0</v>
      </c>
      <c r="H795" s="103">
        <f>$C795*VLOOKUP($B795,FoodDB!$A$2:$I$1018,7,0)</f>
        <v>0</v>
      </c>
      <c r="I795" s="103">
        <f>$C795*VLOOKUP($B795,FoodDB!$A$2:$I$1018,8,0)</f>
        <v>0</v>
      </c>
      <c r="J795" s="103">
        <f>$C795*VLOOKUP($B795,FoodDB!$A$2:$I$1018,9,0)</f>
        <v>0</v>
      </c>
      <c r="K795" s="103"/>
      <c r="L795" s="103"/>
      <c r="M795" s="103"/>
      <c r="N795" s="103"/>
      <c r="O795" s="103"/>
      <c r="P795" s="103"/>
      <c r="Q795" s="103"/>
      <c r="R795" s="103"/>
      <c r="S795" s="103"/>
    </row>
    <row r="796" spans="1:19" x14ac:dyDescent="0.25">
      <c r="B796" s="99" t="s">
        <v>108</v>
      </c>
      <c r="C796" s="100">
        <v>1</v>
      </c>
      <c r="D796" s="103">
        <f>$C796*VLOOKUP($B796,FoodDB!$A$2:$I$1018,3,0)</f>
        <v>0</v>
      </c>
      <c r="E796" s="103">
        <f>$C796*VLOOKUP($B796,FoodDB!$A$2:$I$1018,4,0)</f>
        <v>0</v>
      </c>
      <c r="F796" s="103">
        <f>$C796*VLOOKUP($B796,FoodDB!$A$2:$I$1018,5,0)</f>
        <v>0</v>
      </c>
      <c r="G796" s="103">
        <f>$C796*VLOOKUP($B796,FoodDB!$A$2:$I$1018,6,0)</f>
        <v>0</v>
      </c>
      <c r="H796" s="103">
        <f>$C796*VLOOKUP($B796,FoodDB!$A$2:$I$1018,7,0)</f>
        <v>0</v>
      </c>
      <c r="I796" s="103">
        <f>$C796*VLOOKUP($B796,FoodDB!$A$2:$I$1018,8,0)</f>
        <v>0</v>
      </c>
      <c r="J796" s="103">
        <f>$C796*VLOOKUP($B796,FoodDB!$A$2:$I$1018,9,0)</f>
        <v>0</v>
      </c>
      <c r="K796" s="103"/>
      <c r="L796" s="103"/>
      <c r="M796" s="103"/>
      <c r="N796" s="103"/>
      <c r="O796" s="103"/>
      <c r="P796" s="103"/>
      <c r="Q796" s="103"/>
      <c r="R796" s="103"/>
      <c r="S796" s="103"/>
    </row>
    <row r="797" spans="1:19" x14ac:dyDescent="0.25">
      <c r="A797" t="s">
        <v>98</v>
      </c>
      <c r="D797" s="103"/>
      <c r="E797" s="103"/>
      <c r="F797" s="103"/>
      <c r="G797" s="103">
        <f>SUM(G790:G796)</f>
        <v>0</v>
      </c>
      <c r="H797" s="103">
        <f>SUM(H790:H796)</f>
        <v>0</v>
      </c>
      <c r="I797" s="103">
        <f>SUM(I790:I796)</f>
        <v>0</v>
      </c>
      <c r="J797" s="103">
        <f>SUM(G797:I797)</f>
        <v>0</v>
      </c>
      <c r="K797" s="103"/>
      <c r="L797" s="103"/>
      <c r="M797" s="103"/>
      <c r="N797" s="103"/>
      <c r="O797" s="103"/>
      <c r="P797" s="103"/>
      <c r="Q797" s="103"/>
      <c r="R797" s="103"/>
      <c r="S797" s="103"/>
    </row>
    <row r="798" spans="1:19" x14ac:dyDescent="0.25">
      <c r="A798" t="s">
        <v>102</v>
      </c>
      <c r="B798" t="s">
        <v>103</v>
      </c>
      <c r="D798" s="103"/>
      <c r="E798" s="103"/>
      <c r="F798" s="103"/>
      <c r="G798" s="103">
        <f>VLOOKUP($A790,LossChart!$A$3:$AB$105,14,0)</f>
        <v>727.21941417745666</v>
      </c>
      <c r="H798" s="103">
        <f>VLOOKUP($A790,LossChart!$A$3:$AB$105,15,0)</f>
        <v>80</v>
      </c>
      <c r="I798" s="103">
        <f>VLOOKUP($A790,LossChart!$A$3:$AB$105,16,0)</f>
        <v>477.30407413615825</v>
      </c>
      <c r="J798" s="103">
        <f>VLOOKUP($A790,LossChart!$A$3:$AB$105,17,0)</f>
        <v>1284.523488313615</v>
      </c>
      <c r="K798" s="103"/>
      <c r="L798" s="103"/>
      <c r="M798" s="103"/>
      <c r="N798" s="103"/>
      <c r="O798" s="103"/>
      <c r="P798" s="103"/>
      <c r="Q798" s="103"/>
      <c r="R798" s="103"/>
      <c r="S798" s="103"/>
    </row>
    <row r="799" spans="1:19" x14ac:dyDescent="0.25">
      <c r="A799" t="s">
        <v>104</v>
      </c>
      <c r="D799" s="103"/>
      <c r="E799" s="103"/>
      <c r="F799" s="103"/>
      <c r="G799" s="103">
        <f>G798-G797</f>
        <v>727.21941417745666</v>
      </c>
      <c r="H799" s="103">
        <f>H798-H797</f>
        <v>80</v>
      </c>
      <c r="I799" s="103">
        <f>I798-I797</f>
        <v>477.30407413615825</v>
      </c>
      <c r="J799" s="103">
        <f>J798-J797</f>
        <v>1284.523488313615</v>
      </c>
      <c r="K799" s="103"/>
      <c r="L799" s="103"/>
      <c r="M799" s="103"/>
      <c r="N799" s="103"/>
      <c r="O799" s="103"/>
      <c r="P799" s="103"/>
      <c r="Q799" s="103"/>
      <c r="R799" s="103"/>
      <c r="S799" s="103"/>
    </row>
    <row r="801" spans="1:19" ht="60" x14ac:dyDescent="0.25">
      <c r="A801" s="26" t="s">
        <v>63</v>
      </c>
      <c r="B801" s="26" t="s">
        <v>93</v>
      </c>
      <c r="C801" s="26" t="s">
        <v>94</v>
      </c>
      <c r="D801" s="97" t="str">
        <f>FoodDB!$C$1</f>
        <v>Fat
(g)</v>
      </c>
      <c r="E801" s="97" t="str">
        <f>FoodDB!$D$1</f>
        <v xml:space="preserve"> Carbs
(g)</v>
      </c>
      <c r="F801" s="97" t="str">
        <f>FoodDB!$E$1</f>
        <v>Protein
(g)</v>
      </c>
      <c r="G801" s="97" t="str">
        <f>FoodDB!$F$1</f>
        <v>Fat
(Cal)</v>
      </c>
      <c r="H801" s="97" t="str">
        <f>FoodDB!$G$1</f>
        <v>Carb
(Cal)</v>
      </c>
      <c r="I801" s="97" t="str">
        <f>FoodDB!$H$1</f>
        <v>Protein
(Cal)</v>
      </c>
      <c r="J801" s="97" t="str">
        <f>FoodDB!$I$1</f>
        <v>Total
Calories</v>
      </c>
      <c r="K801" s="97"/>
      <c r="L801" s="97" t="s">
        <v>110</v>
      </c>
      <c r="M801" s="97" t="s">
        <v>111</v>
      </c>
      <c r="N801" s="97" t="s">
        <v>112</v>
      </c>
      <c r="O801" s="97" t="s">
        <v>113</v>
      </c>
      <c r="P801" s="97" t="s">
        <v>118</v>
      </c>
      <c r="Q801" s="97" t="s">
        <v>119</v>
      </c>
      <c r="R801" s="97" t="s">
        <v>120</v>
      </c>
      <c r="S801" s="97" t="s">
        <v>121</v>
      </c>
    </row>
    <row r="802" spans="1:19" x14ac:dyDescent="0.25">
      <c r="A802" s="98">
        <f>A790+1</f>
        <v>43060</v>
      </c>
      <c r="B802" s="99" t="s">
        <v>108</v>
      </c>
      <c r="C802" s="100">
        <v>1</v>
      </c>
      <c r="D802" s="103">
        <f>$C802*VLOOKUP($B802,FoodDB!$A$2:$I$1018,3,0)</f>
        <v>0</v>
      </c>
      <c r="E802" s="103">
        <f>$C802*VLOOKUP($B802,FoodDB!$A$2:$I$1018,4,0)</f>
        <v>0</v>
      </c>
      <c r="F802" s="103">
        <f>$C802*VLOOKUP($B802,FoodDB!$A$2:$I$1018,5,0)</f>
        <v>0</v>
      </c>
      <c r="G802" s="103">
        <f>$C802*VLOOKUP($B802,FoodDB!$A$2:$I$1018,6,0)</f>
        <v>0</v>
      </c>
      <c r="H802" s="103">
        <f>$C802*VLOOKUP($B802,FoodDB!$A$2:$I$1018,7,0)</f>
        <v>0</v>
      </c>
      <c r="I802" s="103">
        <f>$C802*VLOOKUP($B802,FoodDB!$A$2:$I$1018,8,0)</f>
        <v>0</v>
      </c>
      <c r="J802" s="103">
        <f>$C802*VLOOKUP($B802,FoodDB!$A$2:$I$1018,9,0)</f>
        <v>0</v>
      </c>
      <c r="K802" s="103"/>
      <c r="L802" s="103">
        <f>SUM(G802:G808)</f>
        <v>0</v>
      </c>
      <c r="M802" s="103">
        <f>SUM(H802:H808)</f>
        <v>0</v>
      </c>
      <c r="N802" s="103">
        <f>SUM(I802:I808)</f>
        <v>0</v>
      </c>
      <c r="O802" s="103">
        <f>SUM(L802:N802)</f>
        <v>0</v>
      </c>
      <c r="P802" s="103">
        <f>VLOOKUP($A802,LossChart!$A$3:$AB$105,14,0)-L802</f>
        <v>732.28077543252812</v>
      </c>
      <c r="Q802" s="103">
        <f>VLOOKUP($A802,LossChart!$A$3:$AB$105,15,0)-M802</f>
        <v>80</v>
      </c>
      <c r="R802" s="103">
        <f>VLOOKUP($A802,LossChart!$A$3:$AB$105,16,0)-N802</f>
        <v>477.30407413615825</v>
      </c>
      <c r="S802" s="103">
        <f>VLOOKUP($A802,LossChart!$A$3:$AB$105,17,0)-O802</f>
        <v>1289.5848495686864</v>
      </c>
    </row>
    <row r="803" spans="1:19" x14ac:dyDescent="0.25">
      <c r="B803" s="99" t="s">
        <v>108</v>
      </c>
      <c r="C803" s="100">
        <v>1</v>
      </c>
      <c r="D803" s="103">
        <f>$C803*VLOOKUP($B803,FoodDB!$A$2:$I$1018,3,0)</f>
        <v>0</v>
      </c>
      <c r="E803" s="103">
        <f>$C803*VLOOKUP($B803,FoodDB!$A$2:$I$1018,4,0)</f>
        <v>0</v>
      </c>
      <c r="F803" s="103">
        <f>$C803*VLOOKUP($B803,FoodDB!$A$2:$I$1018,5,0)</f>
        <v>0</v>
      </c>
      <c r="G803" s="103">
        <f>$C803*VLOOKUP($B803,FoodDB!$A$2:$I$1018,6,0)</f>
        <v>0</v>
      </c>
      <c r="H803" s="103">
        <f>$C803*VLOOKUP($B803,FoodDB!$A$2:$I$1018,7,0)</f>
        <v>0</v>
      </c>
      <c r="I803" s="103">
        <f>$C803*VLOOKUP($B803,FoodDB!$A$2:$I$1018,8,0)</f>
        <v>0</v>
      </c>
      <c r="J803" s="103">
        <f>$C803*VLOOKUP($B803,FoodDB!$A$2:$I$1018,9,0)</f>
        <v>0</v>
      </c>
      <c r="K803" s="103"/>
      <c r="L803" s="103"/>
      <c r="M803" s="103"/>
      <c r="N803" s="103"/>
      <c r="O803" s="103"/>
      <c r="P803" s="103"/>
      <c r="Q803" s="103"/>
      <c r="R803" s="103"/>
      <c r="S803" s="103"/>
    </row>
    <row r="804" spans="1:19" x14ac:dyDescent="0.25">
      <c r="B804" s="99" t="s">
        <v>108</v>
      </c>
      <c r="C804" s="100">
        <v>1</v>
      </c>
      <c r="D804" s="103">
        <f>$C804*VLOOKUP($B804,FoodDB!$A$2:$I$1018,3,0)</f>
        <v>0</v>
      </c>
      <c r="E804" s="103">
        <f>$C804*VLOOKUP($B804,FoodDB!$A$2:$I$1018,4,0)</f>
        <v>0</v>
      </c>
      <c r="F804" s="103">
        <f>$C804*VLOOKUP($B804,FoodDB!$A$2:$I$1018,5,0)</f>
        <v>0</v>
      </c>
      <c r="G804" s="103">
        <f>$C804*VLOOKUP($B804,FoodDB!$A$2:$I$1018,6,0)</f>
        <v>0</v>
      </c>
      <c r="H804" s="103">
        <f>$C804*VLOOKUP($B804,FoodDB!$A$2:$I$1018,7,0)</f>
        <v>0</v>
      </c>
      <c r="I804" s="103">
        <f>$C804*VLOOKUP($B804,FoodDB!$A$2:$I$1018,8,0)</f>
        <v>0</v>
      </c>
      <c r="J804" s="103">
        <f>$C804*VLOOKUP($B804,FoodDB!$A$2:$I$1018,9,0)</f>
        <v>0</v>
      </c>
      <c r="K804" s="103"/>
      <c r="L804" s="103"/>
      <c r="M804" s="103"/>
      <c r="N804" s="103"/>
      <c r="O804" s="103"/>
      <c r="P804" s="103"/>
      <c r="Q804" s="103"/>
      <c r="R804" s="103"/>
      <c r="S804" s="103"/>
    </row>
    <row r="805" spans="1:19" x14ac:dyDescent="0.25">
      <c r="B805" s="99" t="s">
        <v>108</v>
      </c>
      <c r="C805" s="100">
        <v>1</v>
      </c>
      <c r="D805" s="103">
        <f>$C805*VLOOKUP($B805,FoodDB!$A$2:$I$1018,3,0)</f>
        <v>0</v>
      </c>
      <c r="E805" s="103">
        <f>$C805*VLOOKUP($B805,FoodDB!$A$2:$I$1018,4,0)</f>
        <v>0</v>
      </c>
      <c r="F805" s="103">
        <f>$C805*VLOOKUP($B805,FoodDB!$A$2:$I$1018,5,0)</f>
        <v>0</v>
      </c>
      <c r="G805" s="103">
        <f>$C805*VLOOKUP($B805,FoodDB!$A$2:$I$1018,6,0)</f>
        <v>0</v>
      </c>
      <c r="H805" s="103">
        <f>$C805*VLOOKUP($B805,FoodDB!$A$2:$I$1018,7,0)</f>
        <v>0</v>
      </c>
      <c r="I805" s="103">
        <f>$C805*VLOOKUP($B805,FoodDB!$A$2:$I$1018,8,0)</f>
        <v>0</v>
      </c>
      <c r="J805" s="103">
        <f>$C805*VLOOKUP($B805,FoodDB!$A$2:$I$1018,9,0)</f>
        <v>0</v>
      </c>
      <c r="K805" s="103"/>
      <c r="L805" s="103"/>
      <c r="M805" s="103"/>
      <c r="N805" s="103"/>
      <c r="O805" s="103"/>
      <c r="P805" s="103"/>
      <c r="Q805" s="103"/>
      <c r="R805" s="103"/>
      <c r="S805" s="103"/>
    </row>
    <row r="806" spans="1:19" x14ac:dyDescent="0.25">
      <c r="B806" s="99" t="s">
        <v>108</v>
      </c>
      <c r="C806" s="100">
        <v>1</v>
      </c>
      <c r="D806" s="103">
        <f>$C806*VLOOKUP($B806,FoodDB!$A$2:$I$1018,3,0)</f>
        <v>0</v>
      </c>
      <c r="E806" s="103">
        <f>$C806*VLOOKUP($B806,FoodDB!$A$2:$I$1018,4,0)</f>
        <v>0</v>
      </c>
      <c r="F806" s="103">
        <f>$C806*VLOOKUP($B806,FoodDB!$A$2:$I$1018,5,0)</f>
        <v>0</v>
      </c>
      <c r="G806" s="103">
        <f>$C806*VLOOKUP($B806,FoodDB!$A$2:$I$1018,6,0)</f>
        <v>0</v>
      </c>
      <c r="H806" s="103">
        <f>$C806*VLOOKUP($B806,FoodDB!$A$2:$I$1018,7,0)</f>
        <v>0</v>
      </c>
      <c r="I806" s="103">
        <f>$C806*VLOOKUP($B806,FoodDB!$A$2:$I$1018,8,0)</f>
        <v>0</v>
      </c>
      <c r="J806" s="103">
        <f>$C806*VLOOKUP($B806,FoodDB!$A$2:$I$1018,9,0)</f>
        <v>0</v>
      </c>
      <c r="K806" s="103"/>
      <c r="L806" s="103"/>
      <c r="M806" s="103"/>
      <c r="N806" s="103"/>
      <c r="O806" s="103"/>
      <c r="P806" s="103"/>
      <c r="Q806" s="103"/>
      <c r="R806" s="103"/>
      <c r="S806" s="103"/>
    </row>
    <row r="807" spans="1:19" x14ac:dyDescent="0.25">
      <c r="B807" s="99" t="s">
        <v>108</v>
      </c>
      <c r="C807" s="100">
        <v>1</v>
      </c>
      <c r="D807" s="103">
        <f>$C807*VLOOKUP($B807,FoodDB!$A$2:$I$1018,3,0)</f>
        <v>0</v>
      </c>
      <c r="E807" s="103">
        <f>$C807*VLOOKUP($B807,FoodDB!$A$2:$I$1018,4,0)</f>
        <v>0</v>
      </c>
      <c r="F807" s="103">
        <f>$C807*VLOOKUP($B807,FoodDB!$A$2:$I$1018,5,0)</f>
        <v>0</v>
      </c>
      <c r="G807" s="103">
        <f>$C807*VLOOKUP($B807,FoodDB!$A$2:$I$1018,6,0)</f>
        <v>0</v>
      </c>
      <c r="H807" s="103">
        <f>$C807*VLOOKUP($B807,FoodDB!$A$2:$I$1018,7,0)</f>
        <v>0</v>
      </c>
      <c r="I807" s="103">
        <f>$C807*VLOOKUP($B807,FoodDB!$A$2:$I$1018,8,0)</f>
        <v>0</v>
      </c>
      <c r="J807" s="103">
        <f>$C807*VLOOKUP($B807,FoodDB!$A$2:$I$1018,9,0)</f>
        <v>0</v>
      </c>
      <c r="K807" s="103"/>
      <c r="L807" s="103"/>
      <c r="M807" s="103"/>
      <c r="N807" s="103"/>
      <c r="O807" s="103"/>
      <c r="P807" s="103"/>
      <c r="Q807" s="103"/>
      <c r="R807" s="103"/>
      <c r="S807" s="103"/>
    </row>
    <row r="808" spans="1:19" x14ac:dyDescent="0.25">
      <c r="B808" s="99" t="s">
        <v>108</v>
      </c>
      <c r="C808" s="100">
        <v>1</v>
      </c>
      <c r="D808" s="103">
        <f>$C808*VLOOKUP($B808,FoodDB!$A$2:$I$1018,3,0)</f>
        <v>0</v>
      </c>
      <c r="E808" s="103">
        <f>$C808*VLOOKUP($B808,FoodDB!$A$2:$I$1018,4,0)</f>
        <v>0</v>
      </c>
      <c r="F808" s="103">
        <f>$C808*VLOOKUP($B808,FoodDB!$A$2:$I$1018,5,0)</f>
        <v>0</v>
      </c>
      <c r="G808" s="103">
        <f>$C808*VLOOKUP($B808,FoodDB!$A$2:$I$1018,6,0)</f>
        <v>0</v>
      </c>
      <c r="H808" s="103">
        <f>$C808*VLOOKUP($B808,FoodDB!$A$2:$I$1018,7,0)</f>
        <v>0</v>
      </c>
      <c r="I808" s="103">
        <f>$C808*VLOOKUP($B808,FoodDB!$A$2:$I$1018,8,0)</f>
        <v>0</v>
      </c>
      <c r="J808" s="103">
        <f>$C808*VLOOKUP($B808,FoodDB!$A$2:$I$1018,9,0)</f>
        <v>0</v>
      </c>
      <c r="K808" s="103"/>
      <c r="L808" s="103"/>
      <c r="M808" s="103"/>
      <c r="N808" s="103"/>
      <c r="O808" s="103"/>
      <c r="P808" s="103"/>
      <c r="Q808" s="103"/>
      <c r="R808" s="103"/>
      <c r="S808" s="103"/>
    </row>
    <row r="809" spans="1:19" x14ac:dyDescent="0.25">
      <c r="A809" t="s">
        <v>98</v>
      </c>
      <c r="D809" s="103"/>
      <c r="E809" s="103"/>
      <c r="F809" s="103"/>
      <c r="G809" s="103">
        <f>SUM(G802:G808)</f>
        <v>0</v>
      </c>
      <c r="H809" s="103">
        <f>SUM(H802:H808)</f>
        <v>0</v>
      </c>
      <c r="I809" s="103">
        <f>SUM(I802:I808)</f>
        <v>0</v>
      </c>
      <c r="J809" s="103">
        <f>SUM(G809:I809)</f>
        <v>0</v>
      </c>
      <c r="K809" s="103"/>
      <c r="L809" s="103"/>
      <c r="M809" s="103"/>
      <c r="N809" s="103"/>
      <c r="O809" s="103"/>
      <c r="P809" s="103"/>
      <c r="Q809" s="103"/>
      <c r="R809" s="103"/>
      <c r="S809" s="103"/>
    </row>
    <row r="810" spans="1:19" x14ac:dyDescent="0.25">
      <c r="A810" t="s">
        <v>102</v>
      </c>
      <c r="B810" t="s">
        <v>103</v>
      </c>
      <c r="D810" s="103"/>
      <c r="E810" s="103"/>
      <c r="F810" s="103"/>
      <c r="G810" s="103">
        <f>VLOOKUP($A802,LossChart!$A$3:$AB$105,14,0)</f>
        <v>732.28077543252812</v>
      </c>
      <c r="H810" s="103">
        <f>VLOOKUP($A802,LossChart!$A$3:$AB$105,15,0)</f>
        <v>80</v>
      </c>
      <c r="I810" s="103">
        <f>VLOOKUP($A802,LossChart!$A$3:$AB$105,16,0)</f>
        <v>477.30407413615825</v>
      </c>
      <c r="J810" s="103">
        <f>VLOOKUP($A802,LossChart!$A$3:$AB$105,17,0)</f>
        <v>1289.5848495686864</v>
      </c>
      <c r="K810" s="103"/>
      <c r="L810" s="103"/>
      <c r="M810" s="103"/>
      <c r="N810" s="103"/>
      <c r="O810" s="103"/>
      <c r="P810" s="103"/>
      <c r="Q810" s="103"/>
      <c r="R810" s="103"/>
      <c r="S810" s="103"/>
    </row>
    <row r="811" spans="1:19" x14ac:dyDescent="0.25">
      <c r="A811" t="s">
        <v>104</v>
      </c>
      <c r="D811" s="103"/>
      <c r="E811" s="103"/>
      <c r="F811" s="103"/>
      <c r="G811" s="103">
        <f>G810-G809</f>
        <v>732.28077543252812</v>
      </c>
      <c r="H811" s="103">
        <f>H810-H809</f>
        <v>80</v>
      </c>
      <c r="I811" s="103">
        <f>I810-I809</f>
        <v>477.30407413615825</v>
      </c>
      <c r="J811" s="103">
        <f>J810-J809</f>
        <v>1289.5848495686864</v>
      </c>
      <c r="K811" s="103"/>
      <c r="L811" s="103"/>
      <c r="M811" s="103"/>
      <c r="N811" s="103"/>
      <c r="O811" s="103"/>
      <c r="P811" s="103"/>
      <c r="Q811" s="103"/>
      <c r="R811" s="103"/>
      <c r="S811" s="103"/>
    </row>
    <row r="813" spans="1:19" ht="60" x14ac:dyDescent="0.25">
      <c r="A813" s="26" t="s">
        <v>63</v>
      </c>
      <c r="B813" s="26" t="s">
        <v>93</v>
      </c>
      <c r="C813" s="26" t="s">
        <v>94</v>
      </c>
      <c r="D813" s="97" t="str">
        <f>FoodDB!$C$1</f>
        <v>Fat
(g)</v>
      </c>
      <c r="E813" s="97" t="str">
        <f>FoodDB!$D$1</f>
        <v xml:space="preserve"> Carbs
(g)</v>
      </c>
      <c r="F813" s="97" t="str">
        <f>FoodDB!$E$1</f>
        <v>Protein
(g)</v>
      </c>
      <c r="G813" s="97" t="str">
        <f>FoodDB!$F$1</f>
        <v>Fat
(Cal)</v>
      </c>
      <c r="H813" s="97" t="str">
        <f>FoodDB!$G$1</f>
        <v>Carb
(Cal)</v>
      </c>
      <c r="I813" s="97" t="str">
        <f>FoodDB!$H$1</f>
        <v>Protein
(Cal)</v>
      </c>
      <c r="J813" s="97" t="str">
        <f>FoodDB!$I$1</f>
        <v>Total
Calories</v>
      </c>
      <c r="K813" s="97"/>
      <c r="L813" s="97" t="s">
        <v>110</v>
      </c>
      <c r="M813" s="97" t="s">
        <v>111</v>
      </c>
      <c r="N813" s="97" t="s">
        <v>112</v>
      </c>
      <c r="O813" s="97" t="s">
        <v>113</v>
      </c>
      <c r="P813" s="97" t="s">
        <v>118</v>
      </c>
      <c r="Q813" s="97" t="s">
        <v>119</v>
      </c>
      <c r="R813" s="97" t="s">
        <v>120</v>
      </c>
      <c r="S813" s="97" t="s">
        <v>121</v>
      </c>
    </row>
    <row r="814" spans="1:19" x14ac:dyDescent="0.25">
      <c r="A814" s="98">
        <f>A802+1</f>
        <v>43061</v>
      </c>
      <c r="B814" s="99" t="s">
        <v>108</v>
      </c>
      <c r="C814" s="100">
        <v>1</v>
      </c>
      <c r="D814" s="103">
        <f>$C814*VLOOKUP($B814,FoodDB!$A$2:$I$1018,3,0)</f>
        <v>0</v>
      </c>
      <c r="E814" s="103">
        <f>$C814*VLOOKUP($B814,FoodDB!$A$2:$I$1018,4,0)</f>
        <v>0</v>
      </c>
      <c r="F814" s="103">
        <f>$C814*VLOOKUP($B814,FoodDB!$A$2:$I$1018,5,0)</f>
        <v>0</v>
      </c>
      <c r="G814" s="103">
        <f>$C814*VLOOKUP($B814,FoodDB!$A$2:$I$1018,6,0)</f>
        <v>0</v>
      </c>
      <c r="H814" s="103">
        <f>$C814*VLOOKUP($B814,FoodDB!$A$2:$I$1018,7,0)</f>
        <v>0</v>
      </c>
      <c r="I814" s="103">
        <f>$C814*VLOOKUP($B814,FoodDB!$A$2:$I$1018,8,0)</f>
        <v>0</v>
      </c>
      <c r="J814" s="103">
        <f>$C814*VLOOKUP($B814,FoodDB!$A$2:$I$1018,9,0)</f>
        <v>0</v>
      </c>
      <c r="K814" s="103"/>
      <c r="L814" s="103">
        <f>SUM(G814:G820)</f>
        <v>0</v>
      </c>
      <c r="M814" s="103">
        <f>SUM(H814:H820)</f>
        <v>0</v>
      </c>
      <c r="N814" s="103">
        <f>SUM(I814:I820)</f>
        <v>0</v>
      </c>
      <c r="O814" s="103">
        <f>SUM(L814:N814)</f>
        <v>0</v>
      </c>
      <c r="P814" s="103">
        <f>VLOOKUP($A814,LossChart!$A$3:$AB$105,14,0)-L814</f>
        <v>737.29730748791144</v>
      </c>
      <c r="Q814" s="103">
        <f>VLOOKUP($A814,LossChart!$A$3:$AB$105,15,0)-M814</f>
        <v>80</v>
      </c>
      <c r="R814" s="103">
        <f>VLOOKUP($A814,LossChart!$A$3:$AB$105,16,0)-N814</f>
        <v>477.30407413615825</v>
      </c>
      <c r="S814" s="103">
        <f>VLOOKUP($A814,LossChart!$A$3:$AB$105,17,0)-O814</f>
        <v>1294.6013816240697</v>
      </c>
    </row>
    <row r="815" spans="1:19" x14ac:dyDescent="0.25">
      <c r="B815" s="99" t="s">
        <v>108</v>
      </c>
      <c r="C815" s="100">
        <v>1</v>
      </c>
      <c r="D815" s="103">
        <f>$C815*VLOOKUP($B815,FoodDB!$A$2:$I$1018,3,0)</f>
        <v>0</v>
      </c>
      <c r="E815" s="103">
        <f>$C815*VLOOKUP($B815,FoodDB!$A$2:$I$1018,4,0)</f>
        <v>0</v>
      </c>
      <c r="F815" s="103">
        <f>$C815*VLOOKUP($B815,FoodDB!$A$2:$I$1018,5,0)</f>
        <v>0</v>
      </c>
      <c r="G815" s="103">
        <f>$C815*VLOOKUP($B815,FoodDB!$A$2:$I$1018,6,0)</f>
        <v>0</v>
      </c>
      <c r="H815" s="103">
        <f>$C815*VLOOKUP($B815,FoodDB!$A$2:$I$1018,7,0)</f>
        <v>0</v>
      </c>
      <c r="I815" s="103">
        <f>$C815*VLOOKUP($B815,FoodDB!$A$2:$I$1018,8,0)</f>
        <v>0</v>
      </c>
      <c r="J815" s="103">
        <f>$C815*VLOOKUP($B815,FoodDB!$A$2:$I$1018,9,0)</f>
        <v>0</v>
      </c>
      <c r="K815" s="103"/>
      <c r="L815" s="103"/>
      <c r="M815" s="103"/>
      <c r="N815" s="103"/>
      <c r="O815" s="103"/>
      <c r="P815" s="103"/>
      <c r="Q815" s="103"/>
      <c r="R815" s="103"/>
      <c r="S815" s="103"/>
    </row>
    <row r="816" spans="1:19" x14ac:dyDescent="0.25">
      <c r="B816" s="99" t="s">
        <v>108</v>
      </c>
      <c r="C816" s="100">
        <v>1</v>
      </c>
      <c r="D816" s="103">
        <f>$C816*VLOOKUP($B816,FoodDB!$A$2:$I$1018,3,0)</f>
        <v>0</v>
      </c>
      <c r="E816" s="103">
        <f>$C816*VLOOKUP($B816,FoodDB!$A$2:$I$1018,4,0)</f>
        <v>0</v>
      </c>
      <c r="F816" s="103">
        <f>$C816*VLOOKUP($B816,FoodDB!$A$2:$I$1018,5,0)</f>
        <v>0</v>
      </c>
      <c r="G816" s="103">
        <f>$C816*VLOOKUP($B816,FoodDB!$A$2:$I$1018,6,0)</f>
        <v>0</v>
      </c>
      <c r="H816" s="103">
        <f>$C816*VLOOKUP($B816,FoodDB!$A$2:$I$1018,7,0)</f>
        <v>0</v>
      </c>
      <c r="I816" s="103">
        <f>$C816*VLOOKUP($B816,FoodDB!$A$2:$I$1018,8,0)</f>
        <v>0</v>
      </c>
      <c r="J816" s="103">
        <f>$C816*VLOOKUP($B816,FoodDB!$A$2:$I$1018,9,0)</f>
        <v>0</v>
      </c>
      <c r="K816" s="103"/>
      <c r="L816" s="103"/>
      <c r="M816" s="103"/>
      <c r="N816" s="103"/>
      <c r="O816" s="103"/>
      <c r="P816" s="103"/>
      <c r="Q816" s="103"/>
      <c r="R816" s="103"/>
      <c r="S816" s="103"/>
    </row>
    <row r="817" spans="1:19" x14ac:dyDescent="0.25">
      <c r="B817" s="99" t="s">
        <v>108</v>
      </c>
      <c r="C817" s="100">
        <v>1</v>
      </c>
      <c r="D817" s="103">
        <f>$C817*VLOOKUP($B817,FoodDB!$A$2:$I$1018,3,0)</f>
        <v>0</v>
      </c>
      <c r="E817" s="103">
        <f>$C817*VLOOKUP($B817,FoodDB!$A$2:$I$1018,4,0)</f>
        <v>0</v>
      </c>
      <c r="F817" s="103">
        <f>$C817*VLOOKUP($B817,FoodDB!$A$2:$I$1018,5,0)</f>
        <v>0</v>
      </c>
      <c r="G817" s="103">
        <f>$C817*VLOOKUP($B817,FoodDB!$A$2:$I$1018,6,0)</f>
        <v>0</v>
      </c>
      <c r="H817" s="103">
        <f>$C817*VLOOKUP($B817,FoodDB!$A$2:$I$1018,7,0)</f>
        <v>0</v>
      </c>
      <c r="I817" s="103">
        <f>$C817*VLOOKUP($B817,FoodDB!$A$2:$I$1018,8,0)</f>
        <v>0</v>
      </c>
      <c r="J817" s="103">
        <f>$C817*VLOOKUP($B817,FoodDB!$A$2:$I$1018,9,0)</f>
        <v>0</v>
      </c>
      <c r="K817" s="103"/>
      <c r="L817" s="103"/>
      <c r="M817" s="103"/>
      <c r="N817" s="103"/>
      <c r="O817" s="103"/>
      <c r="P817" s="103"/>
      <c r="Q817" s="103"/>
      <c r="R817" s="103"/>
      <c r="S817" s="103"/>
    </row>
    <row r="818" spans="1:19" x14ac:dyDescent="0.25">
      <c r="B818" s="99" t="s">
        <v>108</v>
      </c>
      <c r="C818" s="100">
        <v>1</v>
      </c>
      <c r="D818" s="103">
        <f>$C818*VLOOKUP($B818,FoodDB!$A$2:$I$1018,3,0)</f>
        <v>0</v>
      </c>
      <c r="E818" s="103">
        <f>$C818*VLOOKUP($B818,FoodDB!$A$2:$I$1018,4,0)</f>
        <v>0</v>
      </c>
      <c r="F818" s="103">
        <f>$C818*VLOOKUP($B818,FoodDB!$A$2:$I$1018,5,0)</f>
        <v>0</v>
      </c>
      <c r="G818" s="103">
        <f>$C818*VLOOKUP($B818,FoodDB!$A$2:$I$1018,6,0)</f>
        <v>0</v>
      </c>
      <c r="H818" s="103">
        <f>$C818*VLOOKUP($B818,FoodDB!$A$2:$I$1018,7,0)</f>
        <v>0</v>
      </c>
      <c r="I818" s="103">
        <f>$C818*VLOOKUP($B818,FoodDB!$A$2:$I$1018,8,0)</f>
        <v>0</v>
      </c>
      <c r="J818" s="103">
        <f>$C818*VLOOKUP($B818,FoodDB!$A$2:$I$1018,9,0)</f>
        <v>0</v>
      </c>
      <c r="K818" s="103"/>
      <c r="L818" s="103"/>
      <c r="M818" s="103"/>
      <c r="N818" s="103"/>
      <c r="O818" s="103"/>
      <c r="P818" s="103"/>
      <c r="Q818" s="103"/>
      <c r="R818" s="103"/>
      <c r="S818" s="103"/>
    </row>
    <row r="819" spans="1:19" x14ac:dyDescent="0.25">
      <c r="B819" s="99" t="s">
        <v>108</v>
      </c>
      <c r="C819" s="100">
        <v>1</v>
      </c>
      <c r="D819" s="103">
        <f>$C819*VLOOKUP($B819,FoodDB!$A$2:$I$1018,3,0)</f>
        <v>0</v>
      </c>
      <c r="E819" s="103">
        <f>$C819*VLOOKUP($B819,FoodDB!$A$2:$I$1018,4,0)</f>
        <v>0</v>
      </c>
      <c r="F819" s="103">
        <f>$C819*VLOOKUP($B819,FoodDB!$A$2:$I$1018,5,0)</f>
        <v>0</v>
      </c>
      <c r="G819" s="103">
        <f>$C819*VLOOKUP($B819,FoodDB!$A$2:$I$1018,6,0)</f>
        <v>0</v>
      </c>
      <c r="H819" s="103">
        <f>$C819*VLOOKUP($B819,FoodDB!$A$2:$I$1018,7,0)</f>
        <v>0</v>
      </c>
      <c r="I819" s="103">
        <f>$C819*VLOOKUP($B819,FoodDB!$A$2:$I$1018,8,0)</f>
        <v>0</v>
      </c>
      <c r="J819" s="103">
        <f>$C819*VLOOKUP($B819,FoodDB!$A$2:$I$1018,9,0)</f>
        <v>0</v>
      </c>
      <c r="K819" s="103"/>
      <c r="L819" s="103"/>
      <c r="M819" s="103"/>
      <c r="N819" s="103"/>
      <c r="O819" s="103"/>
      <c r="P819" s="103"/>
      <c r="Q819" s="103"/>
      <c r="R819" s="103"/>
      <c r="S819" s="103"/>
    </row>
    <row r="820" spans="1:19" x14ac:dyDescent="0.25">
      <c r="B820" s="99" t="s">
        <v>108</v>
      </c>
      <c r="C820" s="100">
        <v>1</v>
      </c>
      <c r="D820" s="103">
        <f>$C820*VLOOKUP($B820,FoodDB!$A$2:$I$1018,3,0)</f>
        <v>0</v>
      </c>
      <c r="E820" s="103">
        <f>$C820*VLOOKUP($B820,FoodDB!$A$2:$I$1018,4,0)</f>
        <v>0</v>
      </c>
      <c r="F820" s="103">
        <f>$C820*VLOOKUP($B820,FoodDB!$A$2:$I$1018,5,0)</f>
        <v>0</v>
      </c>
      <c r="G820" s="103">
        <f>$C820*VLOOKUP($B820,FoodDB!$A$2:$I$1018,6,0)</f>
        <v>0</v>
      </c>
      <c r="H820" s="103">
        <f>$C820*VLOOKUP($B820,FoodDB!$A$2:$I$1018,7,0)</f>
        <v>0</v>
      </c>
      <c r="I820" s="103">
        <f>$C820*VLOOKUP($B820,FoodDB!$A$2:$I$1018,8,0)</f>
        <v>0</v>
      </c>
      <c r="J820" s="103">
        <f>$C820*VLOOKUP($B820,FoodDB!$A$2:$I$1018,9,0)</f>
        <v>0</v>
      </c>
      <c r="K820" s="103"/>
      <c r="L820" s="103"/>
      <c r="M820" s="103"/>
      <c r="N820" s="103"/>
      <c r="O820" s="103"/>
      <c r="P820" s="103"/>
      <c r="Q820" s="103"/>
      <c r="R820" s="103"/>
      <c r="S820" s="103"/>
    </row>
    <row r="821" spans="1:19" x14ac:dyDescent="0.25">
      <c r="A821" t="s">
        <v>98</v>
      </c>
      <c r="D821" s="103"/>
      <c r="E821" s="103"/>
      <c r="F821" s="103"/>
      <c r="G821" s="103">
        <f>SUM(G814:G820)</f>
        <v>0</v>
      </c>
      <c r="H821" s="103">
        <f>SUM(H814:H820)</f>
        <v>0</v>
      </c>
      <c r="I821" s="103">
        <f>SUM(I814:I820)</f>
        <v>0</v>
      </c>
      <c r="J821" s="103">
        <f>SUM(G821:I821)</f>
        <v>0</v>
      </c>
      <c r="K821" s="103"/>
      <c r="L821" s="103"/>
      <c r="M821" s="103"/>
      <c r="N821" s="103"/>
      <c r="O821" s="103"/>
      <c r="P821" s="103"/>
      <c r="Q821" s="103"/>
      <c r="R821" s="103"/>
      <c r="S821" s="103"/>
    </row>
    <row r="822" spans="1:19" x14ac:dyDescent="0.25">
      <c r="A822" t="s">
        <v>102</v>
      </c>
      <c r="B822" t="s">
        <v>103</v>
      </c>
      <c r="D822" s="103"/>
      <c r="E822" s="103"/>
      <c r="F822" s="103"/>
      <c r="G822" s="103">
        <f>VLOOKUP($A814,LossChart!$A$3:$AB$105,14,0)</f>
        <v>737.29730748791144</v>
      </c>
      <c r="H822" s="103">
        <f>VLOOKUP($A814,LossChart!$A$3:$AB$105,15,0)</f>
        <v>80</v>
      </c>
      <c r="I822" s="103">
        <f>VLOOKUP($A814,LossChart!$A$3:$AB$105,16,0)</f>
        <v>477.30407413615825</v>
      </c>
      <c r="J822" s="103">
        <f>VLOOKUP($A814,LossChart!$A$3:$AB$105,17,0)</f>
        <v>1294.6013816240697</v>
      </c>
      <c r="K822" s="103"/>
      <c r="L822" s="103"/>
      <c r="M822" s="103"/>
      <c r="N822" s="103"/>
      <c r="O822" s="103"/>
      <c r="P822" s="103"/>
      <c r="Q822" s="103"/>
      <c r="R822" s="103"/>
      <c r="S822" s="103"/>
    </row>
    <row r="823" spans="1:19" x14ac:dyDescent="0.25">
      <c r="A823" t="s">
        <v>104</v>
      </c>
      <c r="D823" s="103"/>
      <c r="E823" s="103"/>
      <c r="F823" s="103"/>
      <c r="G823" s="103">
        <f>G822-G821</f>
        <v>737.29730748791144</v>
      </c>
      <c r="H823" s="103">
        <f>H822-H821</f>
        <v>80</v>
      </c>
      <c r="I823" s="103">
        <f>I822-I821</f>
        <v>477.30407413615825</v>
      </c>
      <c r="J823" s="103">
        <f>J822-J821</f>
        <v>1294.6013816240697</v>
      </c>
      <c r="K823" s="103"/>
      <c r="L823" s="103"/>
      <c r="M823" s="103"/>
      <c r="N823" s="103"/>
      <c r="O823" s="103"/>
      <c r="P823" s="103"/>
      <c r="Q823" s="103"/>
      <c r="R823" s="103"/>
      <c r="S823" s="103"/>
    </row>
    <row r="825" spans="1:19" ht="60" x14ac:dyDescent="0.25">
      <c r="A825" s="26" t="s">
        <v>63</v>
      </c>
      <c r="B825" s="26" t="s">
        <v>93</v>
      </c>
      <c r="C825" s="26" t="s">
        <v>94</v>
      </c>
      <c r="D825" s="97" t="str">
        <f>FoodDB!$C$1</f>
        <v>Fat
(g)</v>
      </c>
      <c r="E825" s="97" t="str">
        <f>FoodDB!$D$1</f>
        <v xml:space="preserve"> Carbs
(g)</v>
      </c>
      <c r="F825" s="97" t="str">
        <f>FoodDB!$E$1</f>
        <v>Protein
(g)</v>
      </c>
      <c r="G825" s="97" t="str">
        <f>FoodDB!$F$1</f>
        <v>Fat
(Cal)</v>
      </c>
      <c r="H825" s="97" t="str">
        <f>FoodDB!$G$1</f>
        <v>Carb
(Cal)</v>
      </c>
      <c r="I825" s="97" t="str">
        <f>FoodDB!$H$1</f>
        <v>Protein
(Cal)</v>
      </c>
      <c r="J825" s="97" t="str">
        <f>FoodDB!$I$1</f>
        <v>Total
Calories</v>
      </c>
      <c r="K825" s="97"/>
      <c r="L825" s="97" t="s">
        <v>110</v>
      </c>
      <c r="M825" s="97" t="s">
        <v>111</v>
      </c>
      <c r="N825" s="97" t="s">
        <v>112</v>
      </c>
      <c r="O825" s="97" t="s">
        <v>113</v>
      </c>
      <c r="P825" s="97" t="s">
        <v>118</v>
      </c>
      <c r="Q825" s="97" t="s">
        <v>119</v>
      </c>
      <c r="R825" s="97" t="s">
        <v>120</v>
      </c>
      <c r="S825" s="97" t="s">
        <v>121</v>
      </c>
    </row>
    <row r="826" spans="1:19" x14ac:dyDescent="0.25">
      <c r="A826" s="98">
        <f>A814+1</f>
        <v>43062</v>
      </c>
      <c r="B826" s="99" t="s">
        <v>108</v>
      </c>
      <c r="C826" s="100">
        <v>1</v>
      </c>
      <c r="D826" s="103">
        <f>$C826*VLOOKUP($B826,FoodDB!$A$2:$I$1018,3,0)</f>
        <v>0</v>
      </c>
      <c r="E826" s="103">
        <f>$C826*VLOOKUP($B826,FoodDB!$A$2:$I$1018,4,0)</f>
        <v>0</v>
      </c>
      <c r="F826" s="103">
        <f>$C826*VLOOKUP($B826,FoodDB!$A$2:$I$1018,5,0)</f>
        <v>0</v>
      </c>
      <c r="G826" s="103">
        <f>$C826*VLOOKUP($B826,FoodDB!$A$2:$I$1018,6,0)</f>
        <v>0</v>
      </c>
      <c r="H826" s="103">
        <f>$C826*VLOOKUP($B826,FoodDB!$A$2:$I$1018,7,0)</f>
        <v>0</v>
      </c>
      <c r="I826" s="103">
        <f>$C826*VLOOKUP($B826,FoodDB!$A$2:$I$1018,8,0)</f>
        <v>0</v>
      </c>
      <c r="J826" s="103">
        <f>$C826*VLOOKUP($B826,FoodDB!$A$2:$I$1018,9,0)</f>
        <v>0</v>
      </c>
      <c r="K826" s="103"/>
      <c r="L826" s="103">
        <f>SUM(G826:G832)</f>
        <v>0</v>
      </c>
      <c r="M826" s="103">
        <f>SUM(H826:H832)</f>
        <v>0</v>
      </c>
      <c r="N826" s="103">
        <f>SUM(I826:I832)</f>
        <v>0</v>
      </c>
      <c r="O826" s="103">
        <f>SUM(L826:N826)</f>
        <v>0</v>
      </c>
      <c r="P826" s="103">
        <f>VLOOKUP($A826,LossChart!$A$3:$AB$105,14,0)-L826</f>
        <v>742.26940740223245</v>
      </c>
      <c r="Q826" s="103">
        <f>VLOOKUP($A826,LossChart!$A$3:$AB$105,15,0)-M826</f>
        <v>80</v>
      </c>
      <c r="R826" s="103">
        <f>VLOOKUP($A826,LossChart!$A$3:$AB$105,16,0)-N826</f>
        <v>477.30407413615825</v>
      </c>
      <c r="S826" s="103">
        <f>VLOOKUP($A826,LossChart!$A$3:$AB$105,17,0)-O826</f>
        <v>1299.5734815383908</v>
      </c>
    </row>
    <row r="827" spans="1:19" x14ac:dyDescent="0.25">
      <c r="B827" s="99" t="s">
        <v>108</v>
      </c>
      <c r="C827" s="100">
        <v>1</v>
      </c>
      <c r="D827" s="103">
        <f>$C827*VLOOKUP($B827,FoodDB!$A$2:$I$1018,3,0)</f>
        <v>0</v>
      </c>
      <c r="E827" s="103">
        <f>$C827*VLOOKUP($B827,FoodDB!$A$2:$I$1018,4,0)</f>
        <v>0</v>
      </c>
      <c r="F827" s="103">
        <f>$C827*VLOOKUP($B827,FoodDB!$A$2:$I$1018,5,0)</f>
        <v>0</v>
      </c>
      <c r="G827" s="103">
        <f>$C827*VLOOKUP($B827,FoodDB!$A$2:$I$1018,6,0)</f>
        <v>0</v>
      </c>
      <c r="H827" s="103">
        <f>$C827*VLOOKUP($B827,FoodDB!$A$2:$I$1018,7,0)</f>
        <v>0</v>
      </c>
      <c r="I827" s="103">
        <f>$C827*VLOOKUP($B827,FoodDB!$A$2:$I$1018,8,0)</f>
        <v>0</v>
      </c>
      <c r="J827" s="103">
        <f>$C827*VLOOKUP($B827,FoodDB!$A$2:$I$1018,9,0)</f>
        <v>0</v>
      </c>
      <c r="K827" s="103"/>
      <c r="L827" s="103"/>
      <c r="M827" s="103"/>
      <c r="N827" s="103"/>
      <c r="O827" s="103"/>
      <c r="P827" s="103"/>
      <c r="Q827" s="103"/>
      <c r="R827" s="103"/>
      <c r="S827" s="103"/>
    </row>
    <row r="828" spans="1:19" x14ac:dyDescent="0.25">
      <c r="B828" s="99" t="s">
        <v>108</v>
      </c>
      <c r="C828" s="100">
        <v>1</v>
      </c>
      <c r="D828" s="103">
        <f>$C828*VLOOKUP($B828,FoodDB!$A$2:$I$1018,3,0)</f>
        <v>0</v>
      </c>
      <c r="E828" s="103">
        <f>$C828*VLOOKUP($B828,FoodDB!$A$2:$I$1018,4,0)</f>
        <v>0</v>
      </c>
      <c r="F828" s="103">
        <f>$C828*VLOOKUP($B828,FoodDB!$A$2:$I$1018,5,0)</f>
        <v>0</v>
      </c>
      <c r="G828" s="103">
        <f>$C828*VLOOKUP($B828,FoodDB!$A$2:$I$1018,6,0)</f>
        <v>0</v>
      </c>
      <c r="H828" s="103">
        <f>$C828*VLOOKUP($B828,FoodDB!$A$2:$I$1018,7,0)</f>
        <v>0</v>
      </c>
      <c r="I828" s="103">
        <f>$C828*VLOOKUP($B828,FoodDB!$A$2:$I$1018,8,0)</f>
        <v>0</v>
      </c>
      <c r="J828" s="103">
        <f>$C828*VLOOKUP($B828,FoodDB!$A$2:$I$1018,9,0)</f>
        <v>0</v>
      </c>
      <c r="K828" s="103"/>
      <c r="L828" s="103"/>
      <c r="M828" s="103"/>
      <c r="N828" s="103"/>
      <c r="O828" s="103"/>
      <c r="P828" s="103"/>
      <c r="Q828" s="103"/>
      <c r="R828" s="103"/>
      <c r="S828" s="103"/>
    </row>
    <row r="829" spans="1:19" x14ac:dyDescent="0.25">
      <c r="B829" s="99" t="s">
        <v>108</v>
      </c>
      <c r="C829" s="100">
        <v>1</v>
      </c>
      <c r="D829" s="103">
        <f>$C829*VLOOKUP($B829,FoodDB!$A$2:$I$1018,3,0)</f>
        <v>0</v>
      </c>
      <c r="E829" s="103">
        <f>$C829*VLOOKUP($B829,FoodDB!$A$2:$I$1018,4,0)</f>
        <v>0</v>
      </c>
      <c r="F829" s="103">
        <f>$C829*VLOOKUP($B829,FoodDB!$A$2:$I$1018,5,0)</f>
        <v>0</v>
      </c>
      <c r="G829" s="103">
        <f>$C829*VLOOKUP($B829,FoodDB!$A$2:$I$1018,6,0)</f>
        <v>0</v>
      </c>
      <c r="H829" s="103">
        <f>$C829*VLOOKUP($B829,FoodDB!$A$2:$I$1018,7,0)</f>
        <v>0</v>
      </c>
      <c r="I829" s="103">
        <f>$C829*VLOOKUP($B829,FoodDB!$A$2:$I$1018,8,0)</f>
        <v>0</v>
      </c>
      <c r="J829" s="103">
        <f>$C829*VLOOKUP($B829,FoodDB!$A$2:$I$1018,9,0)</f>
        <v>0</v>
      </c>
      <c r="K829" s="103"/>
      <c r="L829" s="103"/>
      <c r="M829" s="103"/>
      <c r="N829" s="103"/>
      <c r="O829" s="103"/>
      <c r="P829" s="103"/>
      <c r="Q829" s="103"/>
      <c r="R829" s="103"/>
      <c r="S829" s="103"/>
    </row>
    <row r="830" spans="1:19" x14ac:dyDescent="0.25">
      <c r="B830" s="99" t="s">
        <v>108</v>
      </c>
      <c r="C830" s="100">
        <v>1</v>
      </c>
      <c r="D830" s="103">
        <f>$C830*VLOOKUP($B830,FoodDB!$A$2:$I$1018,3,0)</f>
        <v>0</v>
      </c>
      <c r="E830" s="103">
        <f>$C830*VLOOKUP($B830,FoodDB!$A$2:$I$1018,4,0)</f>
        <v>0</v>
      </c>
      <c r="F830" s="103">
        <f>$C830*VLOOKUP($B830,FoodDB!$A$2:$I$1018,5,0)</f>
        <v>0</v>
      </c>
      <c r="G830" s="103">
        <f>$C830*VLOOKUP($B830,FoodDB!$A$2:$I$1018,6,0)</f>
        <v>0</v>
      </c>
      <c r="H830" s="103">
        <f>$C830*VLOOKUP($B830,FoodDB!$A$2:$I$1018,7,0)</f>
        <v>0</v>
      </c>
      <c r="I830" s="103">
        <f>$C830*VLOOKUP($B830,FoodDB!$A$2:$I$1018,8,0)</f>
        <v>0</v>
      </c>
      <c r="J830" s="103">
        <f>$C830*VLOOKUP($B830,FoodDB!$A$2:$I$1018,9,0)</f>
        <v>0</v>
      </c>
      <c r="K830" s="103"/>
      <c r="L830" s="103"/>
      <c r="M830" s="103"/>
      <c r="N830" s="103"/>
      <c r="O830" s="103"/>
      <c r="P830" s="103"/>
      <c r="Q830" s="103"/>
      <c r="R830" s="103"/>
      <c r="S830" s="103"/>
    </row>
    <row r="831" spans="1:19" x14ac:dyDescent="0.25">
      <c r="B831" s="99" t="s">
        <v>108</v>
      </c>
      <c r="C831" s="100">
        <v>1</v>
      </c>
      <c r="D831" s="103">
        <f>$C831*VLOOKUP($B831,FoodDB!$A$2:$I$1018,3,0)</f>
        <v>0</v>
      </c>
      <c r="E831" s="103">
        <f>$C831*VLOOKUP($B831,FoodDB!$A$2:$I$1018,4,0)</f>
        <v>0</v>
      </c>
      <c r="F831" s="103">
        <f>$C831*VLOOKUP($B831,FoodDB!$A$2:$I$1018,5,0)</f>
        <v>0</v>
      </c>
      <c r="G831" s="103">
        <f>$C831*VLOOKUP($B831,FoodDB!$A$2:$I$1018,6,0)</f>
        <v>0</v>
      </c>
      <c r="H831" s="103">
        <f>$C831*VLOOKUP($B831,FoodDB!$A$2:$I$1018,7,0)</f>
        <v>0</v>
      </c>
      <c r="I831" s="103">
        <f>$C831*VLOOKUP($B831,FoodDB!$A$2:$I$1018,8,0)</f>
        <v>0</v>
      </c>
      <c r="J831" s="103">
        <f>$C831*VLOOKUP($B831,FoodDB!$A$2:$I$1018,9,0)</f>
        <v>0</v>
      </c>
      <c r="K831" s="103"/>
      <c r="L831" s="103"/>
      <c r="M831" s="103"/>
      <c r="N831" s="103"/>
      <c r="O831" s="103"/>
      <c r="P831" s="103"/>
      <c r="Q831" s="103"/>
      <c r="R831" s="103"/>
      <c r="S831" s="103"/>
    </row>
    <row r="832" spans="1:19" x14ac:dyDescent="0.25">
      <c r="B832" s="99" t="s">
        <v>108</v>
      </c>
      <c r="C832" s="100">
        <v>1</v>
      </c>
      <c r="D832" s="103">
        <f>$C832*VLOOKUP($B832,FoodDB!$A$2:$I$1018,3,0)</f>
        <v>0</v>
      </c>
      <c r="E832" s="103">
        <f>$C832*VLOOKUP($B832,FoodDB!$A$2:$I$1018,4,0)</f>
        <v>0</v>
      </c>
      <c r="F832" s="103">
        <f>$C832*VLOOKUP($B832,FoodDB!$A$2:$I$1018,5,0)</f>
        <v>0</v>
      </c>
      <c r="G832" s="103">
        <f>$C832*VLOOKUP($B832,FoodDB!$A$2:$I$1018,6,0)</f>
        <v>0</v>
      </c>
      <c r="H832" s="103">
        <f>$C832*VLOOKUP($B832,FoodDB!$A$2:$I$1018,7,0)</f>
        <v>0</v>
      </c>
      <c r="I832" s="103">
        <f>$C832*VLOOKUP($B832,FoodDB!$A$2:$I$1018,8,0)</f>
        <v>0</v>
      </c>
      <c r="J832" s="103">
        <f>$C832*VLOOKUP($B832,FoodDB!$A$2:$I$1018,9,0)</f>
        <v>0</v>
      </c>
      <c r="K832" s="103"/>
      <c r="L832" s="103"/>
      <c r="M832" s="103"/>
      <c r="N832" s="103"/>
      <c r="O832" s="103"/>
      <c r="P832" s="103"/>
      <c r="Q832" s="103"/>
      <c r="R832" s="103"/>
      <c r="S832" s="103"/>
    </row>
    <row r="833" spans="1:19" x14ac:dyDescent="0.25">
      <c r="A833" t="s">
        <v>98</v>
      </c>
      <c r="D833" s="103"/>
      <c r="E833" s="103"/>
      <c r="F833" s="103"/>
      <c r="G833" s="103">
        <f>SUM(G826:G832)</f>
        <v>0</v>
      </c>
      <c r="H833" s="103">
        <f>SUM(H826:H832)</f>
        <v>0</v>
      </c>
      <c r="I833" s="103">
        <f>SUM(I826:I832)</f>
        <v>0</v>
      </c>
      <c r="J833" s="103">
        <f>SUM(G833:I833)</f>
        <v>0</v>
      </c>
      <c r="K833" s="103"/>
      <c r="L833" s="103"/>
      <c r="M833" s="103"/>
      <c r="N833" s="103"/>
      <c r="O833" s="103"/>
      <c r="P833" s="103"/>
      <c r="Q833" s="103"/>
      <c r="R833" s="103"/>
      <c r="S833" s="103"/>
    </row>
    <row r="834" spans="1:19" x14ac:dyDescent="0.25">
      <c r="A834" t="s">
        <v>102</v>
      </c>
      <c r="B834" t="s">
        <v>103</v>
      </c>
      <c r="D834" s="103"/>
      <c r="E834" s="103"/>
      <c r="F834" s="103"/>
      <c r="G834" s="103">
        <f>VLOOKUP($A826,LossChart!$A$3:$AB$105,14,0)</f>
        <v>742.26940740223245</v>
      </c>
      <c r="H834" s="103">
        <f>VLOOKUP($A826,LossChart!$A$3:$AB$105,15,0)</f>
        <v>80</v>
      </c>
      <c r="I834" s="103">
        <f>VLOOKUP($A826,LossChart!$A$3:$AB$105,16,0)</f>
        <v>477.30407413615825</v>
      </c>
      <c r="J834" s="103">
        <f>VLOOKUP($A826,LossChart!$A$3:$AB$105,17,0)</f>
        <v>1299.5734815383908</v>
      </c>
      <c r="K834" s="103"/>
      <c r="L834" s="103"/>
      <c r="M834" s="103"/>
      <c r="N834" s="103"/>
      <c r="O834" s="103"/>
      <c r="P834" s="103"/>
      <c r="Q834" s="103"/>
      <c r="R834" s="103"/>
      <c r="S834" s="103"/>
    </row>
    <row r="835" spans="1:19" x14ac:dyDescent="0.25">
      <c r="A835" t="s">
        <v>104</v>
      </c>
      <c r="D835" s="103"/>
      <c r="E835" s="103"/>
      <c r="F835" s="103"/>
      <c r="G835" s="103">
        <f>G834-G833</f>
        <v>742.26940740223245</v>
      </c>
      <c r="H835" s="103">
        <f>H834-H833</f>
        <v>80</v>
      </c>
      <c r="I835" s="103">
        <f>I834-I833</f>
        <v>477.30407413615825</v>
      </c>
      <c r="J835" s="103">
        <f>J834-J833</f>
        <v>1299.5734815383908</v>
      </c>
      <c r="K835" s="103"/>
      <c r="L835" s="103"/>
      <c r="M835" s="103"/>
      <c r="N835" s="103"/>
      <c r="O835" s="103"/>
      <c r="P835" s="103"/>
      <c r="Q835" s="103"/>
      <c r="R835" s="103"/>
      <c r="S835" s="103"/>
    </row>
    <row r="836" spans="1:19" x14ac:dyDescent="0.25"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</row>
    <row r="837" spans="1:19" ht="60" x14ac:dyDescent="0.25">
      <c r="A837" s="26" t="s">
        <v>63</v>
      </c>
      <c r="B837" s="26" t="s">
        <v>93</v>
      </c>
      <c r="C837" s="26" t="s">
        <v>94</v>
      </c>
      <c r="D837" s="97" t="str">
        <f>FoodDB!$C$1</f>
        <v>Fat
(g)</v>
      </c>
      <c r="E837" s="97" t="str">
        <f>FoodDB!$D$1</f>
        <v xml:space="preserve"> Carbs
(g)</v>
      </c>
      <c r="F837" s="97" t="str">
        <f>FoodDB!$E$1</f>
        <v>Protein
(g)</v>
      </c>
      <c r="G837" s="97" t="str">
        <f>FoodDB!$F$1</f>
        <v>Fat
(Cal)</v>
      </c>
      <c r="H837" s="97" t="str">
        <f>FoodDB!$G$1</f>
        <v>Carb
(Cal)</v>
      </c>
      <c r="I837" s="97" t="str">
        <f>FoodDB!$H$1</f>
        <v>Protein
(Cal)</v>
      </c>
      <c r="J837" s="97" t="str">
        <f>FoodDB!$I$1</f>
        <v>Total
Calories</v>
      </c>
      <c r="K837" s="97"/>
      <c r="L837" s="97" t="s">
        <v>110</v>
      </c>
      <c r="M837" s="97" t="s">
        <v>111</v>
      </c>
      <c r="N837" s="97" t="s">
        <v>112</v>
      </c>
      <c r="O837" s="97" t="s">
        <v>113</v>
      </c>
      <c r="P837" s="97" t="s">
        <v>118</v>
      </c>
      <c r="Q837" s="97" t="s">
        <v>119</v>
      </c>
      <c r="R837" s="97" t="s">
        <v>120</v>
      </c>
      <c r="S837" s="97" t="s">
        <v>121</v>
      </c>
    </row>
    <row r="838" spans="1:19" x14ac:dyDescent="0.25">
      <c r="A838" s="98">
        <f>A826+1</f>
        <v>43063</v>
      </c>
      <c r="B838" s="99" t="s">
        <v>108</v>
      </c>
      <c r="C838" s="100">
        <v>1</v>
      </c>
      <c r="D838" s="103">
        <f>$C838*VLOOKUP($B838,FoodDB!$A$2:$I$1018,3,0)</f>
        <v>0</v>
      </c>
      <c r="E838" s="103">
        <f>$C838*VLOOKUP($B838,FoodDB!$A$2:$I$1018,4,0)</f>
        <v>0</v>
      </c>
      <c r="F838" s="103">
        <f>$C838*VLOOKUP($B838,FoodDB!$A$2:$I$1018,5,0)</f>
        <v>0</v>
      </c>
      <c r="G838" s="103">
        <f>$C838*VLOOKUP($B838,FoodDB!$A$2:$I$1018,6,0)</f>
        <v>0</v>
      </c>
      <c r="H838" s="103">
        <f>$C838*VLOOKUP($B838,FoodDB!$A$2:$I$1018,7,0)</f>
        <v>0</v>
      </c>
      <c r="I838" s="103">
        <f>$C838*VLOOKUP($B838,FoodDB!$A$2:$I$1018,8,0)</f>
        <v>0</v>
      </c>
      <c r="J838" s="103">
        <f>$C838*VLOOKUP($B838,FoodDB!$A$2:$I$1018,9,0)</f>
        <v>0</v>
      </c>
      <c r="K838" s="103"/>
      <c r="L838" s="103">
        <f>SUM(G838:G844)</f>
        <v>0</v>
      </c>
      <c r="M838" s="103">
        <f>SUM(H838:H844)</f>
        <v>0</v>
      </c>
      <c r="N838" s="103">
        <f>SUM(I838:I844)</f>
        <v>0</v>
      </c>
      <c r="O838" s="103">
        <f>SUM(L838:N838)</f>
        <v>0</v>
      </c>
      <c r="P838" s="103">
        <f>VLOOKUP($A838,LossChart!$A$3:$AB$105,14,0)-L838</f>
        <v>747.19746871731309</v>
      </c>
      <c r="Q838" s="103">
        <f>VLOOKUP($A838,LossChart!$A$3:$AB$105,15,0)-M838</f>
        <v>80</v>
      </c>
      <c r="R838" s="103">
        <f>VLOOKUP($A838,LossChart!$A$3:$AB$105,16,0)-N838</f>
        <v>477.30407413615825</v>
      </c>
      <c r="S838" s="103">
        <f>VLOOKUP($A838,LossChart!$A$3:$AB$105,17,0)-O838</f>
        <v>1304.5015428534714</v>
      </c>
    </row>
    <row r="839" spans="1:19" x14ac:dyDescent="0.25">
      <c r="B839" s="99" t="s">
        <v>108</v>
      </c>
      <c r="C839" s="100">
        <v>1</v>
      </c>
      <c r="D839" s="103">
        <f>$C839*VLOOKUP($B839,FoodDB!$A$2:$I$1018,3,0)</f>
        <v>0</v>
      </c>
      <c r="E839" s="103">
        <f>$C839*VLOOKUP($B839,FoodDB!$A$2:$I$1018,4,0)</f>
        <v>0</v>
      </c>
      <c r="F839" s="103">
        <f>$C839*VLOOKUP($B839,FoodDB!$A$2:$I$1018,5,0)</f>
        <v>0</v>
      </c>
      <c r="G839" s="103">
        <f>$C839*VLOOKUP($B839,FoodDB!$A$2:$I$1018,6,0)</f>
        <v>0</v>
      </c>
      <c r="H839" s="103">
        <f>$C839*VLOOKUP($B839,FoodDB!$A$2:$I$1018,7,0)</f>
        <v>0</v>
      </c>
      <c r="I839" s="103">
        <f>$C839*VLOOKUP($B839,FoodDB!$A$2:$I$1018,8,0)</f>
        <v>0</v>
      </c>
      <c r="J839" s="103">
        <f>$C839*VLOOKUP($B839,FoodDB!$A$2:$I$1018,9,0)</f>
        <v>0</v>
      </c>
      <c r="K839" s="103"/>
      <c r="L839" s="103"/>
      <c r="M839" s="103"/>
      <c r="N839" s="103"/>
      <c r="O839" s="103"/>
      <c r="P839" s="103"/>
      <c r="Q839" s="103"/>
      <c r="R839" s="103"/>
      <c r="S839" s="103"/>
    </row>
    <row r="840" spans="1:19" x14ac:dyDescent="0.25">
      <c r="B840" s="99" t="s">
        <v>108</v>
      </c>
      <c r="C840" s="100">
        <v>1</v>
      </c>
      <c r="D840" s="103">
        <f>$C840*VLOOKUP($B840,FoodDB!$A$2:$I$1018,3,0)</f>
        <v>0</v>
      </c>
      <c r="E840" s="103">
        <f>$C840*VLOOKUP($B840,FoodDB!$A$2:$I$1018,4,0)</f>
        <v>0</v>
      </c>
      <c r="F840" s="103">
        <f>$C840*VLOOKUP($B840,FoodDB!$A$2:$I$1018,5,0)</f>
        <v>0</v>
      </c>
      <c r="G840" s="103">
        <f>$C840*VLOOKUP($B840,FoodDB!$A$2:$I$1018,6,0)</f>
        <v>0</v>
      </c>
      <c r="H840" s="103">
        <f>$C840*VLOOKUP($B840,FoodDB!$A$2:$I$1018,7,0)</f>
        <v>0</v>
      </c>
      <c r="I840" s="103">
        <f>$C840*VLOOKUP($B840,FoodDB!$A$2:$I$1018,8,0)</f>
        <v>0</v>
      </c>
      <c r="J840" s="103">
        <f>$C840*VLOOKUP($B840,FoodDB!$A$2:$I$1018,9,0)</f>
        <v>0</v>
      </c>
      <c r="K840" s="103"/>
      <c r="L840" s="103"/>
      <c r="M840" s="103"/>
      <c r="N840" s="103"/>
      <c r="O840" s="103"/>
      <c r="P840" s="103"/>
      <c r="Q840" s="103"/>
      <c r="R840" s="103"/>
      <c r="S840" s="103"/>
    </row>
    <row r="841" spans="1:19" x14ac:dyDescent="0.25">
      <c r="B841" s="99" t="s">
        <v>108</v>
      </c>
      <c r="C841" s="100">
        <v>1</v>
      </c>
      <c r="D841" s="103">
        <f>$C841*VLOOKUP($B841,FoodDB!$A$2:$I$1018,3,0)</f>
        <v>0</v>
      </c>
      <c r="E841" s="103">
        <f>$C841*VLOOKUP($B841,FoodDB!$A$2:$I$1018,4,0)</f>
        <v>0</v>
      </c>
      <c r="F841" s="103">
        <f>$C841*VLOOKUP($B841,FoodDB!$A$2:$I$1018,5,0)</f>
        <v>0</v>
      </c>
      <c r="G841" s="103">
        <f>$C841*VLOOKUP($B841,FoodDB!$A$2:$I$1018,6,0)</f>
        <v>0</v>
      </c>
      <c r="H841" s="103">
        <f>$C841*VLOOKUP($B841,FoodDB!$A$2:$I$1018,7,0)</f>
        <v>0</v>
      </c>
      <c r="I841" s="103">
        <f>$C841*VLOOKUP($B841,FoodDB!$A$2:$I$1018,8,0)</f>
        <v>0</v>
      </c>
      <c r="J841" s="103">
        <f>$C841*VLOOKUP($B841,FoodDB!$A$2:$I$1018,9,0)</f>
        <v>0</v>
      </c>
      <c r="K841" s="103"/>
      <c r="L841" s="103"/>
      <c r="M841" s="103"/>
      <c r="N841" s="103"/>
      <c r="O841" s="103"/>
      <c r="P841" s="103"/>
      <c r="Q841" s="103"/>
      <c r="R841" s="103"/>
      <c r="S841" s="103"/>
    </row>
    <row r="842" spans="1:19" x14ac:dyDescent="0.25">
      <c r="B842" s="99" t="s">
        <v>108</v>
      </c>
      <c r="C842" s="100">
        <v>1</v>
      </c>
      <c r="D842" s="103">
        <f>$C842*VLOOKUP($B842,FoodDB!$A$2:$I$1018,3,0)</f>
        <v>0</v>
      </c>
      <c r="E842" s="103">
        <f>$C842*VLOOKUP($B842,FoodDB!$A$2:$I$1018,4,0)</f>
        <v>0</v>
      </c>
      <c r="F842" s="103">
        <f>$C842*VLOOKUP($B842,FoodDB!$A$2:$I$1018,5,0)</f>
        <v>0</v>
      </c>
      <c r="G842" s="103">
        <f>$C842*VLOOKUP($B842,FoodDB!$A$2:$I$1018,6,0)</f>
        <v>0</v>
      </c>
      <c r="H842" s="103">
        <f>$C842*VLOOKUP($B842,FoodDB!$A$2:$I$1018,7,0)</f>
        <v>0</v>
      </c>
      <c r="I842" s="103">
        <f>$C842*VLOOKUP($B842,FoodDB!$A$2:$I$1018,8,0)</f>
        <v>0</v>
      </c>
      <c r="J842" s="103">
        <f>$C842*VLOOKUP($B842,FoodDB!$A$2:$I$1018,9,0)</f>
        <v>0</v>
      </c>
      <c r="K842" s="103"/>
      <c r="L842" s="103"/>
      <c r="M842" s="103"/>
      <c r="N842" s="103"/>
      <c r="O842" s="103"/>
      <c r="P842" s="103"/>
      <c r="Q842" s="103"/>
      <c r="R842" s="103"/>
      <c r="S842" s="103"/>
    </row>
    <row r="843" spans="1:19" x14ac:dyDescent="0.25">
      <c r="B843" s="99" t="s">
        <v>108</v>
      </c>
      <c r="C843" s="100">
        <v>1</v>
      </c>
      <c r="D843" s="103">
        <f>$C843*VLOOKUP($B843,FoodDB!$A$2:$I$1018,3,0)</f>
        <v>0</v>
      </c>
      <c r="E843" s="103">
        <f>$C843*VLOOKUP($B843,FoodDB!$A$2:$I$1018,4,0)</f>
        <v>0</v>
      </c>
      <c r="F843" s="103">
        <f>$C843*VLOOKUP($B843,FoodDB!$A$2:$I$1018,5,0)</f>
        <v>0</v>
      </c>
      <c r="G843" s="103">
        <f>$C843*VLOOKUP($B843,FoodDB!$A$2:$I$1018,6,0)</f>
        <v>0</v>
      </c>
      <c r="H843" s="103">
        <f>$C843*VLOOKUP($B843,FoodDB!$A$2:$I$1018,7,0)</f>
        <v>0</v>
      </c>
      <c r="I843" s="103">
        <f>$C843*VLOOKUP($B843,FoodDB!$A$2:$I$1018,8,0)</f>
        <v>0</v>
      </c>
      <c r="J843" s="103">
        <f>$C843*VLOOKUP($B843,FoodDB!$A$2:$I$1018,9,0)</f>
        <v>0</v>
      </c>
      <c r="K843" s="103"/>
      <c r="L843" s="103"/>
      <c r="M843" s="103"/>
      <c r="N843" s="103"/>
      <c r="O843" s="103"/>
      <c r="P843" s="103"/>
      <c r="Q843" s="103"/>
      <c r="R843" s="103"/>
      <c r="S843" s="103"/>
    </row>
    <row r="844" spans="1:19" x14ac:dyDescent="0.25">
      <c r="B844" s="99" t="s">
        <v>108</v>
      </c>
      <c r="C844" s="100">
        <v>1</v>
      </c>
      <c r="D844" s="103">
        <f>$C844*VLOOKUP($B844,FoodDB!$A$2:$I$1018,3,0)</f>
        <v>0</v>
      </c>
      <c r="E844" s="103">
        <f>$C844*VLOOKUP($B844,FoodDB!$A$2:$I$1018,4,0)</f>
        <v>0</v>
      </c>
      <c r="F844" s="103">
        <f>$C844*VLOOKUP($B844,FoodDB!$A$2:$I$1018,5,0)</f>
        <v>0</v>
      </c>
      <c r="G844" s="103">
        <f>$C844*VLOOKUP($B844,FoodDB!$A$2:$I$1018,6,0)</f>
        <v>0</v>
      </c>
      <c r="H844" s="103">
        <f>$C844*VLOOKUP($B844,FoodDB!$A$2:$I$1018,7,0)</f>
        <v>0</v>
      </c>
      <c r="I844" s="103">
        <f>$C844*VLOOKUP($B844,FoodDB!$A$2:$I$1018,8,0)</f>
        <v>0</v>
      </c>
      <c r="J844" s="103">
        <f>$C844*VLOOKUP($B844,FoodDB!$A$2:$I$1018,9,0)</f>
        <v>0</v>
      </c>
      <c r="K844" s="103"/>
      <c r="L844" s="103"/>
      <c r="M844" s="103"/>
      <c r="N844" s="103"/>
      <c r="O844" s="103"/>
      <c r="P844" s="103"/>
      <c r="Q844" s="103"/>
      <c r="R844" s="103"/>
      <c r="S844" s="103"/>
    </row>
    <row r="845" spans="1:19" x14ac:dyDescent="0.25">
      <c r="A845" t="s">
        <v>98</v>
      </c>
      <c r="D845" s="103"/>
      <c r="E845" s="103"/>
      <c r="F845" s="103"/>
      <c r="G845" s="103">
        <f>SUM(G838:G844)</f>
        <v>0</v>
      </c>
      <c r="H845" s="103">
        <f>SUM(H838:H844)</f>
        <v>0</v>
      </c>
      <c r="I845" s="103">
        <f>SUM(I838:I844)</f>
        <v>0</v>
      </c>
      <c r="J845" s="103">
        <f>SUM(G845:I845)</f>
        <v>0</v>
      </c>
      <c r="K845" s="103"/>
      <c r="L845" s="103"/>
      <c r="M845" s="103"/>
      <c r="N845" s="103"/>
      <c r="O845" s="103"/>
      <c r="P845" s="103"/>
      <c r="Q845" s="103"/>
      <c r="R845" s="103"/>
      <c r="S845" s="103"/>
    </row>
    <row r="846" spans="1:19" x14ac:dyDescent="0.25">
      <c r="A846" t="s">
        <v>102</v>
      </c>
      <c r="B846" t="s">
        <v>103</v>
      </c>
      <c r="D846" s="103"/>
      <c r="E846" s="103"/>
      <c r="F846" s="103"/>
      <c r="G846" s="103">
        <f>VLOOKUP($A838,LossChart!$A$3:$AB$105,14,0)</f>
        <v>747.19746871731309</v>
      </c>
      <c r="H846" s="103">
        <f>VLOOKUP($A838,LossChart!$A$3:$AB$105,15,0)</f>
        <v>80</v>
      </c>
      <c r="I846" s="103">
        <f>VLOOKUP($A838,LossChart!$A$3:$AB$105,16,0)</f>
        <v>477.30407413615825</v>
      </c>
      <c r="J846" s="103">
        <f>VLOOKUP($A838,LossChart!$A$3:$AB$105,17,0)</f>
        <v>1304.5015428534714</v>
      </c>
      <c r="K846" s="103"/>
      <c r="L846" s="103"/>
      <c r="M846" s="103"/>
      <c r="N846" s="103"/>
      <c r="O846" s="103"/>
      <c r="P846" s="103"/>
      <c r="Q846" s="103"/>
      <c r="R846" s="103"/>
      <c r="S846" s="103"/>
    </row>
    <row r="847" spans="1:19" x14ac:dyDescent="0.25">
      <c r="A847" t="s">
        <v>104</v>
      </c>
      <c r="D847" s="103"/>
      <c r="E847" s="103"/>
      <c r="F847" s="103"/>
      <c r="G847" s="103">
        <f>G846-G845</f>
        <v>747.19746871731309</v>
      </c>
      <c r="H847" s="103">
        <f>H846-H845</f>
        <v>80</v>
      </c>
      <c r="I847" s="103">
        <f>I846-I845</f>
        <v>477.30407413615825</v>
      </c>
      <c r="J847" s="103">
        <f>J846-J845</f>
        <v>1304.5015428534714</v>
      </c>
      <c r="K847" s="103"/>
      <c r="L847" s="103"/>
      <c r="M847" s="103"/>
      <c r="N847" s="103"/>
      <c r="O847" s="103"/>
      <c r="P847" s="103"/>
      <c r="Q847" s="103"/>
      <c r="R847" s="103"/>
      <c r="S847" s="103"/>
    </row>
    <row r="849" spans="1:19" ht="60" x14ac:dyDescent="0.25">
      <c r="A849" s="26" t="s">
        <v>63</v>
      </c>
      <c r="B849" s="26" t="s">
        <v>93</v>
      </c>
      <c r="C849" s="26" t="s">
        <v>94</v>
      </c>
      <c r="D849" s="97" t="str">
        <f>FoodDB!$C$1</f>
        <v>Fat
(g)</v>
      </c>
      <c r="E849" s="97" t="str">
        <f>FoodDB!$D$1</f>
        <v xml:space="preserve"> Carbs
(g)</v>
      </c>
      <c r="F849" s="97" t="str">
        <f>FoodDB!$E$1</f>
        <v>Protein
(g)</v>
      </c>
      <c r="G849" s="97" t="str">
        <f>FoodDB!$F$1</f>
        <v>Fat
(Cal)</v>
      </c>
      <c r="H849" s="97" t="str">
        <f>FoodDB!$G$1</f>
        <v>Carb
(Cal)</v>
      </c>
      <c r="I849" s="97" t="str">
        <f>FoodDB!$H$1</f>
        <v>Protein
(Cal)</v>
      </c>
      <c r="J849" s="97" t="str">
        <f>FoodDB!$I$1</f>
        <v>Total
Calories</v>
      </c>
      <c r="K849" s="97"/>
      <c r="L849" s="97" t="s">
        <v>110</v>
      </c>
      <c r="M849" s="97" t="s">
        <v>111</v>
      </c>
      <c r="N849" s="97" t="s">
        <v>112</v>
      </c>
      <c r="O849" s="97" t="s">
        <v>113</v>
      </c>
      <c r="P849" s="97" t="s">
        <v>118</v>
      </c>
      <c r="Q849" s="97" t="s">
        <v>119</v>
      </c>
      <c r="R849" s="97" t="s">
        <v>120</v>
      </c>
      <c r="S849" s="97" t="s">
        <v>121</v>
      </c>
    </row>
    <row r="850" spans="1:19" x14ac:dyDescent="0.25">
      <c r="A850" s="98">
        <f>A838+1</f>
        <v>43064</v>
      </c>
      <c r="B850" s="99" t="s">
        <v>108</v>
      </c>
      <c r="C850" s="100">
        <v>1</v>
      </c>
      <c r="D850" s="103">
        <f>$C850*VLOOKUP($B850,FoodDB!$A$2:$I$1018,3,0)</f>
        <v>0</v>
      </c>
      <c r="E850" s="103">
        <f>$C850*VLOOKUP($B850,FoodDB!$A$2:$I$1018,4,0)</f>
        <v>0</v>
      </c>
      <c r="F850" s="103">
        <f>$C850*VLOOKUP($B850,FoodDB!$A$2:$I$1018,5,0)</f>
        <v>0</v>
      </c>
      <c r="G850" s="103">
        <f>$C850*VLOOKUP($B850,FoodDB!$A$2:$I$1018,6,0)</f>
        <v>0</v>
      </c>
      <c r="H850" s="103">
        <f>$C850*VLOOKUP($B850,FoodDB!$A$2:$I$1018,7,0)</f>
        <v>0</v>
      </c>
      <c r="I850" s="103">
        <f>$C850*VLOOKUP($B850,FoodDB!$A$2:$I$1018,8,0)</f>
        <v>0</v>
      </c>
      <c r="J850" s="103">
        <f>$C850*VLOOKUP($B850,FoodDB!$A$2:$I$1018,9,0)</f>
        <v>0</v>
      </c>
      <c r="K850" s="103"/>
      <c r="L850" s="103">
        <f>SUM(G850:G856)</f>
        <v>0</v>
      </c>
      <c r="M850" s="103">
        <f>SUM(H850:H856)</f>
        <v>0</v>
      </c>
      <c r="N850" s="103">
        <f>SUM(I850:I856)</f>
        <v>0</v>
      </c>
      <c r="O850" s="103">
        <f>SUM(L850:N850)</f>
        <v>0</v>
      </c>
      <c r="P850" s="103">
        <f>VLOOKUP($A850,LossChart!$A$3:$AB$105,14,0)-L850</f>
        <v>752.08188148931708</v>
      </c>
      <c r="Q850" s="103">
        <f>VLOOKUP($A850,LossChart!$A$3:$AB$105,15,0)-M850</f>
        <v>80</v>
      </c>
      <c r="R850" s="103">
        <f>VLOOKUP($A850,LossChart!$A$3:$AB$105,16,0)-N850</f>
        <v>477.30407413615825</v>
      </c>
      <c r="S850" s="103">
        <f>VLOOKUP($A850,LossChart!$A$3:$AB$105,17,0)-O850</f>
        <v>1309.3859556254754</v>
      </c>
    </row>
    <row r="851" spans="1:19" x14ac:dyDescent="0.25">
      <c r="B851" s="99" t="s">
        <v>108</v>
      </c>
      <c r="C851" s="100">
        <v>1</v>
      </c>
      <c r="D851" s="103">
        <f>$C851*VLOOKUP($B851,FoodDB!$A$2:$I$1018,3,0)</f>
        <v>0</v>
      </c>
      <c r="E851" s="103">
        <f>$C851*VLOOKUP($B851,FoodDB!$A$2:$I$1018,4,0)</f>
        <v>0</v>
      </c>
      <c r="F851" s="103">
        <f>$C851*VLOOKUP($B851,FoodDB!$A$2:$I$1018,5,0)</f>
        <v>0</v>
      </c>
      <c r="G851" s="103">
        <f>$C851*VLOOKUP($B851,FoodDB!$A$2:$I$1018,6,0)</f>
        <v>0</v>
      </c>
      <c r="H851" s="103">
        <f>$C851*VLOOKUP($B851,FoodDB!$A$2:$I$1018,7,0)</f>
        <v>0</v>
      </c>
      <c r="I851" s="103">
        <f>$C851*VLOOKUP($B851,FoodDB!$A$2:$I$1018,8,0)</f>
        <v>0</v>
      </c>
      <c r="J851" s="103">
        <f>$C851*VLOOKUP($B851,FoodDB!$A$2:$I$1018,9,0)</f>
        <v>0</v>
      </c>
      <c r="K851" s="103"/>
      <c r="L851" s="103"/>
      <c r="M851" s="103"/>
      <c r="N851" s="103"/>
      <c r="O851" s="103"/>
      <c r="P851" s="103"/>
      <c r="Q851" s="103"/>
      <c r="R851" s="103"/>
      <c r="S851" s="103"/>
    </row>
    <row r="852" spans="1:19" x14ac:dyDescent="0.25">
      <c r="B852" s="99" t="s">
        <v>108</v>
      </c>
      <c r="C852" s="100">
        <v>1</v>
      </c>
      <c r="D852" s="103">
        <f>$C852*VLOOKUP($B852,FoodDB!$A$2:$I$1018,3,0)</f>
        <v>0</v>
      </c>
      <c r="E852" s="103">
        <f>$C852*VLOOKUP($B852,FoodDB!$A$2:$I$1018,4,0)</f>
        <v>0</v>
      </c>
      <c r="F852" s="103">
        <f>$C852*VLOOKUP($B852,FoodDB!$A$2:$I$1018,5,0)</f>
        <v>0</v>
      </c>
      <c r="G852" s="103">
        <f>$C852*VLOOKUP($B852,FoodDB!$A$2:$I$1018,6,0)</f>
        <v>0</v>
      </c>
      <c r="H852" s="103">
        <f>$C852*VLOOKUP($B852,FoodDB!$A$2:$I$1018,7,0)</f>
        <v>0</v>
      </c>
      <c r="I852" s="103">
        <f>$C852*VLOOKUP($B852,FoodDB!$A$2:$I$1018,8,0)</f>
        <v>0</v>
      </c>
      <c r="J852" s="103">
        <f>$C852*VLOOKUP($B852,FoodDB!$A$2:$I$1018,9,0)</f>
        <v>0</v>
      </c>
      <c r="K852" s="103"/>
      <c r="L852" s="103"/>
      <c r="M852" s="103"/>
      <c r="N852" s="103"/>
      <c r="O852" s="103"/>
      <c r="P852" s="103"/>
      <c r="Q852" s="103"/>
      <c r="R852" s="103"/>
      <c r="S852" s="103"/>
    </row>
    <row r="853" spans="1:19" x14ac:dyDescent="0.25">
      <c r="B853" s="99" t="s">
        <v>108</v>
      </c>
      <c r="C853" s="100">
        <v>1</v>
      </c>
      <c r="D853" s="103">
        <f>$C853*VLOOKUP($B853,FoodDB!$A$2:$I$1018,3,0)</f>
        <v>0</v>
      </c>
      <c r="E853" s="103">
        <f>$C853*VLOOKUP($B853,FoodDB!$A$2:$I$1018,4,0)</f>
        <v>0</v>
      </c>
      <c r="F853" s="103">
        <f>$C853*VLOOKUP($B853,FoodDB!$A$2:$I$1018,5,0)</f>
        <v>0</v>
      </c>
      <c r="G853" s="103">
        <f>$C853*VLOOKUP($B853,FoodDB!$A$2:$I$1018,6,0)</f>
        <v>0</v>
      </c>
      <c r="H853" s="103">
        <f>$C853*VLOOKUP($B853,FoodDB!$A$2:$I$1018,7,0)</f>
        <v>0</v>
      </c>
      <c r="I853" s="103">
        <f>$C853*VLOOKUP($B853,FoodDB!$A$2:$I$1018,8,0)</f>
        <v>0</v>
      </c>
      <c r="J853" s="103">
        <f>$C853*VLOOKUP($B853,FoodDB!$A$2:$I$1018,9,0)</f>
        <v>0</v>
      </c>
      <c r="K853" s="103"/>
      <c r="L853" s="103"/>
      <c r="M853" s="103"/>
      <c r="N853" s="103"/>
      <c r="O853" s="103"/>
      <c r="P853" s="103"/>
      <c r="Q853" s="103"/>
      <c r="R853" s="103"/>
      <c r="S853" s="103"/>
    </row>
    <row r="854" spans="1:19" x14ac:dyDescent="0.25">
      <c r="B854" s="99" t="s">
        <v>108</v>
      </c>
      <c r="C854" s="100">
        <v>1</v>
      </c>
      <c r="D854" s="103">
        <f>$C854*VLOOKUP($B854,FoodDB!$A$2:$I$1018,3,0)</f>
        <v>0</v>
      </c>
      <c r="E854" s="103">
        <f>$C854*VLOOKUP($B854,FoodDB!$A$2:$I$1018,4,0)</f>
        <v>0</v>
      </c>
      <c r="F854" s="103">
        <f>$C854*VLOOKUP($B854,FoodDB!$A$2:$I$1018,5,0)</f>
        <v>0</v>
      </c>
      <c r="G854" s="103">
        <f>$C854*VLOOKUP($B854,FoodDB!$A$2:$I$1018,6,0)</f>
        <v>0</v>
      </c>
      <c r="H854" s="103">
        <f>$C854*VLOOKUP($B854,FoodDB!$A$2:$I$1018,7,0)</f>
        <v>0</v>
      </c>
      <c r="I854" s="103">
        <f>$C854*VLOOKUP($B854,FoodDB!$A$2:$I$1018,8,0)</f>
        <v>0</v>
      </c>
      <c r="J854" s="103">
        <f>$C854*VLOOKUP($B854,FoodDB!$A$2:$I$1018,9,0)</f>
        <v>0</v>
      </c>
      <c r="K854" s="103"/>
      <c r="L854" s="103"/>
      <c r="M854" s="103"/>
      <c r="N854" s="103"/>
      <c r="O854" s="103"/>
      <c r="P854" s="103"/>
      <c r="Q854" s="103"/>
      <c r="R854" s="103"/>
      <c r="S854" s="103"/>
    </row>
    <row r="855" spans="1:19" x14ac:dyDescent="0.25">
      <c r="B855" s="99" t="s">
        <v>108</v>
      </c>
      <c r="C855" s="100">
        <v>1</v>
      </c>
      <c r="D855" s="103">
        <f>$C855*VLOOKUP($B855,FoodDB!$A$2:$I$1018,3,0)</f>
        <v>0</v>
      </c>
      <c r="E855" s="103">
        <f>$C855*VLOOKUP($B855,FoodDB!$A$2:$I$1018,4,0)</f>
        <v>0</v>
      </c>
      <c r="F855" s="103">
        <f>$C855*VLOOKUP($B855,FoodDB!$A$2:$I$1018,5,0)</f>
        <v>0</v>
      </c>
      <c r="G855" s="103">
        <f>$C855*VLOOKUP($B855,FoodDB!$A$2:$I$1018,6,0)</f>
        <v>0</v>
      </c>
      <c r="H855" s="103">
        <f>$C855*VLOOKUP($B855,FoodDB!$A$2:$I$1018,7,0)</f>
        <v>0</v>
      </c>
      <c r="I855" s="103">
        <f>$C855*VLOOKUP($B855,FoodDB!$A$2:$I$1018,8,0)</f>
        <v>0</v>
      </c>
      <c r="J855" s="103">
        <f>$C855*VLOOKUP($B855,FoodDB!$A$2:$I$1018,9,0)</f>
        <v>0</v>
      </c>
      <c r="K855" s="103"/>
      <c r="L855" s="103"/>
      <c r="M855" s="103"/>
      <c r="N855" s="103"/>
      <c r="O855" s="103"/>
      <c r="P855" s="103"/>
      <c r="Q855" s="103"/>
      <c r="R855" s="103"/>
      <c r="S855" s="103"/>
    </row>
    <row r="856" spans="1:19" x14ac:dyDescent="0.25">
      <c r="B856" s="99" t="s">
        <v>108</v>
      </c>
      <c r="C856" s="100">
        <v>1</v>
      </c>
      <c r="D856" s="103">
        <f>$C856*VLOOKUP($B856,FoodDB!$A$2:$I$1018,3,0)</f>
        <v>0</v>
      </c>
      <c r="E856" s="103">
        <f>$C856*VLOOKUP($B856,FoodDB!$A$2:$I$1018,4,0)</f>
        <v>0</v>
      </c>
      <c r="F856" s="103">
        <f>$C856*VLOOKUP($B856,FoodDB!$A$2:$I$1018,5,0)</f>
        <v>0</v>
      </c>
      <c r="G856" s="103">
        <f>$C856*VLOOKUP($B856,FoodDB!$A$2:$I$1018,6,0)</f>
        <v>0</v>
      </c>
      <c r="H856" s="103">
        <f>$C856*VLOOKUP($B856,FoodDB!$A$2:$I$1018,7,0)</f>
        <v>0</v>
      </c>
      <c r="I856" s="103">
        <f>$C856*VLOOKUP($B856,FoodDB!$A$2:$I$1018,8,0)</f>
        <v>0</v>
      </c>
      <c r="J856" s="103">
        <f>$C856*VLOOKUP($B856,FoodDB!$A$2:$I$1018,9,0)</f>
        <v>0</v>
      </c>
      <c r="K856" s="103"/>
      <c r="L856" s="103"/>
      <c r="M856" s="103"/>
      <c r="N856" s="103"/>
      <c r="O856" s="103"/>
      <c r="P856" s="103"/>
      <c r="Q856" s="103"/>
      <c r="R856" s="103"/>
      <c r="S856" s="103"/>
    </row>
    <row r="857" spans="1:19" x14ac:dyDescent="0.25">
      <c r="A857" t="s">
        <v>98</v>
      </c>
      <c r="D857" s="103"/>
      <c r="E857" s="103"/>
      <c r="F857" s="103"/>
      <c r="G857" s="103">
        <f>SUM(G850:G856)</f>
        <v>0</v>
      </c>
      <c r="H857" s="103">
        <f>SUM(H850:H856)</f>
        <v>0</v>
      </c>
      <c r="I857" s="103">
        <f>SUM(I850:I856)</f>
        <v>0</v>
      </c>
      <c r="J857" s="103">
        <f>SUM(G857:I857)</f>
        <v>0</v>
      </c>
      <c r="K857" s="103"/>
      <c r="L857" s="103"/>
      <c r="M857" s="103"/>
      <c r="N857" s="103"/>
      <c r="O857" s="103"/>
      <c r="P857" s="103"/>
      <c r="Q857" s="103"/>
      <c r="R857" s="103"/>
      <c r="S857" s="103"/>
    </row>
    <row r="858" spans="1:19" x14ac:dyDescent="0.25">
      <c r="A858" t="s">
        <v>102</v>
      </c>
      <c r="B858" t="s">
        <v>103</v>
      </c>
      <c r="D858" s="103"/>
      <c r="E858" s="103"/>
      <c r="F858" s="103"/>
      <c r="G858" s="103">
        <f>VLOOKUP($A850,LossChart!$A$3:$AB$105,14,0)</f>
        <v>752.08188148931708</v>
      </c>
      <c r="H858" s="103">
        <f>VLOOKUP($A850,LossChart!$A$3:$AB$105,15,0)</f>
        <v>80</v>
      </c>
      <c r="I858" s="103">
        <f>VLOOKUP($A850,LossChart!$A$3:$AB$105,16,0)</f>
        <v>477.30407413615825</v>
      </c>
      <c r="J858" s="103">
        <f>VLOOKUP($A850,LossChart!$A$3:$AB$105,17,0)</f>
        <v>1309.3859556254754</v>
      </c>
      <c r="K858" s="103"/>
      <c r="L858" s="103"/>
      <c r="M858" s="103"/>
      <c r="N858" s="103"/>
      <c r="O858" s="103"/>
      <c r="P858" s="103"/>
      <c r="Q858" s="103"/>
      <c r="R858" s="103"/>
      <c r="S858" s="103"/>
    </row>
    <row r="859" spans="1:19" x14ac:dyDescent="0.25">
      <c r="A859" t="s">
        <v>104</v>
      </c>
      <c r="D859" s="103"/>
      <c r="E859" s="103"/>
      <c r="F859" s="103"/>
      <c r="G859" s="103">
        <f>G858-G857</f>
        <v>752.08188148931708</v>
      </c>
      <c r="H859" s="103">
        <f>H858-H857</f>
        <v>80</v>
      </c>
      <c r="I859" s="103">
        <f>I858-I857</f>
        <v>477.30407413615825</v>
      </c>
      <c r="J859" s="103">
        <f>J858-J857</f>
        <v>1309.3859556254754</v>
      </c>
      <c r="K859" s="103"/>
      <c r="L859" s="103"/>
      <c r="M859" s="103"/>
      <c r="N859" s="103"/>
      <c r="O859" s="103"/>
      <c r="P859" s="103"/>
      <c r="Q859" s="103"/>
      <c r="R859" s="103"/>
      <c r="S859" s="103"/>
    </row>
    <row r="861" spans="1:19" ht="60" x14ac:dyDescent="0.25">
      <c r="A861" s="26" t="s">
        <v>63</v>
      </c>
      <c r="B861" s="26" t="s">
        <v>93</v>
      </c>
      <c r="C861" s="26" t="s">
        <v>94</v>
      </c>
      <c r="D861" s="97" t="str">
        <f>FoodDB!$C$1</f>
        <v>Fat
(g)</v>
      </c>
      <c r="E861" s="97" t="str">
        <f>FoodDB!$D$1</f>
        <v xml:space="preserve"> Carbs
(g)</v>
      </c>
      <c r="F861" s="97" t="str">
        <f>FoodDB!$E$1</f>
        <v>Protein
(g)</v>
      </c>
      <c r="G861" s="97" t="str">
        <f>FoodDB!$F$1</f>
        <v>Fat
(Cal)</v>
      </c>
      <c r="H861" s="97" t="str">
        <f>FoodDB!$G$1</f>
        <v>Carb
(Cal)</v>
      </c>
      <c r="I861" s="97" t="str">
        <f>FoodDB!$H$1</f>
        <v>Protein
(Cal)</v>
      </c>
      <c r="J861" s="97" t="str">
        <f>FoodDB!$I$1</f>
        <v>Total
Calories</v>
      </c>
      <c r="K861" s="97"/>
      <c r="L861" s="97" t="s">
        <v>110</v>
      </c>
      <c r="M861" s="97" t="s">
        <v>111</v>
      </c>
      <c r="N861" s="97" t="s">
        <v>112</v>
      </c>
      <c r="O861" s="97" t="s">
        <v>113</v>
      </c>
      <c r="P861" s="97" t="s">
        <v>118</v>
      </c>
      <c r="Q861" s="97" t="s">
        <v>119</v>
      </c>
      <c r="R861" s="97" t="s">
        <v>120</v>
      </c>
      <c r="S861" s="97" t="s">
        <v>121</v>
      </c>
    </row>
    <row r="862" spans="1:19" x14ac:dyDescent="0.25">
      <c r="A862" s="98">
        <f>A850+1</f>
        <v>43065</v>
      </c>
      <c r="B862" s="99" t="s">
        <v>108</v>
      </c>
      <c r="C862" s="100">
        <v>1</v>
      </c>
      <c r="D862" s="103">
        <f>$C862*VLOOKUP($B862,FoodDB!$A$2:$I$1018,3,0)</f>
        <v>0</v>
      </c>
      <c r="E862" s="103">
        <f>$C862*VLOOKUP($B862,FoodDB!$A$2:$I$1018,4,0)</f>
        <v>0</v>
      </c>
      <c r="F862" s="103">
        <f>$C862*VLOOKUP($B862,FoodDB!$A$2:$I$1018,5,0)</f>
        <v>0</v>
      </c>
      <c r="G862" s="103">
        <f>$C862*VLOOKUP($B862,FoodDB!$A$2:$I$1018,6,0)</f>
        <v>0</v>
      </c>
      <c r="H862" s="103">
        <f>$C862*VLOOKUP($B862,FoodDB!$A$2:$I$1018,7,0)</f>
        <v>0</v>
      </c>
      <c r="I862" s="103">
        <f>$C862*VLOOKUP($B862,FoodDB!$A$2:$I$1018,8,0)</f>
        <v>0</v>
      </c>
      <c r="J862" s="103">
        <f>$C862*VLOOKUP($B862,FoodDB!$A$2:$I$1018,9,0)</f>
        <v>0</v>
      </c>
      <c r="K862" s="103"/>
      <c r="L862" s="103">
        <f>SUM(G862:G868)</f>
        <v>0</v>
      </c>
      <c r="M862" s="103">
        <f>SUM(H862:H868)</f>
        <v>0</v>
      </c>
      <c r="N862" s="103">
        <f>SUM(I862:I868)</f>
        <v>0</v>
      </c>
      <c r="O862" s="103">
        <f>SUM(L862:N862)</f>
        <v>0</v>
      </c>
      <c r="P862" s="103">
        <f>VLOOKUP($A862,LossChart!$A$3:$AB$105,14,0)-L862</f>
        <v>756.92303231962615</v>
      </c>
      <c r="Q862" s="103">
        <f>VLOOKUP($A862,LossChart!$A$3:$AB$105,15,0)-M862</f>
        <v>80</v>
      </c>
      <c r="R862" s="103">
        <f>VLOOKUP($A862,LossChart!$A$3:$AB$105,16,0)-N862</f>
        <v>477.30407413615825</v>
      </c>
      <c r="S862" s="103">
        <f>VLOOKUP($A862,LossChart!$A$3:$AB$105,17,0)-O862</f>
        <v>1314.2271064557845</v>
      </c>
    </row>
    <row r="863" spans="1:19" x14ac:dyDescent="0.25">
      <c r="B863" s="99" t="s">
        <v>108</v>
      </c>
      <c r="C863" s="100">
        <v>1</v>
      </c>
      <c r="D863" s="103">
        <f>$C863*VLOOKUP($B863,FoodDB!$A$2:$I$1018,3,0)</f>
        <v>0</v>
      </c>
      <c r="E863" s="103">
        <f>$C863*VLOOKUP($B863,FoodDB!$A$2:$I$1018,4,0)</f>
        <v>0</v>
      </c>
      <c r="F863" s="103">
        <f>$C863*VLOOKUP($B863,FoodDB!$A$2:$I$1018,5,0)</f>
        <v>0</v>
      </c>
      <c r="G863" s="103">
        <f>$C863*VLOOKUP($B863,FoodDB!$A$2:$I$1018,6,0)</f>
        <v>0</v>
      </c>
      <c r="H863" s="103">
        <f>$C863*VLOOKUP($B863,FoodDB!$A$2:$I$1018,7,0)</f>
        <v>0</v>
      </c>
      <c r="I863" s="103">
        <f>$C863*VLOOKUP($B863,FoodDB!$A$2:$I$1018,8,0)</f>
        <v>0</v>
      </c>
      <c r="J863" s="103">
        <f>$C863*VLOOKUP($B863,FoodDB!$A$2:$I$1018,9,0)</f>
        <v>0</v>
      </c>
      <c r="K863" s="103"/>
      <c r="L863" s="103"/>
      <c r="M863" s="103"/>
      <c r="N863" s="103"/>
      <c r="O863" s="103"/>
      <c r="P863" s="103"/>
      <c r="Q863" s="103"/>
      <c r="R863" s="103"/>
      <c r="S863" s="103"/>
    </row>
    <row r="864" spans="1:19" x14ac:dyDescent="0.25">
      <c r="B864" s="99" t="s">
        <v>108</v>
      </c>
      <c r="C864" s="100">
        <v>1</v>
      </c>
      <c r="D864" s="103">
        <f>$C864*VLOOKUP($B864,FoodDB!$A$2:$I$1018,3,0)</f>
        <v>0</v>
      </c>
      <c r="E864" s="103">
        <f>$C864*VLOOKUP($B864,FoodDB!$A$2:$I$1018,4,0)</f>
        <v>0</v>
      </c>
      <c r="F864" s="103">
        <f>$C864*VLOOKUP($B864,FoodDB!$A$2:$I$1018,5,0)</f>
        <v>0</v>
      </c>
      <c r="G864" s="103">
        <f>$C864*VLOOKUP($B864,FoodDB!$A$2:$I$1018,6,0)</f>
        <v>0</v>
      </c>
      <c r="H864" s="103">
        <f>$C864*VLOOKUP($B864,FoodDB!$A$2:$I$1018,7,0)</f>
        <v>0</v>
      </c>
      <c r="I864" s="103">
        <f>$C864*VLOOKUP($B864,FoodDB!$A$2:$I$1018,8,0)</f>
        <v>0</v>
      </c>
      <c r="J864" s="103">
        <f>$C864*VLOOKUP($B864,FoodDB!$A$2:$I$1018,9,0)</f>
        <v>0</v>
      </c>
      <c r="K864" s="103"/>
      <c r="L864" s="103"/>
      <c r="M864" s="103"/>
      <c r="N864" s="103"/>
      <c r="O864" s="103"/>
      <c r="P864" s="103"/>
      <c r="Q864" s="103"/>
      <c r="R864" s="103"/>
      <c r="S864" s="103"/>
    </row>
    <row r="865" spans="1:19" x14ac:dyDescent="0.25">
      <c r="B865" s="99" t="s">
        <v>108</v>
      </c>
      <c r="C865" s="100">
        <v>1</v>
      </c>
      <c r="D865" s="103">
        <f>$C865*VLOOKUP($B865,FoodDB!$A$2:$I$1018,3,0)</f>
        <v>0</v>
      </c>
      <c r="E865" s="103">
        <f>$C865*VLOOKUP($B865,FoodDB!$A$2:$I$1018,4,0)</f>
        <v>0</v>
      </c>
      <c r="F865" s="103">
        <f>$C865*VLOOKUP($B865,FoodDB!$A$2:$I$1018,5,0)</f>
        <v>0</v>
      </c>
      <c r="G865" s="103">
        <f>$C865*VLOOKUP($B865,FoodDB!$A$2:$I$1018,6,0)</f>
        <v>0</v>
      </c>
      <c r="H865" s="103">
        <f>$C865*VLOOKUP($B865,FoodDB!$A$2:$I$1018,7,0)</f>
        <v>0</v>
      </c>
      <c r="I865" s="103">
        <f>$C865*VLOOKUP($B865,FoodDB!$A$2:$I$1018,8,0)</f>
        <v>0</v>
      </c>
      <c r="J865" s="103">
        <f>$C865*VLOOKUP($B865,FoodDB!$A$2:$I$1018,9,0)</f>
        <v>0</v>
      </c>
      <c r="K865" s="103"/>
      <c r="L865" s="103"/>
      <c r="M865" s="103"/>
      <c r="N865" s="103"/>
      <c r="O865" s="103"/>
      <c r="P865" s="103"/>
      <c r="Q865" s="103"/>
      <c r="R865" s="103"/>
      <c r="S865" s="103"/>
    </row>
    <row r="866" spans="1:19" x14ac:dyDescent="0.25">
      <c r="B866" s="99" t="s">
        <v>108</v>
      </c>
      <c r="C866" s="100">
        <v>1</v>
      </c>
      <c r="D866" s="103">
        <f>$C866*VLOOKUP($B866,FoodDB!$A$2:$I$1018,3,0)</f>
        <v>0</v>
      </c>
      <c r="E866" s="103">
        <f>$C866*VLOOKUP($B866,FoodDB!$A$2:$I$1018,4,0)</f>
        <v>0</v>
      </c>
      <c r="F866" s="103">
        <f>$C866*VLOOKUP($B866,FoodDB!$A$2:$I$1018,5,0)</f>
        <v>0</v>
      </c>
      <c r="G866" s="103">
        <f>$C866*VLOOKUP($B866,FoodDB!$A$2:$I$1018,6,0)</f>
        <v>0</v>
      </c>
      <c r="H866" s="103">
        <f>$C866*VLOOKUP($B866,FoodDB!$A$2:$I$1018,7,0)</f>
        <v>0</v>
      </c>
      <c r="I866" s="103">
        <f>$C866*VLOOKUP($B866,FoodDB!$A$2:$I$1018,8,0)</f>
        <v>0</v>
      </c>
      <c r="J866" s="103">
        <f>$C866*VLOOKUP($B866,FoodDB!$A$2:$I$1018,9,0)</f>
        <v>0</v>
      </c>
      <c r="K866" s="103"/>
      <c r="L866" s="103"/>
      <c r="M866" s="103"/>
      <c r="N866" s="103"/>
      <c r="O866" s="103"/>
      <c r="P866" s="103"/>
      <c r="Q866" s="103"/>
      <c r="R866" s="103"/>
      <c r="S866" s="103"/>
    </row>
    <row r="867" spans="1:19" x14ac:dyDescent="0.25">
      <c r="B867" s="99" t="s">
        <v>108</v>
      </c>
      <c r="C867" s="100">
        <v>1</v>
      </c>
      <c r="D867" s="103">
        <f>$C867*VLOOKUP($B867,FoodDB!$A$2:$I$1018,3,0)</f>
        <v>0</v>
      </c>
      <c r="E867" s="103">
        <f>$C867*VLOOKUP($B867,FoodDB!$A$2:$I$1018,4,0)</f>
        <v>0</v>
      </c>
      <c r="F867" s="103">
        <f>$C867*VLOOKUP($B867,FoodDB!$A$2:$I$1018,5,0)</f>
        <v>0</v>
      </c>
      <c r="G867" s="103">
        <f>$C867*VLOOKUP($B867,FoodDB!$A$2:$I$1018,6,0)</f>
        <v>0</v>
      </c>
      <c r="H867" s="103">
        <f>$C867*VLOOKUP($B867,FoodDB!$A$2:$I$1018,7,0)</f>
        <v>0</v>
      </c>
      <c r="I867" s="103">
        <f>$C867*VLOOKUP($B867,FoodDB!$A$2:$I$1018,8,0)</f>
        <v>0</v>
      </c>
      <c r="J867" s="103">
        <f>$C867*VLOOKUP($B867,FoodDB!$A$2:$I$1018,9,0)</f>
        <v>0</v>
      </c>
      <c r="K867" s="103"/>
      <c r="L867" s="103"/>
      <c r="M867" s="103"/>
      <c r="N867" s="103"/>
      <c r="O867" s="103"/>
      <c r="P867" s="103"/>
      <c r="Q867" s="103"/>
      <c r="R867" s="103"/>
      <c r="S867" s="103"/>
    </row>
    <row r="868" spans="1:19" x14ac:dyDescent="0.25">
      <c r="B868" s="99" t="s">
        <v>108</v>
      </c>
      <c r="C868" s="100">
        <v>1</v>
      </c>
      <c r="D868" s="103">
        <f>$C868*VLOOKUP($B868,FoodDB!$A$2:$I$1018,3,0)</f>
        <v>0</v>
      </c>
      <c r="E868" s="103">
        <f>$C868*VLOOKUP($B868,FoodDB!$A$2:$I$1018,4,0)</f>
        <v>0</v>
      </c>
      <c r="F868" s="103">
        <f>$C868*VLOOKUP($B868,FoodDB!$A$2:$I$1018,5,0)</f>
        <v>0</v>
      </c>
      <c r="G868" s="103">
        <f>$C868*VLOOKUP($B868,FoodDB!$A$2:$I$1018,6,0)</f>
        <v>0</v>
      </c>
      <c r="H868" s="103">
        <f>$C868*VLOOKUP($B868,FoodDB!$A$2:$I$1018,7,0)</f>
        <v>0</v>
      </c>
      <c r="I868" s="103">
        <f>$C868*VLOOKUP($B868,FoodDB!$A$2:$I$1018,8,0)</f>
        <v>0</v>
      </c>
      <c r="J868" s="103">
        <f>$C868*VLOOKUP($B868,FoodDB!$A$2:$I$1018,9,0)</f>
        <v>0</v>
      </c>
      <c r="K868" s="103"/>
      <c r="L868" s="103"/>
      <c r="M868" s="103"/>
      <c r="N868" s="103"/>
      <c r="O868" s="103"/>
      <c r="P868" s="103"/>
      <c r="Q868" s="103"/>
      <c r="R868" s="103"/>
      <c r="S868" s="103"/>
    </row>
    <row r="869" spans="1:19" x14ac:dyDescent="0.25">
      <c r="A869" t="s">
        <v>98</v>
      </c>
      <c r="D869" s="103"/>
      <c r="E869" s="103"/>
      <c r="F869" s="103"/>
      <c r="G869" s="103">
        <f>SUM(G862:G868)</f>
        <v>0</v>
      </c>
      <c r="H869" s="103">
        <f>SUM(H862:H868)</f>
        <v>0</v>
      </c>
      <c r="I869" s="103">
        <f>SUM(I862:I868)</f>
        <v>0</v>
      </c>
      <c r="J869" s="103">
        <f>SUM(G869:I869)</f>
        <v>0</v>
      </c>
      <c r="K869" s="103"/>
      <c r="L869" s="103"/>
      <c r="M869" s="103"/>
      <c r="N869" s="103"/>
      <c r="O869" s="103"/>
      <c r="P869" s="103"/>
      <c r="Q869" s="103"/>
      <c r="R869" s="103"/>
      <c r="S869" s="103"/>
    </row>
    <row r="870" spans="1:19" x14ac:dyDescent="0.25">
      <c r="A870" t="s">
        <v>102</v>
      </c>
      <c r="B870" t="s">
        <v>103</v>
      </c>
      <c r="D870" s="103"/>
      <c r="E870" s="103"/>
      <c r="F870" s="103"/>
      <c r="G870" s="103">
        <f>VLOOKUP($A862,LossChart!$A$3:$AB$105,14,0)</f>
        <v>756.92303231962615</v>
      </c>
      <c r="H870" s="103">
        <f>VLOOKUP($A862,LossChart!$A$3:$AB$105,15,0)</f>
        <v>80</v>
      </c>
      <c r="I870" s="103">
        <f>VLOOKUP($A862,LossChart!$A$3:$AB$105,16,0)</f>
        <v>477.30407413615825</v>
      </c>
      <c r="J870" s="103">
        <f>VLOOKUP($A862,LossChart!$A$3:$AB$105,17,0)</f>
        <v>1314.2271064557845</v>
      </c>
      <c r="K870" s="103"/>
      <c r="L870" s="103"/>
      <c r="M870" s="103"/>
      <c r="N870" s="103"/>
      <c r="O870" s="103"/>
      <c r="P870" s="103"/>
      <c r="Q870" s="103"/>
      <c r="R870" s="103"/>
      <c r="S870" s="103"/>
    </row>
    <row r="871" spans="1:19" x14ac:dyDescent="0.25">
      <c r="A871" t="s">
        <v>104</v>
      </c>
      <c r="D871" s="103"/>
      <c r="E871" s="103"/>
      <c r="F871" s="103"/>
      <c r="G871" s="103">
        <f>G870-G869</f>
        <v>756.92303231962615</v>
      </c>
      <c r="H871" s="103">
        <f>H870-H869</f>
        <v>80</v>
      </c>
      <c r="I871" s="103">
        <f>I870-I869</f>
        <v>477.30407413615825</v>
      </c>
      <c r="J871" s="103">
        <f>J870-J869</f>
        <v>1314.2271064557845</v>
      </c>
      <c r="K871" s="103"/>
      <c r="L871" s="103"/>
      <c r="M871" s="103"/>
      <c r="N871" s="103"/>
      <c r="O871" s="103"/>
      <c r="P871" s="103"/>
      <c r="Q871" s="103"/>
      <c r="R871" s="103"/>
      <c r="S871" s="103"/>
    </row>
    <row r="873" spans="1:19" ht="60" x14ac:dyDescent="0.25">
      <c r="A873" s="26" t="s">
        <v>63</v>
      </c>
      <c r="B873" s="26" t="s">
        <v>93</v>
      </c>
      <c r="C873" s="26" t="s">
        <v>94</v>
      </c>
      <c r="D873" s="97" t="str">
        <f>FoodDB!$C$1</f>
        <v>Fat
(g)</v>
      </c>
      <c r="E873" s="97" t="str">
        <f>FoodDB!$D$1</f>
        <v xml:space="preserve"> Carbs
(g)</v>
      </c>
      <c r="F873" s="97" t="str">
        <f>FoodDB!$E$1</f>
        <v>Protein
(g)</v>
      </c>
      <c r="G873" s="97" t="str">
        <f>FoodDB!$F$1</f>
        <v>Fat
(Cal)</v>
      </c>
      <c r="H873" s="97" t="str">
        <f>FoodDB!$G$1</f>
        <v>Carb
(Cal)</v>
      </c>
      <c r="I873" s="97" t="str">
        <f>FoodDB!$H$1</f>
        <v>Protein
(Cal)</v>
      </c>
      <c r="J873" s="97" t="str">
        <f>FoodDB!$I$1</f>
        <v>Total
Calories</v>
      </c>
      <c r="K873" s="97"/>
      <c r="L873" s="97" t="s">
        <v>110</v>
      </c>
      <c r="M873" s="97" t="s">
        <v>111</v>
      </c>
      <c r="N873" s="97" t="s">
        <v>112</v>
      </c>
      <c r="O873" s="97" t="s">
        <v>113</v>
      </c>
      <c r="P873" s="97" t="s">
        <v>118</v>
      </c>
      <c r="Q873" s="97" t="s">
        <v>119</v>
      </c>
      <c r="R873" s="97" t="s">
        <v>120</v>
      </c>
      <c r="S873" s="97" t="s">
        <v>121</v>
      </c>
    </row>
    <row r="874" spans="1:19" x14ac:dyDescent="0.25">
      <c r="A874" s="98">
        <f>A862+1</f>
        <v>43066</v>
      </c>
      <c r="B874" s="99" t="s">
        <v>108</v>
      </c>
      <c r="C874" s="100">
        <v>1</v>
      </c>
      <c r="D874" s="103">
        <f>$C874*VLOOKUP($B874,FoodDB!$A$2:$I$1018,3,0)</f>
        <v>0</v>
      </c>
      <c r="E874" s="103">
        <f>$C874*VLOOKUP($B874,FoodDB!$A$2:$I$1018,4,0)</f>
        <v>0</v>
      </c>
      <c r="F874" s="103">
        <f>$C874*VLOOKUP($B874,FoodDB!$A$2:$I$1018,5,0)</f>
        <v>0</v>
      </c>
      <c r="G874" s="103">
        <f>$C874*VLOOKUP($B874,FoodDB!$A$2:$I$1018,6,0)</f>
        <v>0</v>
      </c>
      <c r="H874" s="103">
        <f>$C874*VLOOKUP($B874,FoodDB!$A$2:$I$1018,7,0)</f>
        <v>0</v>
      </c>
      <c r="I874" s="103">
        <f>$C874*VLOOKUP($B874,FoodDB!$A$2:$I$1018,8,0)</f>
        <v>0</v>
      </c>
      <c r="J874" s="103">
        <f>$C874*VLOOKUP($B874,FoodDB!$A$2:$I$1018,9,0)</f>
        <v>0</v>
      </c>
      <c r="K874" s="103"/>
      <c r="L874" s="103">
        <f>SUM(G874:G880)</f>
        <v>0</v>
      </c>
      <c r="M874" s="103">
        <f>SUM(H874:H880)</f>
        <v>0</v>
      </c>
      <c r="N874" s="103">
        <f>SUM(I874:I880)</f>
        <v>0</v>
      </c>
      <c r="O874" s="103">
        <f>SUM(L874:N874)</f>
        <v>0</v>
      </c>
      <c r="P874" s="103">
        <f>VLOOKUP($A874,LossChart!$A$3:$AB$105,14,0)-L874</f>
        <v>761.72130438543809</v>
      </c>
      <c r="Q874" s="103">
        <f>VLOOKUP($A874,LossChart!$A$3:$AB$105,15,0)-M874</f>
        <v>80</v>
      </c>
      <c r="R874" s="103">
        <f>VLOOKUP($A874,LossChart!$A$3:$AB$105,16,0)-N874</f>
        <v>477.30407413615825</v>
      </c>
      <c r="S874" s="103">
        <f>VLOOKUP($A874,LossChart!$A$3:$AB$105,17,0)-O874</f>
        <v>1319.0253785215964</v>
      </c>
    </row>
    <row r="875" spans="1:19" x14ac:dyDescent="0.25">
      <c r="B875" s="99" t="s">
        <v>108</v>
      </c>
      <c r="C875" s="100">
        <v>1</v>
      </c>
      <c r="D875" s="103">
        <f>$C875*VLOOKUP($B875,FoodDB!$A$2:$I$1018,3,0)</f>
        <v>0</v>
      </c>
      <c r="E875" s="103">
        <f>$C875*VLOOKUP($B875,FoodDB!$A$2:$I$1018,4,0)</f>
        <v>0</v>
      </c>
      <c r="F875" s="103">
        <f>$C875*VLOOKUP($B875,FoodDB!$A$2:$I$1018,5,0)</f>
        <v>0</v>
      </c>
      <c r="G875" s="103">
        <f>$C875*VLOOKUP($B875,FoodDB!$A$2:$I$1018,6,0)</f>
        <v>0</v>
      </c>
      <c r="H875" s="103">
        <f>$C875*VLOOKUP($B875,FoodDB!$A$2:$I$1018,7,0)</f>
        <v>0</v>
      </c>
      <c r="I875" s="103">
        <f>$C875*VLOOKUP($B875,FoodDB!$A$2:$I$1018,8,0)</f>
        <v>0</v>
      </c>
      <c r="J875" s="103">
        <f>$C875*VLOOKUP($B875,FoodDB!$A$2:$I$1018,9,0)</f>
        <v>0</v>
      </c>
      <c r="K875" s="103"/>
      <c r="L875" s="103"/>
      <c r="M875" s="103"/>
      <c r="N875" s="103"/>
      <c r="O875" s="103"/>
      <c r="P875" s="103"/>
      <c r="Q875" s="103"/>
      <c r="R875" s="103"/>
      <c r="S875" s="103"/>
    </row>
    <row r="876" spans="1:19" x14ac:dyDescent="0.25">
      <c r="B876" s="99" t="s">
        <v>108</v>
      </c>
      <c r="C876" s="100">
        <v>1</v>
      </c>
      <c r="D876" s="103">
        <f>$C876*VLOOKUP($B876,FoodDB!$A$2:$I$1018,3,0)</f>
        <v>0</v>
      </c>
      <c r="E876" s="103">
        <f>$C876*VLOOKUP($B876,FoodDB!$A$2:$I$1018,4,0)</f>
        <v>0</v>
      </c>
      <c r="F876" s="103">
        <f>$C876*VLOOKUP($B876,FoodDB!$A$2:$I$1018,5,0)</f>
        <v>0</v>
      </c>
      <c r="G876" s="103">
        <f>$C876*VLOOKUP($B876,FoodDB!$A$2:$I$1018,6,0)</f>
        <v>0</v>
      </c>
      <c r="H876" s="103">
        <f>$C876*VLOOKUP($B876,FoodDB!$A$2:$I$1018,7,0)</f>
        <v>0</v>
      </c>
      <c r="I876" s="103">
        <f>$C876*VLOOKUP($B876,FoodDB!$A$2:$I$1018,8,0)</f>
        <v>0</v>
      </c>
      <c r="J876" s="103">
        <f>$C876*VLOOKUP($B876,FoodDB!$A$2:$I$1018,9,0)</f>
        <v>0</v>
      </c>
      <c r="K876" s="103"/>
      <c r="L876" s="103"/>
      <c r="M876" s="103"/>
      <c r="N876" s="103"/>
      <c r="O876" s="103"/>
      <c r="P876" s="103"/>
      <c r="Q876" s="103"/>
      <c r="R876" s="103"/>
      <c r="S876" s="103"/>
    </row>
    <row r="877" spans="1:19" x14ac:dyDescent="0.25">
      <c r="B877" s="99" t="s">
        <v>108</v>
      </c>
      <c r="C877" s="100">
        <v>1</v>
      </c>
      <c r="D877" s="103">
        <f>$C877*VLOOKUP($B877,FoodDB!$A$2:$I$1018,3,0)</f>
        <v>0</v>
      </c>
      <c r="E877" s="103">
        <f>$C877*VLOOKUP($B877,FoodDB!$A$2:$I$1018,4,0)</f>
        <v>0</v>
      </c>
      <c r="F877" s="103">
        <f>$C877*VLOOKUP($B877,FoodDB!$A$2:$I$1018,5,0)</f>
        <v>0</v>
      </c>
      <c r="G877" s="103">
        <f>$C877*VLOOKUP($B877,FoodDB!$A$2:$I$1018,6,0)</f>
        <v>0</v>
      </c>
      <c r="H877" s="103">
        <f>$C877*VLOOKUP($B877,FoodDB!$A$2:$I$1018,7,0)</f>
        <v>0</v>
      </c>
      <c r="I877" s="103">
        <f>$C877*VLOOKUP($B877,FoodDB!$A$2:$I$1018,8,0)</f>
        <v>0</v>
      </c>
      <c r="J877" s="103">
        <f>$C877*VLOOKUP($B877,FoodDB!$A$2:$I$1018,9,0)</f>
        <v>0</v>
      </c>
      <c r="K877" s="103"/>
      <c r="L877" s="103"/>
      <c r="M877" s="103"/>
      <c r="N877" s="103"/>
      <c r="O877" s="103"/>
      <c r="P877" s="103"/>
      <c r="Q877" s="103"/>
      <c r="R877" s="103"/>
      <c r="S877" s="103"/>
    </row>
    <row r="878" spans="1:19" x14ac:dyDescent="0.25">
      <c r="B878" s="99" t="s">
        <v>108</v>
      </c>
      <c r="C878" s="100">
        <v>1</v>
      </c>
      <c r="D878" s="103">
        <f>$C878*VLOOKUP($B878,FoodDB!$A$2:$I$1018,3,0)</f>
        <v>0</v>
      </c>
      <c r="E878" s="103">
        <f>$C878*VLOOKUP($B878,FoodDB!$A$2:$I$1018,4,0)</f>
        <v>0</v>
      </c>
      <c r="F878" s="103">
        <f>$C878*VLOOKUP($B878,FoodDB!$A$2:$I$1018,5,0)</f>
        <v>0</v>
      </c>
      <c r="G878" s="103">
        <f>$C878*VLOOKUP($B878,FoodDB!$A$2:$I$1018,6,0)</f>
        <v>0</v>
      </c>
      <c r="H878" s="103">
        <f>$C878*VLOOKUP($B878,FoodDB!$A$2:$I$1018,7,0)</f>
        <v>0</v>
      </c>
      <c r="I878" s="103">
        <f>$C878*VLOOKUP($B878,FoodDB!$A$2:$I$1018,8,0)</f>
        <v>0</v>
      </c>
      <c r="J878" s="103">
        <f>$C878*VLOOKUP($B878,FoodDB!$A$2:$I$1018,9,0)</f>
        <v>0</v>
      </c>
      <c r="K878" s="103"/>
      <c r="L878" s="103"/>
      <c r="M878" s="103"/>
      <c r="N878" s="103"/>
      <c r="O878" s="103"/>
      <c r="P878" s="103"/>
      <c r="Q878" s="103"/>
      <c r="R878" s="103"/>
      <c r="S878" s="103"/>
    </row>
    <row r="879" spans="1:19" x14ac:dyDescent="0.25">
      <c r="B879" s="99" t="s">
        <v>108</v>
      </c>
      <c r="C879" s="100">
        <v>1</v>
      </c>
      <c r="D879" s="103">
        <f>$C879*VLOOKUP($B879,FoodDB!$A$2:$I$1018,3,0)</f>
        <v>0</v>
      </c>
      <c r="E879" s="103">
        <f>$C879*VLOOKUP($B879,FoodDB!$A$2:$I$1018,4,0)</f>
        <v>0</v>
      </c>
      <c r="F879" s="103">
        <f>$C879*VLOOKUP($B879,FoodDB!$A$2:$I$1018,5,0)</f>
        <v>0</v>
      </c>
      <c r="G879" s="103">
        <f>$C879*VLOOKUP($B879,FoodDB!$A$2:$I$1018,6,0)</f>
        <v>0</v>
      </c>
      <c r="H879" s="103">
        <f>$C879*VLOOKUP($B879,FoodDB!$A$2:$I$1018,7,0)</f>
        <v>0</v>
      </c>
      <c r="I879" s="103">
        <f>$C879*VLOOKUP($B879,FoodDB!$A$2:$I$1018,8,0)</f>
        <v>0</v>
      </c>
      <c r="J879" s="103">
        <f>$C879*VLOOKUP($B879,FoodDB!$A$2:$I$1018,9,0)</f>
        <v>0</v>
      </c>
      <c r="K879" s="103"/>
      <c r="L879" s="103"/>
      <c r="M879" s="103"/>
      <c r="N879" s="103"/>
      <c r="O879" s="103"/>
      <c r="P879" s="103"/>
      <c r="Q879" s="103"/>
      <c r="R879" s="103"/>
      <c r="S879" s="103"/>
    </row>
    <row r="880" spans="1:19" x14ac:dyDescent="0.25">
      <c r="B880" s="99" t="s">
        <v>108</v>
      </c>
      <c r="C880" s="100">
        <v>1</v>
      </c>
      <c r="D880" s="103">
        <f>$C880*VLOOKUP($B880,FoodDB!$A$2:$I$1018,3,0)</f>
        <v>0</v>
      </c>
      <c r="E880" s="103">
        <f>$C880*VLOOKUP($B880,FoodDB!$A$2:$I$1018,4,0)</f>
        <v>0</v>
      </c>
      <c r="F880" s="103">
        <f>$C880*VLOOKUP($B880,FoodDB!$A$2:$I$1018,5,0)</f>
        <v>0</v>
      </c>
      <c r="G880" s="103">
        <f>$C880*VLOOKUP($B880,FoodDB!$A$2:$I$1018,6,0)</f>
        <v>0</v>
      </c>
      <c r="H880" s="103">
        <f>$C880*VLOOKUP($B880,FoodDB!$A$2:$I$1018,7,0)</f>
        <v>0</v>
      </c>
      <c r="I880" s="103">
        <f>$C880*VLOOKUP($B880,FoodDB!$A$2:$I$1018,8,0)</f>
        <v>0</v>
      </c>
      <c r="J880" s="103">
        <f>$C880*VLOOKUP($B880,FoodDB!$A$2:$I$1018,9,0)</f>
        <v>0</v>
      </c>
      <c r="K880" s="103"/>
      <c r="L880" s="103"/>
      <c r="M880" s="103"/>
      <c r="N880" s="103"/>
      <c r="O880" s="103"/>
      <c r="P880" s="103"/>
      <c r="Q880" s="103"/>
      <c r="R880" s="103"/>
      <c r="S880" s="103"/>
    </row>
    <row r="881" spans="1:19" x14ac:dyDescent="0.25">
      <c r="A881" t="s">
        <v>98</v>
      </c>
      <c r="D881" s="103"/>
      <c r="E881" s="103"/>
      <c r="F881" s="103"/>
      <c r="G881" s="103">
        <f>SUM(G874:G880)</f>
        <v>0</v>
      </c>
      <c r="H881" s="103">
        <f>SUM(H874:H880)</f>
        <v>0</v>
      </c>
      <c r="I881" s="103">
        <f>SUM(I874:I880)</f>
        <v>0</v>
      </c>
      <c r="J881" s="103">
        <f>SUM(G881:I881)</f>
        <v>0</v>
      </c>
      <c r="K881" s="103"/>
      <c r="L881" s="103"/>
      <c r="M881" s="103"/>
      <c r="N881" s="103"/>
      <c r="O881" s="103"/>
      <c r="P881" s="103"/>
      <c r="Q881" s="103"/>
      <c r="R881" s="103"/>
      <c r="S881" s="103"/>
    </row>
    <row r="882" spans="1:19" x14ac:dyDescent="0.25">
      <c r="A882" t="s">
        <v>102</v>
      </c>
      <c r="B882" t="s">
        <v>103</v>
      </c>
      <c r="D882" s="103"/>
      <c r="E882" s="103"/>
      <c r="F882" s="103"/>
      <c r="G882" s="103">
        <f>VLOOKUP($A874,LossChart!$A$3:$AB$105,14,0)</f>
        <v>761.72130438543809</v>
      </c>
      <c r="H882" s="103">
        <f>VLOOKUP($A874,LossChart!$A$3:$AB$105,15,0)</f>
        <v>80</v>
      </c>
      <c r="I882" s="103">
        <f>VLOOKUP($A874,LossChart!$A$3:$AB$105,16,0)</f>
        <v>477.30407413615825</v>
      </c>
      <c r="J882" s="103">
        <f>VLOOKUP($A874,LossChart!$A$3:$AB$105,17,0)</f>
        <v>1319.0253785215964</v>
      </c>
      <c r="K882" s="103"/>
      <c r="L882" s="103"/>
      <c r="M882" s="103"/>
      <c r="N882" s="103"/>
      <c r="O882" s="103"/>
      <c r="P882" s="103"/>
      <c r="Q882" s="103"/>
      <c r="R882" s="103"/>
      <c r="S882" s="103"/>
    </row>
    <row r="883" spans="1:19" x14ac:dyDescent="0.25">
      <c r="A883" t="s">
        <v>104</v>
      </c>
      <c r="D883" s="103"/>
      <c r="E883" s="103"/>
      <c r="F883" s="103"/>
      <c r="G883" s="103">
        <f>G882-G881</f>
        <v>761.72130438543809</v>
      </c>
      <c r="H883" s="103">
        <f>H882-H881</f>
        <v>80</v>
      </c>
      <c r="I883" s="103">
        <f>I882-I881</f>
        <v>477.30407413615825</v>
      </c>
      <c r="J883" s="103">
        <f>J882-J881</f>
        <v>1319.0253785215964</v>
      </c>
      <c r="K883" s="103"/>
      <c r="L883" s="103"/>
      <c r="M883" s="103"/>
      <c r="N883" s="103"/>
      <c r="O883" s="103"/>
      <c r="P883" s="103"/>
      <c r="Q883" s="103"/>
      <c r="R883" s="103"/>
      <c r="S883" s="103"/>
    </row>
    <row r="885" spans="1:19" ht="60" x14ac:dyDescent="0.25">
      <c r="A885" s="26" t="s">
        <v>63</v>
      </c>
      <c r="B885" s="26" t="s">
        <v>93</v>
      </c>
      <c r="C885" s="26" t="s">
        <v>94</v>
      </c>
      <c r="D885" s="97" t="str">
        <f>FoodDB!$C$1</f>
        <v>Fat
(g)</v>
      </c>
      <c r="E885" s="97" t="str">
        <f>FoodDB!$D$1</f>
        <v xml:space="preserve"> Carbs
(g)</v>
      </c>
      <c r="F885" s="97" t="str">
        <f>FoodDB!$E$1</f>
        <v>Protein
(g)</v>
      </c>
      <c r="G885" s="97" t="str">
        <f>FoodDB!$F$1</f>
        <v>Fat
(Cal)</v>
      </c>
      <c r="H885" s="97" t="str">
        <f>FoodDB!$G$1</f>
        <v>Carb
(Cal)</v>
      </c>
      <c r="I885" s="97" t="str">
        <f>FoodDB!$H$1</f>
        <v>Protein
(Cal)</v>
      </c>
      <c r="J885" s="97" t="str">
        <f>FoodDB!$I$1</f>
        <v>Total
Calories</v>
      </c>
      <c r="K885" s="97"/>
      <c r="L885" s="97" t="s">
        <v>110</v>
      </c>
      <c r="M885" s="97" t="s">
        <v>111</v>
      </c>
      <c r="N885" s="97" t="s">
        <v>112</v>
      </c>
      <c r="O885" s="97" t="s">
        <v>113</v>
      </c>
      <c r="P885" s="97" t="s">
        <v>118</v>
      </c>
      <c r="Q885" s="97" t="s">
        <v>119</v>
      </c>
      <c r="R885" s="97" t="s">
        <v>120</v>
      </c>
      <c r="S885" s="97" t="s">
        <v>121</v>
      </c>
    </row>
    <row r="886" spans="1:19" x14ac:dyDescent="0.25">
      <c r="A886" s="98">
        <f>A874+1</f>
        <v>43067</v>
      </c>
      <c r="B886" s="99" t="s">
        <v>108</v>
      </c>
      <c r="C886" s="100">
        <v>1</v>
      </c>
      <c r="D886" s="103">
        <f>$C886*VLOOKUP($B886,FoodDB!$A$2:$I$1018,3,0)</f>
        <v>0</v>
      </c>
      <c r="E886" s="103">
        <f>$C886*VLOOKUP($B886,FoodDB!$A$2:$I$1018,4,0)</f>
        <v>0</v>
      </c>
      <c r="F886" s="103">
        <f>$C886*VLOOKUP($B886,FoodDB!$A$2:$I$1018,5,0)</f>
        <v>0</v>
      </c>
      <c r="G886" s="103">
        <f>$C886*VLOOKUP($B886,FoodDB!$A$2:$I$1018,6,0)</f>
        <v>0</v>
      </c>
      <c r="H886" s="103">
        <f>$C886*VLOOKUP($B886,FoodDB!$A$2:$I$1018,7,0)</f>
        <v>0</v>
      </c>
      <c r="I886" s="103">
        <f>$C886*VLOOKUP($B886,FoodDB!$A$2:$I$1018,8,0)</f>
        <v>0</v>
      </c>
      <c r="J886" s="103">
        <f>$C886*VLOOKUP($B886,FoodDB!$A$2:$I$1018,9,0)</f>
        <v>0</v>
      </c>
      <c r="K886" s="103"/>
      <c r="L886" s="103">
        <f>SUM(G886:G892)</f>
        <v>0</v>
      </c>
      <c r="M886" s="103">
        <f>SUM(H886:H892)</f>
        <v>0</v>
      </c>
      <c r="N886" s="103">
        <f>SUM(I886:I892)</f>
        <v>0</v>
      </c>
      <c r="O886" s="103">
        <f>SUM(L886:N886)</f>
        <v>0</v>
      </c>
      <c r="P886" s="103">
        <f>VLOOKUP($A886,LossChart!$A$3:$AB$105,14,0)-L886</f>
        <v>766.47707747009576</v>
      </c>
      <c r="Q886" s="103">
        <f>VLOOKUP($A886,LossChart!$A$3:$AB$105,15,0)-M886</f>
        <v>80</v>
      </c>
      <c r="R886" s="103">
        <f>VLOOKUP($A886,LossChart!$A$3:$AB$105,16,0)-N886</f>
        <v>477.30407413615825</v>
      </c>
      <c r="S886" s="103">
        <f>VLOOKUP($A886,LossChart!$A$3:$AB$105,17,0)-O886</f>
        <v>1323.7811516062541</v>
      </c>
    </row>
    <row r="887" spans="1:19" x14ac:dyDescent="0.25">
      <c r="B887" s="99" t="s">
        <v>108</v>
      </c>
      <c r="C887" s="100">
        <v>1</v>
      </c>
      <c r="D887" s="103">
        <f>$C887*VLOOKUP($B887,FoodDB!$A$2:$I$1018,3,0)</f>
        <v>0</v>
      </c>
      <c r="E887" s="103">
        <f>$C887*VLOOKUP($B887,FoodDB!$A$2:$I$1018,4,0)</f>
        <v>0</v>
      </c>
      <c r="F887" s="103">
        <f>$C887*VLOOKUP($B887,FoodDB!$A$2:$I$1018,5,0)</f>
        <v>0</v>
      </c>
      <c r="G887" s="103">
        <f>$C887*VLOOKUP($B887,FoodDB!$A$2:$I$1018,6,0)</f>
        <v>0</v>
      </c>
      <c r="H887" s="103">
        <f>$C887*VLOOKUP($B887,FoodDB!$A$2:$I$1018,7,0)</f>
        <v>0</v>
      </c>
      <c r="I887" s="103">
        <f>$C887*VLOOKUP($B887,FoodDB!$A$2:$I$1018,8,0)</f>
        <v>0</v>
      </c>
      <c r="J887" s="103">
        <f>$C887*VLOOKUP($B887,FoodDB!$A$2:$I$1018,9,0)</f>
        <v>0</v>
      </c>
      <c r="K887" s="103"/>
      <c r="L887" s="103"/>
      <c r="M887" s="103"/>
      <c r="N887" s="103"/>
      <c r="O887" s="103"/>
      <c r="P887" s="103"/>
      <c r="Q887" s="103"/>
      <c r="R887" s="103"/>
      <c r="S887" s="103"/>
    </row>
    <row r="888" spans="1:19" x14ac:dyDescent="0.25">
      <c r="B888" s="99" t="s">
        <v>108</v>
      </c>
      <c r="C888" s="100">
        <v>1</v>
      </c>
      <c r="D888" s="103">
        <f>$C888*VLOOKUP($B888,FoodDB!$A$2:$I$1018,3,0)</f>
        <v>0</v>
      </c>
      <c r="E888" s="103">
        <f>$C888*VLOOKUP($B888,FoodDB!$A$2:$I$1018,4,0)</f>
        <v>0</v>
      </c>
      <c r="F888" s="103">
        <f>$C888*VLOOKUP($B888,FoodDB!$A$2:$I$1018,5,0)</f>
        <v>0</v>
      </c>
      <c r="G888" s="103">
        <f>$C888*VLOOKUP($B888,FoodDB!$A$2:$I$1018,6,0)</f>
        <v>0</v>
      </c>
      <c r="H888" s="103">
        <f>$C888*VLOOKUP($B888,FoodDB!$A$2:$I$1018,7,0)</f>
        <v>0</v>
      </c>
      <c r="I888" s="103">
        <f>$C888*VLOOKUP($B888,FoodDB!$A$2:$I$1018,8,0)</f>
        <v>0</v>
      </c>
      <c r="J888" s="103">
        <f>$C888*VLOOKUP($B888,FoodDB!$A$2:$I$1018,9,0)</f>
        <v>0</v>
      </c>
      <c r="K888" s="103"/>
      <c r="L888" s="103"/>
      <c r="M888" s="103"/>
      <c r="N888" s="103"/>
      <c r="O888" s="103"/>
      <c r="P888" s="103"/>
      <c r="Q888" s="103"/>
      <c r="R888" s="103"/>
      <c r="S888" s="103"/>
    </row>
    <row r="889" spans="1:19" x14ac:dyDescent="0.25">
      <c r="B889" s="99" t="s">
        <v>108</v>
      </c>
      <c r="C889" s="100">
        <v>1</v>
      </c>
      <c r="D889" s="103">
        <f>$C889*VLOOKUP($B889,FoodDB!$A$2:$I$1018,3,0)</f>
        <v>0</v>
      </c>
      <c r="E889" s="103">
        <f>$C889*VLOOKUP($B889,FoodDB!$A$2:$I$1018,4,0)</f>
        <v>0</v>
      </c>
      <c r="F889" s="103">
        <f>$C889*VLOOKUP($B889,FoodDB!$A$2:$I$1018,5,0)</f>
        <v>0</v>
      </c>
      <c r="G889" s="103">
        <f>$C889*VLOOKUP($B889,FoodDB!$A$2:$I$1018,6,0)</f>
        <v>0</v>
      </c>
      <c r="H889" s="103">
        <f>$C889*VLOOKUP($B889,FoodDB!$A$2:$I$1018,7,0)</f>
        <v>0</v>
      </c>
      <c r="I889" s="103">
        <f>$C889*VLOOKUP($B889,FoodDB!$A$2:$I$1018,8,0)</f>
        <v>0</v>
      </c>
      <c r="J889" s="103">
        <f>$C889*VLOOKUP($B889,FoodDB!$A$2:$I$1018,9,0)</f>
        <v>0</v>
      </c>
      <c r="K889" s="103"/>
      <c r="L889" s="103"/>
      <c r="M889" s="103"/>
      <c r="N889" s="103"/>
      <c r="O889" s="103"/>
      <c r="P889" s="103"/>
      <c r="Q889" s="103"/>
      <c r="R889" s="103"/>
      <c r="S889" s="103"/>
    </row>
    <row r="890" spans="1:19" x14ac:dyDescent="0.25">
      <c r="B890" s="99" t="s">
        <v>108</v>
      </c>
      <c r="C890" s="100">
        <v>1</v>
      </c>
      <c r="D890" s="103">
        <f>$C890*VLOOKUP($B890,FoodDB!$A$2:$I$1018,3,0)</f>
        <v>0</v>
      </c>
      <c r="E890" s="103">
        <f>$C890*VLOOKUP($B890,FoodDB!$A$2:$I$1018,4,0)</f>
        <v>0</v>
      </c>
      <c r="F890" s="103">
        <f>$C890*VLOOKUP($B890,FoodDB!$A$2:$I$1018,5,0)</f>
        <v>0</v>
      </c>
      <c r="G890" s="103">
        <f>$C890*VLOOKUP($B890,FoodDB!$A$2:$I$1018,6,0)</f>
        <v>0</v>
      </c>
      <c r="H890" s="103">
        <f>$C890*VLOOKUP($B890,FoodDB!$A$2:$I$1018,7,0)</f>
        <v>0</v>
      </c>
      <c r="I890" s="103">
        <f>$C890*VLOOKUP($B890,FoodDB!$A$2:$I$1018,8,0)</f>
        <v>0</v>
      </c>
      <c r="J890" s="103">
        <f>$C890*VLOOKUP($B890,FoodDB!$A$2:$I$1018,9,0)</f>
        <v>0</v>
      </c>
      <c r="K890" s="103"/>
      <c r="L890" s="103"/>
      <c r="M890" s="103"/>
      <c r="N890" s="103"/>
      <c r="O890" s="103"/>
      <c r="P890" s="103"/>
      <c r="Q890" s="103"/>
      <c r="R890" s="103"/>
      <c r="S890" s="103"/>
    </row>
    <row r="891" spans="1:19" x14ac:dyDescent="0.25">
      <c r="B891" s="99" t="s">
        <v>108</v>
      </c>
      <c r="C891" s="100">
        <v>1</v>
      </c>
      <c r="D891" s="103">
        <f>$C891*VLOOKUP($B891,FoodDB!$A$2:$I$1018,3,0)</f>
        <v>0</v>
      </c>
      <c r="E891" s="103">
        <f>$C891*VLOOKUP($B891,FoodDB!$A$2:$I$1018,4,0)</f>
        <v>0</v>
      </c>
      <c r="F891" s="103">
        <f>$C891*VLOOKUP($B891,FoodDB!$A$2:$I$1018,5,0)</f>
        <v>0</v>
      </c>
      <c r="G891" s="103">
        <f>$C891*VLOOKUP($B891,FoodDB!$A$2:$I$1018,6,0)</f>
        <v>0</v>
      </c>
      <c r="H891" s="103">
        <f>$C891*VLOOKUP($B891,FoodDB!$A$2:$I$1018,7,0)</f>
        <v>0</v>
      </c>
      <c r="I891" s="103">
        <f>$C891*VLOOKUP($B891,FoodDB!$A$2:$I$1018,8,0)</f>
        <v>0</v>
      </c>
      <c r="J891" s="103">
        <f>$C891*VLOOKUP($B891,FoodDB!$A$2:$I$1018,9,0)</f>
        <v>0</v>
      </c>
      <c r="K891" s="103"/>
      <c r="L891" s="103"/>
      <c r="M891" s="103"/>
      <c r="N891" s="103"/>
      <c r="O891" s="103"/>
      <c r="P891" s="103"/>
      <c r="Q891" s="103"/>
      <c r="R891" s="103"/>
      <c r="S891" s="103"/>
    </row>
    <row r="892" spans="1:19" x14ac:dyDescent="0.25">
      <c r="B892" s="99" t="s">
        <v>108</v>
      </c>
      <c r="C892" s="100">
        <v>1</v>
      </c>
      <c r="D892" s="103">
        <f>$C892*VLOOKUP($B892,FoodDB!$A$2:$I$1018,3,0)</f>
        <v>0</v>
      </c>
      <c r="E892" s="103">
        <f>$C892*VLOOKUP($B892,FoodDB!$A$2:$I$1018,4,0)</f>
        <v>0</v>
      </c>
      <c r="F892" s="103">
        <f>$C892*VLOOKUP($B892,FoodDB!$A$2:$I$1018,5,0)</f>
        <v>0</v>
      </c>
      <c r="G892" s="103">
        <f>$C892*VLOOKUP($B892,FoodDB!$A$2:$I$1018,6,0)</f>
        <v>0</v>
      </c>
      <c r="H892" s="103">
        <f>$C892*VLOOKUP($B892,FoodDB!$A$2:$I$1018,7,0)</f>
        <v>0</v>
      </c>
      <c r="I892" s="103">
        <f>$C892*VLOOKUP($B892,FoodDB!$A$2:$I$1018,8,0)</f>
        <v>0</v>
      </c>
      <c r="J892" s="103">
        <f>$C892*VLOOKUP($B892,FoodDB!$A$2:$I$1018,9,0)</f>
        <v>0</v>
      </c>
      <c r="K892" s="103"/>
      <c r="L892" s="103"/>
      <c r="M892" s="103"/>
      <c r="N892" s="103"/>
      <c r="O892" s="103"/>
      <c r="P892" s="103"/>
      <c r="Q892" s="103"/>
      <c r="R892" s="103"/>
      <c r="S892" s="103"/>
    </row>
    <row r="893" spans="1:19" x14ac:dyDescent="0.25">
      <c r="A893" t="s">
        <v>98</v>
      </c>
      <c r="D893" s="103"/>
      <c r="E893" s="103"/>
      <c r="F893" s="103"/>
      <c r="G893" s="103">
        <f>SUM(G886:G892)</f>
        <v>0</v>
      </c>
      <c r="H893" s="103">
        <f>SUM(H886:H892)</f>
        <v>0</v>
      </c>
      <c r="I893" s="103">
        <f>SUM(I886:I892)</f>
        <v>0</v>
      </c>
      <c r="J893" s="103">
        <f>SUM(G893:I893)</f>
        <v>0</v>
      </c>
      <c r="K893" s="103"/>
      <c r="L893" s="103"/>
      <c r="M893" s="103"/>
      <c r="N893" s="103"/>
      <c r="O893" s="103"/>
      <c r="P893" s="103"/>
      <c r="Q893" s="103"/>
      <c r="R893" s="103"/>
      <c r="S893" s="103"/>
    </row>
    <row r="894" spans="1:19" x14ac:dyDescent="0.25">
      <c r="A894" t="s">
        <v>102</v>
      </c>
      <c r="B894" t="s">
        <v>103</v>
      </c>
      <c r="D894" s="103"/>
      <c r="E894" s="103"/>
      <c r="F894" s="103"/>
      <c r="G894" s="103">
        <f>VLOOKUP($A886,LossChart!$A$3:$AB$105,14,0)</f>
        <v>766.47707747009576</v>
      </c>
      <c r="H894" s="103">
        <f>VLOOKUP($A886,LossChart!$A$3:$AB$105,15,0)</f>
        <v>80</v>
      </c>
      <c r="I894" s="103">
        <f>VLOOKUP($A886,LossChart!$A$3:$AB$105,16,0)</f>
        <v>477.30407413615825</v>
      </c>
      <c r="J894" s="103">
        <f>VLOOKUP($A886,LossChart!$A$3:$AB$105,17,0)</f>
        <v>1323.7811516062541</v>
      </c>
      <c r="K894" s="103"/>
      <c r="L894" s="103"/>
      <c r="M894" s="103"/>
      <c r="N894" s="103"/>
      <c r="O894" s="103"/>
      <c r="P894" s="103"/>
      <c r="Q894" s="103"/>
      <c r="R894" s="103"/>
      <c r="S894" s="103"/>
    </row>
    <row r="895" spans="1:19" x14ac:dyDescent="0.25">
      <c r="A895" t="s">
        <v>104</v>
      </c>
      <c r="D895" s="103"/>
      <c r="E895" s="103"/>
      <c r="F895" s="103"/>
      <c r="G895" s="103">
        <f>G894-G893</f>
        <v>766.47707747009576</v>
      </c>
      <c r="H895" s="103">
        <f>H894-H893</f>
        <v>80</v>
      </c>
      <c r="I895" s="103">
        <f>I894-I893</f>
        <v>477.30407413615825</v>
      </c>
      <c r="J895" s="103">
        <f>J894-J893</f>
        <v>1323.7811516062541</v>
      </c>
      <c r="K895" s="103"/>
      <c r="L895" s="103"/>
      <c r="M895" s="103"/>
      <c r="N895" s="103"/>
      <c r="O895" s="103"/>
      <c r="P895" s="103"/>
      <c r="Q895" s="103"/>
      <c r="R895" s="103"/>
      <c r="S895" s="103"/>
    </row>
    <row r="897" spans="1:19" ht="60" x14ac:dyDescent="0.25">
      <c r="A897" s="26" t="s">
        <v>63</v>
      </c>
      <c r="B897" s="26" t="s">
        <v>93</v>
      </c>
      <c r="C897" s="26" t="s">
        <v>94</v>
      </c>
      <c r="D897" s="97" t="str">
        <f>FoodDB!$C$1</f>
        <v>Fat
(g)</v>
      </c>
      <c r="E897" s="97" t="str">
        <f>FoodDB!$D$1</f>
        <v xml:space="preserve"> Carbs
(g)</v>
      </c>
      <c r="F897" s="97" t="str">
        <f>FoodDB!$E$1</f>
        <v>Protein
(g)</v>
      </c>
      <c r="G897" s="97" t="str">
        <f>FoodDB!$F$1</f>
        <v>Fat
(Cal)</v>
      </c>
      <c r="H897" s="97" t="str">
        <f>FoodDB!$G$1</f>
        <v>Carb
(Cal)</v>
      </c>
      <c r="I897" s="97" t="str">
        <f>FoodDB!$H$1</f>
        <v>Protein
(Cal)</v>
      </c>
      <c r="J897" s="97" t="str">
        <f>FoodDB!$I$1</f>
        <v>Total
Calories</v>
      </c>
      <c r="K897" s="97"/>
      <c r="L897" s="97" t="s">
        <v>110</v>
      </c>
      <c r="M897" s="97" t="s">
        <v>111</v>
      </c>
      <c r="N897" s="97" t="s">
        <v>112</v>
      </c>
      <c r="O897" s="97" t="s">
        <v>113</v>
      </c>
      <c r="P897" s="97" t="s">
        <v>118</v>
      </c>
      <c r="Q897" s="97" t="s">
        <v>119</v>
      </c>
      <c r="R897" s="97" t="s">
        <v>120</v>
      </c>
      <c r="S897" s="97" t="s">
        <v>121</v>
      </c>
    </row>
    <row r="898" spans="1:19" x14ac:dyDescent="0.25">
      <c r="A898" s="98">
        <f>A886+1</f>
        <v>43068</v>
      </c>
      <c r="B898" s="99" t="s">
        <v>108</v>
      </c>
      <c r="C898" s="100">
        <v>1</v>
      </c>
      <c r="D898" s="103">
        <f>$C898*VLOOKUP($B898,FoodDB!$A$2:$I$1018,3,0)</f>
        <v>0</v>
      </c>
      <c r="E898" s="103">
        <f>$C898*VLOOKUP($B898,FoodDB!$A$2:$I$1018,4,0)</f>
        <v>0</v>
      </c>
      <c r="F898" s="103">
        <f>$C898*VLOOKUP($B898,FoodDB!$A$2:$I$1018,5,0)</f>
        <v>0</v>
      </c>
      <c r="G898" s="103">
        <f>$C898*VLOOKUP($B898,FoodDB!$A$2:$I$1018,6,0)</f>
        <v>0</v>
      </c>
      <c r="H898" s="103">
        <f>$C898*VLOOKUP($B898,FoodDB!$A$2:$I$1018,7,0)</f>
        <v>0</v>
      </c>
      <c r="I898" s="103">
        <f>$C898*VLOOKUP($B898,FoodDB!$A$2:$I$1018,8,0)</f>
        <v>0</v>
      </c>
      <c r="J898" s="103">
        <f>$C898*VLOOKUP($B898,FoodDB!$A$2:$I$1018,9,0)</f>
        <v>0</v>
      </c>
      <c r="K898" s="103"/>
      <c r="L898" s="103">
        <f>SUM(G898:G904)</f>
        <v>0</v>
      </c>
      <c r="M898" s="103">
        <f>SUM(H898:H904)</f>
        <v>0</v>
      </c>
      <c r="N898" s="103">
        <f>SUM(I898:I904)</f>
        <v>0</v>
      </c>
      <c r="O898" s="103">
        <f>SUM(L898:N898)</f>
        <v>0</v>
      </c>
      <c r="P898" s="103">
        <f>VLOOKUP($A898,LossChart!$A$3:$AB$105,14,0)-L898</f>
        <v>771.19072799314654</v>
      </c>
      <c r="Q898" s="103">
        <f>VLOOKUP($A898,LossChart!$A$3:$AB$105,15,0)-M898</f>
        <v>80</v>
      </c>
      <c r="R898" s="103">
        <f>VLOOKUP($A898,LossChart!$A$3:$AB$105,16,0)-N898</f>
        <v>477.30407413615825</v>
      </c>
      <c r="S898" s="103">
        <f>VLOOKUP($A898,LossChart!$A$3:$AB$105,17,0)-O898</f>
        <v>1328.4948021293048</v>
      </c>
    </row>
    <row r="899" spans="1:19" x14ac:dyDescent="0.25">
      <c r="B899" s="99" t="s">
        <v>108</v>
      </c>
      <c r="C899" s="100">
        <v>1</v>
      </c>
      <c r="D899" s="103">
        <f>$C899*VLOOKUP($B899,FoodDB!$A$2:$I$1018,3,0)</f>
        <v>0</v>
      </c>
      <c r="E899" s="103">
        <f>$C899*VLOOKUP($B899,FoodDB!$A$2:$I$1018,4,0)</f>
        <v>0</v>
      </c>
      <c r="F899" s="103">
        <f>$C899*VLOOKUP($B899,FoodDB!$A$2:$I$1018,5,0)</f>
        <v>0</v>
      </c>
      <c r="G899" s="103">
        <f>$C899*VLOOKUP($B899,FoodDB!$A$2:$I$1018,6,0)</f>
        <v>0</v>
      </c>
      <c r="H899" s="103">
        <f>$C899*VLOOKUP($B899,FoodDB!$A$2:$I$1018,7,0)</f>
        <v>0</v>
      </c>
      <c r="I899" s="103">
        <f>$C899*VLOOKUP($B899,FoodDB!$A$2:$I$1018,8,0)</f>
        <v>0</v>
      </c>
      <c r="J899" s="103">
        <f>$C899*VLOOKUP($B899,FoodDB!$A$2:$I$1018,9,0)</f>
        <v>0</v>
      </c>
      <c r="K899" s="103"/>
      <c r="L899" s="103"/>
      <c r="M899" s="103"/>
      <c r="N899" s="103"/>
      <c r="O899" s="103"/>
      <c r="P899" s="103"/>
      <c r="Q899" s="103"/>
      <c r="R899" s="103"/>
      <c r="S899" s="103"/>
    </row>
    <row r="900" spans="1:19" x14ac:dyDescent="0.25">
      <c r="B900" s="99" t="s">
        <v>108</v>
      </c>
      <c r="C900" s="100">
        <v>1</v>
      </c>
      <c r="D900" s="103">
        <f>$C900*VLOOKUP($B900,FoodDB!$A$2:$I$1018,3,0)</f>
        <v>0</v>
      </c>
      <c r="E900" s="103">
        <f>$C900*VLOOKUP($B900,FoodDB!$A$2:$I$1018,4,0)</f>
        <v>0</v>
      </c>
      <c r="F900" s="103">
        <f>$C900*VLOOKUP($B900,FoodDB!$A$2:$I$1018,5,0)</f>
        <v>0</v>
      </c>
      <c r="G900" s="103">
        <f>$C900*VLOOKUP($B900,FoodDB!$A$2:$I$1018,6,0)</f>
        <v>0</v>
      </c>
      <c r="H900" s="103">
        <f>$C900*VLOOKUP($B900,FoodDB!$A$2:$I$1018,7,0)</f>
        <v>0</v>
      </c>
      <c r="I900" s="103">
        <f>$C900*VLOOKUP($B900,FoodDB!$A$2:$I$1018,8,0)</f>
        <v>0</v>
      </c>
      <c r="J900" s="103">
        <f>$C900*VLOOKUP($B900,FoodDB!$A$2:$I$1018,9,0)</f>
        <v>0</v>
      </c>
      <c r="K900" s="103"/>
      <c r="L900" s="103"/>
      <c r="M900" s="103"/>
      <c r="N900" s="103"/>
      <c r="O900" s="103"/>
      <c r="P900" s="103"/>
      <c r="Q900" s="103"/>
      <c r="R900" s="103"/>
      <c r="S900" s="103"/>
    </row>
    <row r="901" spans="1:19" x14ac:dyDescent="0.25">
      <c r="B901" s="99" t="s">
        <v>108</v>
      </c>
      <c r="C901" s="100">
        <v>1</v>
      </c>
      <c r="D901" s="103">
        <f>$C901*VLOOKUP($B901,FoodDB!$A$2:$I$1018,3,0)</f>
        <v>0</v>
      </c>
      <c r="E901" s="103">
        <f>$C901*VLOOKUP($B901,FoodDB!$A$2:$I$1018,4,0)</f>
        <v>0</v>
      </c>
      <c r="F901" s="103">
        <f>$C901*VLOOKUP($B901,FoodDB!$A$2:$I$1018,5,0)</f>
        <v>0</v>
      </c>
      <c r="G901" s="103">
        <f>$C901*VLOOKUP($B901,FoodDB!$A$2:$I$1018,6,0)</f>
        <v>0</v>
      </c>
      <c r="H901" s="103">
        <f>$C901*VLOOKUP($B901,FoodDB!$A$2:$I$1018,7,0)</f>
        <v>0</v>
      </c>
      <c r="I901" s="103">
        <f>$C901*VLOOKUP($B901,FoodDB!$A$2:$I$1018,8,0)</f>
        <v>0</v>
      </c>
      <c r="J901" s="103">
        <f>$C901*VLOOKUP($B901,FoodDB!$A$2:$I$1018,9,0)</f>
        <v>0</v>
      </c>
      <c r="K901" s="103"/>
      <c r="L901" s="103"/>
      <c r="M901" s="103"/>
      <c r="N901" s="103"/>
      <c r="O901" s="103"/>
      <c r="P901" s="103"/>
      <c r="Q901" s="103"/>
      <c r="R901" s="103"/>
      <c r="S901" s="103"/>
    </row>
    <row r="902" spans="1:19" x14ac:dyDescent="0.25">
      <c r="B902" s="99" t="s">
        <v>108</v>
      </c>
      <c r="C902" s="100">
        <v>1</v>
      </c>
      <c r="D902" s="103">
        <f>$C902*VLOOKUP($B902,FoodDB!$A$2:$I$1018,3,0)</f>
        <v>0</v>
      </c>
      <c r="E902" s="103">
        <f>$C902*VLOOKUP($B902,FoodDB!$A$2:$I$1018,4,0)</f>
        <v>0</v>
      </c>
      <c r="F902" s="103">
        <f>$C902*VLOOKUP($B902,FoodDB!$A$2:$I$1018,5,0)</f>
        <v>0</v>
      </c>
      <c r="G902" s="103">
        <f>$C902*VLOOKUP($B902,FoodDB!$A$2:$I$1018,6,0)</f>
        <v>0</v>
      </c>
      <c r="H902" s="103">
        <f>$C902*VLOOKUP($B902,FoodDB!$A$2:$I$1018,7,0)</f>
        <v>0</v>
      </c>
      <c r="I902" s="103">
        <f>$C902*VLOOKUP($B902,FoodDB!$A$2:$I$1018,8,0)</f>
        <v>0</v>
      </c>
      <c r="J902" s="103">
        <f>$C902*VLOOKUP($B902,FoodDB!$A$2:$I$1018,9,0)</f>
        <v>0</v>
      </c>
      <c r="K902" s="103"/>
      <c r="L902" s="103"/>
      <c r="M902" s="103"/>
      <c r="N902" s="103"/>
      <c r="O902" s="103"/>
      <c r="P902" s="103"/>
      <c r="Q902" s="103"/>
      <c r="R902" s="103"/>
      <c r="S902" s="103"/>
    </row>
    <row r="903" spans="1:19" x14ac:dyDescent="0.25">
      <c r="B903" s="99" t="s">
        <v>108</v>
      </c>
      <c r="C903" s="100">
        <v>1</v>
      </c>
      <c r="D903" s="103">
        <f>$C903*VLOOKUP($B903,FoodDB!$A$2:$I$1018,3,0)</f>
        <v>0</v>
      </c>
      <c r="E903" s="103">
        <f>$C903*VLOOKUP($B903,FoodDB!$A$2:$I$1018,4,0)</f>
        <v>0</v>
      </c>
      <c r="F903" s="103">
        <f>$C903*VLOOKUP($B903,FoodDB!$A$2:$I$1018,5,0)</f>
        <v>0</v>
      </c>
      <c r="G903" s="103">
        <f>$C903*VLOOKUP($B903,FoodDB!$A$2:$I$1018,6,0)</f>
        <v>0</v>
      </c>
      <c r="H903" s="103">
        <f>$C903*VLOOKUP($B903,FoodDB!$A$2:$I$1018,7,0)</f>
        <v>0</v>
      </c>
      <c r="I903" s="103">
        <f>$C903*VLOOKUP($B903,FoodDB!$A$2:$I$1018,8,0)</f>
        <v>0</v>
      </c>
      <c r="J903" s="103">
        <f>$C903*VLOOKUP($B903,FoodDB!$A$2:$I$1018,9,0)</f>
        <v>0</v>
      </c>
      <c r="K903" s="103"/>
      <c r="L903" s="103"/>
      <c r="M903" s="103"/>
      <c r="N903" s="103"/>
      <c r="O903" s="103"/>
      <c r="P903" s="103"/>
      <c r="Q903" s="103"/>
      <c r="R903" s="103"/>
      <c r="S903" s="103"/>
    </row>
    <row r="904" spans="1:19" x14ac:dyDescent="0.25">
      <c r="B904" s="99" t="s">
        <v>108</v>
      </c>
      <c r="C904" s="100">
        <v>1</v>
      </c>
      <c r="D904" s="103">
        <f>$C904*VLOOKUP($B904,FoodDB!$A$2:$I$1018,3,0)</f>
        <v>0</v>
      </c>
      <c r="E904" s="103">
        <f>$C904*VLOOKUP($B904,FoodDB!$A$2:$I$1018,4,0)</f>
        <v>0</v>
      </c>
      <c r="F904" s="103">
        <f>$C904*VLOOKUP($B904,FoodDB!$A$2:$I$1018,5,0)</f>
        <v>0</v>
      </c>
      <c r="G904" s="103">
        <f>$C904*VLOOKUP($B904,FoodDB!$A$2:$I$1018,6,0)</f>
        <v>0</v>
      </c>
      <c r="H904" s="103">
        <f>$C904*VLOOKUP($B904,FoodDB!$A$2:$I$1018,7,0)</f>
        <v>0</v>
      </c>
      <c r="I904" s="103">
        <f>$C904*VLOOKUP($B904,FoodDB!$A$2:$I$1018,8,0)</f>
        <v>0</v>
      </c>
      <c r="J904" s="103">
        <f>$C904*VLOOKUP($B904,FoodDB!$A$2:$I$1018,9,0)</f>
        <v>0</v>
      </c>
      <c r="K904" s="103"/>
      <c r="L904" s="103"/>
      <c r="M904" s="103"/>
      <c r="N904" s="103"/>
      <c r="O904" s="103"/>
      <c r="P904" s="103"/>
      <c r="Q904" s="103"/>
      <c r="R904" s="103"/>
      <c r="S904" s="103"/>
    </row>
    <row r="905" spans="1:19" x14ac:dyDescent="0.25">
      <c r="A905" t="s">
        <v>98</v>
      </c>
      <c r="D905" s="103"/>
      <c r="E905" s="103"/>
      <c r="F905" s="103"/>
      <c r="G905" s="103">
        <f>SUM(G898:G904)</f>
        <v>0</v>
      </c>
      <c r="H905" s="103">
        <f>SUM(H898:H904)</f>
        <v>0</v>
      </c>
      <c r="I905" s="103">
        <f>SUM(I898:I904)</f>
        <v>0</v>
      </c>
      <c r="J905" s="103">
        <f>SUM(G905:I905)</f>
        <v>0</v>
      </c>
      <c r="K905" s="103"/>
      <c r="L905" s="103"/>
      <c r="M905" s="103"/>
      <c r="N905" s="103"/>
      <c r="O905" s="103"/>
      <c r="P905" s="103"/>
      <c r="Q905" s="103"/>
      <c r="R905" s="103"/>
      <c r="S905" s="103"/>
    </row>
    <row r="906" spans="1:19" x14ac:dyDescent="0.25">
      <c r="A906" t="s">
        <v>102</v>
      </c>
      <c r="B906" t="s">
        <v>103</v>
      </c>
      <c r="D906" s="103"/>
      <c r="E906" s="103"/>
      <c r="F906" s="103"/>
      <c r="G906" s="103">
        <f>VLOOKUP($A898,LossChart!$A$3:$AB$105,14,0)</f>
        <v>771.19072799314654</v>
      </c>
      <c r="H906" s="103">
        <f>VLOOKUP($A898,LossChart!$A$3:$AB$105,15,0)</f>
        <v>80</v>
      </c>
      <c r="I906" s="103">
        <f>VLOOKUP($A898,LossChart!$A$3:$AB$105,16,0)</f>
        <v>477.30407413615825</v>
      </c>
      <c r="J906" s="103">
        <f>VLOOKUP($A898,LossChart!$A$3:$AB$105,17,0)</f>
        <v>1328.4948021293048</v>
      </c>
      <c r="K906" s="103"/>
      <c r="L906" s="103"/>
      <c r="M906" s="103"/>
      <c r="N906" s="103"/>
      <c r="O906" s="103"/>
      <c r="P906" s="103"/>
      <c r="Q906" s="103"/>
      <c r="R906" s="103"/>
      <c r="S906" s="103"/>
    </row>
    <row r="907" spans="1:19" x14ac:dyDescent="0.25">
      <c r="A907" t="s">
        <v>104</v>
      </c>
      <c r="D907" s="103"/>
      <c r="E907" s="103"/>
      <c r="F907" s="103"/>
      <c r="G907" s="103">
        <f>G906-G905</f>
        <v>771.19072799314654</v>
      </c>
      <c r="H907" s="103">
        <f>H906-H905</f>
        <v>80</v>
      </c>
      <c r="I907" s="103">
        <f>I906-I905</f>
        <v>477.30407413615825</v>
      </c>
      <c r="J907" s="103">
        <f>J906-J905</f>
        <v>1328.4948021293048</v>
      </c>
      <c r="K907" s="103"/>
      <c r="L907" s="103"/>
      <c r="M907" s="103"/>
      <c r="N907" s="103"/>
      <c r="O907" s="103"/>
      <c r="P907" s="103"/>
      <c r="Q907" s="103"/>
      <c r="R907" s="103"/>
      <c r="S907" s="103"/>
    </row>
    <row r="909" spans="1:19" ht="60" x14ac:dyDescent="0.25">
      <c r="A909" s="26" t="s">
        <v>63</v>
      </c>
      <c r="B909" s="26" t="s">
        <v>93</v>
      </c>
      <c r="C909" s="26" t="s">
        <v>94</v>
      </c>
      <c r="D909" s="97" t="str">
        <f>FoodDB!$C$1</f>
        <v>Fat
(g)</v>
      </c>
      <c r="E909" s="97" t="str">
        <f>FoodDB!$D$1</f>
        <v xml:space="preserve"> Carbs
(g)</v>
      </c>
      <c r="F909" s="97" t="str">
        <f>FoodDB!$E$1</f>
        <v>Protein
(g)</v>
      </c>
      <c r="G909" s="97" t="str">
        <f>FoodDB!$F$1</f>
        <v>Fat
(Cal)</v>
      </c>
      <c r="H909" s="97" t="str">
        <f>FoodDB!$G$1</f>
        <v>Carb
(Cal)</v>
      </c>
      <c r="I909" s="97" t="str">
        <f>FoodDB!$H$1</f>
        <v>Protein
(Cal)</v>
      </c>
      <c r="J909" s="97" t="str">
        <f>FoodDB!$I$1</f>
        <v>Total
Calories</v>
      </c>
      <c r="K909" s="97"/>
      <c r="L909" s="97" t="s">
        <v>110</v>
      </c>
      <c r="M909" s="97" t="s">
        <v>111</v>
      </c>
      <c r="N909" s="97" t="s">
        <v>112</v>
      </c>
      <c r="O909" s="97" t="s">
        <v>113</v>
      </c>
      <c r="P909" s="97" t="s">
        <v>118</v>
      </c>
      <c r="Q909" s="97" t="s">
        <v>119</v>
      </c>
      <c r="R909" s="97" t="s">
        <v>120</v>
      </c>
      <c r="S909" s="97" t="s">
        <v>121</v>
      </c>
    </row>
    <row r="910" spans="1:19" x14ac:dyDescent="0.25">
      <c r="A910" s="98">
        <f>A898+1</f>
        <v>43069</v>
      </c>
      <c r="B910" s="99" t="s">
        <v>108</v>
      </c>
      <c r="C910" s="100">
        <v>1</v>
      </c>
      <c r="D910" s="103">
        <f>$C910*VLOOKUP($B910,FoodDB!$A$2:$I$1018,3,0)</f>
        <v>0</v>
      </c>
      <c r="E910" s="103">
        <f>$C910*VLOOKUP($B910,FoodDB!$A$2:$I$1018,4,0)</f>
        <v>0</v>
      </c>
      <c r="F910" s="103">
        <f>$C910*VLOOKUP($B910,FoodDB!$A$2:$I$1018,5,0)</f>
        <v>0</v>
      </c>
      <c r="G910" s="103">
        <f>$C910*VLOOKUP($B910,FoodDB!$A$2:$I$1018,6,0)</f>
        <v>0</v>
      </c>
      <c r="H910" s="103">
        <f>$C910*VLOOKUP($B910,FoodDB!$A$2:$I$1018,7,0)</f>
        <v>0</v>
      </c>
      <c r="I910" s="103">
        <f>$C910*VLOOKUP($B910,FoodDB!$A$2:$I$1018,8,0)</f>
        <v>0</v>
      </c>
      <c r="J910" s="103">
        <f>$C910*VLOOKUP($B910,FoodDB!$A$2:$I$1018,9,0)</f>
        <v>0</v>
      </c>
      <c r="K910" s="103"/>
      <c r="L910" s="103">
        <f>SUM(G910:G916)</f>
        <v>0</v>
      </c>
      <c r="M910" s="103">
        <f>SUM(H910:H916)</f>
        <v>0</v>
      </c>
      <c r="N910" s="103">
        <f>SUM(I910:I916)</f>
        <v>0</v>
      </c>
      <c r="O910" s="103">
        <f>SUM(L910:N910)</f>
        <v>0</v>
      </c>
      <c r="P910" s="103">
        <f>VLOOKUP($A910,LossChart!$A$3:$AB$105,14,0)-L910</f>
        <v>775.86262904013574</v>
      </c>
      <c r="Q910" s="103">
        <f>VLOOKUP($A910,LossChart!$A$3:$AB$105,15,0)-M910</f>
        <v>80</v>
      </c>
      <c r="R910" s="103">
        <f>VLOOKUP($A910,LossChart!$A$3:$AB$105,16,0)-N910</f>
        <v>477.30407413615825</v>
      </c>
      <c r="S910" s="103">
        <f>VLOOKUP($A910,LossChart!$A$3:$AB$105,17,0)-O910</f>
        <v>1333.166703176294</v>
      </c>
    </row>
    <row r="911" spans="1:19" x14ac:dyDescent="0.25">
      <c r="B911" s="99" t="s">
        <v>108</v>
      </c>
      <c r="C911" s="100">
        <v>1</v>
      </c>
      <c r="D911" s="103">
        <f>$C911*VLOOKUP($B911,FoodDB!$A$2:$I$1018,3,0)</f>
        <v>0</v>
      </c>
      <c r="E911" s="103">
        <f>$C911*VLOOKUP($B911,FoodDB!$A$2:$I$1018,4,0)</f>
        <v>0</v>
      </c>
      <c r="F911" s="103">
        <f>$C911*VLOOKUP($B911,FoodDB!$A$2:$I$1018,5,0)</f>
        <v>0</v>
      </c>
      <c r="G911" s="103">
        <f>$C911*VLOOKUP($B911,FoodDB!$A$2:$I$1018,6,0)</f>
        <v>0</v>
      </c>
      <c r="H911" s="103">
        <f>$C911*VLOOKUP($B911,FoodDB!$A$2:$I$1018,7,0)</f>
        <v>0</v>
      </c>
      <c r="I911" s="103">
        <f>$C911*VLOOKUP($B911,FoodDB!$A$2:$I$1018,8,0)</f>
        <v>0</v>
      </c>
      <c r="J911" s="103">
        <f>$C911*VLOOKUP($B911,FoodDB!$A$2:$I$1018,9,0)</f>
        <v>0</v>
      </c>
      <c r="K911" s="103"/>
      <c r="L911" s="103"/>
      <c r="M911" s="103"/>
      <c r="N911" s="103"/>
      <c r="O911" s="103"/>
      <c r="P911" s="103"/>
      <c r="Q911" s="103"/>
      <c r="R911" s="103"/>
      <c r="S911" s="103"/>
    </row>
    <row r="912" spans="1:19" x14ac:dyDescent="0.25">
      <c r="B912" s="99" t="s">
        <v>108</v>
      </c>
      <c r="C912" s="100">
        <v>1</v>
      </c>
      <c r="D912" s="103">
        <f>$C912*VLOOKUP($B912,FoodDB!$A$2:$I$1018,3,0)</f>
        <v>0</v>
      </c>
      <c r="E912" s="103">
        <f>$C912*VLOOKUP($B912,FoodDB!$A$2:$I$1018,4,0)</f>
        <v>0</v>
      </c>
      <c r="F912" s="103">
        <f>$C912*VLOOKUP($B912,FoodDB!$A$2:$I$1018,5,0)</f>
        <v>0</v>
      </c>
      <c r="G912" s="103">
        <f>$C912*VLOOKUP($B912,FoodDB!$A$2:$I$1018,6,0)</f>
        <v>0</v>
      </c>
      <c r="H912" s="103">
        <f>$C912*VLOOKUP($B912,FoodDB!$A$2:$I$1018,7,0)</f>
        <v>0</v>
      </c>
      <c r="I912" s="103">
        <f>$C912*VLOOKUP($B912,FoodDB!$A$2:$I$1018,8,0)</f>
        <v>0</v>
      </c>
      <c r="J912" s="103">
        <f>$C912*VLOOKUP($B912,FoodDB!$A$2:$I$1018,9,0)</f>
        <v>0</v>
      </c>
      <c r="K912" s="103"/>
      <c r="L912" s="103"/>
      <c r="M912" s="103"/>
      <c r="N912" s="103"/>
      <c r="O912" s="103"/>
      <c r="P912" s="103"/>
      <c r="Q912" s="103"/>
      <c r="R912" s="103"/>
      <c r="S912" s="103"/>
    </row>
    <row r="913" spans="1:19" x14ac:dyDescent="0.25">
      <c r="B913" s="99" t="s">
        <v>108</v>
      </c>
      <c r="C913" s="100">
        <v>1</v>
      </c>
      <c r="D913" s="103">
        <f>$C913*VLOOKUP($B913,FoodDB!$A$2:$I$1018,3,0)</f>
        <v>0</v>
      </c>
      <c r="E913" s="103">
        <f>$C913*VLOOKUP($B913,FoodDB!$A$2:$I$1018,4,0)</f>
        <v>0</v>
      </c>
      <c r="F913" s="103">
        <f>$C913*VLOOKUP($B913,FoodDB!$A$2:$I$1018,5,0)</f>
        <v>0</v>
      </c>
      <c r="G913" s="103">
        <f>$C913*VLOOKUP($B913,FoodDB!$A$2:$I$1018,6,0)</f>
        <v>0</v>
      </c>
      <c r="H913" s="103">
        <f>$C913*VLOOKUP($B913,FoodDB!$A$2:$I$1018,7,0)</f>
        <v>0</v>
      </c>
      <c r="I913" s="103">
        <f>$C913*VLOOKUP($B913,FoodDB!$A$2:$I$1018,8,0)</f>
        <v>0</v>
      </c>
      <c r="J913" s="103">
        <f>$C913*VLOOKUP($B913,FoodDB!$A$2:$I$1018,9,0)</f>
        <v>0</v>
      </c>
      <c r="K913" s="103"/>
      <c r="L913" s="103"/>
      <c r="M913" s="103"/>
      <c r="N913" s="103"/>
      <c r="O913" s="103"/>
      <c r="P913" s="103"/>
      <c r="Q913" s="103"/>
      <c r="R913" s="103"/>
      <c r="S913" s="103"/>
    </row>
    <row r="914" spans="1:19" x14ac:dyDescent="0.25">
      <c r="B914" s="99" t="s">
        <v>108</v>
      </c>
      <c r="C914" s="100">
        <v>1</v>
      </c>
      <c r="D914" s="103">
        <f>$C914*VLOOKUP($B914,FoodDB!$A$2:$I$1018,3,0)</f>
        <v>0</v>
      </c>
      <c r="E914" s="103">
        <f>$C914*VLOOKUP($B914,FoodDB!$A$2:$I$1018,4,0)</f>
        <v>0</v>
      </c>
      <c r="F914" s="103">
        <f>$C914*VLOOKUP($B914,FoodDB!$A$2:$I$1018,5,0)</f>
        <v>0</v>
      </c>
      <c r="G914" s="103">
        <f>$C914*VLOOKUP($B914,FoodDB!$A$2:$I$1018,6,0)</f>
        <v>0</v>
      </c>
      <c r="H914" s="103">
        <f>$C914*VLOOKUP($B914,FoodDB!$A$2:$I$1018,7,0)</f>
        <v>0</v>
      </c>
      <c r="I914" s="103">
        <f>$C914*VLOOKUP($B914,FoodDB!$A$2:$I$1018,8,0)</f>
        <v>0</v>
      </c>
      <c r="J914" s="103">
        <f>$C914*VLOOKUP($B914,FoodDB!$A$2:$I$1018,9,0)</f>
        <v>0</v>
      </c>
      <c r="K914" s="103"/>
      <c r="L914" s="103"/>
      <c r="M914" s="103"/>
      <c r="N914" s="103"/>
      <c r="O914" s="103"/>
      <c r="P914" s="103"/>
      <c r="Q914" s="103"/>
      <c r="R914" s="103"/>
      <c r="S914" s="103"/>
    </row>
    <row r="915" spans="1:19" x14ac:dyDescent="0.25">
      <c r="B915" s="99" t="s">
        <v>108</v>
      </c>
      <c r="C915" s="100">
        <v>1</v>
      </c>
      <c r="D915" s="103">
        <f>$C915*VLOOKUP($B915,FoodDB!$A$2:$I$1018,3,0)</f>
        <v>0</v>
      </c>
      <c r="E915" s="103">
        <f>$C915*VLOOKUP($B915,FoodDB!$A$2:$I$1018,4,0)</f>
        <v>0</v>
      </c>
      <c r="F915" s="103">
        <f>$C915*VLOOKUP($B915,FoodDB!$A$2:$I$1018,5,0)</f>
        <v>0</v>
      </c>
      <c r="G915" s="103">
        <f>$C915*VLOOKUP($B915,FoodDB!$A$2:$I$1018,6,0)</f>
        <v>0</v>
      </c>
      <c r="H915" s="103">
        <f>$C915*VLOOKUP($B915,FoodDB!$A$2:$I$1018,7,0)</f>
        <v>0</v>
      </c>
      <c r="I915" s="103">
        <f>$C915*VLOOKUP($B915,FoodDB!$A$2:$I$1018,8,0)</f>
        <v>0</v>
      </c>
      <c r="J915" s="103">
        <f>$C915*VLOOKUP($B915,FoodDB!$A$2:$I$1018,9,0)</f>
        <v>0</v>
      </c>
      <c r="K915" s="103"/>
      <c r="L915" s="103"/>
      <c r="M915" s="103"/>
      <c r="N915" s="103"/>
      <c r="O915" s="103"/>
      <c r="P915" s="103"/>
      <c r="Q915" s="103"/>
      <c r="R915" s="103"/>
      <c r="S915" s="103"/>
    </row>
    <row r="916" spans="1:19" x14ac:dyDescent="0.25">
      <c r="B916" s="99" t="s">
        <v>108</v>
      </c>
      <c r="C916" s="100">
        <v>1</v>
      </c>
      <c r="D916" s="103">
        <f>$C916*VLOOKUP($B916,FoodDB!$A$2:$I$1018,3,0)</f>
        <v>0</v>
      </c>
      <c r="E916" s="103">
        <f>$C916*VLOOKUP($B916,FoodDB!$A$2:$I$1018,4,0)</f>
        <v>0</v>
      </c>
      <c r="F916" s="103">
        <f>$C916*VLOOKUP($B916,FoodDB!$A$2:$I$1018,5,0)</f>
        <v>0</v>
      </c>
      <c r="G916" s="103">
        <f>$C916*VLOOKUP($B916,FoodDB!$A$2:$I$1018,6,0)</f>
        <v>0</v>
      </c>
      <c r="H916" s="103">
        <f>$C916*VLOOKUP($B916,FoodDB!$A$2:$I$1018,7,0)</f>
        <v>0</v>
      </c>
      <c r="I916" s="103">
        <f>$C916*VLOOKUP($B916,FoodDB!$A$2:$I$1018,8,0)</f>
        <v>0</v>
      </c>
      <c r="J916" s="103">
        <f>$C916*VLOOKUP($B916,FoodDB!$A$2:$I$1018,9,0)</f>
        <v>0</v>
      </c>
      <c r="K916" s="103"/>
      <c r="L916" s="103"/>
      <c r="M916" s="103"/>
      <c r="N916" s="103"/>
      <c r="O916" s="103"/>
      <c r="P916" s="103"/>
      <c r="Q916" s="103"/>
      <c r="R916" s="103"/>
      <c r="S916" s="103"/>
    </row>
    <row r="917" spans="1:19" x14ac:dyDescent="0.25">
      <c r="A917" t="s">
        <v>98</v>
      </c>
      <c r="D917" s="103"/>
      <c r="E917" s="103"/>
      <c r="F917" s="103"/>
      <c r="G917" s="103">
        <f>SUM(G910:G916)</f>
        <v>0</v>
      </c>
      <c r="H917" s="103">
        <f>SUM(H910:H916)</f>
        <v>0</v>
      </c>
      <c r="I917" s="103">
        <f>SUM(I910:I916)</f>
        <v>0</v>
      </c>
      <c r="J917" s="103">
        <f>SUM(G917:I917)</f>
        <v>0</v>
      </c>
      <c r="K917" s="103"/>
      <c r="L917" s="103"/>
      <c r="M917" s="103"/>
      <c r="N917" s="103"/>
      <c r="O917" s="103"/>
      <c r="P917" s="103"/>
      <c r="Q917" s="103"/>
      <c r="R917" s="103"/>
      <c r="S917" s="103"/>
    </row>
    <row r="918" spans="1:19" x14ac:dyDescent="0.25">
      <c r="A918" t="s">
        <v>102</v>
      </c>
      <c r="B918" t="s">
        <v>103</v>
      </c>
      <c r="D918" s="103"/>
      <c r="E918" s="103"/>
      <c r="F918" s="103"/>
      <c r="G918" s="103">
        <f>VLOOKUP($A910,LossChart!$A$3:$AB$105,14,0)</f>
        <v>775.86262904013574</v>
      </c>
      <c r="H918" s="103">
        <f>VLOOKUP($A910,LossChart!$A$3:$AB$105,15,0)</f>
        <v>80</v>
      </c>
      <c r="I918" s="103">
        <f>VLOOKUP($A910,LossChart!$A$3:$AB$105,16,0)</f>
        <v>477.30407413615825</v>
      </c>
      <c r="J918" s="103">
        <f>VLOOKUP($A910,LossChart!$A$3:$AB$105,17,0)</f>
        <v>1333.166703176294</v>
      </c>
      <c r="K918" s="103"/>
      <c r="L918" s="103"/>
      <c r="M918" s="103"/>
      <c r="N918" s="103"/>
      <c r="O918" s="103"/>
      <c r="P918" s="103"/>
      <c r="Q918" s="103"/>
      <c r="R918" s="103"/>
      <c r="S918" s="103"/>
    </row>
    <row r="919" spans="1:19" x14ac:dyDescent="0.25">
      <c r="A919" t="s">
        <v>104</v>
      </c>
      <c r="D919" s="103"/>
      <c r="E919" s="103"/>
      <c r="F919" s="103"/>
      <c r="G919" s="103">
        <f>G918-G917</f>
        <v>775.86262904013574</v>
      </c>
      <c r="H919" s="103">
        <f>H918-H917</f>
        <v>80</v>
      </c>
      <c r="I919" s="103">
        <f>I918-I917</f>
        <v>477.30407413615825</v>
      </c>
      <c r="J919" s="103">
        <f>J918-J917</f>
        <v>1333.166703176294</v>
      </c>
      <c r="K919" s="103"/>
      <c r="L919" s="103"/>
      <c r="M919" s="103"/>
      <c r="N919" s="103"/>
      <c r="O919" s="103"/>
      <c r="P919" s="103"/>
      <c r="Q919" s="103"/>
      <c r="R919" s="103"/>
      <c r="S919" s="103"/>
    </row>
    <row r="921" spans="1:19" ht="60" x14ac:dyDescent="0.25">
      <c r="A921" s="26" t="s">
        <v>63</v>
      </c>
      <c r="B921" s="26" t="s">
        <v>93</v>
      </c>
      <c r="C921" s="26" t="s">
        <v>94</v>
      </c>
      <c r="D921" s="97" t="str">
        <f>FoodDB!$C$1</f>
        <v>Fat
(g)</v>
      </c>
      <c r="E921" s="97" t="str">
        <f>FoodDB!$D$1</f>
        <v xml:space="preserve"> Carbs
(g)</v>
      </c>
      <c r="F921" s="97" t="str">
        <f>FoodDB!$E$1</f>
        <v>Protein
(g)</v>
      </c>
      <c r="G921" s="97" t="str">
        <f>FoodDB!$F$1</f>
        <v>Fat
(Cal)</v>
      </c>
      <c r="H921" s="97" t="str">
        <f>FoodDB!$G$1</f>
        <v>Carb
(Cal)</v>
      </c>
      <c r="I921" s="97" t="str">
        <f>FoodDB!$H$1</f>
        <v>Protein
(Cal)</v>
      </c>
      <c r="J921" s="97" t="str">
        <f>FoodDB!$I$1</f>
        <v>Total
Calories</v>
      </c>
      <c r="K921" s="97"/>
      <c r="L921" s="97" t="s">
        <v>110</v>
      </c>
      <c r="M921" s="97" t="s">
        <v>111</v>
      </c>
      <c r="N921" s="97" t="s">
        <v>112</v>
      </c>
      <c r="O921" s="97" t="s">
        <v>113</v>
      </c>
      <c r="P921" s="97" t="s">
        <v>118</v>
      </c>
      <c r="Q921" s="97" t="s">
        <v>119</v>
      </c>
      <c r="R921" s="97" t="s">
        <v>120</v>
      </c>
      <c r="S921" s="97" t="s">
        <v>121</v>
      </c>
    </row>
    <row r="922" spans="1:19" x14ac:dyDescent="0.25">
      <c r="A922" s="98">
        <f>A910+1</f>
        <v>43070</v>
      </c>
      <c r="B922" s="99" t="s">
        <v>108</v>
      </c>
      <c r="C922" s="100">
        <v>1</v>
      </c>
      <c r="D922" s="103">
        <f>$C922*VLOOKUP($B922,FoodDB!$A$2:$I$1018,3,0)</f>
        <v>0</v>
      </c>
      <c r="E922" s="103">
        <f>$C922*VLOOKUP($B922,FoodDB!$A$2:$I$1018,4,0)</f>
        <v>0</v>
      </c>
      <c r="F922" s="103">
        <f>$C922*VLOOKUP($B922,FoodDB!$A$2:$I$1018,5,0)</f>
        <v>0</v>
      </c>
      <c r="G922" s="103">
        <f>$C922*VLOOKUP($B922,FoodDB!$A$2:$I$1018,6,0)</f>
        <v>0</v>
      </c>
      <c r="H922" s="103">
        <f>$C922*VLOOKUP($B922,FoodDB!$A$2:$I$1018,7,0)</f>
        <v>0</v>
      </c>
      <c r="I922" s="103">
        <f>$C922*VLOOKUP($B922,FoodDB!$A$2:$I$1018,8,0)</f>
        <v>0</v>
      </c>
      <c r="J922" s="103">
        <f>$C922*VLOOKUP($B922,FoodDB!$A$2:$I$1018,9,0)</f>
        <v>0</v>
      </c>
      <c r="K922" s="103"/>
      <c r="L922" s="103">
        <f>SUM(G922:G928)</f>
        <v>0</v>
      </c>
      <c r="M922" s="103">
        <f>SUM(H922:H928)</f>
        <v>0</v>
      </c>
      <c r="N922" s="103">
        <f>SUM(I922:I928)</f>
        <v>0</v>
      </c>
      <c r="O922" s="103">
        <f>SUM(L922:N922)</f>
        <v>0</v>
      </c>
      <c r="P922" s="103">
        <f>VLOOKUP($A922,LossChart!$A$3:$AB$105,14,0)-L922</f>
        <v>780.49315039213798</v>
      </c>
      <c r="Q922" s="103">
        <f>VLOOKUP($A922,LossChart!$A$3:$AB$105,15,0)-M922</f>
        <v>80</v>
      </c>
      <c r="R922" s="103">
        <f>VLOOKUP($A922,LossChart!$A$3:$AB$105,16,0)-N922</f>
        <v>477.30407413615825</v>
      </c>
      <c r="S922" s="103">
        <f>VLOOKUP($A922,LossChart!$A$3:$AB$105,17,0)-O922</f>
        <v>1337.7972245282963</v>
      </c>
    </row>
    <row r="923" spans="1:19" x14ac:dyDescent="0.25">
      <c r="B923" s="99" t="s">
        <v>108</v>
      </c>
      <c r="C923" s="100">
        <v>1</v>
      </c>
      <c r="D923" s="103">
        <f>$C923*VLOOKUP($B923,FoodDB!$A$2:$I$1018,3,0)</f>
        <v>0</v>
      </c>
      <c r="E923" s="103">
        <f>$C923*VLOOKUP($B923,FoodDB!$A$2:$I$1018,4,0)</f>
        <v>0</v>
      </c>
      <c r="F923" s="103">
        <f>$C923*VLOOKUP($B923,FoodDB!$A$2:$I$1018,5,0)</f>
        <v>0</v>
      </c>
      <c r="G923" s="103">
        <f>$C923*VLOOKUP($B923,FoodDB!$A$2:$I$1018,6,0)</f>
        <v>0</v>
      </c>
      <c r="H923" s="103">
        <f>$C923*VLOOKUP($B923,FoodDB!$A$2:$I$1018,7,0)</f>
        <v>0</v>
      </c>
      <c r="I923" s="103">
        <f>$C923*VLOOKUP($B923,FoodDB!$A$2:$I$1018,8,0)</f>
        <v>0</v>
      </c>
      <c r="J923" s="103">
        <f>$C923*VLOOKUP($B923,FoodDB!$A$2:$I$1018,9,0)</f>
        <v>0</v>
      </c>
      <c r="K923" s="103"/>
      <c r="L923" s="103"/>
      <c r="M923" s="103"/>
      <c r="N923" s="103"/>
      <c r="O923" s="103"/>
      <c r="P923" s="103"/>
      <c r="Q923" s="103"/>
      <c r="R923" s="103"/>
      <c r="S923" s="103"/>
    </row>
    <row r="924" spans="1:19" x14ac:dyDescent="0.25">
      <c r="B924" s="99" t="s">
        <v>108</v>
      </c>
      <c r="C924" s="100">
        <v>1</v>
      </c>
      <c r="D924" s="103">
        <f>$C924*VLOOKUP($B924,FoodDB!$A$2:$I$1018,3,0)</f>
        <v>0</v>
      </c>
      <c r="E924" s="103">
        <f>$C924*VLOOKUP($B924,FoodDB!$A$2:$I$1018,4,0)</f>
        <v>0</v>
      </c>
      <c r="F924" s="103">
        <f>$C924*VLOOKUP($B924,FoodDB!$A$2:$I$1018,5,0)</f>
        <v>0</v>
      </c>
      <c r="G924" s="103">
        <f>$C924*VLOOKUP($B924,FoodDB!$A$2:$I$1018,6,0)</f>
        <v>0</v>
      </c>
      <c r="H924" s="103">
        <f>$C924*VLOOKUP($B924,FoodDB!$A$2:$I$1018,7,0)</f>
        <v>0</v>
      </c>
      <c r="I924" s="103">
        <f>$C924*VLOOKUP($B924,FoodDB!$A$2:$I$1018,8,0)</f>
        <v>0</v>
      </c>
      <c r="J924" s="103">
        <f>$C924*VLOOKUP($B924,FoodDB!$A$2:$I$1018,9,0)</f>
        <v>0</v>
      </c>
      <c r="K924" s="103"/>
      <c r="L924" s="103"/>
      <c r="M924" s="103"/>
      <c r="N924" s="103"/>
      <c r="O924" s="103"/>
      <c r="P924" s="103"/>
      <c r="Q924" s="103"/>
      <c r="R924" s="103"/>
      <c r="S924" s="103"/>
    </row>
    <row r="925" spans="1:19" x14ac:dyDescent="0.25">
      <c r="B925" s="99" t="s">
        <v>108</v>
      </c>
      <c r="C925" s="100">
        <v>1</v>
      </c>
      <c r="D925" s="103">
        <f>$C925*VLOOKUP($B925,FoodDB!$A$2:$I$1018,3,0)</f>
        <v>0</v>
      </c>
      <c r="E925" s="103">
        <f>$C925*VLOOKUP($B925,FoodDB!$A$2:$I$1018,4,0)</f>
        <v>0</v>
      </c>
      <c r="F925" s="103">
        <f>$C925*VLOOKUP($B925,FoodDB!$A$2:$I$1018,5,0)</f>
        <v>0</v>
      </c>
      <c r="G925" s="103">
        <f>$C925*VLOOKUP($B925,FoodDB!$A$2:$I$1018,6,0)</f>
        <v>0</v>
      </c>
      <c r="H925" s="103">
        <f>$C925*VLOOKUP($B925,FoodDB!$A$2:$I$1018,7,0)</f>
        <v>0</v>
      </c>
      <c r="I925" s="103">
        <f>$C925*VLOOKUP($B925,FoodDB!$A$2:$I$1018,8,0)</f>
        <v>0</v>
      </c>
      <c r="J925" s="103">
        <f>$C925*VLOOKUP($B925,FoodDB!$A$2:$I$1018,9,0)</f>
        <v>0</v>
      </c>
      <c r="K925" s="103"/>
      <c r="L925" s="103"/>
      <c r="M925" s="103"/>
      <c r="N925" s="103"/>
      <c r="O925" s="103"/>
      <c r="P925" s="103"/>
      <c r="Q925" s="103"/>
      <c r="R925" s="103"/>
      <c r="S925" s="103"/>
    </row>
    <row r="926" spans="1:19" x14ac:dyDescent="0.25">
      <c r="B926" s="99" t="s">
        <v>108</v>
      </c>
      <c r="C926" s="100">
        <v>1</v>
      </c>
      <c r="D926" s="103">
        <f>$C926*VLOOKUP($B926,FoodDB!$A$2:$I$1018,3,0)</f>
        <v>0</v>
      </c>
      <c r="E926" s="103">
        <f>$C926*VLOOKUP($B926,FoodDB!$A$2:$I$1018,4,0)</f>
        <v>0</v>
      </c>
      <c r="F926" s="103">
        <f>$C926*VLOOKUP($B926,FoodDB!$A$2:$I$1018,5,0)</f>
        <v>0</v>
      </c>
      <c r="G926" s="103">
        <f>$C926*VLOOKUP($B926,FoodDB!$A$2:$I$1018,6,0)</f>
        <v>0</v>
      </c>
      <c r="H926" s="103">
        <f>$C926*VLOOKUP($B926,FoodDB!$A$2:$I$1018,7,0)</f>
        <v>0</v>
      </c>
      <c r="I926" s="103">
        <f>$C926*VLOOKUP($B926,FoodDB!$A$2:$I$1018,8,0)</f>
        <v>0</v>
      </c>
      <c r="J926" s="103">
        <f>$C926*VLOOKUP($B926,FoodDB!$A$2:$I$1018,9,0)</f>
        <v>0</v>
      </c>
      <c r="K926" s="103"/>
      <c r="L926" s="103"/>
      <c r="M926" s="103"/>
      <c r="N926" s="103"/>
      <c r="O926" s="103"/>
      <c r="P926" s="103"/>
      <c r="Q926" s="103"/>
      <c r="R926" s="103"/>
      <c r="S926" s="103"/>
    </row>
    <row r="927" spans="1:19" x14ac:dyDescent="0.25">
      <c r="B927" s="99" t="s">
        <v>108</v>
      </c>
      <c r="C927" s="100">
        <v>1</v>
      </c>
      <c r="D927" s="103">
        <f>$C927*VLOOKUP($B927,FoodDB!$A$2:$I$1018,3,0)</f>
        <v>0</v>
      </c>
      <c r="E927" s="103">
        <f>$C927*VLOOKUP($B927,FoodDB!$A$2:$I$1018,4,0)</f>
        <v>0</v>
      </c>
      <c r="F927" s="103">
        <f>$C927*VLOOKUP($B927,FoodDB!$A$2:$I$1018,5,0)</f>
        <v>0</v>
      </c>
      <c r="G927" s="103">
        <f>$C927*VLOOKUP($B927,FoodDB!$A$2:$I$1018,6,0)</f>
        <v>0</v>
      </c>
      <c r="H927" s="103">
        <f>$C927*VLOOKUP($B927,FoodDB!$A$2:$I$1018,7,0)</f>
        <v>0</v>
      </c>
      <c r="I927" s="103">
        <f>$C927*VLOOKUP($B927,FoodDB!$A$2:$I$1018,8,0)</f>
        <v>0</v>
      </c>
      <c r="J927" s="103">
        <f>$C927*VLOOKUP($B927,FoodDB!$A$2:$I$1018,9,0)</f>
        <v>0</v>
      </c>
      <c r="K927" s="103"/>
      <c r="L927" s="103"/>
      <c r="M927" s="103"/>
      <c r="N927" s="103"/>
      <c r="O927" s="103"/>
      <c r="P927" s="103"/>
      <c r="Q927" s="103"/>
      <c r="R927" s="103"/>
      <c r="S927" s="103"/>
    </row>
    <row r="928" spans="1:19" x14ac:dyDescent="0.25">
      <c r="B928" s="99" t="s">
        <v>108</v>
      </c>
      <c r="C928" s="100">
        <v>1</v>
      </c>
      <c r="D928" s="103">
        <f>$C928*VLOOKUP($B928,FoodDB!$A$2:$I$1018,3,0)</f>
        <v>0</v>
      </c>
      <c r="E928" s="103">
        <f>$C928*VLOOKUP($B928,FoodDB!$A$2:$I$1018,4,0)</f>
        <v>0</v>
      </c>
      <c r="F928" s="103">
        <f>$C928*VLOOKUP($B928,FoodDB!$A$2:$I$1018,5,0)</f>
        <v>0</v>
      </c>
      <c r="G928" s="103">
        <f>$C928*VLOOKUP($B928,FoodDB!$A$2:$I$1018,6,0)</f>
        <v>0</v>
      </c>
      <c r="H928" s="103">
        <f>$C928*VLOOKUP($B928,FoodDB!$A$2:$I$1018,7,0)</f>
        <v>0</v>
      </c>
      <c r="I928" s="103">
        <f>$C928*VLOOKUP($B928,FoodDB!$A$2:$I$1018,8,0)</f>
        <v>0</v>
      </c>
      <c r="J928" s="103">
        <f>$C928*VLOOKUP($B928,FoodDB!$A$2:$I$1018,9,0)</f>
        <v>0</v>
      </c>
      <c r="K928" s="103"/>
      <c r="L928" s="103"/>
      <c r="M928" s="103"/>
      <c r="N928" s="103"/>
      <c r="O928" s="103"/>
      <c r="P928" s="103"/>
      <c r="Q928" s="103"/>
      <c r="R928" s="103"/>
      <c r="S928" s="103"/>
    </row>
    <row r="929" spans="1:19" x14ac:dyDescent="0.25">
      <c r="A929" t="s">
        <v>98</v>
      </c>
      <c r="D929" s="103"/>
      <c r="E929" s="103"/>
      <c r="F929" s="103"/>
      <c r="G929" s="103">
        <f>SUM(G922:G928)</f>
        <v>0</v>
      </c>
      <c r="H929" s="103">
        <f>SUM(H922:H928)</f>
        <v>0</v>
      </c>
      <c r="I929" s="103">
        <f>SUM(I922:I928)</f>
        <v>0</v>
      </c>
      <c r="J929" s="103">
        <f>SUM(G929:I929)</f>
        <v>0</v>
      </c>
      <c r="K929" s="103"/>
      <c r="L929" s="103"/>
      <c r="M929" s="103"/>
      <c r="N929" s="103"/>
      <c r="O929" s="103"/>
      <c r="P929" s="103"/>
      <c r="Q929" s="103"/>
      <c r="R929" s="103"/>
      <c r="S929" s="103"/>
    </row>
    <row r="930" spans="1:19" x14ac:dyDescent="0.25">
      <c r="A930" t="s">
        <v>102</v>
      </c>
      <c r="B930" t="s">
        <v>103</v>
      </c>
      <c r="D930" s="103"/>
      <c r="E930" s="103"/>
      <c r="F930" s="103"/>
      <c r="G930" s="103">
        <f>VLOOKUP($A922,LossChart!$A$3:$AB$105,14,0)</f>
        <v>780.49315039213798</v>
      </c>
      <c r="H930" s="103">
        <f>VLOOKUP($A922,LossChart!$A$3:$AB$105,15,0)</f>
        <v>80</v>
      </c>
      <c r="I930" s="103">
        <f>VLOOKUP($A922,LossChart!$A$3:$AB$105,16,0)</f>
        <v>477.30407413615825</v>
      </c>
      <c r="J930" s="103">
        <f>VLOOKUP($A922,LossChart!$A$3:$AB$105,17,0)</f>
        <v>1337.7972245282963</v>
      </c>
      <c r="K930" s="103"/>
      <c r="L930" s="103"/>
      <c r="M930" s="103"/>
      <c r="N930" s="103"/>
      <c r="O930" s="103"/>
      <c r="P930" s="103"/>
      <c r="Q930" s="103"/>
      <c r="R930" s="103"/>
      <c r="S930" s="103"/>
    </row>
    <row r="931" spans="1:19" x14ac:dyDescent="0.25">
      <c r="A931" t="s">
        <v>104</v>
      </c>
      <c r="D931" s="103"/>
      <c r="E931" s="103"/>
      <c r="F931" s="103"/>
      <c r="G931" s="103">
        <f>G930-G929</f>
        <v>780.49315039213798</v>
      </c>
      <c r="H931" s="103">
        <f>H930-H929</f>
        <v>80</v>
      </c>
      <c r="I931" s="103">
        <f>I930-I929</f>
        <v>477.30407413615825</v>
      </c>
      <c r="J931" s="103">
        <f>J930-J929</f>
        <v>1337.7972245282963</v>
      </c>
      <c r="K931" s="103"/>
      <c r="L931" s="103"/>
      <c r="M931" s="103"/>
      <c r="N931" s="103"/>
      <c r="O931" s="103"/>
      <c r="P931" s="103"/>
      <c r="Q931" s="103"/>
      <c r="R931" s="103"/>
      <c r="S931" s="103"/>
    </row>
    <row r="933" spans="1:19" ht="60" x14ac:dyDescent="0.25">
      <c r="A933" s="26" t="s">
        <v>63</v>
      </c>
      <c r="B933" s="26" t="s">
        <v>93</v>
      </c>
      <c r="C933" s="26" t="s">
        <v>94</v>
      </c>
      <c r="D933" s="97" t="str">
        <f>FoodDB!$C$1</f>
        <v>Fat
(g)</v>
      </c>
      <c r="E933" s="97" t="str">
        <f>FoodDB!$D$1</f>
        <v xml:space="preserve"> Carbs
(g)</v>
      </c>
      <c r="F933" s="97" t="str">
        <f>FoodDB!$E$1</f>
        <v>Protein
(g)</v>
      </c>
      <c r="G933" s="97" t="str">
        <f>FoodDB!$F$1</f>
        <v>Fat
(Cal)</v>
      </c>
      <c r="H933" s="97" t="str">
        <f>FoodDB!$G$1</f>
        <v>Carb
(Cal)</v>
      </c>
      <c r="I933" s="97" t="str">
        <f>FoodDB!$H$1</f>
        <v>Protein
(Cal)</v>
      </c>
      <c r="J933" s="97" t="str">
        <f>FoodDB!$I$1</f>
        <v>Total
Calories</v>
      </c>
      <c r="K933" s="97"/>
      <c r="L933" s="97" t="s">
        <v>110</v>
      </c>
      <c r="M933" s="97" t="s">
        <v>111</v>
      </c>
      <c r="N933" s="97" t="s">
        <v>112</v>
      </c>
      <c r="O933" s="97" t="s">
        <v>113</v>
      </c>
      <c r="P933" s="97" t="s">
        <v>118</v>
      </c>
      <c r="Q933" s="97" t="s">
        <v>119</v>
      </c>
      <c r="R933" s="97" t="s">
        <v>120</v>
      </c>
      <c r="S933" s="97" t="s">
        <v>121</v>
      </c>
    </row>
    <row r="934" spans="1:19" x14ac:dyDescent="0.25">
      <c r="A934" s="98">
        <f>A922+1</f>
        <v>43071</v>
      </c>
      <c r="B934" s="99" t="s">
        <v>108</v>
      </c>
      <c r="C934" s="100">
        <v>1</v>
      </c>
      <c r="D934" s="103">
        <f>$C934*VLOOKUP($B934,FoodDB!$A$2:$I$1018,3,0)</f>
        <v>0</v>
      </c>
      <c r="E934" s="103">
        <f>$C934*VLOOKUP($B934,FoodDB!$A$2:$I$1018,4,0)</f>
        <v>0</v>
      </c>
      <c r="F934" s="103">
        <f>$C934*VLOOKUP($B934,FoodDB!$A$2:$I$1018,5,0)</f>
        <v>0</v>
      </c>
      <c r="G934" s="103">
        <f>$C934*VLOOKUP($B934,FoodDB!$A$2:$I$1018,6,0)</f>
        <v>0</v>
      </c>
      <c r="H934" s="103">
        <f>$C934*VLOOKUP($B934,FoodDB!$A$2:$I$1018,7,0)</f>
        <v>0</v>
      </c>
      <c r="I934" s="103">
        <f>$C934*VLOOKUP($B934,FoodDB!$A$2:$I$1018,8,0)</f>
        <v>0</v>
      </c>
      <c r="J934" s="103">
        <f>$C934*VLOOKUP($B934,FoodDB!$A$2:$I$1018,9,0)</f>
        <v>0</v>
      </c>
      <c r="K934" s="103"/>
      <c r="L934" s="103">
        <f>SUM(G934:G940)</f>
        <v>0</v>
      </c>
      <c r="M934" s="103">
        <f>SUM(H934:H940)</f>
        <v>0</v>
      </c>
      <c r="N934" s="103">
        <f>SUM(I934:I940)</f>
        <v>0</v>
      </c>
      <c r="O934" s="103">
        <f>SUM(L934:N934)</f>
        <v>0</v>
      </c>
      <c r="P934" s="103">
        <f>VLOOKUP($A934,LossChart!$A$3:$AB$105,14,0)-L934</f>
        <v>785.08265855502214</v>
      </c>
      <c r="Q934" s="103">
        <f>VLOOKUP($A934,LossChart!$A$3:$AB$105,15,0)-M934</f>
        <v>80</v>
      </c>
      <c r="R934" s="103">
        <f>VLOOKUP($A934,LossChart!$A$3:$AB$105,16,0)-N934</f>
        <v>477.30407413615825</v>
      </c>
      <c r="S934" s="103">
        <f>VLOOKUP($A934,LossChart!$A$3:$AB$105,17,0)-O934</f>
        <v>1342.3867326911804</v>
      </c>
    </row>
    <row r="935" spans="1:19" x14ac:dyDescent="0.25">
      <c r="B935" s="99" t="s">
        <v>108</v>
      </c>
      <c r="C935" s="100">
        <v>1</v>
      </c>
      <c r="D935" s="103">
        <f>$C935*VLOOKUP($B935,FoodDB!$A$2:$I$1018,3,0)</f>
        <v>0</v>
      </c>
      <c r="E935" s="103">
        <f>$C935*VLOOKUP($B935,FoodDB!$A$2:$I$1018,4,0)</f>
        <v>0</v>
      </c>
      <c r="F935" s="103">
        <f>$C935*VLOOKUP($B935,FoodDB!$A$2:$I$1018,5,0)</f>
        <v>0</v>
      </c>
      <c r="G935" s="103">
        <f>$C935*VLOOKUP($B935,FoodDB!$A$2:$I$1018,6,0)</f>
        <v>0</v>
      </c>
      <c r="H935" s="103">
        <f>$C935*VLOOKUP($B935,FoodDB!$A$2:$I$1018,7,0)</f>
        <v>0</v>
      </c>
      <c r="I935" s="103">
        <f>$C935*VLOOKUP($B935,FoodDB!$A$2:$I$1018,8,0)</f>
        <v>0</v>
      </c>
      <c r="J935" s="103">
        <f>$C935*VLOOKUP($B935,FoodDB!$A$2:$I$1018,9,0)</f>
        <v>0</v>
      </c>
      <c r="K935" s="103"/>
      <c r="L935" s="103"/>
      <c r="M935" s="103"/>
      <c r="N935" s="103"/>
      <c r="O935" s="103"/>
      <c r="P935" s="103"/>
      <c r="Q935" s="103"/>
      <c r="R935" s="103"/>
      <c r="S935" s="103"/>
    </row>
    <row r="936" spans="1:19" x14ac:dyDescent="0.25">
      <c r="B936" s="99" t="s">
        <v>108</v>
      </c>
      <c r="C936" s="100">
        <v>1</v>
      </c>
      <c r="D936" s="103">
        <f>$C936*VLOOKUP($B936,FoodDB!$A$2:$I$1018,3,0)</f>
        <v>0</v>
      </c>
      <c r="E936" s="103">
        <f>$C936*VLOOKUP($B936,FoodDB!$A$2:$I$1018,4,0)</f>
        <v>0</v>
      </c>
      <c r="F936" s="103">
        <f>$C936*VLOOKUP($B936,FoodDB!$A$2:$I$1018,5,0)</f>
        <v>0</v>
      </c>
      <c r="G936" s="103">
        <f>$C936*VLOOKUP($B936,FoodDB!$A$2:$I$1018,6,0)</f>
        <v>0</v>
      </c>
      <c r="H936" s="103">
        <f>$C936*VLOOKUP($B936,FoodDB!$A$2:$I$1018,7,0)</f>
        <v>0</v>
      </c>
      <c r="I936" s="103">
        <f>$C936*VLOOKUP($B936,FoodDB!$A$2:$I$1018,8,0)</f>
        <v>0</v>
      </c>
      <c r="J936" s="103">
        <f>$C936*VLOOKUP($B936,FoodDB!$A$2:$I$1018,9,0)</f>
        <v>0</v>
      </c>
      <c r="K936" s="103"/>
      <c r="L936" s="103"/>
      <c r="M936" s="103"/>
      <c r="N936" s="103"/>
      <c r="O936" s="103"/>
      <c r="P936" s="103"/>
      <c r="Q936" s="103"/>
      <c r="R936" s="103"/>
      <c r="S936" s="103"/>
    </row>
    <row r="937" spans="1:19" x14ac:dyDescent="0.25">
      <c r="B937" s="99" t="s">
        <v>108</v>
      </c>
      <c r="C937" s="100">
        <v>1</v>
      </c>
      <c r="D937" s="103">
        <f>$C937*VLOOKUP($B937,FoodDB!$A$2:$I$1018,3,0)</f>
        <v>0</v>
      </c>
      <c r="E937" s="103">
        <f>$C937*VLOOKUP($B937,FoodDB!$A$2:$I$1018,4,0)</f>
        <v>0</v>
      </c>
      <c r="F937" s="103">
        <f>$C937*VLOOKUP($B937,FoodDB!$A$2:$I$1018,5,0)</f>
        <v>0</v>
      </c>
      <c r="G937" s="103">
        <f>$C937*VLOOKUP($B937,FoodDB!$A$2:$I$1018,6,0)</f>
        <v>0</v>
      </c>
      <c r="H937" s="103">
        <f>$C937*VLOOKUP($B937,FoodDB!$A$2:$I$1018,7,0)</f>
        <v>0</v>
      </c>
      <c r="I937" s="103">
        <f>$C937*VLOOKUP($B937,FoodDB!$A$2:$I$1018,8,0)</f>
        <v>0</v>
      </c>
      <c r="J937" s="103">
        <f>$C937*VLOOKUP($B937,FoodDB!$A$2:$I$1018,9,0)</f>
        <v>0</v>
      </c>
      <c r="K937" s="103"/>
      <c r="L937" s="103"/>
      <c r="M937" s="103"/>
      <c r="N937" s="103"/>
      <c r="O937" s="103"/>
      <c r="P937" s="103"/>
      <c r="Q937" s="103"/>
      <c r="R937" s="103"/>
      <c r="S937" s="103"/>
    </row>
    <row r="938" spans="1:19" x14ac:dyDescent="0.25">
      <c r="B938" s="99" t="s">
        <v>108</v>
      </c>
      <c r="C938" s="100">
        <v>1</v>
      </c>
      <c r="D938" s="103">
        <f>$C938*VLOOKUP($B938,FoodDB!$A$2:$I$1018,3,0)</f>
        <v>0</v>
      </c>
      <c r="E938" s="103">
        <f>$C938*VLOOKUP($B938,FoodDB!$A$2:$I$1018,4,0)</f>
        <v>0</v>
      </c>
      <c r="F938" s="103">
        <f>$C938*VLOOKUP($B938,FoodDB!$A$2:$I$1018,5,0)</f>
        <v>0</v>
      </c>
      <c r="G938" s="103">
        <f>$C938*VLOOKUP($B938,FoodDB!$A$2:$I$1018,6,0)</f>
        <v>0</v>
      </c>
      <c r="H938" s="103">
        <f>$C938*VLOOKUP($B938,FoodDB!$A$2:$I$1018,7,0)</f>
        <v>0</v>
      </c>
      <c r="I938" s="103">
        <f>$C938*VLOOKUP($B938,FoodDB!$A$2:$I$1018,8,0)</f>
        <v>0</v>
      </c>
      <c r="J938" s="103">
        <f>$C938*VLOOKUP($B938,FoodDB!$A$2:$I$1018,9,0)</f>
        <v>0</v>
      </c>
      <c r="K938" s="103"/>
      <c r="L938" s="103"/>
      <c r="M938" s="103"/>
      <c r="N938" s="103"/>
      <c r="O938" s="103"/>
      <c r="P938" s="103"/>
      <c r="Q938" s="103"/>
      <c r="R938" s="103"/>
      <c r="S938" s="103"/>
    </row>
    <row r="939" spans="1:19" x14ac:dyDescent="0.25">
      <c r="B939" s="99" t="s">
        <v>108</v>
      </c>
      <c r="C939" s="100">
        <v>1</v>
      </c>
      <c r="D939" s="103">
        <f>$C939*VLOOKUP($B939,FoodDB!$A$2:$I$1018,3,0)</f>
        <v>0</v>
      </c>
      <c r="E939" s="103">
        <f>$C939*VLOOKUP($B939,FoodDB!$A$2:$I$1018,4,0)</f>
        <v>0</v>
      </c>
      <c r="F939" s="103">
        <f>$C939*VLOOKUP($B939,FoodDB!$A$2:$I$1018,5,0)</f>
        <v>0</v>
      </c>
      <c r="G939" s="103">
        <f>$C939*VLOOKUP($B939,FoodDB!$A$2:$I$1018,6,0)</f>
        <v>0</v>
      </c>
      <c r="H939" s="103">
        <f>$C939*VLOOKUP($B939,FoodDB!$A$2:$I$1018,7,0)</f>
        <v>0</v>
      </c>
      <c r="I939" s="103">
        <f>$C939*VLOOKUP($B939,FoodDB!$A$2:$I$1018,8,0)</f>
        <v>0</v>
      </c>
      <c r="J939" s="103">
        <f>$C939*VLOOKUP($B939,FoodDB!$A$2:$I$1018,9,0)</f>
        <v>0</v>
      </c>
      <c r="K939" s="103"/>
      <c r="L939" s="103"/>
      <c r="M939" s="103"/>
      <c r="N939" s="103"/>
      <c r="O939" s="103"/>
      <c r="P939" s="103"/>
      <c r="Q939" s="103"/>
      <c r="R939" s="103"/>
      <c r="S939" s="103"/>
    </row>
    <row r="940" spans="1:19" x14ac:dyDescent="0.25">
      <c r="B940" s="99" t="s">
        <v>108</v>
      </c>
      <c r="C940" s="100">
        <v>1</v>
      </c>
      <c r="D940" s="103">
        <f>$C940*VLOOKUP($B940,FoodDB!$A$2:$I$1018,3,0)</f>
        <v>0</v>
      </c>
      <c r="E940" s="103">
        <f>$C940*VLOOKUP($B940,FoodDB!$A$2:$I$1018,4,0)</f>
        <v>0</v>
      </c>
      <c r="F940" s="103">
        <f>$C940*VLOOKUP($B940,FoodDB!$A$2:$I$1018,5,0)</f>
        <v>0</v>
      </c>
      <c r="G940" s="103">
        <f>$C940*VLOOKUP($B940,FoodDB!$A$2:$I$1018,6,0)</f>
        <v>0</v>
      </c>
      <c r="H940" s="103">
        <f>$C940*VLOOKUP($B940,FoodDB!$A$2:$I$1018,7,0)</f>
        <v>0</v>
      </c>
      <c r="I940" s="103">
        <f>$C940*VLOOKUP($B940,FoodDB!$A$2:$I$1018,8,0)</f>
        <v>0</v>
      </c>
      <c r="J940" s="103">
        <f>$C940*VLOOKUP($B940,FoodDB!$A$2:$I$1018,9,0)</f>
        <v>0</v>
      </c>
      <c r="K940" s="103"/>
      <c r="L940" s="103"/>
      <c r="M940" s="103"/>
      <c r="N940" s="103"/>
      <c r="O940" s="103"/>
      <c r="P940" s="103"/>
      <c r="Q940" s="103"/>
      <c r="R940" s="103"/>
      <c r="S940" s="103"/>
    </row>
    <row r="941" spans="1:19" x14ac:dyDescent="0.25">
      <c r="A941" t="s">
        <v>98</v>
      </c>
      <c r="D941" s="103"/>
      <c r="E941" s="103"/>
      <c r="F941" s="103"/>
      <c r="G941" s="103">
        <f>SUM(G934:G940)</f>
        <v>0</v>
      </c>
      <c r="H941" s="103">
        <f>SUM(H934:H940)</f>
        <v>0</v>
      </c>
      <c r="I941" s="103">
        <f>SUM(I934:I940)</f>
        <v>0</v>
      </c>
      <c r="J941" s="103">
        <f>SUM(G941:I941)</f>
        <v>0</v>
      </c>
      <c r="K941" s="103"/>
      <c r="L941" s="103"/>
      <c r="M941" s="103"/>
      <c r="N941" s="103"/>
      <c r="O941" s="103"/>
      <c r="P941" s="103"/>
      <c r="Q941" s="103"/>
      <c r="R941" s="103"/>
      <c r="S941" s="103"/>
    </row>
    <row r="942" spans="1:19" x14ac:dyDescent="0.25">
      <c r="A942" t="s">
        <v>102</v>
      </c>
      <c r="B942" t="s">
        <v>103</v>
      </c>
      <c r="D942" s="103"/>
      <c r="E942" s="103"/>
      <c r="F942" s="103"/>
      <c r="G942" s="103">
        <f>VLOOKUP($A934,LossChart!$A$3:$AB$105,14,0)</f>
        <v>785.08265855502214</v>
      </c>
      <c r="H942" s="103">
        <f>VLOOKUP($A934,LossChart!$A$3:$AB$105,15,0)</f>
        <v>80</v>
      </c>
      <c r="I942" s="103">
        <f>VLOOKUP($A934,LossChart!$A$3:$AB$105,16,0)</f>
        <v>477.30407413615825</v>
      </c>
      <c r="J942" s="103">
        <f>VLOOKUP($A934,LossChart!$A$3:$AB$105,17,0)</f>
        <v>1342.3867326911804</v>
      </c>
      <c r="K942" s="103"/>
      <c r="L942" s="103"/>
      <c r="M942" s="103"/>
      <c r="N942" s="103"/>
      <c r="O942" s="103"/>
      <c r="P942" s="103"/>
      <c r="Q942" s="103"/>
      <c r="R942" s="103"/>
      <c r="S942" s="103"/>
    </row>
    <row r="943" spans="1:19" x14ac:dyDescent="0.25">
      <c r="A943" t="s">
        <v>104</v>
      </c>
      <c r="D943" s="103"/>
      <c r="E943" s="103"/>
      <c r="F943" s="103"/>
      <c r="G943" s="103">
        <f>G942-G941</f>
        <v>785.08265855502214</v>
      </c>
      <c r="H943" s="103">
        <f>H942-H941</f>
        <v>80</v>
      </c>
      <c r="I943" s="103">
        <f>I942-I941</f>
        <v>477.30407413615825</v>
      </c>
      <c r="J943" s="103">
        <f>J942-J941</f>
        <v>1342.3867326911804</v>
      </c>
      <c r="K943" s="103"/>
      <c r="L943" s="103"/>
      <c r="M943" s="103"/>
      <c r="N943" s="103"/>
      <c r="O943" s="103"/>
      <c r="P943" s="103"/>
      <c r="Q943" s="103"/>
      <c r="R943" s="103"/>
      <c r="S943" s="103"/>
    </row>
    <row r="945" spans="1:19" ht="60" x14ac:dyDescent="0.25">
      <c r="A945" s="26" t="s">
        <v>63</v>
      </c>
      <c r="B945" s="26" t="s">
        <v>93</v>
      </c>
      <c r="C945" s="26" t="s">
        <v>94</v>
      </c>
      <c r="D945" s="97" t="str">
        <f>FoodDB!$C$1</f>
        <v>Fat
(g)</v>
      </c>
      <c r="E945" s="97" t="str">
        <f>FoodDB!$D$1</f>
        <v xml:space="preserve"> Carbs
(g)</v>
      </c>
      <c r="F945" s="97" t="str">
        <f>FoodDB!$E$1</f>
        <v>Protein
(g)</v>
      </c>
      <c r="G945" s="97" t="str">
        <f>FoodDB!$F$1</f>
        <v>Fat
(Cal)</v>
      </c>
      <c r="H945" s="97" t="str">
        <f>FoodDB!$G$1</f>
        <v>Carb
(Cal)</v>
      </c>
      <c r="I945" s="97" t="str">
        <f>FoodDB!$H$1</f>
        <v>Protein
(Cal)</v>
      </c>
      <c r="J945" s="97" t="str">
        <f>FoodDB!$I$1</f>
        <v>Total
Calories</v>
      </c>
      <c r="K945" s="97"/>
      <c r="L945" s="97" t="s">
        <v>110</v>
      </c>
      <c r="M945" s="97" t="s">
        <v>111</v>
      </c>
      <c r="N945" s="97" t="s">
        <v>112</v>
      </c>
      <c r="O945" s="97" t="s">
        <v>113</v>
      </c>
      <c r="P945" s="97" t="s">
        <v>118</v>
      </c>
      <c r="Q945" s="97" t="s">
        <v>119</v>
      </c>
      <c r="R945" s="97" t="s">
        <v>120</v>
      </c>
      <c r="S945" s="97" t="s">
        <v>121</v>
      </c>
    </row>
    <row r="946" spans="1:19" x14ac:dyDescent="0.25">
      <c r="A946" s="98">
        <f>A934+1</f>
        <v>43072</v>
      </c>
      <c r="B946" s="99" t="s">
        <v>108</v>
      </c>
      <c r="C946" s="100">
        <v>1</v>
      </c>
      <c r="D946" s="103">
        <f>$C946*VLOOKUP($B946,FoodDB!$A$2:$I$1018,3,0)</f>
        <v>0</v>
      </c>
      <c r="E946" s="103">
        <f>$C946*VLOOKUP($B946,FoodDB!$A$2:$I$1018,4,0)</f>
        <v>0</v>
      </c>
      <c r="F946" s="103">
        <f>$C946*VLOOKUP($B946,FoodDB!$A$2:$I$1018,5,0)</f>
        <v>0</v>
      </c>
      <c r="G946" s="103">
        <f>$C946*VLOOKUP($B946,FoodDB!$A$2:$I$1018,6,0)</f>
        <v>0</v>
      </c>
      <c r="H946" s="103">
        <f>$C946*VLOOKUP($B946,FoodDB!$A$2:$I$1018,7,0)</f>
        <v>0</v>
      </c>
      <c r="I946" s="103">
        <f>$C946*VLOOKUP($B946,FoodDB!$A$2:$I$1018,8,0)</f>
        <v>0</v>
      </c>
      <c r="J946" s="103">
        <f>$C946*VLOOKUP($B946,FoodDB!$A$2:$I$1018,9,0)</f>
        <v>0</v>
      </c>
      <c r="K946" s="103"/>
      <c r="L946" s="103">
        <f>SUM(G946:G952)</f>
        <v>0</v>
      </c>
      <c r="M946" s="103">
        <f>SUM(H946:H952)</f>
        <v>0</v>
      </c>
      <c r="N946" s="103">
        <f>SUM(I946:I952)</f>
        <v>0</v>
      </c>
      <c r="O946" s="103">
        <f>SUM(L946:N946)</f>
        <v>0</v>
      </c>
      <c r="P946" s="103">
        <f>VLOOKUP($A946,LossChart!$A$3:$AB$105,14,0)-L946</f>
        <v>789.63151678846316</v>
      </c>
      <c r="Q946" s="103">
        <f>VLOOKUP($A946,LossChart!$A$3:$AB$105,15,0)-M946</f>
        <v>80</v>
      </c>
      <c r="R946" s="103">
        <f>VLOOKUP($A946,LossChart!$A$3:$AB$105,16,0)-N946</f>
        <v>477.30407413615825</v>
      </c>
      <c r="S946" s="103">
        <f>VLOOKUP($A946,LossChart!$A$3:$AB$105,17,0)-O946</f>
        <v>1346.9355909246215</v>
      </c>
    </row>
    <row r="947" spans="1:19" x14ac:dyDescent="0.25">
      <c r="B947" s="99" t="s">
        <v>108</v>
      </c>
      <c r="C947" s="100">
        <v>1</v>
      </c>
      <c r="D947" s="103">
        <f>$C947*VLOOKUP($B947,FoodDB!$A$2:$I$1018,3,0)</f>
        <v>0</v>
      </c>
      <c r="E947" s="103">
        <f>$C947*VLOOKUP($B947,FoodDB!$A$2:$I$1018,4,0)</f>
        <v>0</v>
      </c>
      <c r="F947" s="103">
        <f>$C947*VLOOKUP($B947,FoodDB!$A$2:$I$1018,5,0)</f>
        <v>0</v>
      </c>
      <c r="G947" s="103">
        <f>$C947*VLOOKUP($B947,FoodDB!$A$2:$I$1018,6,0)</f>
        <v>0</v>
      </c>
      <c r="H947" s="103">
        <f>$C947*VLOOKUP($B947,FoodDB!$A$2:$I$1018,7,0)</f>
        <v>0</v>
      </c>
      <c r="I947" s="103">
        <f>$C947*VLOOKUP($B947,FoodDB!$A$2:$I$1018,8,0)</f>
        <v>0</v>
      </c>
      <c r="J947" s="103">
        <f>$C947*VLOOKUP($B947,FoodDB!$A$2:$I$1018,9,0)</f>
        <v>0</v>
      </c>
      <c r="K947" s="103"/>
      <c r="L947" s="103"/>
      <c r="M947" s="103"/>
      <c r="N947" s="103"/>
      <c r="O947" s="103"/>
      <c r="P947" s="103"/>
      <c r="Q947" s="103"/>
      <c r="R947" s="103"/>
      <c r="S947" s="103"/>
    </row>
    <row r="948" spans="1:19" x14ac:dyDescent="0.25">
      <c r="B948" s="99" t="s">
        <v>108</v>
      </c>
      <c r="C948" s="100">
        <v>1</v>
      </c>
      <c r="D948" s="103">
        <f>$C948*VLOOKUP($B948,FoodDB!$A$2:$I$1018,3,0)</f>
        <v>0</v>
      </c>
      <c r="E948" s="103">
        <f>$C948*VLOOKUP($B948,FoodDB!$A$2:$I$1018,4,0)</f>
        <v>0</v>
      </c>
      <c r="F948" s="103">
        <f>$C948*VLOOKUP($B948,FoodDB!$A$2:$I$1018,5,0)</f>
        <v>0</v>
      </c>
      <c r="G948" s="103">
        <f>$C948*VLOOKUP($B948,FoodDB!$A$2:$I$1018,6,0)</f>
        <v>0</v>
      </c>
      <c r="H948" s="103">
        <f>$C948*VLOOKUP($B948,FoodDB!$A$2:$I$1018,7,0)</f>
        <v>0</v>
      </c>
      <c r="I948" s="103">
        <f>$C948*VLOOKUP($B948,FoodDB!$A$2:$I$1018,8,0)</f>
        <v>0</v>
      </c>
      <c r="J948" s="103">
        <f>$C948*VLOOKUP($B948,FoodDB!$A$2:$I$1018,9,0)</f>
        <v>0</v>
      </c>
      <c r="K948" s="103"/>
      <c r="L948" s="103"/>
      <c r="M948" s="103"/>
      <c r="N948" s="103"/>
      <c r="O948" s="103"/>
      <c r="P948" s="103"/>
      <c r="Q948" s="103"/>
      <c r="R948" s="103"/>
      <c r="S948" s="103"/>
    </row>
    <row r="949" spans="1:19" x14ac:dyDescent="0.25">
      <c r="B949" s="99" t="s">
        <v>108</v>
      </c>
      <c r="C949" s="100">
        <v>1</v>
      </c>
      <c r="D949" s="103">
        <f>$C949*VLOOKUP($B949,FoodDB!$A$2:$I$1018,3,0)</f>
        <v>0</v>
      </c>
      <c r="E949" s="103">
        <f>$C949*VLOOKUP($B949,FoodDB!$A$2:$I$1018,4,0)</f>
        <v>0</v>
      </c>
      <c r="F949" s="103">
        <f>$C949*VLOOKUP($B949,FoodDB!$A$2:$I$1018,5,0)</f>
        <v>0</v>
      </c>
      <c r="G949" s="103">
        <f>$C949*VLOOKUP($B949,FoodDB!$A$2:$I$1018,6,0)</f>
        <v>0</v>
      </c>
      <c r="H949" s="103">
        <f>$C949*VLOOKUP($B949,FoodDB!$A$2:$I$1018,7,0)</f>
        <v>0</v>
      </c>
      <c r="I949" s="103">
        <f>$C949*VLOOKUP($B949,FoodDB!$A$2:$I$1018,8,0)</f>
        <v>0</v>
      </c>
      <c r="J949" s="103">
        <f>$C949*VLOOKUP($B949,FoodDB!$A$2:$I$1018,9,0)</f>
        <v>0</v>
      </c>
      <c r="K949" s="103"/>
      <c r="L949" s="103"/>
      <c r="M949" s="103"/>
      <c r="N949" s="103"/>
      <c r="O949" s="103"/>
      <c r="P949" s="103"/>
      <c r="Q949" s="103"/>
      <c r="R949" s="103"/>
      <c r="S949" s="103"/>
    </row>
    <row r="950" spans="1:19" x14ac:dyDescent="0.25">
      <c r="B950" s="99" t="s">
        <v>108</v>
      </c>
      <c r="C950" s="100">
        <v>1</v>
      </c>
      <c r="D950" s="103">
        <f>$C950*VLOOKUP($B950,FoodDB!$A$2:$I$1018,3,0)</f>
        <v>0</v>
      </c>
      <c r="E950" s="103">
        <f>$C950*VLOOKUP($B950,FoodDB!$A$2:$I$1018,4,0)</f>
        <v>0</v>
      </c>
      <c r="F950" s="103">
        <f>$C950*VLOOKUP($B950,FoodDB!$A$2:$I$1018,5,0)</f>
        <v>0</v>
      </c>
      <c r="G950" s="103">
        <f>$C950*VLOOKUP($B950,FoodDB!$A$2:$I$1018,6,0)</f>
        <v>0</v>
      </c>
      <c r="H950" s="103">
        <f>$C950*VLOOKUP($B950,FoodDB!$A$2:$I$1018,7,0)</f>
        <v>0</v>
      </c>
      <c r="I950" s="103">
        <f>$C950*VLOOKUP($B950,FoodDB!$A$2:$I$1018,8,0)</f>
        <v>0</v>
      </c>
      <c r="J950" s="103">
        <f>$C950*VLOOKUP($B950,FoodDB!$A$2:$I$1018,9,0)</f>
        <v>0</v>
      </c>
      <c r="K950" s="103"/>
      <c r="L950" s="103"/>
      <c r="M950" s="103"/>
      <c r="N950" s="103"/>
      <c r="O950" s="103"/>
      <c r="P950" s="103"/>
      <c r="Q950" s="103"/>
      <c r="R950" s="103"/>
      <c r="S950" s="103"/>
    </row>
    <row r="951" spans="1:19" x14ac:dyDescent="0.25">
      <c r="B951" s="99" t="s">
        <v>108</v>
      </c>
      <c r="C951" s="100">
        <v>1</v>
      </c>
      <c r="D951" s="103">
        <f>$C951*VLOOKUP($B951,FoodDB!$A$2:$I$1018,3,0)</f>
        <v>0</v>
      </c>
      <c r="E951" s="103">
        <f>$C951*VLOOKUP($B951,FoodDB!$A$2:$I$1018,4,0)</f>
        <v>0</v>
      </c>
      <c r="F951" s="103">
        <f>$C951*VLOOKUP($B951,FoodDB!$A$2:$I$1018,5,0)</f>
        <v>0</v>
      </c>
      <c r="G951" s="103">
        <f>$C951*VLOOKUP($B951,FoodDB!$A$2:$I$1018,6,0)</f>
        <v>0</v>
      </c>
      <c r="H951" s="103">
        <f>$C951*VLOOKUP($B951,FoodDB!$A$2:$I$1018,7,0)</f>
        <v>0</v>
      </c>
      <c r="I951" s="103">
        <f>$C951*VLOOKUP($B951,FoodDB!$A$2:$I$1018,8,0)</f>
        <v>0</v>
      </c>
      <c r="J951" s="103">
        <f>$C951*VLOOKUP($B951,FoodDB!$A$2:$I$1018,9,0)</f>
        <v>0</v>
      </c>
      <c r="K951" s="103"/>
      <c r="L951" s="103"/>
      <c r="M951" s="103"/>
      <c r="N951" s="103"/>
      <c r="O951" s="103"/>
      <c r="P951" s="103"/>
      <c r="Q951" s="103"/>
      <c r="R951" s="103"/>
      <c r="S951" s="103"/>
    </row>
    <row r="952" spans="1:19" x14ac:dyDescent="0.25">
      <c r="B952" s="99" t="s">
        <v>108</v>
      </c>
      <c r="C952" s="100">
        <v>1</v>
      </c>
      <c r="D952" s="103">
        <f>$C952*VLOOKUP($B952,FoodDB!$A$2:$I$1018,3,0)</f>
        <v>0</v>
      </c>
      <c r="E952" s="103">
        <f>$C952*VLOOKUP($B952,FoodDB!$A$2:$I$1018,4,0)</f>
        <v>0</v>
      </c>
      <c r="F952" s="103">
        <f>$C952*VLOOKUP($B952,FoodDB!$A$2:$I$1018,5,0)</f>
        <v>0</v>
      </c>
      <c r="G952" s="103">
        <f>$C952*VLOOKUP($B952,FoodDB!$A$2:$I$1018,6,0)</f>
        <v>0</v>
      </c>
      <c r="H952" s="103">
        <f>$C952*VLOOKUP($B952,FoodDB!$A$2:$I$1018,7,0)</f>
        <v>0</v>
      </c>
      <c r="I952" s="103">
        <f>$C952*VLOOKUP($B952,FoodDB!$A$2:$I$1018,8,0)</f>
        <v>0</v>
      </c>
      <c r="J952" s="103">
        <f>$C952*VLOOKUP($B952,FoodDB!$A$2:$I$1018,9,0)</f>
        <v>0</v>
      </c>
      <c r="K952" s="103"/>
      <c r="L952" s="103"/>
      <c r="M952" s="103"/>
      <c r="N952" s="103"/>
      <c r="O952" s="103"/>
      <c r="P952" s="103"/>
      <c r="Q952" s="103"/>
      <c r="R952" s="103"/>
      <c r="S952" s="103"/>
    </row>
    <row r="953" spans="1:19" x14ac:dyDescent="0.25">
      <c r="A953" t="s">
        <v>98</v>
      </c>
      <c r="D953" s="103"/>
      <c r="E953" s="103"/>
      <c r="F953" s="103"/>
      <c r="G953" s="103">
        <f>SUM(G946:G952)</f>
        <v>0</v>
      </c>
      <c r="H953" s="103">
        <f>SUM(H946:H952)</f>
        <v>0</v>
      </c>
      <c r="I953" s="103">
        <f>SUM(I946:I952)</f>
        <v>0</v>
      </c>
      <c r="J953" s="103">
        <f>SUM(G953:I953)</f>
        <v>0</v>
      </c>
      <c r="K953" s="103"/>
      <c r="L953" s="103"/>
      <c r="M953" s="103"/>
      <c r="N953" s="103"/>
      <c r="O953" s="103"/>
      <c r="P953" s="103"/>
      <c r="Q953" s="103"/>
      <c r="R953" s="103"/>
      <c r="S953" s="103"/>
    </row>
    <row r="954" spans="1:19" x14ac:dyDescent="0.25">
      <c r="A954" t="s">
        <v>102</v>
      </c>
      <c r="B954" t="s">
        <v>103</v>
      </c>
      <c r="D954" s="103"/>
      <c r="E954" s="103"/>
      <c r="F954" s="103"/>
      <c r="G954" s="103">
        <f>VLOOKUP($A946,LossChart!$A$3:$AB$105,14,0)</f>
        <v>789.63151678846316</v>
      </c>
      <c r="H954" s="103">
        <f>VLOOKUP($A946,LossChart!$A$3:$AB$105,15,0)</f>
        <v>80</v>
      </c>
      <c r="I954" s="103">
        <f>VLOOKUP($A946,LossChart!$A$3:$AB$105,16,0)</f>
        <v>477.30407413615825</v>
      </c>
      <c r="J954" s="103">
        <f>VLOOKUP($A946,LossChart!$A$3:$AB$105,17,0)</f>
        <v>1346.9355909246215</v>
      </c>
      <c r="K954" s="103"/>
      <c r="L954" s="103"/>
      <c r="M954" s="103"/>
      <c r="N954" s="103"/>
      <c r="O954" s="103"/>
      <c r="P954" s="103"/>
      <c r="Q954" s="103"/>
      <c r="R954" s="103"/>
      <c r="S954" s="103"/>
    </row>
    <row r="955" spans="1:19" x14ac:dyDescent="0.25">
      <c r="A955" t="s">
        <v>104</v>
      </c>
      <c r="D955" s="103"/>
      <c r="E955" s="103"/>
      <c r="F955" s="103"/>
      <c r="G955" s="103">
        <f>G954-G953</f>
        <v>789.63151678846316</v>
      </c>
      <c r="H955" s="103">
        <f>H954-H953</f>
        <v>80</v>
      </c>
      <c r="I955" s="103">
        <f>I954-I953</f>
        <v>477.30407413615825</v>
      </c>
      <c r="J955" s="103">
        <f>J954-J953</f>
        <v>1346.9355909246215</v>
      </c>
      <c r="K955" s="103"/>
      <c r="L955" s="103"/>
      <c r="M955" s="103"/>
      <c r="N955" s="103"/>
      <c r="O955" s="103"/>
      <c r="P955" s="103"/>
      <c r="Q955" s="103"/>
      <c r="R955" s="103"/>
      <c r="S955" s="103"/>
    </row>
    <row r="957" spans="1:19" ht="60" x14ac:dyDescent="0.25">
      <c r="A957" s="26" t="s">
        <v>63</v>
      </c>
      <c r="B957" s="26" t="s">
        <v>93</v>
      </c>
      <c r="C957" s="26" t="s">
        <v>94</v>
      </c>
      <c r="D957" s="97" t="str">
        <f>FoodDB!$C$1</f>
        <v>Fat
(g)</v>
      </c>
      <c r="E957" s="97" t="str">
        <f>FoodDB!$D$1</f>
        <v xml:space="preserve"> Carbs
(g)</v>
      </c>
      <c r="F957" s="97" t="str">
        <f>FoodDB!$E$1</f>
        <v>Protein
(g)</v>
      </c>
      <c r="G957" s="97" t="str">
        <f>FoodDB!$F$1</f>
        <v>Fat
(Cal)</v>
      </c>
      <c r="H957" s="97" t="str">
        <f>FoodDB!$G$1</f>
        <v>Carb
(Cal)</v>
      </c>
      <c r="I957" s="97" t="str">
        <f>FoodDB!$H$1</f>
        <v>Protein
(Cal)</v>
      </c>
      <c r="J957" s="97" t="str">
        <f>FoodDB!$I$1</f>
        <v>Total
Calories</v>
      </c>
      <c r="K957" s="97"/>
      <c r="L957" s="97" t="s">
        <v>110</v>
      </c>
      <c r="M957" s="97" t="s">
        <v>111</v>
      </c>
      <c r="N957" s="97" t="s">
        <v>112</v>
      </c>
      <c r="O957" s="97" t="s">
        <v>113</v>
      </c>
      <c r="P957" s="97" t="s">
        <v>118</v>
      </c>
      <c r="Q957" s="97" t="s">
        <v>119</v>
      </c>
      <c r="R957" s="97" t="s">
        <v>120</v>
      </c>
      <c r="S957" s="97" t="s">
        <v>121</v>
      </c>
    </row>
    <row r="958" spans="1:19" x14ac:dyDescent="0.25">
      <c r="A958" s="98">
        <f>A946+1</f>
        <v>43073</v>
      </c>
      <c r="B958" s="99" t="s">
        <v>108</v>
      </c>
      <c r="C958" s="100">
        <v>1</v>
      </c>
      <c r="D958" s="103">
        <f>$C958*VLOOKUP($B958,FoodDB!$A$2:$I$1018,3,0)</f>
        <v>0</v>
      </c>
      <c r="E958" s="103">
        <f>$C958*VLOOKUP($B958,FoodDB!$A$2:$I$1018,4,0)</f>
        <v>0</v>
      </c>
      <c r="F958" s="103">
        <f>$C958*VLOOKUP($B958,FoodDB!$A$2:$I$1018,5,0)</f>
        <v>0</v>
      </c>
      <c r="G958" s="103">
        <f>$C958*VLOOKUP($B958,FoodDB!$A$2:$I$1018,6,0)</f>
        <v>0</v>
      </c>
      <c r="H958" s="103">
        <f>$C958*VLOOKUP($B958,FoodDB!$A$2:$I$1018,7,0)</f>
        <v>0</v>
      </c>
      <c r="I958" s="103">
        <f>$C958*VLOOKUP($B958,FoodDB!$A$2:$I$1018,8,0)</f>
        <v>0</v>
      </c>
      <c r="J958" s="103">
        <f>$C958*VLOOKUP($B958,FoodDB!$A$2:$I$1018,9,0)</f>
        <v>0</v>
      </c>
      <c r="K958" s="103"/>
      <c r="L958" s="103">
        <f>SUM(G958:G964)</f>
        <v>0</v>
      </c>
      <c r="M958" s="103">
        <f>SUM(H958:H964)</f>
        <v>0</v>
      </c>
      <c r="N958" s="103">
        <f>SUM(I958:I964)</f>
        <v>0</v>
      </c>
      <c r="O958" s="103">
        <f>SUM(L958:N958)</f>
        <v>0</v>
      </c>
      <c r="P958" s="103">
        <f>VLOOKUP($A958,LossChart!$A$3:$AB$105,14,0)-L958</f>
        <v>794.14008513469366</v>
      </c>
      <c r="Q958" s="103">
        <f>VLOOKUP($A958,LossChart!$A$3:$AB$105,15,0)-M958</f>
        <v>80</v>
      </c>
      <c r="R958" s="103">
        <f>VLOOKUP($A958,LossChart!$A$3:$AB$105,16,0)-N958</f>
        <v>477.30407413615825</v>
      </c>
      <c r="S958" s="103">
        <f>VLOOKUP($A958,LossChart!$A$3:$AB$105,17,0)-O958</f>
        <v>1351.444159270852</v>
      </c>
    </row>
    <row r="959" spans="1:19" x14ac:dyDescent="0.25">
      <c r="B959" s="99" t="s">
        <v>108</v>
      </c>
      <c r="C959" s="100">
        <v>1</v>
      </c>
      <c r="D959" s="103">
        <f>$C959*VLOOKUP($B959,FoodDB!$A$2:$I$1018,3,0)</f>
        <v>0</v>
      </c>
      <c r="E959" s="103">
        <f>$C959*VLOOKUP($B959,FoodDB!$A$2:$I$1018,4,0)</f>
        <v>0</v>
      </c>
      <c r="F959" s="103">
        <f>$C959*VLOOKUP($B959,FoodDB!$A$2:$I$1018,5,0)</f>
        <v>0</v>
      </c>
      <c r="G959" s="103">
        <f>$C959*VLOOKUP($B959,FoodDB!$A$2:$I$1018,6,0)</f>
        <v>0</v>
      </c>
      <c r="H959" s="103">
        <f>$C959*VLOOKUP($B959,FoodDB!$A$2:$I$1018,7,0)</f>
        <v>0</v>
      </c>
      <c r="I959" s="103">
        <f>$C959*VLOOKUP($B959,FoodDB!$A$2:$I$1018,8,0)</f>
        <v>0</v>
      </c>
      <c r="J959" s="103">
        <f>$C959*VLOOKUP($B959,FoodDB!$A$2:$I$1018,9,0)</f>
        <v>0</v>
      </c>
      <c r="K959" s="103"/>
      <c r="L959" s="103"/>
      <c r="M959" s="103"/>
      <c r="N959" s="103"/>
      <c r="O959" s="103"/>
      <c r="P959" s="103"/>
      <c r="Q959" s="103"/>
      <c r="R959" s="103"/>
      <c r="S959" s="103"/>
    </row>
    <row r="960" spans="1:19" x14ac:dyDescent="0.25">
      <c r="B960" s="99" t="s">
        <v>108</v>
      </c>
      <c r="C960" s="100">
        <v>1</v>
      </c>
      <c r="D960" s="103">
        <f>$C960*VLOOKUP($B960,FoodDB!$A$2:$I$1018,3,0)</f>
        <v>0</v>
      </c>
      <c r="E960" s="103">
        <f>$C960*VLOOKUP($B960,FoodDB!$A$2:$I$1018,4,0)</f>
        <v>0</v>
      </c>
      <c r="F960" s="103">
        <f>$C960*VLOOKUP($B960,FoodDB!$A$2:$I$1018,5,0)</f>
        <v>0</v>
      </c>
      <c r="G960" s="103">
        <f>$C960*VLOOKUP($B960,FoodDB!$A$2:$I$1018,6,0)</f>
        <v>0</v>
      </c>
      <c r="H960" s="103">
        <f>$C960*VLOOKUP($B960,FoodDB!$A$2:$I$1018,7,0)</f>
        <v>0</v>
      </c>
      <c r="I960" s="103">
        <f>$C960*VLOOKUP($B960,FoodDB!$A$2:$I$1018,8,0)</f>
        <v>0</v>
      </c>
      <c r="J960" s="103">
        <f>$C960*VLOOKUP($B960,FoodDB!$A$2:$I$1018,9,0)</f>
        <v>0</v>
      </c>
      <c r="K960" s="103"/>
      <c r="L960" s="103"/>
      <c r="M960" s="103"/>
      <c r="N960" s="103"/>
      <c r="O960" s="103"/>
      <c r="P960" s="103"/>
      <c r="Q960" s="103"/>
      <c r="R960" s="103"/>
      <c r="S960" s="103"/>
    </row>
    <row r="961" spans="1:19" x14ac:dyDescent="0.25">
      <c r="B961" s="99" t="s">
        <v>108</v>
      </c>
      <c r="C961" s="100">
        <v>1</v>
      </c>
      <c r="D961" s="103">
        <f>$C961*VLOOKUP($B961,FoodDB!$A$2:$I$1018,3,0)</f>
        <v>0</v>
      </c>
      <c r="E961" s="103">
        <f>$C961*VLOOKUP($B961,FoodDB!$A$2:$I$1018,4,0)</f>
        <v>0</v>
      </c>
      <c r="F961" s="103">
        <f>$C961*VLOOKUP($B961,FoodDB!$A$2:$I$1018,5,0)</f>
        <v>0</v>
      </c>
      <c r="G961" s="103">
        <f>$C961*VLOOKUP($B961,FoodDB!$A$2:$I$1018,6,0)</f>
        <v>0</v>
      </c>
      <c r="H961" s="103">
        <f>$C961*VLOOKUP($B961,FoodDB!$A$2:$I$1018,7,0)</f>
        <v>0</v>
      </c>
      <c r="I961" s="103">
        <f>$C961*VLOOKUP($B961,FoodDB!$A$2:$I$1018,8,0)</f>
        <v>0</v>
      </c>
      <c r="J961" s="103">
        <f>$C961*VLOOKUP($B961,FoodDB!$A$2:$I$1018,9,0)</f>
        <v>0</v>
      </c>
      <c r="K961" s="103"/>
      <c r="L961" s="103"/>
      <c r="M961" s="103"/>
      <c r="N961" s="103"/>
      <c r="O961" s="103"/>
      <c r="P961" s="103"/>
      <c r="Q961" s="103"/>
      <c r="R961" s="103"/>
      <c r="S961" s="103"/>
    </row>
    <row r="962" spans="1:19" x14ac:dyDescent="0.25">
      <c r="B962" s="99" t="s">
        <v>108</v>
      </c>
      <c r="C962" s="100">
        <v>1</v>
      </c>
      <c r="D962" s="103">
        <f>$C962*VLOOKUP($B962,FoodDB!$A$2:$I$1018,3,0)</f>
        <v>0</v>
      </c>
      <c r="E962" s="103">
        <f>$C962*VLOOKUP($B962,FoodDB!$A$2:$I$1018,4,0)</f>
        <v>0</v>
      </c>
      <c r="F962" s="103">
        <f>$C962*VLOOKUP($B962,FoodDB!$A$2:$I$1018,5,0)</f>
        <v>0</v>
      </c>
      <c r="G962" s="103">
        <f>$C962*VLOOKUP($B962,FoodDB!$A$2:$I$1018,6,0)</f>
        <v>0</v>
      </c>
      <c r="H962" s="103">
        <f>$C962*VLOOKUP($B962,FoodDB!$A$2:$I$1018,7,0)</f>
        <v>0</v>
      </c>
      <c r="I962" s="103">
        <f>$C962*VLOOKUP($B962,FoodDB!$A$2:$I$1018,8,0)</f>
        <v>0</v>
      </c>
      <c r="J962" s="103">
        <f>$C962*VLOOKUP($B962,FoodDB!$A$2:$I$1018,9,0)</f>
        <v>0</v>
      </c>
      <c r="K962" s="103"/>
      <c r="L962" s="103"/>
      <c r="M962" s="103"/>
      <c r="N962" s="103"/>
      <c r="O962" s="103"/>
      <c r="P962" s="103"/>
      <c r="Q962" s="103"/>
      <c r="R962" s="103"/>
      <c r="S962" s="103"/>
    </row>
    <row r="963" spans="1:19" x14ac:dyDescent="0.25">
      <c r="B963" s="99" t="s">
        <v>108</v>
      </c>
      <c r="C963" s="100">
        <v>1</v>
      </c>
      <c r="D963" s="103">
        <f>$C963*VLOOKUP($B963,FoodDB!$A$2:$I$1018,3,0)</f>
        <v>0</v>
      </c>
      <c r="E963" s="103">
        <f>$C963*VLOOKUP($B963,FoodDB!$A$2:$I$1018,4,0)</f>
        <v>0</v>
      </c>
      <c r="F963" s="103">
        <f>$C963*VLOOKUP($B963,FoodDB!$A$2:$I$1018,5,0)</f>
        <v>0</v>
      </c>
      <c r="G963" s="103">
        <f>$C963*VLOOKUP($B963,FoodDB!$A$2:$I$1018,6,0)</f>
        <v>0</v>
      </c>
      <c r="H963" s="103">
        <f>$C963*VLOOKUP($B963,FoodDB!$A$2:$I$1018,7,0)</f>
        <v>0</v>
      </c>
      <c r="I963" s="103">
        <f>$C963*VLOOKUP($B963,FoodDB!$A$2:$I$1018,8,0)</f>
        <v>0</v>
      </c>
      <c r="J963" s="103">
        <f>$C963*VLOOKUP($B963,FoodDB!$A$2:$I$1018,9,0)</f>
        <v>0</v>
      </c>
      <c r="K963" s="103"/>
      <c r="L963" s="103"/>
      <c r="M963" s="103"/>
      <c r="N963" s="103"/>
      <c r="O963" s="103"/>
      <c r="P963" s="103"/>
      <c r="Q963" s="103"/>
      <c r="R963" s="103"/>
      <c r="S963" s="103"/>
    </row>
    <row r="964" spans="1:19" x14ac:dyDescent="0.25">
      <c r="B964" s="99" t="s">
        <v>108</v>
      </c>
      <c r="C964" s="100">
        <v>1</v>
      </c>
      <c r="D964" s="103">
        <f>$C964*VLOOKUP($B964,FoodDB!$A$2:$I$1018,3,0)</f>
        <v>0</v>
      </c>
      <c r="E964" s="103">
        <f>$C964*VLOOKUP($B964,FoodDB!$A$2:$I$1018,4,0)</f>
        <v>0</v>
      </c>
      <c r="F964" s="103">
        <f>$C964*VLOOKUP($B964,FoodDB!$A$2:$I$1018,5,0)</f>
        <v>0</v>
      </c>
      <c r="G964" s="103">
        <f>$C964*VLOOKUP($B964,FoodDB!$A$2:$I$1018,6,0)</f>
        <v>0</v>
      </c>
      <c r="H964" s="103">
        <f>$C964*VLOOKUP($B964,FoodDB!$A$2:$I$1018,7,0)</f>
        <v>0</v>
      </c>
      <c r="I964" s="103">
        <f>$C964*VLOOKUP($B964,FoodDB!$A$2:$I$1018,8,0)</f>
        <v>0</v>
      </c>
      <c r="J964" s="103">
        <f>$C964*VLOOKUP($B964,FoodDB!$A$2:$I$1018,9,0)</f>
        <v>0</v>
      </c>
      <c r="K964" s="103"/>
      <c r="L964" s="103"/>
      <c r="M964" s="103"/>
      <c r="N964" s="103"/>
      <c r="O964" s="103"/>
      <c r="P964" s="103"/>
      <c r="Q964" s="103"/>
      <c r="R964" s="103"/>
      <c r="S964" s="103"/>
    </row>
    <row r="965" spans="1:19" x14ac:dyDescent="0.25">
      <c r="A965" t="s">
        <v>98</v>
      </c>
      <c r="D965" s="103"/>
      <c r="E965" s="103"/>
      <c r="F965" s="103"/>
      <c r="G965" s="103">
        <f>SUM(G958:G964)</f>
        <v>0</v>
      </c>
      <c r="H965" s="103">
        <f>SUM(H958:H964)</f>
        <v>0</v>
      </c>
      <c r="I965" s="103">
        <f>SUM(I958:I964)</f>
        <v>0</v>
      </c>
      <c r="J965" s="103">
        <f>SUM(G965:I965)</f>
        <v>0</v>
      </c>
      <c r="K965" s="103"/>
      <c r="L965" s="103"/>
      <c r="M965" s="103"/>
      <c r="N965" s="103"/>
      <c r="O965" s="103"/>
      <c r="P965" s="103"/>
      <c r="Q965" s="103"/>
      <c r="R965" s="103"/>
      <c r="S965" s="103"/>
    </row>
    <row r="966" spans="1:19" x14ac:dyDescent="0.25">
      <c r="A966" t="s">
        <v>102</v>
      </c>
      <c r="B966" t="s">
        <v>103</v>
      </c>
      <c r="D966" s="103"/>
      <c r="E966" s="103"/>
      <c r="F966" s="103"/>
      <c r="G966" s="103">
        <f>VLOOKUP($A958,LossChart!$A$3:$AB$105,14,0)</f>
        <v>794.14008513469366</v>
      </c>
      <c r="H966" s="103">
        <f>VLOOKUP($A958,LossChart!$A$3:$AB$105,15,0)</f>
        <v>80</v>
      </c>
      <c r="I966" s="103">
        <f>VLOOKUP($A958,LossChart!$A$3:$AB$105,16,0)</f>
        <v>477.30407413615825</v>
      </c>
      <c r="J966" s="103">
        <f>VLOOKUP($A958,LossChart!$A$3:$AB$105,17,0)</f>
        <v>1351.444159270852</v>
      </c>
      <c r="K966" s="103"/>
      <c r="L966" s="103"/>
      <c r="M966" s="103"/>
      <c r="N966" s="103"/>
      <c r="O966" s="103"/>
      <c r="P966" s="103"/>
      <c r="Q966" s="103"/>
      <c r="R966" s="103"/>
      <c r="S966" s="103"/>
    </row>
    <row r="967" spans="1:19" x14ac:dyDescent="0.25">
      <c r="A967" t="s">
        <v>104</v>
      </c>
      <c r="D967" s="103"/>
      <c r="E967" s="103"/>
      <c r="F967" s="103"/>
      <c r="G967" s="103">
        <f>G966-G965</f>
        <v>794.14008513469366</v>
      </c>
      <c r="H967" s="103">
        <f>H966-H965</f>
        <v>80</v>
      </c>
      <c r="I967" s="103">
        <f>I966-I965</f>
        <v>477.30407413615825</v>
      </c>
      <c r="J967" s="103">
        <f>J966-J965</f>
        <v>1351.444159270852</v>
      </c>
      <c r="K967" s="103"/>
      <c r="L967" s="103"/>
      <c r="M967" s="103"/>
      <c r="N967" s="103"/>
      <c r="O967" s="103"/>
      <c r="P967" s="103"/>
      <c r="Q967" s="103"/>
      <c r="R967" s="103"/>
      <c r="S967" s="103"/>
    </row>
    <row r="969" spans="1:19" ht="60" x14ac:dyDescent="0.25">
      <c r="A969" s="26" t="s">
        <v>63</v>
      </c>
      <c r="B969" s="26" t="s">
        <v>93</v>
      </c>
      <c r="C969" s="26" t="s">
        <v>94</v>
      </c>
      <c r="D969" s="97" t="str">
        <f>FoodDB!$C$1</f>
        <v>Fat
(g)</v>
      </c>
      <c r="E969" s="97" t="str">
        <f>FoodDB!$D$1</f>
        <v xml:space="preserve"> Carbs
(g)</v>
      </c>
      <c r="F969" s="97" t="str">
        <f>FoodDB!$E$1</f>
        <v>Protein
(g)</v>
      </c>
      <c r="G969" s="97" t="str">
        <f>FoodDB!$F$1</f>
        <v>Fat
(Cal)</v>
      </c>
      <c r="H969" s="97" t="str">
        <f>FoodDB!$G$1</f>
        <v>Carb
(Cal)</v>
      </c>
      <c r="I969" s="97" t="str">
        <f>FoodDB!$H$1</f>
        <v>Protein
(Cal)</v>
      </c>
      <c r="J969" s="97" t="str">
        <f>FoodDB!$I$1</f>
        <v>Total
Calories</v>
      </c>
      <c r="K969" s="97"/>
      <c r="L969" s="97" t="s">
        <v>110</v>
      </c>
      <c r="M969" s="97" t="s">
        <v>111</v>
      </c>
      <c r="N969" s="97" t="s">
        <v>112</v>
      </c>
      <c r="O969" s="97" t="s">
        <v>113</v>
      </c>
      <c r="P969" s="97" t="s">
        <v>118</v>
      </c>
      <c r="Q969" s="97" t="s">
        <v>119</v>
      </c>
      <c r="R969" s="97" t="s">
        <v>120</v>
      </c>
      <c r="S969" s="97" t="s">
        <v>121</v>
      </c>
    </row>
    <row r="970" spans="1:19" x14ac:dyDescent="0.25">
      <c r="A970" s="98">
        <f>A958+1</f>
        <v>43074</v>
      </c>
      <c r="B970" s="99" t="s">
        <v>108</v>
      </c>
      <c r="C970" s="100">
        <v>1</v>
      </c>
      <c r="D970" s="103">
        <f>$C970*VLOOKUP($B970,FoodDB!$A$2:$I$1018,3,0)</f>
        <v>0</v>
      </c>
      <c r="E970" s="103">
        <f>$C970*VLOOKUP($B970,FoodDB!$A$2:$I$1018,4,0)</f>
        <v>0</v>
      </c>
      <c r="F970" s="103">
        <f>$C970*VLOOKUP($B970,FoodDB!$A$2:$I$1018,5,0)</f>
        <v>0</v>
      </c>
      <c r="G970" s="103">
        <f>$C970*VLOOKUP($B970,FoodDB!$A$2:$I$1018,6,0)</f>
        <v>0</v>
      </c>
      <c r="H970" s="103">
        <f>$C970*VLOOKUP($B970,FoodDB!$A$2:$I$1018,7,0)</f>
        <v>0</v>
      </c>
      <c r="I970" s="103">
        <f>$C970*VLOOKUP($B970,FoodDB!$A$2:$I$1018,8,0)</f>
        <v>0</v>
      </c>
      <c r="J970" s="103">
        <f>$C970*VLOOKUP($B970,FoodDB!$A$2:$I$1018,9,0)</f>
        <v>0</v>
      </c>
      <c r="K970" s="103"/>
      <c r="L970" s="103">
        <f>SUM(G970:G976)</f>
        <v>0</v>
      </c>
      <c r="M970" s="103">
        <f>SUM(H970:H976)</f>
        <v>0</v>
      </c>
      <c r="N970" s="103">
        <f>SUM(I970:I976)</f>
        <v>0</v>
      </c>
      <c r="O970" s="103">
        <f>SUM(L970:N970)</f>
        <v>0</v>
      </c>
      <c r="P970" s="103">
        <f>VLOOKUP($A970,LossChart!$A$3:$AB$105,14,0)-L970</f>
        <v>798.60872044700136</v>
      </c>
      <c r="Q970" s="103">
        <f>VLOOKUP($A970,LossChart!$A$3:$AB$105,15,0)-M970</f>
        <v>80</v>
      </c>
      <c r="R970" s="103">
        <f>VLOOKUP($A970,LossChart!$A$3:$AB$105,16,0)-N970</f>
        <v>477.30407413615825</v>
      </c>
      <c r="S970" s="103">
        <f>VLOOKUP($A970,LossChart!$A$3:$AB$105,17,0)-O970</f>
        <v>1355.9127945831597</v>
      </c>
    </row>
    <row r="971" spans="1:19" x14ac:dyDescent="0.25">
      <c r="B971" s="99" t="s">
        <v>108</v>
      </c>
      <c r="C971" s="100">
        <v>1</v>
      </c>
      <c r="D971" s="103">
        <f>$C971*VLOOKUP($B971,FoodDB!$A$2:$I$1018,3,0)</f>
        <v>0</v>
      </c>
      <c r="E971" s="103">
        <f>$C971*VLOOKUP($B971,FoodDB!$A$2:$I$1018,4,0)</f>
        <v>0</v>
      </c>
      <c r="F971" s="103">
        <f>$C971*VLOOKUP($B971,FoodDB!$A$2:$I$1018,5,0)</f>
        <v>0</v>
      </c>
      <c r="G971" s="103">
        <f>$C971*VLOOKUP($B971,FoodDB!$A$2:$I$1018,6,0)</f>
        <v>0</v>
      </c>
      <c r="H971" s="103">
        <f>$C971*VLOOKUP($B971,FoodDB!$A$2:$I$1018,7,0)</f>
        <v>0</v>
      </c>
      <c r="I971" s="103">
        <f>$C971*VLOOKUP($B971,FoodDB!$A$2:$I$1018,8,0)</f>
        <v>0</v>
      </c>
      <c r="J971" s="103">
        <f>$C971*VLOOKUP($B971,FoodDB!$A$2:$I$1018,9,0)</f>
        <v>0</v>
      </c>
      <c r="K971" s="103"/>
      <c r="L971" s="103"/>
      <c r="M971" s="103"/>
      <c r="N971" s="103"/>
      <c r="O971" s="103"/>
      <c r="P971" s="103"/>
      <c r="Q971" s="103"/>
      <c r="R971" s="103"/>
      <c r="S971" s="103"/>
    </row>
    <row r="972" spans="1:19" x14ac:dyDescent="0.25">
      <c r="B972" s="99" t="s">
        <v>108</v>
      </c>
      <c r="C972" s="100">
        <v>1</v>
      </c>
      <c r="D972" s="103">
        <f>$C972*VLOOKUP($B972,FoodDB!$A$2:$I$1018,3,0)</f>
        <v>0</v>
      </c>
      <c r="E972" s="103">
        <f>$C972*VLOOKUP($B972,FoodDB!$A$2:$I$1018,4,0)</f>
        <v>0</v>
      </c>
      <c r="F972" s="103">
        <f>$C972*VLOOKUP($B972,FoodDB!$A$2:$I$1018,5,0)</f>
        <v>0</v>
      </c>
      <c r="G972" s="103">
        <f>$C972*VLOOKUP($B972,FoodDB!$A$2:$I$1018,6,0)</f>
        <v>0</v>
      </c>
      <c r="H972" s="103">
        <f>$C972*VLOOKUP($B972,FoodDB!$A$2:$I$1018,7,0)</f>
        <v>0</v>
      </c>
      <c r="I972" s="103">
        <f>$C972*VLOOKUP($B972,FoodDB!$A$2:$I$1018,8,0)</f>
        <v>0</v>
      </c>
      <c r="J972" s="103">
        <f>$C972*VLOOKUP($B972,FoodDB!$A$2:$I$1018,9,0)</f>
        <v>0</v>
      </c>
      <c r="K972" s="103"/>
      <c r="L972" s="103"/>
      <c r="M972" s="103"/>
      <c r="N972" s="103"/>
      <c r="O972" s="103"/>
      <c r="P972" s="103"/>
      <c r="Q972" s="103"/>
      <c r="R972" s="103"/>
      <c r="S972" s="103"/>
    </row>
    <row r="973" spans="1:19" x14ac:dyDescent="0.25">
      <c r="B973" s="99" t="s">
        <v>108</v>
      </c>
      <c r="C973" s="100">
        <v>1</v>
      </c>
      <c r="D973" s="103">
        <f>$C973*VLOOKUP($B973,FoodDB!$A$2:$I$1018,3,0)</f>
        <v>0</v>
      </c>
      <c r="E973" s="103">
        <f>$C973*VLOOKUP($B973,FoodDB!$A$2:$I$1018,4,0)</f>
        <v>0</v>
      </c>
      <c r="F973" s="103">
        <f>$C973*VLOOKUP($B973,FoodDB!$A$2:$I$1018,5,0)</f>
        <v>0</v>
      </c>
      <c r="G973" s="103">
        <f>$C973*VLOOKUP($B973,FoodDB!$A$2:$I$1018,6,0)</f>
        <v>0</v>
      </c>
      <c r="H973" s="103">
        <f>$C973*VLOOKUP($B973,FoodDB!$A$2:$I$1018,7,0)</f>
        <v>0</v>
      </c>
      <c r="I973" s="103">
        <f>$C973*VLOOKUP($B973,FoodDB!$A$2:$I$1018,8,0)</f>
        <v>0</v>
      </c>
      <c r="J973" s="103">
        <f>$C973*VLOOKUP($B973,FoodDB!$A$2:$I$1018,9,0)</f>
        <v>0</v>
      </c>
      <c r="K973" s="103"/>
      <c r="L973" s="103"/>
      <c r="M973" s="103"/>
      <c r="N973" s="103"/>
      <c r="O973" s="103"/>
      <c r="P973" s="103"/>
      <c r="Q973" s="103"/>
      <c r="R973" s="103"/>
      <c r="S973" s="103"/>
    </row>
    <row r="974" spans="1:19" x14ac:dyDescent="0.25">
      <c r="B974" s="99" t="s">
        <v>108</v>
      </c>
      <c r="C974" s="100">
        <v>1</v>
      </c>
      <c r="D974" s="103">
        <f>$C974*VLOOKUP($B974,FoodDB!$A$2:$I$1018,3,0)</f>
        <v>0</v>
      </c>
      <c r="E974" s="103">
        <f>$C974*VLOOKUP($B974,FoodDB!$A$2:$I$1018,4,0)</f>
        <v>0</v>
      </c>
      <c r="F974" s="103">
        <f>$C974*VLOOKUP($B974,FoodDB!$A$2:$I$1018,5,0)</f>
        <v>0</v>
      </c>
      <c r="G974" s="103">
        <f>$C974*VLOOKUP($B974,FoodDB!$A$2:$I$1018,6,0)</f>
        <v>0</v>
      </c>
      <c r="H974" s="103">
        <f>$C974*VLOOKUP($B974,FoodDB!$A$2:$I$1018,7,0)</f>
        <v>0</v>
      </c>
      <c r="I974" s="103">
        <f>$C974*VLOOKUP($B974,FoodDB!$A$2:$I$1018,8,0)</f>
        <v>0</v>
      </c>
      <c r="J974" s="103">
        <f>$C974*VLOOKUP($B974,FoodDB!$A$2:$I$1018,9,0)</f>
        <v>0</v>
      </c>
      <c r="K974" s="103"/>
      <c r="L974" s="103"/>
      <c r="M974" s="103"/>
      <c r="N974" s="103"/>
      <c r="O974" s="103"/>
      <c r="P974" s="103"/>
      <c r="Q974" s="103"/>
      <c r="R974" s="103"/>
      <c r="S974" s="103"/>
    </row>
    <row r="975" spans="1:19" x14ac:dyDescent="0.25">
      <c r="B975" s="99" t="s">
        <v>108</v>
      </c>
      <c r="C975" s="100">
        <v>1</v>
      </c>
      <c r="D975" s="103">
        <f>$C975*VLOOKUP($B975,FoodDB!$A$2:$I$1018,3,0)</f>
        <v>0</v>
      </c>
      <c r="E975" s="103">
        <f>$C975*VLOOKUP($B975,FoodDB!$A$2:$I$1018,4,0)</f>
        <v>0</v>
      </c>
      <c r="F975" s="103">
        <f>$C975*VLOOKUP($B975,FoodDB!$A$2:$I$1018,5,0)</f>
        <v>0</v>
      </c>
      <c r="G975" s="103">
        <f>$C975*VLOOKUP($B975,FoodDB!$A$2:$I$1018,6,0)</f>
        <v>0</v>
      </c>
      <c r="H975" s="103">
        <f>$C975*VLOOKUP($B975,FoodDB!$A$2:$I$1018,7,0)</f>
        <v>0</v>
      </c>
      <c r="I975" s="103">
        <f>$C975*VLOOKUP($B975,FoodDB!$A$2:$I$1018,8,0)</f>
        <v>0</v>
      </c>
      <c r="J975" s="103">
        <f>$C975*VLOOKUP($B975,FoodDB!$A$2:$I$1018,9,0)</f>
        <v>0</v>
      </c>
      <c r="K975" s="103"/>
      <c r="L975" s="103"/>
      <c r="M975" s="103"/>
      <c r="N975" s="103"/>
      <c r="O975" s="103"/>
      <c r="P975" s="103"/>
      <c r="Q975" s="103"/>
      <c r="R975" s="103"/>
      <c r="S975" s="103"/>
    </row>
    <row r="976" spans="1:19" x14ac:dyDescent="0.25">
      <c r="B976" s="99" t="s">
        <v>108</v>
      </c>
      <c r="C976" s="100">
        <v>1</v>
      </c>
      <c r="D976" s="103">
        <f>$C976*VLOOKUP($B976,FoodDB!$A$2:$I$1018,3,0)</f>
        <v>0</v>
      </c>
      <c r="E976" s="103">
        <f>$C976*VLOOKUP($B976,FoodDB!$A$2:$I$1018,4,0)</f>
        <v>0</v>
      </c>
      <c r="F976" s="103">
        <f>$C976*VLOOKUP($B976,FoodDB!$A$2:$I$1018,5,0)</f>
        <v>0</v>
      </c>
      <c r="G976" s="103">
        <f>$C976*VLOOKUP($B976,FoodDB!$A$2:$I$1018,6,0)</f>
        <v>0</v>
      </c>
      <c r="H976" s="103">
        <f>$C976*VLOOKUP($B976,FoodDB!$A$2:$I$1018,7,0)</f>
        <v>0</v>
      </c>
      <c r="I976" s="103">
        <f>$C976*VLOOKUP($B976,FoodDB!$A$2:$I$1018,8,0)</f>
        <v>0</v>
      </c>
      <c r="J976" s="103">
        <f>$C976*VLOOKUP($B976,FoodDB!$A$2:$I$1018,9,0)</f>
        <v>0</v>
      </c>
      <c r="K976" s="103"/>
      <c r="L976" s="103"/>
      <c r="M976" s="103"/>
      <c r="N976" s="103"/>
      <c r="O976" s="103"/>
      <c r="P976" s="103"/>
      <c r="Q976" s="103"/>
      <c r="R976" s="103"/>
      <c r="S976" s="103"/>
    </row>
    <row r="977" spans="1:19" x14ac:dyDescent="0.25">
      <c r="A977" t="s">
        <v>98</v>
      </c>
      <c r="D977" s="103"/>
      <c r="E977" s="103"/>
      <c r="F977" s="103"/>
      <c r="G977" s="103">
        <f>SUM(G970:G976)</f>
        <v>0</v>
      </c>
      <c r="H977" s="103">
        <f>SUM(H970:H976)</f>
        <v>0</v>
      </c>
      <c r="I977" s="103">
        <f>SUM(I970:I976)</f>
        <v>0</v>
      </c>
      <c r="J977" s="103">
        <f>SUM(G977:I977)</f>
        <v>0</v>
      </c>
      <c r="K977" s="103"/>
      <c r="L977" s="103"/>
      <c r="M977" s="103"/>
      <c r="N977" s="103"/>
      <c r="O977" s="103"/>
      <c r="P977" s="103"/>
      <c r="Q977" s="103"/>
      <c r="R977" s="103"/>
      <c r="S977" s="103"/>
    </row>
    <row r="978" spans="1:19" x14ac:dyDescent="0.25">
      <c r="A978" t="s">
        <v>102</v>
      </c>
      <c r="B978" t="s">
        <v>103</v>
      </c>
      <c r="D978" s="103"/>
      <c r="E978" s="103"/>
      <c r="F978" s="103"/>
      <c r="G978" s="103">
        <f>VLOOKUP($A970,LossChart!$A$3:$AB$105,14,0)</f>
        <v>798.60872044700136</v>
      </c>
      <c r="H978" s="103">
        <f>VLOOKUP($A970,LossChart!$A$3:$AB$105,15,0)</f>
        <v>80</v>
      </c>
      <c r="I978" s="103">
        <f>VLOOKUP($A970,LossChart!$A$3:$AB$105,16,0)</f>
        <v>477.30407413615825</v>
      </c>
      <c r="J978" s="103">
        <f>VLOOKUP($A970,LossChart!$A$3:$AB$105,17,0)</f>
        <v>1355.9127945831597</v>
      </c>
      <c r="K978" s="103"/>
      <c r="L978" s="103"/>
      <c r="M978" s="103"/>
      <c r="N978" s="103"/>
      <c r="O978" s="103"/>
      <c r="P978" s="103"/>
      <c r="Q978" s="103"/>
      <c r="R978" s="103"/>
      <c r="S978" s="103"/>
    </row>
    <row r="979" spans="1:19" x14ac:dyDescent="0.25">
      <c r="A979" t="s">
        <v>104</v>
      </c>
      <c r="D979" s="103"/>
      <c r="E979" s="103"/>
      <c r="F979" s="103"/>
      <c r="G979" s="103">
        <f>G978-G977</f>
        <v>798.60872044700136</v>
      </c>
      <c r="H979" s="103">
        <f>H978-H977</f>
        <v>80</v>
      </c>
      <c r="I979" s="103">
        <f>I978-I977</f>
        <v>477.30407413615825</v>
      </c>
      <c r="J979" s="103">
        <f>J978-J977</f>
        <v>1355.9127945831597</v>
      </c>
      <c r="K979" s="103"/>
      <c r="L979" s="103"/>
      <c r="M979" s="103"/>
      <c r="N979" s="103"/>
      <c r="O979" s="103"/>
      <c r="P979" s="103"/>
      <c r="Q979" s="103"/>
      <c r="R979" s="103"/>
      <c r="S979" s="103"/>
    </row>
    <row r="981" spans="1:19" ht="60" x14ac:dyDescent="0.25">
      <c r="A981" s="26" t="s">
        <v>63</v>
      </c>
      <c r="B981" s="26" t="s">
        <v>93</v>
      </c>
      <c r="C981" s="26" t="s">
        <v>94</v>
      </c>
      <c r="D981" s="97" t="str">
        <f>FoodDB!$C$1</f>
        <v>Fat
(g)</v>
      </c>
      <c r="E981" s="97" t="str">
        <f>FoodDB!$D$1</f>
        <v xml:space="preserve"> Carbs
(g)</v>
      </c>
      <c r="F981" s="97" t="str">
        <f>FoodDB!$E$1</f>
        <v>Protein
(g)</v>
      </c>
      <c r="G981" s="97" t="str">
        <f>FoodDB!$F$1</f>
        <v>Fat
(Cal)</v>
      </c>
      <c r="H981" s="97" t="str">
        <f>FoodDB!$G$1</f>
        <v>Carb
(Cal)</v>
      </c>
      <c r="I981" s="97" t="str">
        <f>FoodDB!$H$1</f>
        <v>Protein
(Cal)</v>
      </c>
      <c r="J981" s="97" t="str">
        <f>FoodDB!$I$1</f>
        <v>Total
Calories</v>
      </c>
      <c r="K981" s="97"/>
      <c r="L981" s="97" t="s">
        <v>110</v>
      </c>
      <c r="M981" s="97" t="s">
        <v>111</v>
      </c>
      <c r="N981" s="97" t="s">
        <v>112</v>
      </c>
      <c r="O981" s="97" t="s">
        <v>113</v>
      </c>
      <c r="P981" s="97" t="s">
        <v>118</v>
      </c>
      <c r="Q981" s="97" t="s">
        <v>119</v>
      </c>
      <c r="R981" s="97" t="s">
        <v>120</v>
      </c>
      <c r="S981" s="97" t="s">
        <v>121</v>
      </c>
    </row>
    <row r="982" spans="1:19" x14ac:dyDescent="0.25">
      <c r="A982" s="98">
        <f>A970+1</f>
        <v>43075</v>
      </c>
      <c r="B982" s="99" t="s">
        <v>108</v>
      </c>
      <c r="C982" s="100">
        <v>1</v>
      </c>
      <c r="D982" s="103">
        <f>$C982*VLOOKUP($B982,FoodDB!$A$2:$I$1018,3,0)</f>
        <v>0</v>
      </c>
      <c r="E982" s="103">
        <f>$C982*VLOOKUP($B982,FoodDB!$A$2:$I$1018,4,0)</f>
        <v>0</v>
      </c>
      <c r="F982" s="103">
        <f>$C982*VLOOKUP($B982,FoodDB!$A$2:$I$1018,5,0)</f>
        <v>0</v>
      </c>
      <c r="G982" s="103">
        <f>$C982*VLOOKUP($B982,FoodDB!$A$2:$I$1018,6,0)</f>
        <v>0</v>
      </c>
      <c r="H982" s="103">
        <f>$C982*VLOOKUP($B982,FoodDB!$A$2:$I$1018,7,0)</f>
        <v>0</v>
      </c>
      <c r="I982" s="103">
        <f>$C982*VLOOKUP($B982,FoodDB!$A$2:$I$1018,8,0)</f>
        <v>0</v>
      </c>
      <c r="J982" s="103">
        <f>$C982*VLOOKUP($B982,FoodDB!$A$2:$I$1018,9,0)</f>
        <v>0</v>
      </c>
      <c r="K982" s="103"/>
      <c r="L982" s="103">
        <f>SUM(G982:G988)</f>
        <v>0</v>
      </c>
      <c r="M982" s="103">
        <f>SUM(H982:H988)</f>
        <v>0</v>
      </c>
      <c r="N982" s="103">
        <f>SUM(I982:I988)</f>
        <v>0</v>
      </c>
      <c r="O982" s="103">
        <f>SUM(L982:N982)</f>
        <v>0</v>
      </c>
      <c r="P982" s="103">
        <f>VLOOKUP($A982,LossChart!$A$3:$AB$105,14,0)-L982</f>
        <v>803.03777641797024</v>
      </c>
      <c r="Q982" s="103">
        <f>VLOOKUP($A982,LossChart!$A$3:$AB$105,15,0)-M982</f>
        <v>80</v>
      </c>
      <c r="R982" s="103">
        <f>VLOOKUP($A982,LossChart!$A$3:$AB$105,16,0)-N982</f>
        <v>477.30407413615825</v>
      </c>
      <c r="S982" s="103">
        <f>VLOOKUP($A982,LossChart!$A$3:$AB$105,17,0)-O982</f>
        <v>1360.3418505541285</v>
      </c>
    </row>
    <row r="983" spans="1:19" x14ac:dyDescent="0.25">
      <c r="B983" s="99" t="s">
        <v>108</v>
      </c>
      <c r="C983" s="100">
        <v>1</v>
      </c>
      <c r="D983" s="103">
        <f>$C983*VLOOKUP($B983,FoodDB!$A$2:$I$1018,3,0)</f>
        <v>0</v>
      </c>
      <c r="E983" s="103">
        <f>$C983*VLOOKUP($B983,FoodDB!$A$2:$I$1018,4,0)</f>
        <v>0</v>
      </c>
      <c r="F983" s="103">
        <f>$C983*VLOOKUP($B983,FoodDB!$A$2:$I$1018,5,0)</f>
        <v>0</v>
      </c>
      <c r="G983" s="103">
        <f>$C983*VLOOKUP($B983,FoodDB!$A$2:$I$1018,6,0)</f>
        <v>0</v>
      </c>
      <c r="H983" s="103">
        <f>$C983*VLOOKUP($B983,FoodDB!$A$2:$I$1018,7,0)</f>
        <v>0</v>
      </c>
      <c r="I983" s="103">
        <f>$C983*VLOOKUP($B983,FoodDB!$A$2:$I$1018,8,0)</f>
        <v>0</v>
      </c>
      <c r="J983" s="103">
        <f>$C983*VLOOKUP($B983,FoodDB!$A$2:$I$1018,9,0)</f>
        <v>0</v>
      </c>
      <c r="K983" s="103"/>
      <c r="L983" s="103"/>
      <c r="M983" s="103"/>
      <c r="N983" s="103"/>
      <c r="O983" s="103"/>
      <c r="P983" s="103"/>
      <c r="Q983" s="103"/>
      <c r="R983" s="103"/>
      <c r="S983" s="103"/>
    </row>
    <row r="984" spans="1:19" x14ac:dyDescent="0.25">
      <c r="B984" s="99" t="s">
        <v>108</v>
      </c>
      <c r="C984" s="100">
        <v>1</v>
      </c>
      <c r="D984" s="103">
        <f>$C984*VLOOKUP($B984,FoodDB!$A$2:$I$1018,3,0)</f>
        <v>0</v>
      </c>
      <c r="E984" s="103">
        <f>$C984*VLOOKUP($B984,FoodDB!$A$2:$I$1018,4,0)</f>
        <v>0</v>
      </c>
      <c r="F984" s="103">
        <f>$C984*VLOOKUP($B984,FoodDB!$A$2:$I$1018,5,0)</f>
        <v>0</v>
      </c>
      <c r="G984" s="103">
        <f>$C984*VLOOKUP($B984,FoodDB!$A$2:$I$1018,6,0)</f>
        <v>0</v>
      </c>
      <c r="H984" s="103">
        <f>$C984*VLOOKUP($B984,FoodDB!$A$2:$I$1018,7,0)</f>
        <v>0</v>
      </c>
      <c r="I984" s="103">
        <f>$C984*VLOOKUP($B984,FoodDB!$A$2:$I$1018,8,0)</f>
        <v>0</v>
      </c>
      <c r="J984" s="103">
        <f>$C984*VLOOKUP($B984,FoodDB!$A$2:$I$1018,9,0)</f>
        <v>0</v>
      </c>
      <c r="K984" s="103"/>
      <c r="L984" s="103"/>
      <c r="M984" s="103"/>
      <c r="N984" s="103"/>
      <c r="O984" s="103"/>
      <c r="P984" s="103"/>
      <c r="Q984" s="103"/>
      <c r="R984" s="103"/>
      <c r="S984" s="103"/>
    </row>
    <row r="985" spans="1:19" x14ac:dyDescent="0.25">
      <c r="B985" s="99" t="s">
        <v>108</v>
      </c>
      <c r="C985" s="100">
        <v>1</v>
      </c>
      <c r="D985" s="103">
        <f>$C985*VLOOKUP($B985,FoodDB!$A$2:$I$1018,3,0)</f>
        <v>0</v>
      </c>
      <c r="E985" s="103">
        <f>$C985*VLOOKUP($B985,FoodDB!$A$2:$I$1018,4,0)</f>
        <v>0</v>
      </c>
      <c r="F985" s="103">
        <f>$C985*VLOOKUP($B985,FoodDB!$A$2:$I$1018,5,0)</f>
        <v>0</v>
      </c>
      <c r="G985" s="103">
        <f>$C985*VLOOKUP($B985,FoodDB!$A$2:$I$1018,6,0)</f>
        <v>0</v>
      </c>
      <c r="H985" s="103">
        <f>$C985*VLOOKUP($B985,FoodDB!$A$2:$I$1018,7,0)</f>
        <v>0</v>
      </c>
      <c r="I985" s="103">
        <f>$C985*VLOOKUP($B985,FoodDB!$A$2:$I$1018,8,0)</f>
        <v>0</v>
      </c>
      <c r="J985" s="103">
        <f>$C985*VLOOKUP($B985,FoodDB!$A$2:$I$1018,9,0)</f>
        <v>0</v>
      </c>
      <c r="K985" s="103"/>
      <c r="L985" s="103"/>
      <c r="M985" s="103"/>
      <c r="N985" s="103"/>
      <c r="O985" s="103"/>
      <c r="P985" s="103"/>
      <c r="Q985" s="103"/>
      <c r="R985" s="103"/>
      <c r="S985" s="103"/>
    </row>
    <row r="986" spans="1:19" x14ac:dyDescent="0.25">
      <c r="B986" s="99" t="s">
        <v>108</v>
      </c>
      <c r="C986" s="100">
        <v>1</v>
      </c>
      <c r="D986" s="103">
        <f>$C986*VLOOKUP($B986,FoodDB!$A$2:$I$1018,3,0)</f>
        <v>0</v>
      </c>
      <c r="E986" s="103">
        <f>$C986*VLOOKUP($B986,FoodDB!$A$2:$I$1018,4,0)</f>
        <v>0</v>
      </c>
      <c r="F986" s="103">
        <f>$C986*VLOOKUP($B986,FoodDB!$A$2:$I$1018,5,0)</f>
        <v>0</v>
      </c>
      <c r="G986" s="103">
        <f>$C986*VLOOKUP($B986,FoodDB!$A$2:$I$1018,6,0)</f>
        <v>0</v>
      </c>
      <c r="H986" s="103">
        <f>$C986*VLOOKUP($B986,FoodDB!$A$2:$I$1018,7,0)</f>
        <v>0</v>
      </c>
      <c r="I986" s="103">
        <f>$C986*VLOOKUP($B986,FoodDB!$A$2:$I$1018,8,0)</f>
        <v>0</v>
      </c>
      <c r="J986" s="103">
        <f>$C986*VLOOKUP($B986,FoodDB!$A$2:$I$1018,9,0)</f>
        <v>0</v>
      </c>
      <c r="K986" s="103"/>
      <c r="L986" s="103"/>
      <c r="M986" s="103"/>
      <c r="N986" s="103"/>
      <c r="O986" s="103"/>
      <c r="P986" s="103"/>
      <c r="Q986" s="103"/>
      <c r="R986" s="103"/>
      <c r="S986" s="103"/>
    </row>
    <row r="987" spans="1:19" x14ac:dyDescent="0.25">
      <c r="B987" s="99" t="s">
        <v>108</v>
      </c>
      <c r="C987" s="100">
        <v>1</v>
      </c>
      <c r="D987" s="103">
        <f>$C987*VLOOKUP($B987,FoodDB!$A$2:$I$1018,3,0)</f>
        <v>0</v>
      </c>
      <c r="E987" s="103">
        <f>$C987*VLOOKUP($B987,FoodDB!$A$2:$I$1018,4,0)</f>
        <v>0</v>
      </c>
      <c r="F987" s="103">
        <f>$C987*VLOOKUP($B987,FoodDB!$A$2:$I$1018,5,0)</f>
        <v>0</v>
      </c>
      <c r="G987" s="103">
        <f>$C987*VLOOKUP($B987,FoodDB!$A$2:$I$1018,6,0)</f>
        <v>0</v>
      </c>
      <c r="H987" s="103">
        <f>$C987*VLOOKUP($B987,FoodDB!$A$2:$I$1018,7,0)</f>
        <v>0</v>
      </c>
      <c r="I987" s="103">
        <f>$C987*VLOOKUP($B987,FoodDB!$A$2:$I$1018,8,0)</f>
        <v>0</v>
      </c>
      <c r="J987" s="103">
        <f>$C987*VLOOKUP($B987,FoodDB!$A$2:$I$1018,9,0)</f>
        <v>0</v>
      </c>
      <c r="K987" s="103"/>
      <c r="L987" s="103"/>
      <c r="M987" s="103"/>
      <c r="N987" s="103"/>
      <c r="O987" s="103"/>
      <c r="P987" s="103"/>
      <c r="Q987" s="103"/>
      <c r="R987" s="103"/>
      <c r="S987" s="103"/>
    </row>
    <row r="988" spans="1:19" x14ac:dyDescent="0.25">
      <c r="B988" s="99" t="s">
        <v>108</v>
      </c>
      <c r="C988" s="100">
        <v>1</v>
      </c>
      <c r="D988" s="103">
        <f>$C988*VLOOKUP($B988,FoodDB!$A$2:$I$1018,3,0)</f>
        <v>0</v>
      </c>
      <c r="E988" s="103">
        <f>$C988*VLOOKUP($B988,FoodDB!$A$2:$I$1018,4,0)</f>
        <v>0</v>
      </c>
      <c r="F988" s="103">
        <f>$C988*VLOOKUP($B988,FoodDB!$A$2:$I$1018,5,0)</f>
        <v>0</v>
      </c>
      <c r="G988" s="103">
        <f>$C988*VLOOKUP($B988,FoodDB!$A$2:$I$1018,6,0)</f>
        <v>0</v>
      </c>
      <c r="H988" s="103">
        <f>$C988*VLOOKUP($B988,FoodDB!$A$2:$I$1018,7,0)</f>
        <v>0</v>
      </c>
      <c r="I988" s="103">
        <f>$C988*VLOOKUP($B988,FoodDB!$A$2:$I$1018,8,0)</f>
        <v>0</v>
      </c>
      <c r="J988" s="103">
        <f>$C988*VLOOKUP($B988,FoodDB!$A$2:$I$1018,9,0)</f>
        <v>0</v>
      </c>
      <c r="K988" s="103"/>
      <c r="L988" s="103"/>
      <c r="M988" s="103"/>
      <c r="N988" s="103"/>
      <c r="O988" s="103"/>
      <c r="P988" s="103"/>
      <c r="Q988" s="103"/>
      <c r="R988" s="103"/>
      <c r="S988" s="103"/>
    </row>
    <row r="989" spans="1:19" x14ac:dyDescent="0.25">
      <c r="A989" t="s">
        <v>98</v>
      </c>
      <c r="D989" s="103"/>
      <c r="E989" s="103"/>
      <c r="F989" s="103"/>
      <c r="G989" s="103">
        <f>SUM(G982:G988)</f>
        <v>0</v>
      </c>
      <c r="H989" s="103">
        <f>SUM(H982:H988)</f>
        <v>0</v>
      </c>
      <c r="I989" s="103">
        <f>SUM(I982:I988)</f>
        <v>0</v>
      </c>
      <c r="J989" s="103">
        <f>SUM(G989:I989)</f>
        <v>0</v>
      </c>
      <c r="K989" s="103"/>
      <c r="L989" s="103"/>
      <c r="M989" s="103"/>
      <c r="N989" s="103"/>
      <c r="O989" s="103"/>
      <c r="P989" s="103"/>
      <c r="Q989" s="103"/>
      <c r="R989" s="103"/>
      <c r="S989" s="103"/>
    </row>
    <row r="990" spans="1:19" x14ac:dyDescent="0.25">
      <c r="A990" t="s">
        <v>102</v>
      </c>
      <c r="B990" t="s">
        <v>103</v>
      </c>
      <c r="D990" s="103"/>
      <c r="E990" s="103"/>
      <c r="F990" s="103"/>
      <c r="G990" s="103">
        <f>VLOOKUP($A982,LossChart!$A$3:$AB$105,14,0)</f>
        <v>803.03777641797024</v>
      </c>
      <c r="H990" s="103">
        <f>VLOOKUP($A982,LossChart!$A$3:$AB$105,15,0)</f>
        <v>80</v>
      </c>
      <c r="I990" s="103">
        <f>VLOOKUP($A982,LossChart!$A$3:$AB$105,16,0)</f>
        <v>477.30407413615825</v>
      </c>
      <c r="J990" s="103">
        <f>VLOOKUP($A982,LossChart!$A$3:$AB$105,17,0)</f>
        <v>1360.3418505541285</v>
      </c>
      <c r="K990" s="103"/>
      <c r="L990" s="103"/>
      <c r="M990" s="103"/>
      <c r="N990" s="103"/>
      <c r="O990" s="103"/>
      <c r="P990" s="103"/>
      <c r="Q990" s="103"/>
      <c r="R990" s="103"/>
      <c r="S990" s="103"/>
    </row>
    <row r="991" spans="1:19" x14ac:dyDescent="0.25">
      <c r="A991" t="s">
        <v>104</v>
      </c>
      <c r="D991" s="103"/>
      <c r="E991" s="103"/>
      <c r="F991" s="103"/>
      <c r="G991" s="103">
        <f>G990-G989</f>
        <v>803.03777641797024</v>
      </c>
      <c r="H991" s="103">
        <f>H990-H989</f>
        <v>80</v>
      </c>
      <c r="I991" s="103">
        <f>I990-I989</f>
        <v>477.30407413615825</v>
      </c>
      <c r="J991" s="103">
        <f>J990-J989</f>
        <v>1360.3418505541285</v>
      </c>
      <c r="K991" s="103"/>
      <c r="L991" s="103"/>
      <c r="M991" s="103"/>
      <c r="N991" s="103"/>
      <c r="O991" s="103"/>
      <c r="P991" s="103"/>
      <c r="Q991" s="103"/>
      <c r="R991" s="103"/>
      <c r="S991" s="103"/>
    </row>
    <row r="993" spans="1:19" ht="60" x14ac:dyDescent="0.25">
      <c r="A993" s="26" t="s">
        <v>63</v>
      </c>
      <c r="B993" s="26" t="s">
        <v>93</v>
      </c>
      <c r="C993" s="26" t="s">
        <v>94</v>
      </c>
      <c r="D993" s="97" t="str">
        <f>FoodDB!$C$1</f>
        <v>Fat
(g)</v>
      </c>
      <c r="E993" s="97" t="str">
        <f>FoodDB!$D$1</f>
        <v xml:space="preserve"> Carbs
(g)</v>
      </c>
      <c r="F993" s="97" t="str">
        <f>FoodDB!$E$1</f>
        <v>Protein
(g)</v>
      </c>
      <c r="G993" s="97" t="str">
        <f>FoodDB!$F$1</f>
        <v>Fat
(Cal)</v>
      </c>
      <c r="H993" s="97" t="str">
        <f>FoodDB!$G$1</f>
        <v>Carb
(Cal)</v>
      </c>
      <c r="I993" s="97" t="str">
        <f>FoodDB!$H$1</f>
        <v>Protein
(Cal)</v>
      </c>
      <c r="J993" s="97" t="str">
        <f>FoodDB!$I$1</f>
        <v>Total
Calories</v>
      </c>
      <c r="K993" s="97"/>
      <c r="L993" s="97" t="s">
        <v>110</v>
      </c>
      <c r="M993" s="97" t="s">
        <v>111</v>
      </c>
      <c r="N993" s="97" t="s">
        <v>112</v>
      </c>
      <c r="O993" s="97" t="s">
        <v>113</v>
      </c>
      <c r="P993" s="97" t="s">
        <v>118</v>
      </c>
      <c r="Q993" s="97" t="s">
        <v>119</v>
      </c>
      <c r="R993" s="97" t="s">
        <v>120</v>
      </c>
      <c r="S993" s="97" t="s">
        <v>121</v>
      </c>
    </row>
    <row r="994" spans="1:19" x14ac:dyDescent="0.25">
      <c r="A994" s="98">
        <f>A982+1</f>
        <v>43076</v>
      </c>
      <c r="B994" s="99" t="s">
        <v>108</v>
      </c>
      <c r="C994" s="100">
        <v>1</v>
      </c>
      <c r="D994" s="103">
        <f>$C994*VLOOKUP($B994,FoodDB!$A$2:$I$1018,3,0)</f>
        <v>0</v>
      </c>
      <c r="E994" s="103">
        <f>$C994*VLOOKUP($B994,FoodDB!$A$2:$I$1018,4,0)</f>
        <v>0</v>
      </c>
      <c r="F994" s="103">
        <f>$C994*VLOOKUP($B994,FoodDB!$A$2:$I$1018,5,0)</f>
        <v>0</v>
      </c>
      <c r="G994" s="103">
        <f>$C994*VLOOKUP($B994,FoodDB!$A$2:$I$1018,6,0)</f>
        <v>0</v>
      </c>
      <c r="H994" s="103">
        <f>$C994*VLOOKUP($B994,FoodDB!$A$2:$I$1018,7,0)</f>
        <v>0</v>
      </c>
      <c r="I994" s="103">
        <f>$C994*VLOOKUP($B994,FoodDB!$A$2:$I$1018,8,0)</f>
        <v>0</v>
      </c>
      <c r="J994" s="103">
        <f>$C994*VLOOKUP($B994,FoodDB!$A$2:$I$1018,9,0)</f>
        <v>0</v>
      </c>
      <c r="K994" s="103"/>
      <c r="L994" s="103">
        <f>SUM(G994:G1000)</f>
        <v>0</v>
      </c>
      <c r="M994" s="103">
        <f>SUM(H994:H1000)</f>
        <v>0</v>
      </c>
      <c r="N994" s="103">
        <f>SUM(I994:I1000)</f>
        <v>0</v>
      </c>
      <c r="O994" s="103">
        <f>SUM(L994:N994)</f>
        <v>0</v>
      </c>
      <c r="P994" s="103">
        <f>VLOOKUP($A994,LossChart!$A$3:$AB$105,14,0)-L994</f>
        <v>803.42760360748252</v>
      </c>
      <c r="Q994" s="103">
        <f>VLOOKUP($A994,LossChart!$A$3:$AB$105,15,0)-M994</f>
        <v>84</v>
      </c>
      <c r="R994" s="103">
        <f>VLOOKUP($A994,LossChart!$A$3:$AB$105,16,0)-N994</f>
        <v>477.30407413615825</v>
      </c>
      <c r="S994" s="103">
        <f>VLOOKUP($A994,LossChart!$A$3:$AB$105,17,0)-O994</f>
        <v>1364.7316777436408</v>
      </c>
    </row>
    <row r="995" spans="1:19" x14ac:dyDescent="0.25">
      <c r="B995" s="99" t="s">
        <v>108</v>
      </c>
      <c r="C995" s="100">
        <v>1</v>
      </c>
      <c r="D995" s="103">
        <f>$C995*VLOOKUP($B995,FoodDB!$A$2:$I$1018,3,0)</f>
        <v>0</v>
      </c>
      <c r="E995" s="103">
        <f>$C995*VLOOKUP($B995,FoodDB!$A$2:$I$1018,4,0)</f>
        <v>0</v>
      </c>
      <c r="F995" s="103">
        <f>$C995*VLOOKUP($B995,FoodDB!$A$2:$I$1018,5,0)</f>
        <v>0</v>
      </c>
      <c r="G995" s="103">
        <f>$C995*VLOOKUP($B995,FoodDB!$A$2:$I$1018,6,0)</f>
        <v>0</v>
      </c>
      <c r="H995" s="103">
        <f>$C995*VLOOKUP($B995,FoodDB!$A$2:$I$1018,7,0)</f>
        <v>0</v>
      </c>
      <c r="I995" s="103">
        <f>$C995*VLOOKUP($B995,FoodDB!$A$2:$I$1018,8,0)</f>
        <v>0</v>
      </c>
      <c r="J995" s="103">
        <f>$C995*VLOOKUP($B995,FoodDB!$A$2:$I$1018,9,0)</f>
        <v>0</v>
      </c>
      <c r="K995" s="103"/>
      <c r="L995" s="103"/>
      <c r="M995" s="103"/>
      <c r="N995" s="103"/>
      <c r="O995" s="103"/>
      <c r="P995" s="103"/>
      <c r="Q995" s="103"/>
      <c r="R995" s="103"/>
      <c r="S995" s="103"/>
    </row>
    <row r="996" spans="1:19" x14ac:dyDescent="0.25">
      <c r="B996" s="99" t="s">
        <v>108</v>
      </c>
      <c r="C996" s="100">
        <v>1</v>
      </c>
      <c r="D996" s="103">
        <f>$C996*VLOOKUP($B996,FoodDB!$A$2:$I$1018,3,0)</f>
        <v>0</v>
      </c>
      <c r="E996" s="103">
        <f>$C996*VLOOKUP($B996,FoodDB!$A$2:$I$1018,4,0)</f>
        <v>0</v>
      </c>
      <c r="F996" s="103">
        <f>$C996*VLOOKUP($B996,FoodDB!$A$2:$I$1018,5,0)</f>
        <v>0</v>
      </c>
      <c r="G996" s="103">
        <f>$C996*VLOOKUP($B996,FoodDB!$A$2:$I$1018,6,0)</f>
        <v>0</v>
      </c>
      <c r="H996" s="103">
        <f>$C996*VLOOKUP($B996,FoodDB!$A$2:$I$1018,7,0)</f>
        <v>0</v>
      </c>
      <c r="I996" s="103">
        <f>$C996*VLOOKUP($B996,FoodDB!$A$2:$I$1018,8,0)</f>
        <v>0</v>
      </c>
      <c r="J996" s="103">
        <f>$C996*VLOOKUP($B996,FoodDB!$A$2:$I$1018,9,0)</f>
        <v>0</v>
      </c>
      <c r="K996" s="103"/>
      <c r="L996" s="103"/>
      <c r="M996" s="103"/>
      <c r="N996" s="103"/>
      <c r="O996" s="103"/>
      <c r="P996" s="103"/>
      <c r="Q996" s="103"/>
      <c r="R996" s="103"/>
      <c r="S996" s="103"/>
    </row>
    <row r="997" spans="1:19" x14ac:dyDescent="0.25">
      <c r="B997" s="99" t="s">
        <v>108</v>
      </c>
      <c r="C997" s="100">
        <v>1</v>
      </c>
      <c r="D997" s="103">
        <f>$C997*VLOOKUP($B997,FoodDB!$A$2:$I$1018,3,0)</f>
        <v>0</v>
      </c>
      <c r="E997" s="103">
        <f>$C997*VLOOKUP($B997,FoodDB!$A$2:$I$1018,4,0)</f>
        <v>0</v>
      </c>
      <c r="F997" s="103">
        <f>$C997*VLOOKUP($B997,FoodDB!$A$2:$I$1018,5,0)</f>
        <v>0</v>
      </c>
      <c r="G997" s="103">
        <f>$C997*VLOOKUP($B997,FoodDB!$A$2:$I$1018,6,0)</f>
        <v>0</v>
      </c>
      <c r="H997" s="103">
        <f>$C997*VLOOKUP($B997,FoodDB!$A$2:$I$1018,7,0)</f>
        <v>0</v>
      </c>
      <c r="I997" s="103">
        <f>$C997*VLOOKUP($B997,FoodDB!$A$2:$I$1018,8,0)</f>
        <v>0</v>
      </c>
      <c r="J997" s="103">
        <f>$C997*VLOOKUP($B997,FoodDB!$A$2:$I$1018,9,0)</f>
        <v>0</v>
      </c>
      <c r="K997" s="103"/>
      <c r="L997" s="103"/>
      <c r="M997" s="103"/>
      <c r="N997" s="103"/>
      <c r="O997" s="103"/>
      <c r="P997" s="103"/>
      <c r="Q997" s="103"/>
      <c r="R997" s="103"/>
      <c r="S997" s="103"/>
    </row>
    <row r="998" spans="1:19" x14ac:dyDescent="0.25">
      <c r="B998" s="99" t="s">
        <v>108</v>
      </c>
      <c r="C998" s="100">
        <v>1</v>
      </c>
      <c r="D998" s="103">
        <f>$C998*VLOOKUP($B998,FoodDB!$A$2:$I$1018,3,0)</f>
        <v>0</v>
      </c>
      <c r="E998" s="103">
        <f>$C998*VLOOKUP($B998,FoodDB!$A$2:$I$1018,4,0)</f>
        <v>0</v>
      </c>
      <c r="F998" s="103">
        <f>$C998*VLOOKUP($B998,FoodDB!$A$2:$I$1018,5,0)</f>
        <v>0</v>
      </c>
      <c r="G998" s="103">
        <f>$C998*VLOOKUP($B998,FoodDB!$A$2:$I$1018,6,0)</f>
        <v>0</v>
      </c>
      <c r="H998" s="103">
        <f>$C998*VLOOKUP($B998,FoodDB!$A$2:$I$1018,7,0)</f>
        <v>0</v>
      </c>
      <c r="I998" s="103">
        <f>$C998*VLOOKUP($B998,FoodDB!$A$2:$I$1018,8,0)</f>
        <v>0</v>
      </c>
      <c r="J998" s="103">
        <f>$C998*VLOOKUP($B998,FoodDB!$A$2:$I$1018,9,0)</f>
        <v>0</v>
      </c>
      <c r="K998" s="103"/>
      <c r="L998" s="103"/>
      <c r="M998" s="103"/>
      <c r="N998" s="103"/>
      <c r="O998" s="103"/>
      <c r="P998" s="103"/>
      <c r="Q998" s="103"/>
      <c r="R998" s="103"/>
      <c r="S998" s="103"/>
    </row>
    <row r="999" spans="1:19" x14ac:dyDescent="0.25">
      <c r="B999" s="99" t="s">
        <v>108</v>
      </c>
      <c r="C999" s="100">
        <v>1</v>
      </c>
      <c r="D999" s="103">
        <f>$C999*VLOOKUP($B999,FoodDB!$A$2:$I$1018,3,0)</f>
        <v>0</v>
      </c>
      <c r="E999" s="103">
        <f>$C999*VLOOKUP($B999,FoodDB!$A$2:$I$1018,4,0)</f>
        <v>0</v>
      </c>
      <c r="F999" s="103">
        <f>$C999*VLOOKUP($B999,FoodDB!$A$2:$I$1018,5,0)</f>
        <v>0</v>
      </c>
      <c r="G999" s="103">
        <f>$C999*VLOOKUP($B999,FoodDB!$A$2:$I$1018,6,0)</f>
        <v>0</v>
      </c>
      <c r="H999" s="103">
        <f>$C999*VLOOKUP($B999,FoodDB!$A$2:$I$1018,7,0)</f>
        <v>0</v>
      </c>
      <c r="I999" s="103">
        <f>$C999*VLOOKUP($B999,FoodDB!$A$2:$I$1018,8,0)</f>
        <v>0</v>
      </c>
      <c r="J999" s="103">
        <f>$C999*VLOOKUP($B999,FoodDB!$A$2:$I$1018,9,0)</f>
        <v>0</v>
      </c>
      <c r="K999" s="103"/>
      <c r="L999" s="103"/>
      <c r="M999" s="103"/>
      <c r="N999" s="103"/>
      <c r="O999" s="103"/>
      <c r="P999" s="103"/>
      <c r="Q999" s="103"/>
      <c r="R999" s="103"/>
      <c r="S999" s="103"/>
    </row>
    <row r="1000" spans="1:19" x14ac:dyDescent="0.25">
      <c r="B1000" s="99" t="s">
        <v>108</v>
      </c>
      <c r="C1000" s="100">
        <v>1</v>
      </c>
      <c r="D1000" s="103">
        <f>$C1000*VLOOKUP($B1000,FoodDB!$A$2:$I$1018,3,0)</f>
        <v>0</v>
      </c>
      <c r="E1000" s="103">
        <f>$C1000*VLOOKUP($B1000,FoodDB!$A$2:$I$1018,4,0)</f>
        <v>0</v>
      </c>
      <c r="F1000" s="103">
        <f>$C1000*VLOOKUP($B1000,FoodDB!$A$2:$I$1018,5,0)</f>
        <v>0</v>
      </c>
      <c r="G1000" s="103">
        <f>$C1000*VLOOKUP($B1000,FoodDB!$A$2:$I$1018,6,0)</f>
        <v>0</v>
      </c>
      <c r="H1000" s="103">
        <f>$C1000*VLOOKUP($B1000,FoodDB!$A$2:$I$1018,7,0)</f>
        <v>0</v>
      </c>
      <c r="I1000" s="103">
        <f>$C1000*VLOOKUP($B1000,FoodDB!$A$2:$I$1018,8,0)</f>
        <v>0</v>
      </c>
      <c r="J1000" s="103">
        <f>$C1000*VLOOKUP($B1000,FoodDB!$A$2:$I$1018,9,0)</f>
        <v>0</v>
      </c>
      <c r="K1000" s="103"/>
      <c r="L1000" s="103"/>
      <c r="M1000" s="103"/>
      <c r="N1000" s="103"/>
      <c r="O1000" s="103"/>
      <c r="P1000" s="103"/>
      <c r="Q1000" s="103"/>
      <c r="R1000" s="103"/>
      <c r="S1000" s="103"/>
    </row>
    <row r="1001" spans="1:19" x14ac:dyDescent="0.25">
      <c r="A1001" t="s">
        <v>98</v>
      </c>
      <c r="D1001" s="103"/>
      <c r="E1001" s="103"/>
      <c r="F1001" s="103"/>
      <c r="G1001" s="103">
        <f>SUM(G994:G1000)</f>
        <v>0</v>
      </c>
      <c r="H1001" s="103">
        <f>SUM(H994:H1000)</f>
        <v>0</v>
      </c>
      <c r="I1001" s="103">
        <f>SUM(I994:I1000)</f>
        <v>0</v>
      </c>
      <c r="J1001" s="103">
        <f>SUM(G1001:I1001)</f>
        <v>0</v>
      </c>
      <c r="K1001" s="103"/>
      <c r="L1001" s="103"/>
      <c r="M1001" s="103"/>
      <c r="N1001" s="103"/>
      <c r="O1001" s="103"/>
      <c r="P1001" s="103"/>
      <c r="Q1001" s="103"/>
      <c r="R1001" s="103"/>
      <c r="S1001" s="103"/>
    </row>
    <row r="1002" spans="1:19" x14ac:dyDescent="0.25">
      <c r="A1002" t="s">
        <v>102</v>
      </c>
      <c r="B1002" t="s">
        <v>103</v>
      </c>
      <c r="D1002" s="103"/>
      <c r="E1002" s="103"/>
      <c r="F1002" s="103"/>
      <c r="G1002" s="103">
        <f>VLOOKUP($A994,LossChart!$A$3:$AB$105,14,0)</f>
        <v>803.42760360748252</v>
      </c>
      <c r="H1002" s="103">
        <f>VLOOKUP($A994,LossChart!$A$3:$AB$105,15,0)</f>
        <v>84</v>
      </c>
      <c r="I1002" s="103">
        <f>VLOOKUP($A994,LossChart!$A$3:$AB$105,16,0)</f>
        <v>477.30407413615825</v>
      </c>
      <c r="J1002" s="103">
        <f>VLOOKUP($A994,LossChart!$A$3:$AB$105,17,0)</f>
        <v>1364.7316777436408</v>
      </c>
      <c r="K1002" s="103"/>
      <c r="L1002" s="103"/>
      <c r="M1002" s="103"/>
      <c r="N1002" s="103"/>
      <c r="O1002" s="103"/>
      <c r="P1002" s="103"/>
      <c r="Q1002" s="103"/>
      <c r="R1002" s="103"/>
      <c r="S1002" s="103"/>
    </row>
    <row r="1003" spans="1:19" x14ac:dyDescent="0.25">
      <c r="A1003" t="s">
        <v>104</v>
      </c>
      <c r="D1003" s="103"/>
      <c r="E1003" s="103"/>
      <c r="F1003" s="103"/>
      <c r="G1003" s="103">
        <f>G1002-G1001</f>
        <v>803.42760360748252</v>
      </c>
      <c r="H1003" s="103">
        <f>H1002-H1001</f>
        <v>84</v>
      </c>
      <c r="I1003" s="103">
        <f>I1002-I1001</f>
        <v>477.30407413615825</v>
      </c>
      <c r="J1003" s="103">
        <f>J1002-J1001</f>
        <v>1364.7316777436408</v>
      </c>
      <c r="K1003" s="103"/>
      <c r="L1003" s="103"/>
      <c r="M1003" s="103"/>
      <c r="N1003" s="103"/>
      <c r="O1003" s="103"/>
      <c r="P1003" s="103"/>
      <c r="Q1003" s="103"/>
      <c r="R1003" s="103"/>
      <c r="S1003" s="103"/>
    </row>
    <row r="1005" spans="1:19" ht="60" x14ac:dyDescent="0.25">
      <c r="A1005" s="26" t="s">
        <v>63</v>
      </c>
      <c r="B1005" s="26" t="s">
        <v>93</v>
      </c>
      <c r="C1005" s="26" t="s">
        <v>94</v>
      </c>
      <c r="D1005" s="97" t="str">
        <f>FoodDB!$C$1</f>
        <v>Fat
(g)</v>
      </c>
      <c r="E1005" s="97" t="str">
        <f>FoodDB!$D$1</f>
        <v xml:space="preserve"> Carbs
(g)</v>
      </c>
      <c r="F1005" s="97" t="str">
        <f>FoodDB!$E$1</f>
        <v>Protein
(g)</v>
      </c>
      <c r="G1005" s="97" t="str">
        <f>FoodDB!$F$1</f>
        <v>Fat
(Cal)</v>
      </c>
      <c r="H1005" s="97" t="str">
        <f>FoodDB!$G$1</f>
        <v>Carb
(Cal)</v>
      </c>
      <c r="I1005" s="97" t="str">
        <f>FoodDB!$H$1</f>
        <v>Protein
(Cal)</v>
      </c>
      <c r="J1005" s="97" t="str">
        <f>FoodDB!$I$1</f>
        <v>Total
Calories</v>
      </c>
      <c r="K1005" s="97"/>
      <c r="L1005" s="97" t="s">
        <v>110</v>
      </c>
      <c r="M1005" s="97" t="s">
        <v>111</v>
      </c>
      <c r="N1005" s="97" t="s">
        <v>112</v>
      </c>
      <c r="O1005" s="97" t="s">
        <v>113</v>
      </c>
      <c r="P1005" s="97" t="s">
        <v>118</v>
      </c>
      <c r="Q1005" s="97" t="s">
        <v>119</v>
      </c>
      <c r="R1005" s="97" t="s">
        <v>120</v>
      </c>
      <c r="S1005" s="97" t="s">
        <v>121</v>
      </c>
    </row>
    <row r="1006" spans="1:19" x14ac:dyDescent="0.25">
      <c r="A1006" s="98">
        <f>A994+1</f>
        <v>43077</v>
      </c>
      <c r="B1006" s="99" t="s">
        <v>108</v>
      </c>
      <c r="C1006" s="100">
        <v>1</v>
      </c>
      <c r="D1006" s="103">
        <f>$C1006*VLOOKUP($B1006,FoodDB!$A$2:$I$1018,3,0)</f>
        <v>0</v>
      </c>
      <c r="E1006" s="103">
        <f>$C1006*VLOOKUP($B1006,FoodDB!$A$2:$I$1018,4,0)</f>
        <v>0</v>
      </c>
      <c r="F1006" s="103">
        <f>$C1006*VLOOKUP($B1006,FoodDB!$A$2:$I$1018,5,0)</f>
        <v>0</v>
      </c>
      <c r="G1006" s="103">
        <f>$C1006*VLOOKUP($B1006,FoodDB!$A$2:$I$1018,6,0)</f>
        <v>0</v>
      </c>
      <c r="H1006" s="103">
        <f>$C1006*VLOOKUP($B1006,FoodDB!$A$2:$I$1018,7,0)</f>
        <v>0</v>
      </c>
      <c r="I1006" s="103">
        <f>$C1006*VLOOKUP($B1006,FoodDB!$A$2:$I$1018,8,0)</f>
        <v>0</v>
      </c>
      <c r="J1006" s="103">
        <f>$C1006*VLOOKUP($B1006,FoodDB!$A$2:$I$1018,9,0)</f>
        <v>0</v>
      </c>
      <c r="K1006" s="103"/>
      <c r="L1006" s="103">
        <f>SUM(G1006:G1012)</f>
        <v>0</v>
      </c>
      <c r="M1006" s="103">
        <f>SUM(H1006:H1012)</f>
        <v>0</v>
      </c>
      <c r="N1006" s="103">
        <f>SUM(I1006:I1012)</f>
        <v>0</v>
      </c>
      <c r="O1006" s="103">
        <f>SUM(L1006:N1006)</f>
        <v>0</v>
      </c>
      <c r="P1006" s="103">
        <f>VLOOKUP($A1006,LossChart!$A$3:$AB$105,14,0)-L1006</f>
        <v>803.77854947045921</v>
      </c>
      <c r="Q1006" s="103">
        <f>VLOOKUP($A1006,LossChart!$A$3:$AB$105,15,0)-M1006</f>
        <v>88</v>
      </c>
      <c r="R1006" s="103">
        <f>VLOOKUP($A1006,LossChart!$A$3:$AB$105,16,0)-N1006</f>
        <v>477.30407413615825</v>
      </c>
      <c r="S1006" s="103">
        <f>VLOOKUP($A1006,LossChart!$A$3:$AB$105,17,0)-O1006</f>
        <v>1369.0826236066175</v>
      </c>
    </row>
    <row r="1007" spans="1:19" x14ac:dyDescent="0.25">
      <c r="B1007" s="99" t="s">
        <v>108</v>
      </c>
      <c r="C1007" s="100">
        <v>1</v>
      </c>
      <c r="D1007" s="103">
        <f>$C1007*VLOOKUP($B1007,FoodDB!$A$2:$I$1018,3,0)</f>
        <v>0</v>
      </c>
      <c r="E1007" s="103">
        <f>$C1007*VLOOKUP($B1007,FoodDB!$A$2:$I$1018,4,0)</f>
        <v>0</v>
      </c>
      <c r="F1007" s="103">
        <f>$C1007*VLOOKUP($B1007,FoodDB!$A$2:$I$1018,5,0)</f>
        <v>0</v>
      </c>
      <c r="G1007" s="103">
        <f>$C1007*VLOOKUP($B1007,FoodDB!$A$2:$I$1018,6,0)</f>
        <v>0</v>
      </c>
      <c r="H1007" s="103">
        <f>$C1007*VLOOKUP($B1007,FoodDB!$A$2:$I$1018,7,0)</f>
        <v>0</v>
      </c>
      <c r="I1007" s="103">
        <f>$C1007*VLOOKUP($B1007,FoodDB!$A$2:$I$1018,8,0)</f>
        <v>0</v>
      </c>
      <c r="J1007" s="103">
        <f>$C1007*VLOOKUP($B1007,FoodDB!$A$2:$I$1018,9,0)</f>
        <v>0</v>
      </c>
      <c r="K1007" s="103"/>
      <c r="L1007" s="103"/>
      <c r="M1007" s="103"/>
      <c r="N1007" s="103"/>
      <c r="O1007" s="103"/>
      <c r="P1007" s="103"/>
      <c r="Q1007" s="103"/>
      <c r="R1007" s="103"/>
      <c r="S1007" s="103"/>
    </row>
    <row r="1008" spans="1:19" x14ac:dyDescent="0.25">
      <c r="B1008" s="99" t="s">
        <v>108</v>
      </c>
      <c r="C1008" s="100">
        <v>1</v>
      </c>
      <c r="D1008" s="103">
        <f>$C1008*VLOOKUP($B1008,FoodDB!$A$2:$I$1018,3,0)</f>
        <v>0</v>
      </c>
      <c r="E1008" s="103">
        <f>$C1008*VLOOKUP($B1008,FoodDB!$A$2:$I$1018,4,0)</f>
        <v>0</v>
      </c>
      <c r="F1008" s="103">
        <f>$C1008*VLOOKUP($B1008,FoodDB!$A$2:$I$1018,5,0)</f>
        <v>0</v>
      </c>
      <c r="G1008" s="103">
        <f>$C1008*VLOOKUP($B1008,FoodDB!$A$2:$I$1018,6,0)</f>
        <v>0</v>
      </c>
      <c r="H1008" s="103">
        <f>$C1008*VLOOKUP($B1008,FoodDB!$A$2:$I$1018,7,0)</f>
        <v>0</v>
      </c>
      <c r="I1008" s="103">
        <f>$C1008*VLOOKUP($B1008,FoodDB!$A$2:$I$1018,8,0)</f>
        <v>0</v>
      </c>
      <c r="J1008" s="103">
        <f>$C1008*VLOOKUP($B1008,FoodDB!$A$2:$I$1018,9,0)</f>
        <v>0</v>
      </c>
      <c r="K1008" s="103"/>
      <c r="L1008" s="103"/>
      <c r="M1008" s="103"/>
      <c r="N1008" s="103"/>
      <c r="O1008" s="103"/>
      <c r="P1008" s="103"/>
      <c r="Q1008" s="103"/>
      <c r="R1008" s="103"/>
      <c r="S1008" s="103"/>
    </row>
    <row r="1009" spans="1:19" x14ac:dyDescent="0.25">
      <c r="B1009" s="99" t="s">
        <v>108</v>
      </c>
      <c r="C1009" s="100">
        <v>1</v>
      </c>
      <c r="D1009" s="103">
        <f>$C1009*VLOOKUP($B1009,FoodDB!$A$2:$I$1018,3,0)</f>
        <v>0</v>
      </c>
      <c r="E1009" s="103">
        <f>$C1009*VLOOKUP($B1009,FoodDB!$A$2:$I$1018,4,0)</f>
        <v>0</v>
      </c>
      <c r="F1009" s="103">
        <f>$C1009*VLOOKUP($B1009,FoodDB!$A$2:$I$1018,5,0)</f>
        <v>0</v>
      </c>
      <c r="G1009" s="103">
        <f>$C1009*VLOOKUP($B1009,FoodDB!$A$2:$I$1018,6,0)</f>
        <v>0</v>
      </c>
      <c r="H1009" s="103">
        <f>$C1009*VLOOKUP($B1009,FoodDB!$A$2:$I$1018,7,0)</f>
        <v>0</v>
      </c>
      <c r="I1009" s="103">
        <f>$C1009*VLOOKUP($B1009,FoodDB!$A$2:$I$1018,8,0)</f>
        <v>0</v>
      </c>
      <c r="J1009" s="103">
        <f>$C1009*VLOOKUP($B1009,FoodDB!$A$2:$I$1018,9,0)</f>
        <v>0</v>
      </c>
      <c r="K1009" s="103"/>
      <c r="L1009" s="103"/>
      <c r="M1009" s="103"/>
      <c r="N1009" s="103"/>
      <c r="O1009" s="103"/>
      <c r="P1009" s="103"/>
      <c r="Q1009" s="103"/>
      <c r="R1009" s="103"/>
      <c r="S1009" s="103"/>
    </row>
    <row r="1010" spans="1:19" x14ac:dyDescent="0.25">
      <c r="B1010" s="99" t="s">
        <v>108</v>
      </c>
      <c r="C1010" s="100">
        <v>1</v>
      </c>
      <c r="D1010" s="103">
        <f>$C1010*VLOOKUP($B1010,FoodDB!$A$2:$I$1018,3,0)</f>
        <v>0</v>
      </c>
      <c r="E1010" s="103">
        <f>$C1010*VLOOKUP($B1010,FoodDB!$A$2:$I$1018,4,0)</f>
        <v>0</v>
      </c>
      <c r="F1010" s="103">
        <f>$C1010*VLOOKUP($B1010,FoodDB!$A$2:$I$1018,5,0)</f>
        <v>0</v>
      </c>
      <c r="G1010" s="103">
        <f>$C1010*VLOOKUP($B1010,FoodDB!$A$2:$I$1018,6,0)</f>
        <v>0</v>
      </c>
      <c r="H1010" s="103">
        <f>$C1010*VLOOKUP($B1010,FoodDB!$A$2:$I$1018,7,0)</f>
        <v>0</v>
      </c>
      <c r="I1010" s="103">
        <f>$C1010*VLOOKUP($B1010,FoodDB!$A$2:$I$1018,8,0)</f>
        <v>0</v>
      </c>
      <c r="J1010" s="103">
        <f>$C1010*VLOOKUP($B1010,FoodDB!$A$2:$I$1018,9,0)</f>
        <v>0</v>
      </c>
      <c r="K1010" s="103"/>
      <c r="L1010" s="103"/>
      <c r="M1010" s="103"/>
      <c r="N1010" s="103"/>
      <c r="O1010" s="103"/>
      <c r="P1010" s="103"/>
      <c r="Q1010" s="103"/>
      <c r="R1010" s="103"/>
      <c r="S1010" s="103"/>
    </row>
    <row r="1011" spans="1:19" x14ac:dyDescent="0.25">
      <c r="B1011" s="99" t="s">
        <v>108</v>
      </c>
      <c r="C1011" s="100">
        <v>1</v>
      </c>
      <c r="D1011" s="103">
        <f>$C1011*VLOOKUP($B1011,FoodDB!$A$2:$I$1018,3,0)</f>
        <v>0</v>
      </c>
      <c r="E1011" s="103">
        <f>$C1011*VLOOKUP($B1011,FoodDB!$A$2:$I$1018,4,0)</f>
        <v>0</v>
      </c>
      <c r="F1011" s="103">
        <f>$C1011*VLOOKUP($B1011,FoodDB!$A$2:$I$1018,5,0)</f>
        <v>0</v>
      </c>
      <c r="G1011" s="103">
        <f>$C1011*VLOOKUP($B1011,FoodDB!$A$2:$I$1018,6,0)</f>
        <v>0</v>
      </c>
      <c r="H1011" s="103">
        <f>$C1011*VLOOKUP($B1011,FoodDB!$A$2:$I$1018,7,0)</f>
        <v>0</v>
      </c>
      <c r="I1011" s="103">
        <f>$C1011*VLOOKUP($B1011,FoodDB!$A$2:$I$1018,8,0)</f>
        <v>0</v>
      </c>
      <c r="J1011" s="103">
        <f>$C1011*VLOOKUP($B1011,FoodDB!$A$2:$I$1018,9,0)</f>
        <v>0</v>
      </c>
      <c r="K1011" s="103"/>
      <c r="L1011" s="103"/>
      <c r="M1011" s="103"/>
      <c r="N1011" s="103"/>
      <c r="O1011" s="103"/>
      <c r="P1011" s="103"/>
      <c r="Q1011" s="103"/>
      <c r="R1011" s="103"/>
      <c r="S1011" s="103"/>
    </row>
    <row r="1012" spans="1:19" x14ac:dyDescent="0.25">
      <c r="B1012" s="99" t="s">
        <v>108</v>
      </c>
      <c r="C1012" s="100">
        <v>1</v>
      </c>
      <c r="D1012" s="103">
        <f>$C1012*VLOOKUP($B1012,FoodDB!$A$2:$I$1018,3,0)</f>
        <v>0</v>
      </c>
      <c r="E1012" s="103">
        <f>$C1012*VLOOKUP($B1012,FoodDB!$A$2:$I$1018,4,0)</f>
        <v>0</v>
      </c>
      <c r="F1012" s="103">
        <f>$C1012*VLOOKUP($B1012,FoodDB!$A$2:$I$1018,5,0)</f>
        <v>0</v>
      </c>
      <c r="G1012" s="103">
        <f>$C1012*VLOOKUP($B1012,FoodDB!$A$2:$I$1018,6,0)</f>
        <v>0</v>
      </c>
      <c r="H1012" s="103">
        <f>$C1012*VLOOKUP($B1012,FoodDB!$A$2:$I$1018,7,0)</f>
        <v>0</v>
      </c>
      <c r="I1012" s="103">
        <f>$C1012*VLOOKUP($B1012,FoodDB!$A$2:$I$1018,8,0)</f>
        <v>0</v>
      </c>
      <c r="J1012" s="103">
        <f>$C1012*VLOOKUP($B1012,FoodDB!$A$2:$I$1018,9,0)</f>
        <v>0</v>
      </c>
      <c r="K1012" s="103"/>
      <c r="L1012" s="103"/>
      <c r="M1012" s="103"/>
      <c r="N1012" s="103"/>
      <c r="O1012" s="103"/>
      <c r="P1012" s="103"/>
      <c r="Q1012" s="103"/>
      <c r="R1012" s="103"/>
      <c r="S1012" s="103"/>
    </row>
    <row r="1013" spans="1:19" x14ac:dyDescent="0.25">
      <c r="A1013" t="s">
        <v>98</v>
      </c>
      <c r="D1013" s="103"/>
      <c r="E1013" s="103"/>
      <c r="F1013" s="103"/>
      <c r="G1013" s="103">
        <f>SUM(G1006:G1012)</f>
        <v>0</v>
      </c>
      <c r="H1013" s="103">
        <f>SUM(H1006:H1012)</f>
        <v>0</v>
      </c>
      <c r="I1013" s="103">
        <f>SUM(I1006:I1012)</f>
        <v>0</v>
      </c>
      <c r="J1013" s="103">
        <f>SUM(G1013:I1013)</f>
        <v>0</v>
      </c>
      <c r="K1013" s="103"/>
      <c r="L1013" s="103"/>
      <c r="M1013" s="103"/>
      <c r="N1013" s="103"/>
      <c r="O1013" s="103"/>
      <c r="P1013" s="103"/>
      <c r="Q1013" s="103"/>
      <c r="R1013" s="103"/>
      <c r="S1013" s="103"/>
    </row>
    <row r="1014" spans="1:19" x14ac:dyDescent="0.25">
      <c r="A1014" t="s">
        <v>102</v>
      </c>
      <c r="B1014" t="s">
        <v>103</v>
      </c>
      <c r="D1014" s="103"/>
      <c r="E1014" s="103"/>
      <c r="F1014" s="103"/>
      <c r="G1014" s="103">
        <f>VLOOKUP($A1006,LossChart!$A$3:$AB$105,14,0)</f>
        <v>803.77854947045921</v>
      </c>
      <c r="H1014" s="103">
        <f>VLOOKUP($A1006,LossChart!$A$3:$AB$105,15,0)</f>
        <v>88</v>
      </c>
      <c r="I1014" s="103">
        <f>VLOOKUP($A1006,LossChart!$A$3:$AB$105,16,0)</f>
        <v>477.30407413615825</v>
      </c>
      <c r="J1014" s="103">
        <f>VLOOKUP($A1006,LossChart!$A$3:$AB$105,17,0)</f>
        <v>1369.0826236066175</v>
      </c>
      <c r="K1014" s="103"/>
      <c r="L1014" s="103"/>
      <c r="M1014" s="103"/>
      <c r="N1014" s="103"/>
      <c r="O1014" s="103"/>
      <c r="P1014" s="103"/>
      <c r="Q1014" s="103"/>
      <c r="R1014" s="103"/>
      <c r="S1014" s="103"/>
    </row>
    <row r="1015" spans="1:19" x14ac:dyDescent="0.25">
      <c r="A1015" t="s">
        <v>104</v>
      </c>
      <c r="D1015" s="103"/>
      <c r="E1015" s="103"/>
      <c r="F1015" s="103"/>
      <c r="G1015" s="103">
        <f>G1014-G1013</f>
        <v>803.77854947045921</v>
      </c>
      <c r="H1015" s="103">
        <f>H1014-H1013</f>
        <v>88</v>
      </c>
      <c r="I1015" s="103">
        <f>I1014-I1013</f>
        <v>477.30407413615825</v>
      </c>
      <c r="J1015" s="103">
        <f>J1014-J1013</f>
        <v>1369.0826236066175</v>
      </c>
      <c r="K1015" s="103"/>
      <c r="L1015" s="103"/>
      <c r="M1015" s="103"/>
      <c r="N1015" s="103"/>
      <c r="O1015" s="103"/>
      <c r="P1015" s="103"/>
      <c r="Q1015" s="103"/>
      <c r="R1015" s="103"/>
      <c r="S1015" s="103"/>
    </row>
    <row r="1017" spans="1:19" ht="60" x14ac:dyDescent="0.25">
      <c r="A1017" s="26" t="s">
        <v>63</v>
      </c>
      <c r="B1017" s="26" t="s">
        <v>93</v>
      </c>
      <c r="C1017" s="26" t="s">
        <v>94</v>
      </c>
      <c r="D1017" s="97" t="str">
        <f>FoodDB!$C$1</f>
        <v>Fat
(g)</v>
      </c>
      <c r="E1017" s="97" t="str">
        <f>FoodDB!$D$1</f>
        <v xml:space="preserve"> Carbs
(g)</v>
      </c>
      <c r="F1017" s="97" t="str">
        <f>FoodDB!$E$1</f>
        <v>Protein
(g)</v>
      </c>
      <c r="G1017" s="97" t="str">
        <f>FoodDB!$F$1</f>
        <v>Fat
(Cal)</v>
      </c>
      <c r="H1017" s="97" t="str">
        <f>FoodDB!$G$1</f>
        <v>Carb
(Cal)</v>
      </c>
      <c r="I1017" s="97" t="str">
        <f>FoodDB!$H$1</f>
        <v>Protein
(Cal)</v>
      </c>
      <c r="J1017" s="97" t="str">
        <f>FoodDB!$I$1</f>
        <v>Total
Calories</v>
      </c>
      <c r="K1017" s="97"/>
      <c r="L1017" s="97" t="s">
        <v>110</v>
      </c>
      <c r="M1017" s="97" t="s">
        <v>111</v>
      </c>
      <c r="N1017" s="97" t="s">
        <v>112</v>
      </c>
      <c r="O1017" s="97" t="s">
        <v>113</v>
      </c>
      <c r="P1017" s="97" t="s">
        <v>118</v>
      </c>
      <c r="Q1017" s="97" t="s">
        <v>119</v>
      </c>
      <c r="R1017" s="97" t="s">
        <v>120</v>
      </c>
      <c r="S1017" s="97" t="s">
        <v>121</v>
      </c>
    </row>
    <row r="1018" spans="1:19" x14ac:dyDescent="0.25">
      <c r="A1018" s="98">
        <f>A1006+1</f>
        <v>43078</v>
      </c>
      <c r="B1018" s="99" t="s">
        <v>108</v>
      </c>
      <c r="C1018" s="100">
        <v>1</v>
      </c>
      <c r="D1018" s="103">
        <f>$C1018*VLOOKUP($B1018,FoodDB!$A$2:$I$1018,3,0)</f>
        <v>0</v>
      </c>
      <c r="E1018" s="103">
        <f>$C1018*VLOOKUP($B1018,FoodDB!$A$2:$I$1018,4,0)</f>
        <v>0</v>
      </c>
      <c r="F1018" s="103">
        <f>$C1018*VLOOKUP($B1018,FoodDB!$A$2:$I$1018,5,0)</f>
        <v>0</v>
      </c>
      <c r="G1018" s="103">
        <f>$C1018*VLOOKUP($B1018,FoodDB!$A$2:$I$1018,6,0)</f>
        <v>0</v>
      </c>
      <c r="H1018" s="103">
        <f>$C1018*VLOOKUP($B1018,FoodDB!$A$2:$I$1018,7,0)</f>
        <v>0</v>
      </c>
      <c r="I1018" s="103">
        <f>$C1018*VLOOKUP($B1018,FoodDB!$A$2:$I$1018,8,0)</f>
        <v>0</v>
      </c>
      <c r="J1018" s="103">
        <f>$C1018*VLOOKUP($B1018,FoodDB!$A$2:$I$1018,9,0)</f>
        <v>0</v>
      </c>
      <c r="K1018" s="103"/>
      <c r="L1018" s="103">
        <f>SUM(G1018:G1024)</f>
        <v>0</v>
      </c>
      <c r="M1018" s="103">
        <f>SUM(H1018:H1024)</f>
        <v>0</v>
      </c>
      <c r="N1018" s="103">
        <f>SUM(I1018:I1024)</f>
        <v>0</v>
      </c>
      <c r="O1018" s="103">
        <f>SUM(L1018:N1018)</f>
        <v>0</v>
      </c>
      <c r="P1018" s="103">
        <f>VLOOKUP($A1018,LossChart!$A$3:$AB$105,14,0)-L1018</f>
        <v>804.0909583843636</v>
      </c>
      <c r="Q1018" s="103">
        <f>VLOOKUP($A1018,LossChart!$A$3:$AB$105,15,0)-M1018</f>
        <v>92</v>
      </c>
      <c r="R1018" s="103">
        <f>VLOOKUP($A1018,LossChart!$A$3:$AB$105,16,0)-N1018</f>
        <v>477.30407413615825</v>
      </c>
      <c r="S1018" s="103">
        <f>VLOOKUP($A1018,LossChart!$A$3:$AB$105,17,0)-O1018</f>
        <v>1373.3950325205219</v>
      </c>
    </row>
    <row r="1019" spans="1:19" x14ac:dyDescent="0.25">
      <c r="B1019" s="99" t="s">
        <v>108</v>
      </c>
      <c r="C1019" s="100">
        <v>1</v>
      </c>
      <c r="D1019" s="103">
        <f>$C1019*VLOOKUP($B1019,FoodDB!$A$2:$I$1018,3,0)</f>
        <v>0</v>
      </c>
      <c r="E1019" s="103">
        <f>$C1019*VLOOKUP($B1019,FoodDB!$A$2:$I$1018,4,0)</f>
        <v>0</v>
      </c>
      <c r="F1019" s="103">
        <f>$C1019*VLOOKUP($B1019,FoodDB!$A$2:$I$1018,5,0)</f>
        <v>0</v>
      </c>
      <c r="G1019" s="103">
        <f>$C1019*VLOOKUP($B1019,FoodDB!$A$2:$I$1018,6,0)</f>
        <v>0</v>
      </c>
      <c r="H1019" s="103">
        <f>$C1019*VLOOKUP($B1019,FoodDB!$A$2:$I$1018,7,0)</f>
        <v>0</v>
      </c>
      <c r="I1019" s="103">
        <f>$C1019*VLOOKUP($B1019,FoodDB!$A$2:$I$1018,8,0)</f>
        <v>0</v>
      </c>
      <c r="J1019" s="103">
        <f>$C1019*VLOOKUP($B1019,FoodDB!$A$2:$I$1018,9,0)</f>
        <v>0</v>
      </c>
      <c r="K1019" s="103"/>
      <c r="L1019" s="103"/>
      <c r="M1019" s="103"/>
      <c r="N1019" s="103"/>
      <c r="O1019" s="103"/>
      <c r="P1019" s="103"/>
      <c r="Q1019" s="103"/>
      <c r="R1019" s="103"/>
      <c r="S1019" s="103"/>
    </row>
    <row r="1020" spans="1:19" x14ac:dyDescent="0.25">
      <c r="B1020" s="99" t="s">
        <v>108</v>
      </c>
      <c r="C1020" s="100">
        <v>1</v>
      </c>
      <c r="D1020" s="103">
        <f>$C1020*VLOOKUP($B1020,FoodDB!$A$2:$I$1018,3,0)</f>
        <v>0</v>
      </c>
      <c r="E1020" s="103">
        <f>$C1020*VLOOKUP($B1020,FoodDB!$A$2:$I$1018,4,0)</f>
        <v>0</v>
      </c>
      <c r="F1020" s="103">
        <f>$C1020*VLOOKUP($B1020,FoodDB!$A$2:$I$1018,5,0)</f>
        <v>0</v>
      </c>
      <c r="G1020" s="103">
        <f>$C1020*VLOOKUP($B1020,FoodDB!$A$2:$I$1018,6,0)</f>
        <v>0</v>
      </c>
      <c r="H1020" s="103">
        <f>$C1020*VLOOKUP($B1020,FoodDB!$A$2:$I$1018,7,0)</f>
        <v>0</v>
      </c>
      <c r="I1020" s="103">
        <f>$C1020*VLOOKUP($B1020,FoodDB!$A$2:$I$1018,8,0)</f>
        <v>0</v>
      </c>
      <c r="J1020" s="103">
        <f>$C1020*VLOOKUP($B1020,FoodDB!$A$2:$I$1018,9,0)</f>
        <v>0</v>
      </c>
      <c r="K1020" s="103"/>
      <c r="L1020" s="103"/>
      <c r="M1020" s="103"/>
      <c r="N1020" s="103"/>
      <c r="O1020" s="103"/>
      <c r="P1020" s="103"/>
      <c r="Q1020" s="103"/>
      <c r="R1020" s="103"/>
      <c r="S1020" s="103"/>
    </row>
    <row r="1021" spans="1:19" x14ac:dyDescent="0.25">
      <c r="B1021" s="99" t="s">
        <v>108</v>
      </c>
      <c r="C1021" s="100">
        <v>1</v>
      </c>
      <c r="D1021" s="103">
        <f>$C1021*VLOOKUP($B1021,FoodDB!$A$2:$I$1018,3,0)</f>
        <v>0</v>
      </c>
      <c r="E1021" s="103">
        <f>$C1021*VLOOKUP($B1021,FoodDB!$A$2:$I$1018,4,0)</f>
        <v>0</v>
      </c>
      <c r="F1021" s="103">
        <f>$C1021*VLOOKUP($B1021,FoodDB!$A$2:$I$1018,5,0)</f>
        <v>0</v>
      </c>
      <c r="G1021" s="103">
        <f>$C1021*VLOOKUP($B1021,FoodDB!$A$2:$I$1018,6,0)</f>
        <v>0</v>
      </c>
      <c r="H1021" s="103">
        <f>$C1021*VLOOKUP($B1021,FoodDB!$A$2:$I$1018,7,0)</f>
        <v>0</v>
      </c>
      <c r="I1021" s="103">
        <f>$C1021*VLOOKUP($B1021,FoodDB!$A$2:$I$1018,8,0)</f>
        <v>0</v>
      </c>
      <c r="J1021" s="103">
        <f>$C1021*VLOOKUP($B1021,FoodDB!$A$2:$I$1018,9,0)</f>
        <v>0</v>
      </c>
      <c r="K1021" s="103"/>
      <c r="L1021" s="103"/>
      <c r="M1021" s="103"/>
      <c r="N1021" s="103"/>
      <c r="O1021" s="103"/>
      <c r="P1021" s="103"/>
      <c r="Q1021" s="103"/>
      <c r="R1021" s="103"/>
      <c r="S1021" s="103"/>
    </row>
    <row r="1022" spans="1:19" x14ac:dyDescent="0.25">
      <c r="B1022" s="99" t="s">
        <v>108</v>
      </c>
      <c r="C1022" s="100">
        <v>1</v>
      </c>
      <c r="D1022" s="103">
        <f>$C1022*VLOOKUP($B1022,FoodDB!$A$2:$I$1018,3,0)</f>
        <v>0</v>
      </c>
      <c r="E1022" s="103">
        <f>$C1022*VLOOKUP($B1022,FoodDB!$A$2:$I$1018,4,0)</f>
        <v>0</v>
      </c>
      <c r="F1022" s="103">
        <f>$C1022*VLOOKUP($B1022,FoodDB!$A$2:$I$1018,5,0)</f>
        <v>0</v>
      </c>
      <c r="G1022" s="103">
        <f>$C1022*VLOOKUP($B1022,FoodDB!$A$2:$I$1018,6,0)</f>
        <v>0</v>
      </c>
      <c r="H1022" s="103">
        <f>$C1022*VLOOKUP($B1022,FoodDB!$A$2:$I$1018,7,0)</f>
        <v>0</v>
      </c>
      <c r="I1022" s="103">
        <f>$C1022*VLOOKUP($B1022,FoodDB!$A$2:$I$1018,8,0)</f>
        <v>0</v>
      </c>
      <c r="J1022" s="103">
        <f>$C1022*VLOOKUP($B1022,FoodDB!$A$2:$I$1018,9,0)</f>
        <v>0</v>
      </c>
      <c r="K1022" s="103"/>
      <c r="L1022" s="103"/>
      <c r="M1022" s="103"/>
      <c r="N1022" s="103"/>
      <c r="O1022" s="103"/>
      <c r="P1022" s="103"/>
      <c r="Q1022" s="103"/>
      <c r="R1022" s="103"/>
      <c r="S1022" s="103"/>
    </row>
    <row r="1023" spans="1:19" x14ac:dyDescent="0.25">
      <c r="B1023" s="99" t="s">
        <v>108</v>
      </c>
      <c r="C1023" s="100">
        <v>1</v>
      </c>
      <c r="D1023" s="103">
        <f>$C1023*VLOOKUP($B1023,FoodDB!$A$2:$I$1018,3,0)</f>
        <v>0</v>
      </c>
      <c r="E1023" s="103">
        <f>$C1023*VLOOKUP($B1023,FoodDB!$A$2:$I$1018,4,0)</f>
        <v>0</v>
      </c>
      <c r="F1023" s="103">
        <f>$C1023*VLOOKUP($B1023,FoodDB!$A$2:$I$1018,5,0)</f>
        <v>0</v>
      </c>
      <c r="G1023" s="103">
        <f>$C1023*VLOOKUP($B1023,FoodDB!$A$2:$I$1018,6,0)</f>
        <v>0</v>
      </c>
      <c r="H1023" s="103">
        <f>$C1023*VLOOKUP($B1023,FoodDB!$A$2:$I$1018,7,0)</f>
        <v>0</v>
      </c>
      <c r="I1023" s="103">
        <f>$C1023*VLOOKUP($B1023,FoodDB!$A$2:$I$1018,8,0)</f>
        <v>0</v>
      </c>
      <c r="J1023" s="103">
        <f>$C1023*VLOOKUP($B1023,FoodDB!$A$2:$I$1018,9,0)</f>
        <v>0</v>
      </c>
      <c r="K1023" s="103"/>
      <c r="L1023" s="103"/>
      <c r="M1023" s="103"/>
      <c r="N1023" s="103"/>
      <c r="O1023" s="103"/>
      <c r="P1023" s="103"/>
      <c r="Q1023" s="103"/>
      <c r="R1023" s="103"/>
      <c r="S1023" s="103"/>
    </row>
    <row r="1024" spans="1:19" x14ac:dyDescent="0.25">
      <c r="B1024" s="99" t="s">
        <v>108</v>
      </c>
      <c r="C1024" s="100">
        <v>1</v>
      </c>
      <c r="D1024" s="103">
        <f>$C1024*VLOOKUP($B1024,FoodDB!$A$2:$I$1018,3,0)</f>
        <v>0</v>
      </c>
      <c r="E1024" s="103">
        <f>$C1024*VLOOKUP($B1024,FoodDB!$A$2:$I$1018,4,0)</f>
        <v>0</v>
      </c>
      <c r="F1024" s="103">
        <f>$C1024*VLOOKUP($B1024,FoodDB!$A$2:$I$1018,5,0)</f>
        <v>0</v>
      </c>
      <c r="G1024" s="103">
        <f>$C1024*VLOOKUP($B1024,FoodDB!$A$2:$I$1018,6,0)</f>
        <v>0</v>
      </c>
      <c r="H1024" s="103">
        <f>$C1024*VLOOKUP($B1024,FoodDB!$A$2:$I$1018,7,0)</f>
        <v>0</v>
      </c>
      <c r="I1024" s="103">
        <f>$C1024*VLOOKUP($B1024,FoodDB!$A$2:$I$1018,8,0)</f>
        <v>0</v>
      </c>
      <c r="J1024" s="103">
        <f>$C1024*VLOOKUP($B1024,FoodDB!$A$2:$I$1018,9,0)</f>
        <v>0</v>
      </c>
      <c r="K1024" s="103"/>
      <c r="L1024" s="103"/>
      <c r="M1024" s="103"/>
      <c r="N1024" s="103"/>
      <c r="O1024" s="103"/>
      <c r="P1024" s="103"/>
      <c r="Q1024" s="103"/>
      <c r="R1024" s="103"/>
      <c r="S1024" s="103"/>
    </row>
    <row r="1025" spans="1:19" x14ac:dyDescent="0.25">
      <c r="A1025" t="s">
        <v>98</v>
      </c>
      <c r="D1025" s="103"/>
      <c r="E1025" s="103"/>
      <c r="F1025" s="103"/>
      <c r="G1025" s="103">
        <f>SUM(G1018:G1024)</f>
        <v>0</v>
      </c>
      <c r="H1025" s="103">
        <f>SUM(H1018:H1024)</f>
        <v>0</v>
      </c>
      <c r="I1025" s="103">
        <f>SUM(I1018:I1024)</f>
        <v>0</v>
      </c>
      <c r="J1025" s="103">
        <f>SUM(G1025:I1025)</f>
        <v>0</v>
      </c>
      <c r="K1025" s="103"/>
      <c r="L1025" s="103"/>
      <c r="M1025" s="103"/>
      <c r="N1025" s="103"/>
      <c r="O1025" s="103"/>
      <c r="P1025" s="103"/>
      <c r="Q1025" s="103"/>
      <c r="R1025" s="103"/>
      <c r="S1025" s="103"/>
    </row>
    <row r="1026" spans="1:19" x14ac:dyDescent="0.25">
      <c r="A1026" t="s">
        <v>102</v>
      </c>
      <c r="B1026" t="s">
        <v>103</v>
      </c>
      <c r="D1026" s="103"/>
      <c r="E1026" s="103"/>
      <c r="F1026" s="103"/>
      <c r="G1026" s="103">
        <f>VLOOKUP($A1018,LossChart!$A$3:$AB$105,14,0)</f>
        <v>804.0909583843636</v>
      </c>
      <c r="H1026" s="103">
        <f>VLOOKUP($A1018,LossChart!$A$3:$AB$105,15,0)</f>
        <v>92</v>
      </c>
      <c r="I1026" s="103">
        <f>VLOOKUP($A1018,LossChart!$A$3:$AB$105,16,0)</f>
        <v>477.30407413615825</v>
      </c>
      <c r="J1026" s="103">
        <f>VLOOKUP($A1018,LossChart!$A$3:$AB$105,17,0)</f>
        <v>1373.3950325205219</v>
      </c>
      <c r="K1026" s="103"/>
      <c r="L1026" s="103"/>
      <c r="M1026" s="103"/>
      <c r="N1026" s="103"/>
      <c r="O1026" s="103"/>
      <c r="P1026" s="103"/>
      <c r="Q1026" s="103"/>
      <c r="R1026" s="103"/>
      <c r="S1026" s="103"/>
    </row>
    <row r="1027" spans="1:19" x14ac:dyDescent="0.25">
      <c r="A1027" t="s">
        <v>104</v>
      </c>
      <c r="D1027" s="103"/>
      <c r="E1027" s="103"/>
      <c r="F1027" s="103"/>
      <c r="G1027" s="103">
        <f>G1026-G1025</f>
        <v>804.0909583843636</v>
      </c>
      <c r="H1027" s="103">
        <f>H1026-H1025</f>
        <v>92</v>
      </c>
      <c r="I1027" s="103">
        <f>I1026-I1025</f>
        <v>477.30407413615825</v>
      </c>
      <c r="J1027" s="103">
        <f>J1026-J1025</f>
        <v>1373.3950325205219</v>
      </c>
      <c r="K1027" s="103"/>
      <c r="L1027" s="103"/>
      <c r="M1027" s="103"/>
      <c r="N1027" s="103"/>
      <c r="O1027" s="103"/>
      <c r="P1027" s="103"/>
      <c r="Q1027" s="103"/>
      <c r="R1027" s="103"/>
      <c r="S1027" s="103"/>
    </row>
    <row r="1029" spans="1:19" ht="60" x14ac:dyDescent="0.25">
      <c r="A1029" s="26" t="s">
        <v>63</v>
      </c>
      <c r="B1029" s="26" t="s">
        <v>93</v>
      </c>
      <c r="C1029" s="26" t="s">
        <v>94</v>
      </c>
      <c r="D1029" s="97" t="str">
        <f>FoodDB!$C$1</f>
        <v>Fat
(g)</v>
      </c>
      <c r="E1029" s="97" t="str">
        <f>FoodDB!$D$1</f>
        <v xml:space="preserve"> Carbs
(g)</v>
      </c>
      <c r="F1029" s="97" t="str">
        <f>FoodDB!$E$1</f>
        <v>Protein
(g)</v>
      </c>
      <c r="G1029" s="97" t="str">
        <f>FoodDB!$F$1</f>
        <v>Fat
(Cal)</v>
      </c>
      <c r="H1029" s="97" t="str">
        <f>FoodDB!$G$1</f>
        <v>Carb
(Cal)</v>
      </c>
      <c r="I1029" s="97" t="str">
        <f>FoodDB!$H$1</f>
        <v>Protein
(Cal)</v>
      </c>
      <c r="J1029" s="97" t="str">
        <f>FoodDB!$I$1</f>
        <v>Total
Calories</v>
      </c>
      <c r="K1029" s="97"/>
      <c r="L1029" s="97" t="s">
        <v>110</v>
      </c>
      <c r="M1029" s="97" t="s">
        <v>111</v>
      </c>
      <c r="N1029" s="97" t="s">
        <v>112</v>
      </c>
      <c r="O1029" s="97" t="s">
        <v>113</v>
      </c>
      <c r="P1029" s="97" t="s">
        <v>118</v>
      </c>
      <c r="Q1029" s="97" t="s">
        <v>119</v>
      </c>
      <c r="R1029" s="97" t="s">
        <v>120</v>
      </c>
      <c r="S1029" s="97" t="s">
        <v>121</v>
      </c>
    </row>
    <row r="1030" spans="1:19" x14ac:dyDescent="0.25">
      <c r="A1030" s="98">
        <f>A1018+1</f>
        <v>43079</v>
      </c>
      <c r="B1030" s="99" t="s">
        <v>108</v>
      </c>
      <c r="C1030" s="100">
        <v>1</v>
      </c>
      <c r="D1030" s="103">
        <f>$C1030*VLOOKUP($B1030,FoodDB!$A$2:$I$1018,3,0)</f>
        <v>0</v>
      </c>
      <c r="E1030" s="103">
        <f>$C1030*VLOOKUP($B1030,FoodDB!$A$2:$I$1018,4,0)</f>
        <v>0</v>
      </c>
      <c r="F1030" s="103">
        <f>$C1030*VLOOKUP($B1030,FoodDB!$A$2:$I$1018,5,0)</f>
        <v>0</v>
      </c>
      <c r="G1030" s="103">
        <f>$C1030*VLOOKUP($B1030,FoodDB!$A$2:$I$1018,6,0)</f>
        <v>0</v>
      </c>
      <c r="H1030" s="103">
        <f>$C1030*VLOOKUP($B1030,FoodDB!$A$2:$I$1018,7,0)</f>
        <v>0</v>
      </c>
      <c r="I1030" s="103">
        <f>$C1030*VLOOKUP($B1030,FoodDB!$A$2:$I$1018,8,0)</f>
        <v>0</v>
      </c>
      <c r="J1030" s="103">
        <f>$C1030*VLOOKUP($B1030,FoodDB!$A$2:$I$1018,9,0)</f>
        <v>0</v>
      </c>
      <c r="K1030" s="103"/>
      <c r="L1030" s="103">
        <f>SUM(G1030:G1036)</f>
        <v>0</v>
      </c>
      <c r="M1030" s="103">
        <f>SUM(H1030:H1036)</f>
        <v>0</v>
      </c>
      <c r="N1030" s="103">
        <f>SUM(I1030:I1036)</f>
        <v>0</v>
      </c>
      <c r="O1030" s="103">
        <f>SUM(L1030:N1030)</f>
        <v>0</v>
      </c>
      <c r="P1030" s="103">
        <f>VLOOKUP($A1030,LossChart!$A$3:$AB$105,14,0)-L1030</f>
        <v>804.36517167645889</v>
      </c>
      <c r="Q1030" s="103">
        <f>VLOOKUP($A1030,LossChart!$A$3:$AB$105,15,0)-M1030</f>
        <v>96</v>
      </c>
      <c r="R1030" s="103">
        <f>VLOOKUP($A1030,LossChart!$A$3:$AB$105,16,0)-N1030</f>
        <v>477.30407413615825</v>
      </c>
      <c r="S1030" s="103">
        <f>VLOOKUP($A1030,LossChart!$A$3:$AB$105,17,0)-O1030</f>
        <v>1377.6692458126172</v>
      </c>
    </row>
    <row r="1031" spans="1:19" x14ac:dyDescent="0.25">
      <c r="B1031" s="99" t="s">
        <v>108</v>
      </c>
      <c r="C1031" s="100">
        <v>1</v>
      </c>
      <c r="D1031" s="103">
        <f>$C1031*VLOOKUP($B1031,FoodDB!$A$2:$I$1018,3,0)</f>
        <v>0</v>
      </c>
      <c r="E1031" s="103">
        <f>$C1031*VLOOKUP($B1031,FoodDB!$A$2:$I$1018,4,0)</f>
        <v>0</v>
      </c>
      <c r="F1031" s="103">
        <f>$C1031*VLOOKUP($B1031,FoodDB!$A$2:$I$1018,5,0)</f>
        <v>0</v>
      </c>
      <c r="G1031" s="103">
        <f>$C1031*VLOOKUP($B1031,FoodDB!$A$2:$I$1018,6,0)</f>
        <v>0</v>
      </c>
      <c r="H1031" s="103">
        <f>$C1031*VLOOKUP($B1031,FoodDB!$A$2:$I$1018,7,0)</f>
        <v>0</v>
      </c>
      <c r="I1031" s="103">
        <f>$C1031*VLOOKUP($B1031,FoodDB!$A$2:$I$1018,8,0)</f>
        <v>0</v>
      </c>
      <c r="J1031" s="103">
        <f>$C1031*VLOOKUP($B1031,FoodDB!$A$2:$I$1018,9,0)</f>
        <v>0</v>
      </c>
      <c r="K1031" s="103"/>
      <c r="L1031" s="103"/>
      <c r="M1031" s="103"/>
      <c r="N1031" s="103"/>
      <c r="O1031" s="103"/>
      <c r="P1031" s="103"/>
      <c r="Q1031" s="103"/>
      <c r="R1031" s="103"/>
      <c r="S1031" s="103"/>
    </row>
    <row r="1032" spans="1:19" x14ac:dyDescent="0.25">
      <c r="B1032" s="99" t="s">
        <v>108</v>
      </c>
      <c r="C1032" s="100">
        <v>1</v>
      </c>
      <c r="D1032" s="103">
        <f>$C1032*VLOOKUP($B1032,FoodDB!$A$2:$I$1018,3,0)</f>
        <v>0</v>
      </c>
      <c r="E1032" s="103">
        <f>$C1032*VLOOKUP($B1032,FoodDB!$A$2:$I$1018,4,0)</f>
        <v>0</v>
      </c>
      <c r="F1032" s="103">
        <f>$C1032*VLOOKUP($B1032,FoodDB!$A$2:$I$1018,5,0)</f>
        <v>0</v>
      </c>
      <c r="G1032" s="103">
        <f>$C1032*VLOOKUP($B1032,FoodDB!$A$2:$I$1018,6,0)</f>
        <v>0</v>
      </c>
      <c r="H1032" s="103">
        <f>$C1032*VLOOKUP($B1032,FoodDB!$A$2:$I$1018,7,0)</f>
        <v>0</v>
      </c>
      <c r="I1032" s="103">
        <f>$C1032*VLOOKUP($B1032,FoodDB!$A$2:$I$1018,8,0)</f>
        <v>0</v>
      </c>
      <c r="J1032" s="103">
        <f>$C1032*VLOOKUP($B1032,FoodDB!$A$2:$I$1018,9,0)</f>
        <v>0</v>
      </c>
      <c r="K1032" s="103"/>
      <c r="L1032" s="103"/>
      <c r="M1032" s="103"/>
      <c r="N1032" s="103"/>
      <c r="O1032" s="103"/>
      <c r="P1032" s="103"/>
      <c r="Q1032" s="103"/>
      <c r="R1032" s="103"/>
      <c r="S1032" s="103"/>
    </row>
    <row r="1033" spans="1:19" x14ac:dyDescent="0.25">
      <c r="B1033" s="99" t="s">
        <v>108</v>
      </c>
      <c r="C1033" s="100">
        <v>1</v>
      </c>
      <c r="D1033" s="103">
        <f>$C1033*VLOOKUP($B1033,FoodDB!$A$2:$I$1018,3,0)</f>
        <v>0</v>
      </c>
      <c r="E1033" s="103">
        <f>$C1033*VLOOKUP($B1033,FoodDB!$A$2:$I$1018,4,0)</f>
        <v>0</v>
      </c>
      <c r="F1033" s="103">
        <f>$C1033*VLOOKUP($B1033,FoodDB!$A$2:$I$1018,5,0)</f>
        <v>0</v>
      </c>
      <c r="G1033" s="103">
        <f>$C1033*VLOOKUP($B1033,FoodDB!$A$2:$I$1018,6,0)</f>
        <v>0</v>
      </c>
      <c r="H1033" s="103">
        <f>$C1033*VLOOKUP($B1033,FoodDB!$A$2:$I$1018,7,0)</f>
        <v>0</v>
      </c>
      <c r="I1033" s="103">
        <f>$C1033*VLOOKUP($B1033,FoodDB!$A$2:$I$1018,8,0)</f>
        <v>0</v>
      </c>
      <c r="J1033" s="103">
        <f>$C1033*VLOOKUP($B1033,FoodDB!$A$2:$I$1018,9,0)</f>
        <v>0</v>
      </c>
      <c r="K1033" s="103"/>
      <c r="L1033" s="103"/>
      <c r="M1033" s="103"/>
      <c r="N1033" s="103"/>
      <c r="O1033" s="103"/>
      <c r="P1033" s="103"/>
      <c r="Q1033" s="103"/>
      <c r="R1033" s="103"/>
      <c r="S1033" s="103"/>
    </row>
    <row r="1034" spans="1:19" x14ac:dyDescent="0.25">
      <c r="B1034" s="99" t="s">
        <v>108</v>
      </c>
      <c r="C1034" s="100">
        <v>1</v>
      </c>
      <c r="D1034" s="103">
        <f>$C1034*VLOOKUP($B1034,FoodDB!$A$2:$I$1018,3,0)</f>
        <v>0</v>
      </c>
      <c r="E1034" s="103">
        <f>$C1034*VLOOKUP($B1034,FoodDB!$A$2:$I$1018,4,0)</f>
        <v>0</v>
      </c>
      <c r="F1034" s="103">
        <f>$C1034*VLOOKUP($B1034,FoodDB!$A$2:$I$1018,5,0)</f>
        <v>0</v>
      </c>
      <c r="G1034" s="103">
        <f>$C1034*VLOOKUP($B1034,FoodDB!$A$2:$I$1018,6,0)</f>
        <v>0</v>
      </c>
      <c r="H1034" s="103">
        <f>$C1034*VLOOKUP($B1034,FoodDB!$A$2:$I$1018,7,0)</f>
        <v>0</v>
      </c>
      <c r="I1034" s="103">
        <f>$C1034*VLOOKUP($B1034,FoodDB!$A$2:$I$1018,8,0)</f>
        <v>0</v>
      </c>
      <c r="J1034" s="103">
        <f>$C1034*VLOOKUP($B1034,FoodDB!$A$2:$I$1018,9,0)</f>
        <v>0</v>
      </c>
      <c r="K1034" s="103"/>
      <c r="L1034" s="103"/>
      <c r="M1034" s="103"/>
      <c r="N1034" s="103"/>
      <c r="O1034" s="103"/>
      <c r="P1034" s="103"/>
      <c r="Q1034" s="103"/>
      <c r="R1034" s="103"/>
      <c r="S1034" s="103"/>
    </row>
    <row r="1035" spans="1:19" x14ac:dyDescent="0.25">
      <c r="B1035" s="99" t="s">
        <v>108</v>
      </c>
      <c r="C1035" s="100">
        <v>1</v>
      </c>
      <c r="D1035" s="103">
        <f>$C1035*VLOOKUP($B1035,FoodDB!$A$2:$I$1018,3,0)</f>
        <v>0</v>
      </c>
      <c r="E1035" s="103">
        <f>$C1035*VLOOKUP($B1035,FoodDB!$A$2:$I$1018,4,0)</f>
        <v>0</v>
      </c>
      <c r="F1035" s="103">
        <f>$C1035*VLOOKUP($B1035,FoodDB!$A$2:$I$1018,5,0)</f>
        <v>0</v>
      </c>
      <c r="G1035" s="103">
        <f>$C1035*VLOOKUP($B1035,FoodDB!$A$2:$I$1018,6,0)</f>
        <v>0</v>
      </c>
      <c r="H1035" s="103">
        <f>$C1035*VLOOKUP($B1035,FoodDB!$A$2:$I$1018,7,0)</f>
        <v>0</v>
      </c>
      <c r="I1035" s="103">
        <f>$C1035*VLOOKUP($B1035,FoodDB!$A$2:$I$1018,8,0)</f>
        <v>0</v>
      </c>
      <c r="J1035" s="103">
        <f>$C1035*VLOOKUP($B1035,FoodDB!$A$2:$I$1018,9,0)</f>
        <v>0</v>
      </c>
      <c r="K1035" s="103"/>
      <c r="L1035" s="103"/>
      <c r="M1035" s="103"/>
      <c r="N1035" s="103"/>
      <c r="O1035" s="103"/>
      <c r="P1035" s="103"/>
      <c r="Q1035" s="103"/>
      <c r="R1035" s="103"/>
      <c r="S1035" s="103"/>
    </row>
    <row r="1036" spans="1:19" x14ac:dyDescent="0.25">
      <c r="B1036" s="99" t="s">
        <v>108</v>
      </c>
      <c r="C1036" s="100">
        <v>1</v>
      </c>
      <c r="D1036" s="103">
        <f>$C1036*VLOOKUP($B1036,FoodDB!$A$2:$I$1018,3,0)</f>
        <v>0</v>
      </c>
      <c r="E1036" s="103">
        <f>$C1036*VLOOKUP($B1036,FoodDB!$A$2:$I$1018,4,0)</f>
        <v>0</v>
      </c>
      <c r="F1036" s="103">
        <f>$C1036*VLOOKUP($B1036,FoodDB!$A$2:$I$1018,5,0)</f>
        <v>0</v>
      </c>
      <c r="G1036" s="103">
        <f>$C1036*VLOOKUP($B1036,FoodDB!$A$2:$I$1018,6,0)</f>
        <v>0</v>
      </c>
      <c r="H1036" s="103">
        <f>$C1036*VLOOKUP($B1036,FoodDB!$A$2:$I$1018,7,0)</f>
        <v>0</v>
      </c>
      <c r="I1036" s="103">
        <f>$C1036*VLOOKUP($B1036,FoodDB!$A$2:$I$1018,8,0)</f>
        <v>0</v>
      </c>
      <c r="J1036" s="103">
        <f>$C1036*VLOOKUP($B1036,FoodDB!$A$2:$I$1018,9,0)</f>
        <v>0</v>
      </c>
      <c r="K1036" s="103"/>
      <c r="L1036" s="103"/>
      <c r="M1036" s="103"/>
      <c r="N1036" s="103"/>
      <c r="O1036" s="103"/>
      <c r="P1036" s="103"/>
      <c r="Q1036" s="103"/>
      <c r="R1036" s="103"/>
      <c r="S1036" s="103"/>
    </row>
    <row r="1037" spans="1:19" x14ac:dyDescent="0.25">
      <c r="A1037" t="s">
        <v>98</v>
      </c>
      <c r="D1037" s="103"/>
      <c r="E1037" s="103"/>
      <c r="F1037" s="103"/>
      <c r="G1037" s="103">
        <f>SUM(G1030:G1036)</f>
        <v>0</v>
      </c>
      <c r="H1037" s="103">
        <f>SUM(H1030:H1036)</f>
        <v>0</v>
      </c>
      <c r="I1037" s="103">
        <f>SUM(I1030:I1036)</f>
        <v>0</v>
      </c>
      <c r="J1037" s="103">
        <f>SUM(G1037:I1037)</f>
        <v>0</v>
      </c>
      <c r="K1037" s="103"/>
      <c r="L1037" s="103"/>
      <c r="M1037" s="103"/>
      <c r="N1037" s="103"/>
      <c r="O1037" s="103"/>
      <c r="P1037" s="103"/>
      <c r="Q1037" s="103"/>
      <c r="R1037" s="103"/>
      <c r="S1037" s="103"/>
    </row>
    <row r="1038" spans="1:19" x14ac:dyDescent="0.25">
      <c r="A1038" t="s">
        <v>102</v>
      </c>
      <c r="B1038" t="s">
        <v>103</v>
      </c>
      <c r="D1038" s="103"/>
      <c r="E1038" s="103"/>
      <c r="F1038" s="103"/>
      <c r="G1038" s="103">
        <f>VLOOKUP($A1030,LossChart!$A$3:$AB$105,14,0)</f>
        <v>804.36517167645889</v>
      </c>
      <c r="H1038" s="103">
        <f>VLOOKUP($A1030,LossChart!$A$3:$AB$105,15,0)</f>
        <v>96</v>
      </c>
      <c r="I1038" s="103">
        <f>VLOOKUP($A1030,LossChart!$A$3:$AB$105,16,0)</f>
        <v>477.30407413615825</v>
      </c>
      <c r="J1038" s="103">
        <f>VLOOKUP($A1030,LossChart!$A$3:$AB$105,17,0)</f>
        <v>1377.6692458126172</v>
      </c>
      <c r="K1038" s="103"/>
      <c r="L1038" s="103"/>
      <c r="M1038" s="103"/>
      <c r="N1038" s="103"/>
      <c r="O1038" s="103"/>
      <c r="P1038" s="103"/>
      <c r="Q1038" s="103"/>
      <c r="R1038" s="103"/>
      <c r="S1038" s="103"/>
    </row>
    <row r="1039" spans="1:19" x14ac:dyDescent="0.25">
      <c r="A1039" t="s">
        <v>104</v>
      </c>
      <c r="D1039" s="103"/>
      <c r="E1039" s="103"/>
      <c r="F1039" s="103"/>
      <c r="G1039" s="103">
        <f>G1038-G1037</f>
        <v>804.36517167645889</v>
      </c>
      <c r="H1039" s="103">
        <f>H1038-H1037</f>
        <v>96</v>
      </c>
      <c r="I1039" s="103">
        <f>I1038-I1037</f>
        <v>477.30407413615825</v>
      </c>
      <c r="J1039" s="103">
        <f>J1038-J1037</f>
        <v>1377.6692458126172</v>
      </c>
      <c r="K1039" s="103"/>
      <c r="L1039" s="103"/>
      <c r="M1039" s="103"/>
      <c r="N1039" s="103"/>
      <c r="O1039" s="103"/>
      <c r="P1039" s="103"/>
      <c r="Q1039" s="103"/>
      <c r="R1039" s="103"/>
      <c r="S1039" s="103"/>
    </row>
    <row r="1041" spans="1:19" ht="60" x14ac:dyDescent="0.25">
      <c r="A1041" s="26" t="s">
        <v>63</v>
      </c>
      <c r="B1041" s="26" t="s">
        <v>93</v>
      </c>
      <c r="C1041" s="26" t="s">
        <v>94</v>
      </c>
      <c r="D1041" s="97" t="str">
        <f>FoodDB!$C$1</f>
        <v>Fat
(g)</v>
      </c>
      <c r="E1041" s="97" t="str">
        <f>FoodDB!$D$1</f>
        <v xml:space="preserve"> Carbs
(g)</v>
      </c>
      <c r="F1041" s="97" t="str">
        <f>FoodDB!$E$1</f>
        <v>Protein
(g)</v>
      </c>
      <c r="G1041" s="97" t="str">
        <f>FoodDB!$F$1</f>
        <v>Fat
(Cal)</v>
      </c>
      <c r="H1041" s="97" t="str">
        <f>FoodDB!$G$1</f>
        <v>Carb
(Cal)</v>
      </c>
      <c r="I1041" s="97" t="str">
        <f>FoodDB!$H$1</f>
        <v>Protein
(Cal)</v>
      </c>
      <c r="J1041" s="97" t="str">
        <f>FoodDB!$I$1</f>
        <v>Total
Calories</v>
      </c>
      <c r="K1041" s="97"/>
      <c r="L1041" s="97" t="s">
        <v>110</v>
      </c>
      <c r="M1041" s="97" t="s">
        <v>111</v>
      </c>
      <c r="N1041" s="97" t="s">
        <v>112</v>
      </c>
      <c r="O1041" s="97" t="s">
        <v>113</v>
      </c>
      <c r="P1041" s="97" t="s">
        <v>118</v>
      </c>
      <c r="Q1041" s="97" t="s">
        <v>119</v>
      </c>
      <c r="R1041" s="97" t="s">
        <v>120</v>
      </c>
      <c r="S1041" s="97" t="s">
        <v>121</v>
      </c>
    </row>
    <row r="1042" spans="1:19" x14ac:dyDescent="0.25">
      <c r="A1042" s="98">
        <f>A1030+1</f>
        <v>43080</v>
      </c>
      <c r="B1042" s="99" t="s">
        <v>108</v>
      </c>
      <c r="C1042" s="100">
        <v>1</v>
      </c>
      <c r="D1042" s="103">
        <f>$C1042*VLOOKUP($B1042,FoodDB!$A$2:$I$1018,3,0)</f>
        <v>0</v>
      </c>
      <c r="E1042" s="103">
        <f>$C1042*VLOOKUP($B1042,FoodDB!$A$2:$I$1018,4,0)</f>
        <v>0</v>
      </c>
      <c r="F1042" s="103">
        <f>$C1042*VLOOKUP($B1042,FoodDB!$A$2:$I$1018,5,0)</f>
        <v>0</v>
      </c>
      <c r="G1042" s="103">
        <f>$C1042*VLOOKUP($B1042,FoodDB!$A$2:$I$1018,6,0)</f>
        <v>0</v>
      </c>
      <c r="H1042" s="103">
        <f>$C1042*VLOOKUP($B1042,FoodDB!$A$2:$I$1018,7,0)</f>
        <v>0</v>
      </c>
      <c r="I1042" s="103">
        <f>$C1042*VLOOKUP($B1042,FoodDB!$A$2:$I$1018,8,0)</f>
        <v>0</v>
      </c>
      <c r="J1042" s="103">
        <f>$C1042*VLOOKUP($B1042,FoodDB!$A$2:$I$1018,9,0)</f>
        <v>0</v>
      </c>
      <c r="K1042" s="103"/>
      <c r="L1042" s="103">
        <f>SUM(G1042:G1048)</f>
        <v>0</v>
      </c>
      <c r="M1042" s="103">
        <f>SUM(H1042:H1048)</f>
        <v>0</v>
      </c>
      <c r="N1042" s="103">
        <f>SUM(I1042:I1048)</f>
        <v>0</v>
      </c>
      <c r="O1042" s="103">
        <f>SUM(L1042:N1042)</f>
        <v>0</v>
      </c>
      <c r="P1042" s="103">
        <f>VLOOKUP($A1042,LossChart!$A$3:$AB$105,14,0)-L1042</f>
        <v>804.60152765082512</v>
      </c>
      <c r="Q1042" s="103">
        <f>VLOOKUP($A1042,LossChart!$A$3:$AB$105,15,0)-M1042</f>
        <v>100</v>
      </c>
      <c r="R1042" s="103">
        <f>VLOOKUP($A1042,LossChart!$A$3:$AB$105,16,0)-N1042</f>
        <v>477.30407413615825</v>
      </c>
      <c r="S1042" s="103">
        <f>VLOOKUP($A1042,LossChart!$A$3:$AB$105,17,0)-O1042</f>
        <v>1381.9056017869834</v>
      </c>
    </row>
    <row r="1043" spans="1:19" x14ac:dyDescent="0.25">
      <c r="B1043" s="99" t="s">
        <v>108</v>
      </c>
      <c r="C1043" s="100">
        <v>1</v>
      </c>
      <c r="D1043" s="103">
        <f>$C1043*VLOOKUP($B1043,FoodDB!$A$2:$I$1018,3,0)</f>
        <v>0</v>
      </c>
      <c r="E1043" s="103">
        <f>$C1043*VLOOKUP($B1043,FoodDB!$A$2:$I$1018,4,0)</f>
        <v>0</v>
      </c>
      <c r="F1043" s="103">
        <f>$C1043*VLOOKUP($B1043,FoodDB!$A$2:$I$1018,5,0)</f>
        <v>0</v>
      </c>
      <c r="G1043" s="103">
        <f>$C1043*VLOOKUP($B1043,FoodDB!$A$2:$I$1018,6,0)</f>
        <v>0</v>
      </c>
      <c r="H1043" s="103">
        <f>$C1043*VLOOKUP($B1043,FoodDB!$A$2:$I$1018,7,0)</f>
        <v>0</v>
      </c>
      <c r="I1043" s="103">
        <f>$C1043*VLOOKUP($B1043,FoodDB!$A$2:$I$1018,8,0)</f>
        <v>0</v>
      </c>
      <c r="J1043" s="103">
        <f>$C1043*VLOOKUP($B1043,FoodDB!$A$2:$I$1018,9,0)</f>
        <v>0</v>
      </c>
      <c r="K1043" s="103"/>
      <c r="L1043" s="103"/>
      <c r="M1043" s="103"/>
      <c r="N1043" s="103"/>
      <c r="O1043" s="103"/>
      <c r="P1043" s="103"/>
      <c r="Q1043" s="103"/>
      <c r="R1043" s="103"/>
      <c r="S1043" s="103"/>
    </row>
    <row r="1044" spans="1:19" x14ac:dyDescent="0.25">
      <c r="B1044" s="99" t="s">
        <v>108</v>
      </c>
      <c r="C1044" s="100">
        <v>1</v>
      </c>
      <c r="D1044" s="103">
        <f>$C1044*VLOOKUP($B1044,FoodDB!$A$2:$I$1018,3,0)</f>
        <v>0</v>
      </c>
      <c r="E1044" s="103">
        <f>$C1044*VLOOKUP($B1044,FoodDB!$A$2:$I$1018,4,0)</f>
        <v>0</v>
      </c>
      <c r="F1044" s="103">
        <f>$C1044*VLOOKUP($B1044,FoodDB!$A$2:$I$1018,5,0)</f>
        <v>0</v>
      </c>
      <c r="G1044" s="103">
        <f>$C1044*VLOOKUP($B1044,FoodDB!$A$2:$I$1018,6,0)</f>
        <v>0</v>
      </c>
      <c r="H1044" s="103">
        <f>$C1044*VLOOKUP($B1044,FoodDB!$A$2:$I$1018,7,0)</f>
        <v>0</v>
      </c>
      <c r="I1044" s="103">
        <f>$C1044*VLOOKUP($B1044,FoodDB!$A$2:$I$1018,8,0)</f>
        <v>0</v>
      </c>
      <c r="J1044" s="103">
        <f>$C1044*VLOOKUP($B1044,FoodDB!$A$2:$I$1018,9,0)</f>
        <v>0</v>
      </c>
      <c r="K1044" s="103"/>
      <c r="L1044" s="103"/>
      <c r="M1044" s="103"/>
      <c r="N1044" s="103"/>
      <c r="O1044" s="103"/>
      <c r="P1044" s="103"/>
      <c r="Q1044" s="103"/>
      <c r="R1044" s="103"/>
      <c r="S1044" s="103"/>
    </row>
    <row r="1045" spans="1:19" x14ac:dyDescent="0.25">
      <c r="B1045" s="99" t="s">
        <v>108</v>
      </c>
      <c r="C1045" s="100">
        <v>1</v>
      </c>
      <c r="D1045" s="103">
        <f>$C1045*VLOOKUP($B1045,FoodDB!$A$2:$I$1018,3,0)</f>
        <v>0</v>
      </c>
      <c r="E1045" s="103">
        <f>$C1045*VLOOKUP($B1045,FoodDB!$A$2:$I$1018,4,0)</f>
        <v>0</v>
      </c>
      <c r="F1045" s="103">
        <f>$C1045*VLOOKUP($B1045,FoodDB!$A$2:$I$1018,5,0)</f>
        <v>0</v>
      </c>
      <c r="G1045" s="103">
        <f>$C1045*VLOOKUP($B1045,FoodDB!$A$2:$I$1018,6,0)</f>
        <v>0</v>
      </c>
      <c r="H1045" s="103">
        <f>$C1045*VLOOKUP($B1045,FoodDB!$A$2:$I$1018,7,0)</f>
        <v>0</v>
      </c>
      <c r="I1045" s="103">
        <f>$C1045*VLOOKUP($B1045,FoodDB!$A$2:$I$1018,8,0)</f>
        <v>0</v>
      </c>
      <c r="J1045" s="103">
        <f>$C1045*VLOOKUP($B1045,FoodDB!$A$2:$I$1018,9,0)</f>
        <v>0</v>
      </c>
      <c r="K1045" s="103"/>
      <c r="L1045" s="103"/>
      <c r="M1045" s="103"/>
      <c r="N1045" s="103"/>
      <c r="O1045" s="103"/>
      <c r="P1045" s="103"/>
      <c r="Q1045" s="103"/>
      <c r="R1045" s="103"/>
      <c r="S1045" s="103"/>
    </row>
    <row r="1046" spans="1:19" x14ac:dyDescent="0.25">
      <c r="B1046" s="99" t="s">
        <v>108</v>
      </c>
      <c r="C1046" s="100">
        <v>1</v>
      </c>
      <c r="D1046" s="103">
        <f>$C1046*VLOOKUP($B1046,FoodDB!$A$2:$I$1018,3,0)</f>
        <v>0</v>
      </c>
      <c r="E1046" s="103">
        <f>$C1046*VLOOKUP($B1046,FoodDB!$A$2:$I$1018,4,0)</f>
        <v>0</v>
      </c>
      <c r="F1046" s="103">
        <f>$C1046*VLOOKUP($B1046,FoodDB!$A$2:$I$1018,5,0)</f>
        <v>0</v>
      </c>
      <c r="G1046" s="103">
        <f>$C1046*VLOOKUP($B1046,FoodDB!$A$2:$I$1018,6,0)</f>
        <v>0</v>
      </c>
      <c r="H1046" s="103">
        <f>$C1046*VLOOKUP($B1046,FoodDB!$A$2:$I$1018,7,0)</f>
        <v>0</v>
      </c>
      <c r="I1046" s="103">
        <f>$C1046*VLOOKUP($B1046,FoodDB!$A$2:$I$1018,8,0)</f>
        <v>0</v>
      </c>
      <c r="J1046" s="103">
        <f>$C1046*VLOOKUP($B1046,FoodDB!$A$2:$I$1018,9,0)</f>
        <v>0</v>
      </c>
      <c r="K1046" s="103"/>
      <c r="L1046" s="103"/>
      <c r="M1046" s="103"/>
      <c r="N1046" s="103"/>
      <c r="O1046" s="103"/>
      <c r="P1046" s="103"/>
      <c r="Q1046" s="103"/>
      <c r="R1046" s="103"/>
      <c r="S1046" s="103"/>
    </row>
    <row r="1047" spans="1:19" x14ac:dyDescent="0.25">
      <c r="B1047" s="99" t="s">
        <v>108</v>
      </c>
      <c r="C1047" s="100">
        <v>1</v>
      </c>
      <c r="D1047" s="103">
        <f>$C1047*VLOOKUP($B1047,FoodDB!$A$2:$I$1018,3,0)</f>
        <v>0</v>
      </c>
      <c r="E1047" s="103">
        <f>$C1047*VLOOKUP($B1047,FoodDB!$A$2:$I$1018,4,0)</f>
        <v>0</v>
      </c>
      <c r="F1047" s="103">
        <f>$C1047*VLOOKUP($B1047,FoodDB!$A$2:$I$1018,5,0)</f>
        <v>0</v>
      </c>
      <c r="G1047" s="103">
        <f>$C1047*VLOOKUP($B1047,FoodDB!$A$2:$I$1018,6,0)</f>
        <v>0</v>
      </c>
      <c r="H1047" s="103">
        <f>$C1047*VLOOKUP($B1047,FoodDB!$A$2:$I$1018,7,0)</f>
        <v>0</v>
      </c>
      <c r="I1047" s="103">
        <f>$C1047*VLOOKUP($B1047,FoodDB!$A$2:$I$1018,8,0)</f>
        <v>0</v>
      </c>
      <c r="J1047" s="103">
        <f>$C1047*VLOOKUP($B1047,FoodDB!$A$2:$I$1018,9,0)</f>
        <v>0</v>
      </c>
      <c r="K1047" s="103"/>
      <c r="L1047" s="103"/>
      <c r="M1047" s="103"/>
      <c r="N1047" s="103"/>
      <c r="O1047" s="103"/>
      <c r="P1047" s="103"/>
      <c r="Q1047" s="103"/>
      <c r="R1047" s="103"/>
      <c r="S1047" s="103"/>
    </row>
    <row r="1048" spans="1:19" x14ac:dyDescent="0.25">
      <c r="B1048" s="99" t="s">
        <v>108</v>
      </c>
      <c r="C1048" s="100">
        <v>1</v>
      </c>
      <c r="D1048" s="103">
        <f>$C1048*VLOOKUP($B1048,FoodDB!$A$2:$I$1018,3,0)</f>
        <v>0</v>
      </c>
      <c r="E1048" s="103">
        <f>$C1048*VLOOKUP($B1048,FoodDB!$A$2:$I$1018,4,0)</f>
        <v>0</v>
      </c>
      <c r="F1048" s="103">
        <f>$C1048*VLOOKUP($B1048,FoodDB!$A$2:$I$1018,5,0)</f>
        <v>0</v>
      </c>
      <c r="G1048" s="103">
        <f>$C1048*VLOOKUP($B1048,FoodDB!$A$2:$I$1018,6,0)</f>
        <v>0</v>
      </c>
      <c r="H1048" s="103">
        <f>$C1048*VLOOKUP($B1048,FoodDB!$A$2:$I$1018,7,0)</f>
        <v>0</v>
      </c>
      <c r="I1048" s="103">
        <f>$C1048*VLOOKUP($B1048,FoodDB!$A$2:$I$1018,8,0)</f>
        <v>0</v>
      </c>
      <c r="J1048" s="103">
        <f>$C1048*VLOOKUP($B1048,FoodDB!$A$2:$I$1018,9,0)</f>
        <v>0</v>
      </c>
      <c r="K1048" s="103"/>
      <c r="L1048" s="103"/>
      <c r="M1048" s="103"/>
      <c r="N1048" s="103"/>
      <c r="O1048" s="103"/>
      <c r="P1048" s="103"/>
      <c r="Q1048" s="103"/>
      <c r="R1048" s="103"/>
      <c r="S1048" s="103"/>
    </row>
    <row r="1049" spans="1:19" x14ac:dyDescent="0.25">
      <c r="A1049" t="s">
        <v>98</v>
      </c>
      <c r="D1049" s="103"/>
      <c r="E1049" s="103"/>
      <c r="F1049" s="103"/>
      <c r="G1049" s="103">
        <f>SUM(G1042:G1048)</f>
        <v>0</v>
      </c>
      <c r="H1049" s="103">
        <f>SUM(H1042:H1048)</f>
        <v>0</v>
      </c>
      <c r="I1049" s="103">
        <f>SUM(I1042:I1048)</f>
        <v>0</v>
      </c>
      <c r="J1049" s="103">
        <f>SUM(G1049:I1049)</f>
        <v>0</v>
      </c>
      <c r="K1049" s="103"/>
      <c r="L1049" s="103"/>
      <c r="M1049" s="103"/>
      <c r="N1049" s="103"/>
      <c r="O1049" s="103"/>
      <c r="P1049" s="103"/>
      <c r="Q1049" s="103"/>
      <c r="R1049" s="103"/>
      <c r="S1049" s="103"/>
    </row>
    <row r="1050" spans="1:19" x14ac:dyDescent="0.25">
      <c r="A1050" t="s">
        <v>102</v>
      </c>
      <c r="B1050" t="s">
        <v>103</v>
      </c>
      <c r="D1050" s="103"/>
      <c r="E1050" s="103"/>
      <c r="F1050" s="103"/>
      <c r="G1050" s="103">
        <f>VLOOKUP($A1042,LossChart!$A$3:$AB$105,14,0)</f>
        <v>804.60152765082512</v>
      </c>
      <c r="H1050" s="103">
        <f>VLOOKUP($A1042,LossChart!$A$3:$AB$105,15,0)</f>
        <v>100</v>
      </c>
      <c r="I1050" s="103">
        <f>VLOOKUP($A1042,LossChart!$A$3:$AB$105,16,0)</f>
        <v>477.30407413615825</v>
      </c>
      <c r="J1050" s="103">
        <f>VLOOKUP($A1042,LossChart!$A$3:$AB$105,17,0)</f>
        <v>1381.9056017869834</v>
      </c>
      <c r="K1050" s="103"/>
      <c r="L1050" s="103"/>
      <c r="M1050" s="103"/>
      <c r="N1050" s="103"/>
      <c r="O1050" s="103"/>
      <c r="P1050" s="103"/>
      <c r="Q1050" s="103"/>
      <c r="R1050" s="103"/>
      <c r="S1050" s="103"/>
    </row>
    <row r="1051" spans="1:19" x14ac:dyDescent="0.25">
      <c r="A1051" t="s">
        <v>104</v>
      </c>
      <c r="D1051" s="103"/>
      <c r="E1051" s="103"/>
      <c r="F1051" s="103"/>
      <c r="G1051" s="103">
        <f>G1050-G1049</f>
        <v>804.60152765082512</v>
      </c>
      <c r="H1051" s="103">
        <f>H1050-H1049</f>
        <v>100</v>
      </c>
      <c r="I1051" s="103">
        <f>I1050-I1049</f>
        <v>477.30407413615825</v>
      </c>
      <c r="J1051" s="103">
        <f>J1050-J1049</f>
        <v>1381.9056017869834</v>
      </c>
      <c r="K1051" s="103"/>
      <c r="L1051" s="103"/>
      <c r="M1051" s="103"/>
      <c r="N1051" s="103"/>
      <c r="O1051" s="103"/>
      <c r="P1051" s="103"/>
      <c r="Q1051" s="103"/>
      <c r="R1051" s="103"/>
      <c r="S1051" s="103"/>
    </row>
    <row r="1053" spans="1:19" ht="60" x14ac:dyDescent="0.25">
      <c r="A1053" s="26" t="s">
        <v>63</v>
      </c>
      <c r="B1053" s="26" t="s">
        <v>93</v>
      </c>
      <c r="C1053" s="26" t="s">
        <v>94</v>
      </c>
      <c r="D1053" s="97" t="str">
        <f>FoodDB!$C$1</f>
        <v>Fat
(g)</v>
      </c>
      <c r="E1053" s="97" t="str">
        <f>FoodDB!$D$1</f>
        <v xml:space="preserve"> Carbs
(g)</v>
      </c>
      <c r="F1053" s="97" t="str">
        <f>FoodDB!$E$1</f>
        <v>Protein
(g)</v>
      </c>
      <c r="G1053" s="97" t="str">
        <f>FoodDB!$F$1</f>
        <v>Fat
(Cal)</v>
      </c>
      <c r="H1053" s="97" t="str">
        <f>FoodDB!$G$1</f>
        <v>Carb
(Cal)</v>
      </c>
      <c r="I1053" s="97" t="str">
        <f>FoodDB!$H$1</f>
        <v>Protein
(Cal)</v>
      </c>
      <c r="J1053" s="97" t="str">
        <f>FoodDB!$I$1</f>
        <v>Total
Calories</v>
      </c>
      <c r="K1053" s="97"/>
      <c r="L1053" s="97" t="s">
        <v>110</v>
      </c>
      <c r="M1053" s="97" t="s">
        <v>111</v>
      </c>
      <c r="N1053" s="97" t="s">
        <v>112</v>
      </c>
      <c r="O1053" s="97" t="s">
        <v>113</v>
      </c>
      <c r="P1053" s="97" t="s">
        <v>118</v>
      </c>
      <c r="Q1053" s="97" t="s">
        <v>119</v>
      </c>
      <c r="R1053" s="97" t="s">
        <v>120</v>
      </c>
      <c r="S1053" s="97" t="s">
        <v>121</v>
      </c>
    </row>
    <row r="1054" spans="1:19" x14ac:dyDescent="0.25">
      <c r="A1054" s="98">
        <f>A1042+1</f>
        <v>43081</v>
      </c>
      <c r="B1054" s="99" t="s">
        <v>108</v>
      </c>
      <c r="C1054" s="100">
        <v>1</v>
      </c>
      <c r="D1054" s="103">
        <f>$C1054*VLOOKUP($B1054,FoodDB!$A$2:$I$1018,3,0)</f>
        <v>0</v>
      </c>
      <c r="E1054" s="103">
        <f>$C1054*VLOOKUP($B1054,FoodDB!$A$2:$I$1018,4,0)</f>
        <v>0</v>
      </c>
      <c r="F1054" s="103">
        <f>$C1054*VLOOKUP($B1054,FoodDB!$A$2:$I$1018,5,0)</f>
        <v>0</v>
      </c>
      <c r="G1054" s="103">
        <f>$C1054*VLOOKUP($B1054,FoodDB!$A$2:$I$1018,6,0)</f>
        <v>0</v>
      </c>
      <c r="H1054" s="103">
        <f>$C1054*VLOOKUP($B1054,FoodDB!$A$2:$I$1018,7,0)</f>
        <v>0</v>
      </c>
      <c r="I1054" s="103">
        <f>$C1054*VLOOKUP($B1054,FoodDB!$A$2:$I$1018,8,0)</f>
        <v>0</v>
      </c>
      <c r="J1054" s="103">
        <f>$C1054*VLOOKUP($B1054,FoodDB!$A$2:$I$1018,9,0)</f>
        <v>0</v>
      </c>
      <c r="K1054" s="103"/>
      <c r="L1054" s="103">
        <f>SUM(G1054:G1060)</f>
        <v>0</v>
      </c>
      <c r="M1054" s="103">
        <f>SUM(H1054:H1060)</f>
        <v>0</v>
      </c>
      <c r="N1054" s="103">
        <f>SUM(I1054:I1060)</f>
        <v>0</v>
      </c>
      <c r="O1054" s="103">
        <f>SUM(L1054:N1054)</f>
        <v>0</v>
      </c>
      <c r="P1054" s="103">
        <f>VLOOKUP($A1054,LossChart!$A$3:$AB$105,14,0)-L1054</f>
        <v>804.80036161513181</v>
      </c>
      <c r="Q1054" s="103">
        <f>VLOOKUP($A1054,LossChart!$A$3:$AB$105,15,0)-M1054</f>
        <v>104</v>
      </c>
      <c r="R1054" s="103">
        <f>VLOOKUP($A1054,LossChart!$A$3:$AB$105,16,0)-N1054</f>
        <v>477.30407413615825</v>
      </c>
      <c r="S1054" s="103">
        <f>VLOOKUP($A1054,LossChart!$A$3:$AB$105,17,0)-O1054</f>
        <v>1386.1044357512901</v>
      </c>
    </row>
    <row r="1055" spans="1:19" x14ac:dyDescent="0.25">
      <c r="B1055" s="99" t="s">
        <v>108</v>
      </c>
      <c r="C1055" s="100">
        <v>1</v>
      </c>
      <c r="D1055" s="103">
        <f>$C1055*VLOOKUP($B1055,FoodDB!$A$2:$I$1018,3,0)</f>
        <v>0</v>
      </c>
      <c r="E1055" s="103">
        <f>$C1055*VLOOKUP($B1055,FoodDB!$A$2:$I$1018,4,0)</f>
        <v>0</v>
      </c>
      <c r="F1055" s="103">
        <f>$C1055*VLOOKUP($B1055,FoodDB!$A$2:$I$1018,5,0)</f>
        <v>0</v>
      </c>
      <c r="G1055" s="103">
        <f>$C1055*VLOOKUP($B1055,FoodDB!$A$2:$I$1018,6,0)</f>
        <v>0</v>
      </c>
      <c r="H1055" s="103">
        <f>$C1055*VLOOKUP($B1055,FoodDB!$A$2:$I$1018,7,0)</f>
        <v>0</v>
      </c>
      <c r="I1055" s="103">
        <f>$C1055*VLOOKUP($B1055,FoodDB!$A$2:$I$1018,8,0)</f>
        <v>0</v>
      </c>
      <c r="J1055" s="103">
        <f>$C1055*VLOOKUP($B1055,FoodDB!$A$2:$I$1018,9,0)</f>
        <v>0</v>
      </c>
      <c r="K1055" s="103"/>
      <c r="L1055" s="103"/>
      <c r="M1055" s="103"/>
      <c r="N1055" s="103"/>
      <c r="O1055" s="103"/>
      <c r="P1055" s="103"/>
      <c r="Q1055" s="103"/>
      <c r="R1055" s="103"/>
      <c r="S1055" s="103"/>
    </row>
    <row r="1056" spans="1:19" x14ac:dyDescent="0.25">
      <c r="B1056" s="99" t="s">
        <v>108</v>
      </c>
      <c r="C1056" s="100">
        <v>1</v>
      </c>
      <c r="D1056" s="103">
        <f>$C1056*VLOOKUP($B1056,FoodDB!$A$2:$I$1018,3,0)</f>
        <v>0</v>
      </c>
      <c r="E1056" s="103">
        <f>$C1056*VLOOKUP($B1056,FoodDB!$A$2:$I$1018,4,0)</f>
        <v>0</v>
      </c>
      <c r="F1056" s="103">
        <f>$C1056*VLOOKUP($B1056,FoodDB!$A$2:$I$1018,5,0)</f>
        <v>0</v>
      </c>
      <c r="G1056" s="103">
        <f>$C1056*VLOOKUP($B1056,FoodDB!$A$2:$I$1018,6,0)</f>
        <v>0</v>
      </c>
      <c r="H1056" s="103">
        <f>$C1056*VLOOKUP($B1056,FoodDB!$A$2:$I$1018,7,0)</f>
        <v>0</v>
      </c>
      <c r="I1056" s="103">
        <f>$C1056*VLOOKUP($B1056,FoodDB!$A$2:$I$1018,8,0)</f>
        <v>0</v>
      </c>
      <c r="J1056" s="103">
        <f>$C1056*VLOOKUP($B1056,FoodDB!$A$2:$I$1018,9,0)</f>
        <v>0</v>
      </c>
      <c r="K1056" s="103"/>
      <c r="L1056" s="103"/>
      <c r="M1056" s="103"/>
      <c r="N1056" s="103"/>
      <c r="O1056" s="103"/>
      <c r="P1056" s="103"/>
      <c r="Q1056" s="103"/>
      <c r="R1056" s="103"/>
      <c r="S1056" s="103"/>
    </row>
    <row r="1057" spans="1:19" x14ac:dyDescent="0.25">
      <c r="B1057" s="99" t="s">
        <v>108</v>
      </c>
      <c r="C1057" s="100">
        <v>1</v>
      </c>
      <c r="D1057" s="103">
        <f>$C1057*VLOOKUP($B1057,FoodDB!$A$2:$I$1018,3,0)</f>
        <v>0</v>
      </c>
      <c r="E1057" s="103">
        <f>$C1057*VLOOKUP($B1057,FoodDB!$A$2:$I$1018,4,0)</f>
        <v>0</v>
      </c>
      <c r="F1057" s="103">
        <f>$C1057*VLOOKUP($B1057,FoodDB!$A$2:$I$1018,5,0)</f>
        <v>0</v>
      </c>
      <c r="G1057" s="103">
        <f>$C1057*VLOOKUP($B1057,FoodDB!$A$2:$I$1018,6,0)</f>
        <v>0</v>
      </c>
      <c r="H1057" s="103">
        <f>$C1057*VLOOKUP($B1057,FoodDB!$A$2:$I$1018,7,0)</f>
        <v>0</v>
      </c>
      <c r="I1057" s="103">
        <f>$C1057*VLOOKUP($B1057,FoodDB!$A$2:$I$1018,8,0)</f>
        <v>0</v>
      </c>
      <c r="J1057" s="103">
        <f>$C1057*VLOOKUP($B1057,FoodDB!$A$2:$I$1018,9,0)</f>
        <v>0</v>
      </c>
      <c r="K1057" s="103"/>
      <c r="L1057" s="103"/>
      <c r="M1057" s="103"/>
      <c r="N1057" s="103"/>
      <c r="O1057" s="103"/>
      <c r="P1057" s="103"/>
      <c r="Q1057" s="103"/>
      <c r="R1057" s="103"/>
      <c r="S1057" s="103"/>
    </row>
    <row r="1058" spans="1:19" x14ac:dyDescent="0.25">
      <c r="B1058" s="99" t="s">
        <v>108</v>
      </c>
      <c r="C1058" s="100">
        <v>1</v>
      </c>
      <c r="D1058" s="103">
        <f>$C1058*VLOOKUP($B1058,FoodDB!$A$2:$I$1018,3,0)</f>
        <v>0</v>
      </c>
      <c r="E1058" s="103">
        <f>$C1058*VLOOKUP($B1058,FoodDB!$A$2:$I$1018,4,0)</f>
        <v>0</v>
      </c>
      <c r="F1058" s="103">
        <f>$C1058*VLOOKUP($B1058,FoodDB!$A$2:$I$1018,5,0)</f>
        <v>0</v>
      </c>
      <c r="G1058" s="103">
        <f>$C1058*VLOOKUP($B1058,FoodDB!$A$2:$I$1018,6,0)</f>
        <v>0</v>
      </c>
      <c r="H1058" s="103">
        <f>$C1058*VLOOKUP($B1058,FoodDB!$A$2:$I$1018,7,0)</f>
        <v>0</v>
      </c>
      <c r="I1058" s="103">
        <f>$C1058*VLOOKUP($B1058,FoodDB!$A$2:$I$1018,8,0)</f>
        <v>0</v>
      </c>
      <c r="J1058" s="103">
        <f>$C1058*VLOOKUP($B1058,FoodDB!$A$2:$I$1018,9,0)</f>
        <v>0</v>
      </c>
      <c r="K1058" s="103"/>
      <c r="L1058" s="103"/>
      <c r="M1058" s="103"/>
      <c r="N1058" s="103"/>
      <c r="O1058" s="103"/>
      <c r="P1058" s="103"/>
      <c r="Q1058" s="103"/>
      <c r="R1058" s="103"/>
      <c r="S1058" s="103"/>
    </row>
    <row r="1059" spans="1:19" x14ac:dyDescent="0.25">
      <c r="B1059" s="99" t="s">
        <v>108</v>
      </c>
      <c r="C1059" s="100">
        <v>1</v>
      </c>
      <c r="D1059" s="103">
        <f>$C1059*VLOOKUP($B1059,FoodDB!$A$2:$I$1018,3,0)</f>
        <v>0</v>
      </c>
      <c r="E1059" s="103">
        <f>$C1059*VLOOKUP($B1059,FoodDB!$A$2:$I$1018,4,0)</f>
        <v>0</v>
      </c>
      <c r="F1059" s="103">
        <f>$C1059*VLOOKUP($B1059,FoodDB!$A$2:$I$1018,5,0)</f>
        <v>0</v>
      </c>
      <c r="G1059" s="103">
        <f>$C1059*VLOOKUP($B1059,FoodDB!$A$2:$I$1018,6,0)</f>
        <v>0</v>
      </c>
      <c r="H1059" s="103">
        <f>$C1059*VLOOKUP($B1059,FoodDB!$A$2:$I$1018,7,0)</f>
        <v>0</v>
      </c>
      <c r="I1059" s="103">
        <f>$C1059*VLOOKUP($B1059,FoodDB!$A$2:$I$1018,8,0)</f>
        <v>0</v>
      </c>
      <c r="J1059" s="103">
        <f>$C1059*VLOOKUP($B1059,FoodDB!$A$2:$I$1018,9,0)</f>
        <v>0</v>
      </c>
      <c r="K1059" s="103"/>
      <c r="L1059" s="103"/>
      <c r="M1059" s="103"/>
      <c r="N1059" s="103"/>
      <c r="O1059" s="103"/>
      <c r="P1059" s="103"/>
      <c r="Q1059" s="103"/>
      <c r="R1059" s="103"/>
      <c r="S1059" s="103"/>
    </row>
    <row r="1060" spans="1:19" x14ac:dyDescent="0.25">
      <c r="B1060" s="99" t="s">
        <v>108</v>
      </c>
      <c r="C1060" s="100">
        <v>1</v>
      </c>
      <c r="D1060" s="103">
        <f>$C1060*VLOOKUP($B1060,FoodDB!$A$2:$I$1018,3,0)</f>
        <v>0</v>
      </c>
      <c r="E1060" s="103">
        <f>$C1060*VLOOKUP($B1060,FoodDB!$A$2:$I$1018,4,0)</f>
        <v>0</v>
      </c>
      <c r="F1060" s="103">
        <f>$C1060*VLOOKUP($B1060,FoodDB!$A$2:$I$1018,5,0)</f>
        <v>0</v>
      </c>
      <c r="G1060" s="103">
        <f>$C1060*VLOOKUP($B1060,FoodDB!$A$2:$I$1018,6,0)</f>
        <v>0</v>
      </c>
      <c r="H1060" s="103">
        <f>$C1060*VLOOKUP($B1060,FoodDB!$A$2:$I$1018,7,0)</f>
        <v>0</v>
      </c>
      <c r="I1060" s="103">
        <f>$C1060*VLOOKUP($B1060,FoodDB!$A$2:$I$1018,8,0)</f>
        <v>0</v>
      </c>
      <c r="J1060" s="103">
        <f>$C1060*VLOOKUP($B1060,FoodDB!$A$2:$I$1018,9,0)</f>
        <v>0</v>
      </c>
      <c r="K1060" s="103"/>
      <c r="L1060" s="103"/>
      <c r="M1060" s="103"/>
      <c r="N1060" s="103"/>
      <c r="O1060" s="103"/>
      <c r="P1060" s="103"/>
      <c r="Q1060" s="103"/>
      <c r="R1060" s="103"/>
      <c r="S1060" s="103"/>
    </row>
    <row r="1061" spans="1:19" x14ac:dyDescent="0.25">
      <c r="A1061" t="s">
        <v>98</v>
      </c>
      <c r="D1061" s="103"/>
      <c r="E1061" s="103"/>
      <c r="F1061" s="103"/>
      <c r="G1061" s="103">
        <f>SUM(G1054:G1060)</f>
        <v>0</v>
      </c>
      <c r="H1061" s="103">
        <f>SUM(H1054:H1060)</f>
        <v>0</v>
      </c>
      <c r="I1061" s="103">
        <f>SUM(I1054:I1060)</f>
        <v>0</v>
      </c>
      <c r="J1061" s="103">
        <f>SUM(G1061:I1061)</f>
        <v>0</v>
      </c>
      <c r="K1061" s="103"/>
      <c r="L1061" s="103"/>
      <c r="M1061" s="103"/>
      <c r="N1061" s="103"/>
      <c r="O1061" s="103"/>
      <c r="P1061" s="103"/>
      <c r="Q1061" s="103"/>
      <c r="R1061" s="103"/>
      <c r="S1061" s="103"/>
    </row>
    <row r="1062" spans="1:19" x14ac:dyDescent="0.25">
      <c r="A1062" t="s">
        <v>102</v>
      </c>
      <c r="B1062" t="s">
        <v>103</v>
      </c>
      <c r="D1062" s="103"/>
      <c r="E1062" s="103"/>
      <c r="F1062" s="103"/>
      <c r="G1062" s="103">
        <f>VLOOKUP($A1054,LossChart!$A$3:$AB$105,14,0)</f>
        <v>804.80036161513181</v>
      </c>
      <c r="H1062" s="103">
        <f>VLOOKUP($A1054,LossChart!$A$3:$AB$105,15,0)</f>
        <v>104</v>
      </c>
      <c r="I1062" s="103">
        <f>VLOOKUP($A1054,LossChart!$A$3:$AB$105,16,0)</f>
        <v>477.30407413615825</v>
      </c>
      <c r="J1062" s="103">
        <f>VLOOKUP($A1054,LossChart!$A$3:$AB$105,17,0)</f>
        <v>1386.1044357512901</v>
      </c>
      <c r="K1062" s="103"/>
      <c r="L1062" s="103"/>
      <c r="M1062" s="103"/>
      <c r="N1062" s="103"/>
      <c r="O1062" s="103"/>
      <c r="P1062" s="103"/>
      <c r="Q1062" s="103"/>
      <c r="R1062" s="103"/>
      <c r="S1062" s="103"/>
    </row>
    <row r="1063" spans="1:19" x14ac:dyDescent="0.25">
      <c r="A1063" t="s">
        <v>104</v>
      </c>
      <c r="D1063" s="103"/>
      <c r="E1063" s="103"/>
      <c r="F1063" s="103"/>
      <c r="G1063" s="103">
        <f>G1062-G1061</f>
        <v>804.80036161513181</v>
      </c>
      <c r="H1063" s="103">
        <f>H1062-H1061</f>
        <v>104</v>
      </c>
      <c r="I1063" s="103">
        <f>I1062-I1061</f>
        <v>477.30407413615825</v>
      </c>
      <c r="J1063" s="103">
        <f>J1062-J1061</f>
        <v>1386.1044357512901</v>
      </c>
      <c r="K1063" s="103"/>
      <c r="L1063" s="103"/>
      <c r="M1063" s="103"/>
      <c r="N1063" s="103"/>
      <c r="O1063" s="103"/>
      <c r="P1063" s="103"/>
      <c r="Q1063" s="103"/>
      <c r="R1063" s="103"/>
      <c r="S1063" s="103"/>
    </row>
    <row r="1065" spans="1:19" ht="60" x14ac:dyDescent="0.25">
      <c r="A1065" s="26" t="s">
        <v>63</v>
      </c>
      <c r="B1065" s="26" t="s">
        <v>93</v>
      </c>
      <c r="C1065" s="26" t="s">
        <v>94</v>
      </c>
      <c r="D1065" s="97" t="str">
        <f>FoodDB!$C$1</f>
        <v>Fat
(g)</v>
      </c>
      <c r="E1065" s="97" t="str">
        <f>FoodDB!$D$1</f>
        <v xml:space="preserve"> Carbs
(g)</v>
      </c>
      <c r="F1065" s="97" t="str">
        <f>FoodDB!$E$1</f>
        <v>Protein
(g)</v>
      </c>
      <c r="G1065" s="97" t="str">
        <f>FoodDB!$F$1</f>
        <v>Fat
(Cal)</v>
      </c>
      <c r="H1065" s="97" t="str">
        <f>FoodDB!$G$1</f>
        <v>Carb
(Cal)</v>
      </c>
      <c r="I1065" s="97" t="str">
        <f>FoodDB!$H$1</f>
        <v>Protein
(Cal)</v>
      </c>
      <c r="J1065" s="97" t="str">
        <f>FoodDB!$I$1</f>
        <v>Total
Calories</v>
      </c>
      <c r="K1065" s="97"/>
      <c r="L1065" s="97" t="s">
        <v>110</v>
      </c>
      <c r="M1065" s="97" t="s">
        <v>111</v>
      </c>
      <c r="N1065" s="97" t="s">
        <v>112</v>
      </c>
      <c r="O1065" s="97" t="s">
        <v>113</v>
      </c>
      <c r="P1065" s="97" t="s">
        <v>118</v>
      </c>
      <c r="Q1065" s="97" t="s">
        <v>119</v>
      </c>
      <c r="R1065" s="97" t="s">
        <v>120</v>
      </c>
      <c r="S1065" s="97" t="s">
        <v>121</v>
      </c>
    </row>
    <row r="1066" spans="1:19" x14ac:dyDescent="0.25">
      <c r="A1066" s="98">
        <f>A1054+1</f>
        <v>43082</v>
      </c>
      <c r="B1066" s="99" t="s">
        <v>108</v>
      </c>
      <c r="C1066" s="100">
        <v>1</v>
      </c>
      <c r="D1066" s="103">
        <f>$C1066*VLOOKUP($B1066,FoodDB!$A$2:$I$1018,3,0)</f>
        <v>0</v>
      </c>
      <c r="E1066" s="103">
        <f>$C1066*VLOOKUP($B1066,FoodDB!$A$2:$I$1018,4,0)</f>
        <v>0</v>
      </c>
      <c r="F1066" s="103">
        <f>$C1066*VLOOKUP($B1066,FoodDB!$A$2:$I$1018,5,0)</f>
        <v>0</v>
      </c>
      <c r="G1066" s="103">
        <f>$C1066*VLOOKUP($B1066,FoodDB!$A$2:$I$1018,6,0)</f>
        <v>0</v>
      </c>
      <c r="H1066" s="103">
        <f>$C1066*VLOOKUP($B1066,FoodDB!$A$2:$I$1018,7,0)</f>
        <v>0</v>
      </c>
      <c r="I1066" s="103">
        <f>$C1066*VLOOKUP($B1066,FoodDB!$A$2:$I$1018,8,0)</f>
        <v>0</v>
      </c>
      <c r="J1066" s="103">
        <f>$C1066*VLOOKUP($B1066,FoodDB!$A$2:$I$1018,9,0)</f>
        <v>0</v>
      </c>
      <c r="K1066" s="103"/>
      <c r="L1066" s="103">
        <f>SUM(G1066:G1072)</f>
        <v>0</v>
      </c>
      <c r="M1066" s="103">
        <f>SUM(H1066:H1072)</f>
        <v>0</v>
      </c>
      <c r="N1066" s="103">
        <f>SUM(I1066:I1072)</f>
        <v>0</v>
      </c>
      <c r="O1066" s="103">
        <f>SUM(L1066:N1066)</f>
        <v>0</v>
      </c>
      <c r="P1066" s="103">
        <f>VLOOKUP($A1066,LossChart!$A$3:$AB$105,14,0)-L1066</f>
        <v>804.96200590718377</v>
      </c>
      <c r="Q1066" s="103">
        <f>VLOOKUP($A1066,LossChart!$A$3:$AB$105,15,0)-M1066</f>
        <v>108</v>
      </c>
      <c r="R1066" s="103">
        <f>VLOOKUP($A1066,LossChart!$A$3:$AB$105,16,0)-N1066</f>
        <v>477.30407413615825</v>
      </c>
      <c r="S1066" s="103">
        <f>VLOOKUP($A1066,LossChart!$A$3:$AB$105,17,0)-O1066</f>
        <v>1390.2660800433421</v>
      </c>
    </row>
    <row r="1067" spans="1:19" x14ac:dyDescent="0.25">
      <c r="B1067" s="99" t="s">
        <v>108</v>
      </c>
      <c r="C1067" s="100">
        <v>1</v>
      </c>
      <c r="D1067" s="103">
        <f>$C1067*VLOOKUP($B1067,FoodDB!$A$2:$I$1018,3,0)</f>
        <v>0</v>
      </c>
      <c r="E1067" s="103">
        <f>$C1067*VLOOKUP($B1067,FoodDB!$A$2:$I$1018,4,0)</f>
        <v>0</v>
      </c>
      <c r="F1067" s="103">
        <f>$C1067*VLOOKUP($B1067,FoodDB!$A$2:$I$1018,5,0)</f>
        <v>0</v>
      </c>
      <c r="G1067" s="103">
        <f>$C1067*VLOOKUP($B1067,FoodDB!$A$2:$I$1018,6,0)</f>
        <v>0</v>
      </c>
      <c r="H1067" s="103">
        <f>$C1067*VLOOKUP($B1067,FoodDB!$A$2:$I$1018,7,0)</f>
        <v>0</v>
      </c>
      <c r="I1067" s="103">
        <f>$C1067*VLOOKUP($B1067,FoodDB!$A$2:$I$1018,8,0)</f>
        <v>0</v>
      </c>
      <c r="J1067" s="103">
        <f>$C1067*VLOOKUP($B1067,FoodDB!$A$2:$I$1018,9,0)</f>
        <v>0</v>
      </c>
      <c r="K1067" s="103"/>
      <c r="L1067" s="103"/>
      <c r="M1067" s="103"/>
      <c r="N1067" s="103"/>
      <c r="O1067" s="103"/>
      <c r="P1067" s="103"/>
      <c r="Q1067" s="103"/>
      <c r="R1067" s="103"/>
      <c r="S1067" s="103"/>
    </row>
    <row r="1068" spans="1:19" x14ac:dyDescent="0.25">
      <c r="B1068" s="99" t="s">
        <v>108</v>
      </c>
      <c r="C1068" s="100">
        <v>1</v>
      </c>
      <c r="D1068" s="103">
        <f>$C1068*VLOOKUP($B1068,FoodDB!$A$2:$I$1018,3,0)</f>
        <v>0</v>
      </c>
      <c r="E1068" s="103">
        <f>$C1068*VLOOKUP($B1068,FoodDB!$A$2:$I$1018,4,0)</f>
        <v>0</v>
      </c>
      <c r="F1068" s="103">
        <f>$C1068*VLOOKUP($B1068,FoodDB!$A$2:$I$1018,5,0)</f>
        <v>0</v>
      </c>
      <c r="G1068" s="103">
        <f>$C1068*VLOOKUP($B1068,FoodDB!$A$2:$I$1018,6,0)</f>
        <v>0</v>
      </c>
      <c r="H1068" s="103">
        <f>$C1068*VLOOKUP($B1068,FoodDB!$A$2:$I$1018,7,0)</f>
        <v>0</v>
      </c>
      <c r="I1068" s="103">
        <f>$C1068*VLOOKUP($B1068,FoodDB!$A$2:$I$1018,8,0)</f>
        <v>0</v>
      </c>
      <c r="J1068" s="103">
        <f>$C1068*VLOOKUP($B1068,FoodDB!$A$2:$I$1018,9,0)</f>
        <v>0</v>
      </c>
      <c r="K1068" s="103"/>
      <c r="L1068" s="103"/>
      <c r="M1068" s="103"/>
      <c r="N1068" s="103"/>
      <c r="O1068" s="103"/>
      <c r="P1068" s="103"/>
      <c r="Q1068" s="103"/>
      <c r="R1068" s="103"/>
      <c r="S1068" s="103"/>
    </row>
    <row r="1069" spans="1:19" x14ac:dyDescent="0.25">
      <c r="B1069" s="99" t="s">
        <v>108</v>
      </c>
      <c r="C1069" s="100">
        <v>1</v>
      </c>
      <c r="D1069" s="103">
        <f>$C1069*VLOOKUP($B1069,FoodDB!$A$2:$I$1018,3,0)</f>
        <v>0</v>
      </c>
      <c r="E1069" s="103">
        <f>$C1069*VLOOKUP($B1069,FoodDB!$A$2:$I$1018,4,0)</f>
        <v>0</v>
      </c>
      <c r="F1069" s="103">
        <f>$C1069*VLOOKUP($B1069,FoodDB!$A$2:$I$1018,5,0)</f>
        <v>0</v>
      </c>
      <c r="G1069" s="103">
        <f>$C1069*VLOOKUP($B1069,FoodDB!$A$2:$I$1018,6,0)</f>
        <v>0</v>
      </c>
      <c r="H1069" s="103">
        <f>$C1069*VLOOKUP($B1069,FoodDB!$A$2:$I$1018,7,0)</f>
        <v>0</v>
      </c>
      <c r="I1069" s="103">
        <f>$C1069*VLOOKUP($B1069,FoodDB!$A$2:$I$1018,8,0)</f>
        <v>0</v>
      </c>
      <c r="J1069" s="103">
        <f>$C1069*VLOOKUP($B1069,FoodDB!$A$2:$I$1018,9,0)</f>
        <v>0</v>
      </c>
      <c r="K1069" s="103"/>
      <c r="L1069" s="103"/>
      <c r="M1069" s="103"/>
      <c r="N1069" s="103"/>
      <c r="O1069" s="103"/>
      <c r="P1069" s="103"/>
      <c r="Q1069" s="103"/>
      <c r="R1069" s="103"/>
      <c r="S1069" s="103"/>
    </row>
    <row r="1070" spans="1:19" x14ac:dyDescent="0.25">
      <c r="B1070" s="99" t="s">
        <v>108</v>
      </c>
      <c r="C1070" s="100">
        <v>1</v>
      </c>
      <c r="D1070" s="103">
        <f>$C1070*VLOOKUP($B1070,FoodDB!$A$2:$I$1018,3,0)</f>
        <v>0</v>
      </c>
      <c r="E1070" s="103">
        <f>$C1070*VLOOKUP($B1070,FoodDB!$A$2:$I$1018,4,0)</f>
        <v>0</v>
      </c>
      <c r="F1070" s="103">
        <f>$C1070*VLOOKUP($B1070,FoodDB!$A$2:$I$1018,5,0)</f>
        <v>0</v>
      </c>
      <c r="G1070" s="103">
        <f>$C1070*VLOOKUP($B1070,FoodDB!$A$2:$I$1018,6,0)</f>
        <v>0</v>
      </c>
      <c r="H1070" s="103">
        <f>$C1070*VLOOKUP($B1070,FoodDB!$A$2:$I$1018,7,0)</f>
        <v>0</v>
      </c>
      <c r="I1070" s="103">
        <f>$C1070*VLOOKUP($B1070,FoodDB!$A$2:$I$1018,8,0)</f>
        <v>0</v>
      </c>
      <c r="J1070" s="103">
        <f>$C1070*VLOOKUP($B1070,FoodDB!$A$2:$I$1018,9,0)</f>
        <v>0</v>
      </c>
      <c r="K1070" s="103"/>
      <c r="L1070" s="103"/>
      <c r="M1070" s="103"/>
      <c r="N1070" s="103"/>
      <c r="O1070" s="103"/>
      <c r="P1070" s="103"/>
      <c r="Q1070" s="103"/>
      <c r="R1070" s="103"/>
      <c r="S1070" s="103"/>
    </row>
    <row r="1071" spans="1:19" x14ac:dyDescent="0.25">
      <c r="B1071" s="99" t="s">
        <v>108</v>
      </c>
      <c r="C1071" s="100">
        <v>1</v>
      </c>
      <c r="D1071" s="103">
        <f>$C1071*VLOOKUP($B1071,FoodDB!$A$2:$I$1018,3,0)</f>
        <v>0</v>
      </c>
      <c r="E1071" s="103">
        <f>$C1071*VLOOKUP($B1071,FoodDB!$A$2:$I$1018,4,0)</f>
        <v>0</v>
      </c>
      <c r="F1071" s="103">
        <f>$C1071*VLOOKUP($B1071,FoodDB!$A$2:$I$1018,5,0)</f>
        <v>0</v>
      </c>
      <c r="G1071" s="103">
        <f>$C1071*VLOOKUP($B1071,FoodDB!$A$2:$I$1018,6,0)</f>
        <v>0</v>
      </c>
      <c r="H1071" s="103">
        <f>$C1071*VLOOKUP($B1071,FoodDB!$A$2:$I$1018,7,0)</f>
        <v>0</v>
      </c>
      <c r="I1071" s="103">
        <f>$C1071*VLOOKUP($B1071,FoodDB!$A$2:$I$1018,8,0)</f>
        <v>0</v>
      </c>
      <c r="J1071" s="103">
        <f>$C1071*VLOOKUP($B1071,FoodDB!$A$2:$I$1018,9,0)</f>
        <v>0</v>
      </c>
      <c r="K1071" s="103"/>
      <c r="L1071" s="103"/>
      <c r="M1071" s="103"/>
      <c r="N1071" s="103"/>
      <c r="O1071" s="103"/>
      <c r="P1071" s="103"/>
      <c r="Q1071" s="103"/>
      <c r="R1071" s="103"/>
      <c r="S1071" s="103"/>
    </row>
    <row r="1072" spans="1:19" x14ac:dyDescent="0.25">
      <c r="B1072" s="99" t="s">
        <v>108</v>
      </c>
      <c r="C1072" s="100">
        <v>1</v>
      </c>
      <c r="D1072" s="103">
        <f>$C1072*VLOOKUP($B1072,FoodDB!$A$2:$I$1018,3,0)</f>
        <v>0</v>
      </c>
      <c r="E1072" s="103">
        <f>$C1072*VLOOKUP($B1072,FoodDB!$A$2:$I$1018,4,0)</f>
        <v>0</v>
      </c>
      <c r="F1072" s="103">
        <f>$C1072*VLOOKUP($B1072,FoodDB!$A$2:$I$1018,5,0)</f>
        <v>0</v>
      </c>
      <c r="G1072" s="103">
        <f>$C1072*VLOOKUP($B1072,FoodDB!$A$2:$I$1018,6,0)</f>
        <v>0</v>
      </c>
      <c r="H1072" s="103">
        <f>$C1072*VLOOKUP($B1072,FoodDB!$A$2:$I$1018,7,0)</f>
        <v>0</v>
      </c>
      <c r="I1072" s="103">
        <f>$C1072*VLOOKUP($B1072,FoodDB!$A$2:$I$1018,8,0)</f>
        <v>0</v>
      </c>
      <c r="J1072" s="103">
        <f>$C1072*VLOOKUP($B1072,FoodDB!$A$2:$I$1018,9,0)</f>
        <v>0</v>
      </c>
      <c r="K1072" s="103"/>
      <c r="L1072" s="103"/>
      <c r="M1072" s="103"/>
      <c r="N1072" s="103"/>
      <c r="O1072" s="103"/>
      <c r="P1072" s="103"/>
      <c r="Q1072" s="103"/>
      <c r="R1072" s="103"/>
      <c r="S1072" s="103"/>
    </row>
    <row r="1073" spans="1:19" x14ac:dyDescent="0.25">
      <c r="A1073" t="s">
        <v>98</v>
      </c>
      <c r="D1073" s="103"/>
      <c r="E1073" s="103"/>
      <c r="F1073" s="103"/>
      <c r="G1073" s="103">
        <f>SUM(G1066:G1072)</f>
        <v>0</v>
      </c>
      <c r="H1073" s="103">
        <f>SUM(H1066:H1072)</f>
        <v>0</v>
      </c>
      <c r="I1073" s="103">
        <f>SUM(I1066:I1072)</f>
        <v>0</v>
      </c>
      <c r="J1073" s="103">
        <f>SUM(G1073:I1073)</f>
        <v>0</v>
      </c>
      <c r="K1073" s="103"/>
      <c r="L1073" s="103"/>
      <c r="M1073" s="103"/>
      <c r="N1073" s="103"/>
      <c r="O1073" s="103"/>
      <c r="P1073" s="103"/>
      <c r="Q1073" s="103"/>
      <c r="R1073" s="103"/>
      <c r="S1073" s="103"/>
    </row>
    <row r="1074" spans="1:19" x14ac:dyDescent="0.25">
      <c r="A1074" t="s">
        <v>102</v>
      </c>
      <c r="B1074" t="s">
        <v>103</v>
      </c>
      <c r="D1074" s="103"/>
      <c r="E1074" s="103"/>
      <c r="F1074" s="103"/>
      <c r="G1074" s="103">
        <f>VLOOKUP($A1066,LossChart!$A$3:$AB$105,14,0)</f>
        <v>804.96200590718377</v>
      </c>
      <c r="H1074" s="103">
        <f>VLOOKUP($A1066,LossChart!$A$3:$AB$105,15,0)</f>
        <v>108</v>
      </c>
      <c r="I1074" s="103">
        <f>VLOOKUP($A1066,LossChart!$A$3:$AB$105,16,0)</f>
        <v>477.30407413615825</v>
      </c>
      <c r="J1074" s="103">
        <f>VLOOKUP($A1066,LossChart!$A$3:$AB$105,17,0)</f>
        <v>1390.2660800433421</v>
      </c>
      <c r="K1074" s="103"/>
      <c r="L1074" s="103"/>
      <c r="M1074" s="103"/>
      <c r="N1074" s="103"/>
      <c r="O1074" s="103"/>
      <c r="P1074" s="103"/>
      <c r="Q1074" s="103"/>
      <c r="R1074" s="103"/>
      <c r="S1074" s="103"/>
    </row>
    <row r="1075" spans="1:19" x14ac:dyDescent="0.25">
      <c r="A1075" t="s">
        <v>104</v>
      </c>
      <c r="D1075" s="103"/>
      <c r="E1075" s="103"/>
      <c r="F1075" s="103"/>
      <c r="G1075" s="103">
        <f>G1074-G1073</f>
        <v>804.96200590718377</v>
      </c>
      <c r="H1075" s="103">
        <f>H1074-H1073</f>
        <v>108</v>
      </c>
      <c r="I1075" s="103">
        <f>I1074-I1073</f>
        <v>477.30407413615825</v>
      </c>
      <c r="J1075" s="103">
        <f>J1074-J1073</f>
        <v>1390.2660800433421</v>
      </c>
      <c r="K1075" s="103"/>
      <c r="L1075" s="103"/>
      <c r="M1075" s="103"/>
      <c r="N1075" s="103"/>
      <c r="O1075" s="103"/>
      <c r="P1075" s="103"/>
      <c r="Q1075" s="103"/>
      <c r="R1075" s="103"/>
      <c r="S1075" s="103"/>
    </row>
    <row r="1077" spans="1:19" ht="60" x14ac:dyDescent="0.25">
      <c r="A1077" s="26" t="s">
        <v>63</v>
      </c>
      <c r="B1077" s="26" t="s">
        <v>93</v>
      </c>
      <c r="C1077" s="26" t="s">
        <v>94</v>
      </c>
      <c r="D1077" s="97" t="str">
        <f>FoodDB!$C$1</f>
        <v>Fat
(g)</v>
      </c>
      <c r="E1077" s="97" t="str">
        <f>FoodDB!$D$1</f>
        <v xml:space="preserve"> Carbs
(g)</v>
      </c>
      <c r="F1077" s="97" t="str">
        <f>FoodDB!$E$1</f>
        <v>Protein
(g)</v>
      </c>
      <c r="G1077" s="97" t="str">
        <f>FoodDB!$F$1</f>
        <v>Fat
(Cal)</v>
      </c>
      <c r="H1077" s="97" t="str">
        <f>FoodDB!$G$1</f>
        <v>Carb
(Cal)</v>
      </c>
      <c r="I1077" s="97" t="str">
        <f>FoodDB!$H$1</f>
        <v>Protein
(Cal)</v>
      </c>
      <c r="J1077" s="97" t="str">
        <f>FoodDB!$I$1</f>
        <v>Total
Calories</v>
      </c>
      <c r="K1077" s="97"/>
      <c r="L1077" s="97" t="s">
        <v>110</v>
      </c>
      <c r="M1077" s="97" t="s">
        <v>111</v>
      </c>
      <c r="N1077" s="97" t="s">
        <v>112</v>
      </c>
      <c r="O1077" s="97" t="s">
        <v>113</v>
      </c>
      <c r="P1077" s="97" t="s">
        <v>118</v>
      </c>
      <c r="Q1077" s="97" t="s">
        <v>119</v>
      </c>
      <c r="R1077" s="97" t="s">
        <v>120</v>
      </c>
      <c r="S1077" s="97" t="s">
        <v>121</v>
      </c>
    </row>
    <row r="1078" spans="1:19" x14ac:dyDescent="0.25">
      <c r="A1078" s="98">
        <f>A1066+1</f>
        <v>43083</v>
      </c>
      <c r="B1078" s="99" t="s">
        <v>108</v>
      </c>
      <c r="C1078" s="100">
        <v>1</v>
      </c>
      <c r="D1078" s="103">
        <f>$C1078*VLOOKUP($B1078,FoodDB!$A$2:$I$1018,3,0)</f>
        <v>0</v>
      </c>
      <c r="E1078" s="103">
        <f>$C1078*VLOOKUP($B1078,FoodDB!$A$2:$I$1018,4,0)</f>
        <v>0</v>
      </c>
      <c r="F1078" s="103">
        <f>$C1078*VLOOKUP($B1078,FoodDB!$A$2:$I$1018,5,0)</f>
        <v>0</v>
      </c>
      <c r="G1078" s="103">
        <f>$C1078*VLOOKUP($B1078,FoodDB!$A$2:$I$1018,6,0)</f>
        <v>0</v>
      </c>
      <c r="H1078" s="103">
        <f>$C1078*VLOOKUP($B1078,FoodDB!$A$2:$I$1018,7,0)</f>
        <v>0</v>
      </c>
      <c r="I1078" s="103">
        <f>$C1078*VLOOKUP($B1078,FoodDB!$A$2:$I$1018,8,0)</f>
        <v>0</v>
      </c>
      <c r="J1078" s="103">
        <f>$C1078*VLOOKUP($B1078,FoodDB!$A$2:$I$1018,9,0)</f>
        <v>0</v>
      </c>
      <c r="K1078" s="103"/>
      <c r="L1078" s="103">
        <f>SUM(G1078:G1084)</f>
        <v>0</v>
      </c>
      <c r="M1078" s="103">
        <f>SUM(H1078:H1084)</f>
        <v>0</v>
      </c>
      <c r="N1078" s="103">
        <f>SUM(I1078:I1084)</f>
        <v>0</v>
      </c>
      <c r="O1078" s="103">
        <f>SUM(L1078:N1078)</f>
        <v>0</v>
      </c>
      <c r="P1078" s="103">
        <f>VLOOKUP($A1078,LossChart!$A$3:$AB$105,14,0)-L1078</f>
        <v>805.08678992122009</v>
      </c>
      <c r="Q1078" s="103">
        <f>VLOOKUP($A1078,LossChart!$A$3:$AB$105,15,0)-M1078</f>
        <v>112</v>
      </c>
      <c r="R1078" s="103">
        <f>VLOOKUP($A1078,LossChart!$A$3:$AB$105,16,0)-N1078</f>
        <v>477.30407413615825</v>
      </c>
      <c r="S1078" s="103">
        <f>VLOOKUP($A1078,LossChart!$A$3:$AB$105,17,0)-O1078</f>
        <v>1394.3908640573784</v>
      </c>
    </row>
    <row r="1079" spans="1:19" x14ac:dyDescent="0.25">
      <c r="B1079" s="99" t="s">
        <v>108</v>
      </c>
      <c r="C1079" s="100">
        <v>1</v>
      </c>
      <c r="D1079" s="103">
        <f>$C1079*VLOOKUP($B1079,FoodDB!$A$2:$I$1018,3,0)</f>
        <v>0</v>
      </c>
      <c r="E1079" s="103">
        <f>$C1079*VLOOKUP($B1079,FoodDB!$A$2:$I$1018,4,0)</f>
        <v>0</v>
      </c>
      <c r="F1079" s="103">
        <f>$C1079*VLOOKUP($B1079,FoodDB!$A$2:$I$1018,5,0)</f>
        <v>0</v>
      </c>
      <c r="G1079" s="103">
        <f>$C1079*VLOOKUP($B1079,FoodDB!$A$2:$I$1018,6,0)</f>
        <v>0</v>
      </c>
      <c r="H1079" s="103">
        <f>$C1079*VLOOKUP($B1079,FoodDB!$A$2:$I$1018,7,0)</f>
        <v>0</v>
      </c>
      <c r="I1079" s="103">
        <f>$C1079*VLOOKUP($B1079,FoodDB!$A$2:$I$1018,8,0)</f>
        <v>0</v>
      </c>
      <c r="J1079" s="103">
        <f>$C1079*VLOOKUP($B1079,FoodDB!$A$2:$I$1018,9,0)</f>
        <v>0</v>
      </c>
      <c r="K1079" s="103"/>
      <c r="L1079" s="103"/>
      <c r="M1079" s="103"/>
      <c r="N1079" s="103"/>
      <c r="O1079" s="103"/>
      <c r="P1079" s="103"/>
      <c r="Q1079" s="103"/>
      <c r="R1079" s="103"/>
      <c r="S1079" s="103"/>
    </row>
    <row r="1080" spans="1:19" x14ac:dyDescent="0.25">
      <c r="B1080" s="99" t="s">
        <v>108</v>
      </c>
      <c r="C1080" s="100">
        <v>1</v>
      </c>
      <c r="D1080" s="103">
        <f>$C1080*VLOOKUP($B1080,FoodDB!$A$2:$I$1018,3,0)</f>
        <v>0</v>
      </c>
      <c r="E1080" s="103">
        <f>$C1080*VLOOKUP($B1080,FoodDB!$A$2:$I$1018,4,0)</f>
        <v>0</v>
      </c>
      <c r="F1080" s="103">
        <f>$C1080*VLOOKUP($B1080,FoodDB!$A$2:$I$1018,5,0)</f>
        <v>0</v>
      </c>
      <c r="G1080" s="103">
        <f>$C1080*VLOOKUP($B1080,FoodDB!$A$2:$I$1018,6,0)</f>
        <v>0</v>
      </c>
      <c r="H1080" s="103">
        <f>$C1080*VLOOKUP($B1080,FoodDB!$A$2:$I$1018,7,0)</f>
        <v>0</v>
      </c>
      <c r="I1080" s="103">
        <f>$C1080*VLOOKUP($B1080,FoodDB!$A$2:$I$1018,8,0)</f>
        <v>0</v>
      </c>
      <c r="J1080" s="103">
        <f>$C1080*VLOOKUP($B1080,FoodDB!$A$2:$I$1018,9,0)</f>
        <v>0</v>
      </c>
      <c r="K1080" s="103"/>
      <c r="L1080" s="103"/>
      <c r="M1080" s="103"/>
      <c r="N1080" s="103"/>
      <c r="O1080" s="103"/>
      <c r="P1080" s="103"/>
      <c r="Q1080" s="103"/>
      <c r="R1080" s="103"/>
      <c r="S1080" s="103"/>
    </row>
    <row r="1081" spans="1:19" x14ac:dyDescent="0.25">
      <c r="B1081" s="99" t="s">
        <v>108</v>
      </c>
      <c r="C1081" s="100">
        <v>1</v>
      </c>
      <c r="D1081" s="103">
        <f>$C1081*VLOOKUP($B1081,FoodDB!$A$2:$I$1018,3,0)</f>
        <v>0</v>
      </c>
      <c r="E1081" s="103">
        <f>$C1081*VLOOKUP($B1081,FoodDB!$A$2:$I$1018,4,0)</f>
        <v>0</v>
      </c>
      <c r="F1081" s="103">
        <f>$C1081*VLOOKUP($B1081,FoodDB!$A$2:$I$1018,5,0)</f>
        <v>0</v>
      </c>
      <c r="G1081" s="103">
        <f>$C1081*VLOOKUP($B1081,FoodDB!$A$2:$I$1018,6,0)</f>
        <v>0</v>
      </c>
      <c r="H1081" s="103">
        <f>$C1081*VLOOKUP($B1081,FoodDB!$A$2:$I$1018,7,0)</f>
        <v>0</v>
      </c>
      <c r="I1081" s="103">
        <f>$C1081*VLOOKUP($B1081,FoodDB!$A$2:$I$1018,8,0)</f>
        <v>0</v>
      </c>
      <c r="J1081" s="103">
        <f>$C1081*VLOOKUP($B1081,FoodDB!$A$2:$I$1018,9,0)</f>
        <v>0</v>
      </c>
      <c r="K1081" s="103"/>
      <c r="L1081" s="103"/>
      <c r="M1081" s="103"/>
      <c r="N1081" s="103"/>
      <c r="O1081" s="103"/>
      <c r="P1081" s="103"/>
      <c r="Q1081" s="103"/>
      <c r="R1081" s="103"/>
      <c r="S1081" s="103"/>
    </row>
    <row r="1082" spans="1:19" x14ac:dyDescent="0.25">
      <c r="B1082" s="99" t="s">
        <v>108</v>
      </c>
      <c r="C1082" s="100">
        <v>1</v>
      </c>
      <c r="D1082" s="103">
        <f>$C1082*VLOOKUP($B1082,FoodDB!$A$2:$I$1018,3,0)</f>
        <v>0</v>
      </c>
      <c r="E1082" s="103">
        <f>$C1082*VLOOKUP($B1082,FoodDB!$A$2:$I$1018,4,0)</f>
        <v>0</v>
      </c>
      <c r="F1082" s="103">
        <f>$C1082*VLOOKUP($B1082,FoodDB!$A$2:$I$1018,5,0)</f>
        <v>0</v>
      </c>
      <c r="G1082" s="103">
        <f>$C1082*VLOOKUP($B1082,FoodDB!$A$2:$I$1018,6,0)</f>
        <v>0</v>
      </c>
      <c r="H1082" s="103">
        <f>$C1082*VLOOKUP($B1082,FoodDB!$A$2:$I$1018,7,0)</f>
        <v>0</v>
      </c>
      <c r="I1082" s="103">
        <f>$C1082*VLOOKUP($B1082,FoodDB!$A$2:$I$1018,8,0)</f>
        <v>0</v>
      </c>
      <c r="J1082" s="103">
        <f>$C1082*VLOOKUP($B1082,FoodDB!$A$2:$I$1018,9,0)</f>
        <v>0</v>
      </c>
      <c r="K1082" s="103"/>
      <c r="L1082" s="103"/>
      <c r="M1082" s="103"/>
      <c r="N1082" s="103"/>
      <c r="O1082" s="103"/>
      <c r="P1082" s="103"/>
      <c r="Q1082" s="103"/>
      <c r="R1082" s="103"/>
      <c r="S1082" s="103"/>
    </row>
    <row r="1083" spans="1:19" x14ac:dyDescent="0.25">
      <c r="B1083" s="99" t="s">
        <v>108</v>
      </c>
      <c r="C1083" s="100">
        <v>1</v>
      </c>
      <c r="D1083" s="103">
        <f>$C1083*VLOOKUP($B1083,FoodDB!$A$2:$I$1018,3,0)</f>
        <v>0</v>
      </c>
      <c r="E1083" s="103">
        <f>$C1083*VLOOKUP($B1083,FoodDB!$A$2:$I$1018,4,0)</f>
        <v>0</v>
      </c>
      <c r="F1083" s="103">
        <f>$C1083*VLOOKUP($B1083,FoodDB!$A$2:$I$1018,5,0)</f>
        <v>0</v>
      </c>
      <c r="G1083" s="103">
        <f>$C1083*VLOOKUP($B1083,FoodDB!$A$2:$I$1018,6,0)</f>
        <v>0</v>
      </c>
      <c r="H1083" s="103">
        <f>$C1083*VLOOKUP($B1083,FoodDB!$A$2:$I$1018,7,0)</f>
        <v>0</v>
      </c>
      <c r="I1083" s="103">
        <f>$C1083*VLOOKUP($B1083,FoodDB!$A$2:$I$1018,8,0)</f>
        <v>0</v>
      </c>
      <c r="J1083" s="103">
        <f>$C1083*VLOOKUP($B1083,FoodDB!$A$2:$I$1018,9,0)</f>
        <v>0</v>
      </c>
      <c r="K1083" s="103"/>
      <c r="L1083" s="103"/>
      <c r="M1083" s="103"/>
      <c r="N1083" s="103"/>
      <c r="O1083" s="103"/>
      <c r="P1083" s="103"/>
      <c r="Q1083" s="103"/>
      <c r="R1083" s="103"/>
      <c r="S1083" s="103"/>
    </row>
    <row r="1084" spans="1:19" x14ac:dyDescent="0.25">
      <c r="B1084" s="99" t="s">
        <v>108</v>
      </c>
      <c r="C1084" s="100">
        <v>1</v>
      </c>
      <c r="D1084" s="103">
        <f>$C1084*VLOOKUP($B1084,FoodDB!$A$2:$I$1018,3,0)</f>
        <v>0</v>
      </c>
      <c r="E1084" s="103">
        <f>$C1084*VLOOKUP($B1084,FoodDB!$A$2:$I$1018,4,0)</f>
        <v>0</v>
      </c>
      <c r="F1084" s="103">
        <f>$C1084*VLOOKUP($B1084,FoodDB!$A$2:$I$1018,5,0)</f>
        <v>0</v>
      </c>
      <c r="G1084" s="103">
        <f>$C1084*VLOOKUP($B1084,FoodDB!$A$2:$I$1018,6,0)</f>
        <v>0</v>
      </c>
      <c r="H1084" s="103">
        <f>$C1084*VLOOKUP($B1084,FoodDB!$A$2:$I$1018,7,0)</f>
        <v>0</v>
      </c>
      <c r="I1084" s="103">
        <f>$C1084*VLOOKUP($B1084,FoodDB!$A$2:$I$1018,8,0)</f>
        <v>0</v>
      </c>
      <c r="J1084" s="103">
        <f>$C1084*VLOOKUP($B1084,FoodDB!$A$2:$I$1018,9,0)</f>
        <v>0</v>
      </c>
      <c r="K1084" s="103"/>
      <c r="L1084" s="103"/>
      <c r="M1084" s="103"/>
      <c r="N1084" s="103"/>
      <c r="O1084" s="103"/>
      <c r="P1084" s="103"/>
      <c r="Q1084" s="103"/>
      <c r="R1084" s="103"/>
      <c r="S1084" s="103"/>
    </row>
    <row r="1085" spans="1:19" x14ac:dyDescent="0.25">
      <c r="A1085" t="s">
        <v>98</v>
      </c>
      <c r="D1085" s="103"/>
      <c r="E1085" s="103"/>
      <c r="F1085" s="103"/>
      <c r="G1085" s="103">
        <f>SUM(G1078:G1084)</f>
        <v>0</v>
      </c>
      <c r="H1085" s="103">
        <f>SUM(H1078:H1084)</f>
        <v>0</v>
      </c>
      <c r="I1085" s="103">
        <f>SUM(I1078:I1084)</f>
        <v>0</v>
      </c>
      <c r="J1085" s="103">
        <f>SUM(G1085:I1085)</f>
        <v>0</v>
      </c>
      <c r="K1085" s="103"/>
      <c r="L1085" s="103"/>
      <c r="M1085" s="103"/>
      <c r="N1085" s="103"/>
      <c r="O1085" s="103"/>
      <c r="P1085" s="103"/>
      <c r="Q1085" s="103"/>
      <c r="R1085" s="103"/>
      <c r="S1085" s="103"/>
    </row>
    <row r="1086" spans="1:19" x14ac:dyDescent="0.25">
      <c r="A1086" t="s">
        <v>102</v>
      </c>
      <c r="B1086" t="s">
        <v>103</v>
      </c>
      <c r="D1086" s="103"/>
      <c r="E1086" s="103"/>
      <c r="F1086" s="103"/>
      <c r="G1086" s="103">
        <f>VLOOKUP($A1078,LossChart!$A$3:$AB$105,14,0)</f>
        <v>805.08678992122009</v>
      </c>
      <c r="H1086" s="103">
        <f>VLOOKUP($A1078,LossChart!$A$3:$AB$105,15,0)</f>
        <v>112</v>
      </c>
      <c r="I1086" s="103">
        <f>VLOOKUP($A1078,LossChart!$A$3:$AB$105,16,0)</f>
        <v>477.30407413615825</v>
      </c>
      <c r="J1086" s="103">
        <f>VLOOKUP($A1078,LossChart!$A$3:$AB$105,17,0)</f>
        <v>1394.3908640573784</v>
      </c>
      <c r="K1086" s="103"/>
      <c r="L1086" s="103"/>
      <c r="M1086" s="103"/>
      <c r="N1086" s="103"/>
      <c r="O1086" s="103"/>
      <c r="P1086" s="103"/>
      <c r="Q1086" s="103"/>
      <c r="R1086" s="103"/>
      <c r="S1086" s="103"/>
    </row>
    <row r="1087" spans="1:19" x14ac:dyDescent="0.25">
      <c r="A1087" t="s">
        <v>104</v>
      </c>
      <c r="D1087" s="103"/>
      <c r="E1087" s="103"/>
      <c r="F1087" s="103"/>
      <c r="G1087" s="103">
        <f>G1086-G1085</f>
        <v>805.08678992122009</v>
      </c>
      <c r="H1087" s="103">
        <f>H1086-H1085</f>
        <v>112</v>
      </c>
      <c r="I1087" s="103">
        <f>I1086-I1085</f>
        <v>477.30407413615825</v>
      </c>
      <c r="J1087" s="103">
        <f>J1086-J1085</f>
        <v>1394.3908640573784</v>
      </c>
      <c r="K1087" s="103"/>
      <c r="L1087" s="103"/>
      <c r="M1087" s="103"/>
      <c r="N1087" s="103"/>
      <c r="O1087" s="103"/>
      <c r="P1087" s="103"/>
      <c r="Q1087" s="103"/>
      <c r="R1087" s="103"/>
      <c r="S1087" s="103"/>
    </row>
    <row r="1089" spans="1:19" ht="60" x14ac:dyDescent="0.25">
      <c r="A1089" s="26" t="s">
        <v>63</v>
      </c>
      <c r="B1089" s="26" t="s">
        <v>93</v>
      </c>
      <c r="C1089" s="26" t="s">
        <v>94</v>
      </c>
      <c r="D1089" s="97" t="str">
        <f>FoodDB!$C$1</f>
        <v>Fat
(g)</v>
      </c>
      <c r="E1089" s="97" t="str">
        <f>FoodDB!$D$1</f>
        <v xml:space="preserve"> Carbs
(g)</v>
      </c>
      <c r="F1089" s="97" t="str">
        <f>FoodDB!$E$1</f>
        <v>Protein
(g)</v>
      </c>
      <c r="G1089" s="97" t="str">
        <f>FoodDB!$F$1</f>
        <v>Fat
(Cal)</v>
      </c>
      <c r="H1089" s="97" t="str">
        <f>FoodDB!$G$1</f>
        <v>Carb
(Cal)</v>
      </c>
      <c r="I1089" s="97" t="str">
        <f>FoodDB!$H$1</f>
        <v>Protein
(Cal)</v>
      </c>
      <c r="J1089" s="97" t="str">
        <f>FoodDB!$I$1</f>
        <v>Total
Calories</v>
      </c>
      <c r="K1089" s="97"/>
      <c r="L1089" s="97" t="s">
        <v>110</v>
      </c>
      <c r="M1089" s="97" t="s">
        <v>111</v>
      </c>
      <c r="N1089" s="97" t="s">
        <v>112</v>
      </c>
      <c r="O1089" s="97" t="s">
        <v>113</v>
      </c>
      <c r="P1089" s="97" t="s">
        <v>118</v>
      </c>
      <c r="Q1089" s="97" t="s">
        <v>119</v>
      </c>
      <c r="R1089" s="97" t="s">
        <v>120</v>
      </c>
      <c r="S1089" s="97" t="s">
        <v>121</v>
      </c>
    </row>
    <row r="1090" spans="1:19" x14ac:dyDescent="0.25">
      <c r="A1090" s="98">
        <f>A1078+1</f>
        <v>43084</v>
      </c>
      <c r="B1090" s="99" t="s">
        <v>108</v>
      </c>
      <c r="C1090" s="100">
        <v>1</v>
      </c>
      <c r="D1090" s="103">
        <f>$C1090*VLOOKUP($B1090,FoodDB!$A$2:$I$1018,3,0)</f>
        <v>0</v>
      </c>
      <c r="E1090" s="103">
        <f>$C1090*VLOOKUP($B1090,FoodDB!$A$2:$I$1018,4,0)</f>
        <v>0</v>
      </c>
      <c r="F1090" s="103">
        <f>$C1090*VLOOKUP($B1090,FoodDB!$A$2:$I$1018,5,0)</f>
        <v>0</v>
      </c>
      <c r="G1090" s="103">
        <f>$C1090*VLOOKUP($B1090,FoodDB!$A$2:$I$1018,6,0)</f>
        <v>0</v>
      </c>
      <c r="H1090" s="103">
        <f>$C1090*VLOOKUP($B1090,FoodDB!$A$2:$I$1018,7,0)</f>
        <v>0</v>
      </c>
      <c r="I1090" s="103">
        <f>$C1090*VLOOKUP($B1090,FoodDB!$A$2:$I$1018,8,0)</f>
        <v>0</v>
      </c>
      <c r="J1090" s="103">
        <f>$C1090*VLOOKUP($B1090,FoodDB!$A$2:$I$1018,9,0)</f>
        <v>0</v>
      </c>
      <c r="K1090" s="103"/>
      <c r="L1090" s="103">
        <f>SUM(G1090:G1096)</f>
        <v>0</v>
      </c>
      <c r="M1090" s="103">
        <f>SUM(H1090:H1096)</f>
        <v>0</v>
      </c>
      <c r="N1090" s="103">
        <f>SUM(I1090:I1096)</f>
        <v>0</v>
      </c>
      <c r="O1090" s="103">
        <f>SUM(L1090:N1090)</f>
        <v>0</v>
      </c>
      <c r="P1090" s="103">
        <f>VLOOKUP($A1090,LossChart!$A$3:$AB$105,14,0)-L1090</f>
        <v>805.17504013398957</v>
      </c>
      <c r="Q1090" s="103">
        <f>VLOOKUP($A1090,LossChart!$A$3:$AB$105,15,0)-M1090</f>
        <v>116</v>
      </c>
      <c r="R1090" s="103">
        <f>VLOOKUP($A1090,LossChart!$A$3:$AB$105,16,0)-N1090</f>
        <v>477.30407413615825</v>
      </c>
      <c r="S1090" s="103">
        <f>VLOOKUP($A1090,LossChart!$A$3:$AB$105,17,0)-O1090</f>
        <v>1398.4791142701479</v>
      </c>
    </row>
    <row r="1091" spans="1:19" x14ac:dyDescent="0.25">
      <c r="B1091" s="99" t="s">
        <v>108</v>
      </c>
      <c r="C1091" s="100">
        <v>1</v>
      </c>
      <c r="D1091" s="103">
        <f>$C1091*VLOOKUP($B1091,FoodDB!$A$2:$I$1018,3,0)</f>
        <v>0</v>
      </c>
      <c r="E1091" s="103">
        <f>$C1091*VLOOKUP($B1091,FoodDB!$A$2:$I$1018,4,0)</f>
        <v>0</v>
      </c>
      <c r="F1091" s="103">
        <f>$C1091*VLOOKUP($B1091,FoodDB!$A$2:$I$1018,5,0)</f>
        <v>0</v>
      </c>
      <c r="G1091" s="103">
        <f>$C1091*VLOOKUP($B1091,FoodDB!$A$2:$I$1018,6,0)</f>
        <v>0</v>
      </c>
      <c r="H1091" s="103">
        <f>$C1091*VLOOKUP($B1091,FoodDB!$A$2:$I$1018,7,0)</f>
        <v>0</v>
      </c>
      <c r="I1091" s="103">
        <f>$C1091*VLOOKUP($B1091,FoodDB!$A$2:$I$1018,8,0)</f>
        <v>0</v>
      </c>
      <c r="J1091" s="103">
        <f>$C1091*VLOOKUP($B1091,FoodDB!$A$2:$I$1018,9,0)</f>
        <v>0</v>
      </c>
      <c r="K1091" s="103"/>
      <c r="L1091" s="103"/>
      <c r="M1091" s="103"/>
      <c r="N1091" s="103"/>
      <c r="O1091" s="103"/>
      <c r="P1091" s="103"/>
      <c r="Q1091" s="103"/>
      <c r="R1091" s="103"/>
      <c r="S1091" s="103"/>
    </row>
    <row r="1092" spans="1:19" x14ac:dyDescent="0.25">
      <c r="B1092" s="99" t="s">
        <v>108</v>
      </c>
      <c r="C1092" s="100">
        <v>1</v>
      </c>
      <c r="D1092" s="103">
        <f>$C1092*VLOOKUP($B1092,FoodDB!$A$2:$I$1018,3,0)</f>
        <v>0</v>
      </c>
      <c r="E1092" s="103">
        <f>$C1092*VLOOKUP($B1092,FoodDB!$A$2:$I$1018,4,0)</f>
        <v>0</v>
      </c>
      <c r="F1092" s="103">
        <f>$C1092*VLOOKUP($B1092,FoodDB!$A$2:$I$1018,5,0)</f>
        <v>0</v>
      </c>
      <c r="G1092" s="103">
        <f>$C1092*VLOOKUP($B1092,FoodDB!$A$2:$I$1018,6,0)</f>
        <v>0</v>
      </c>
      <c r="H1092" s="103">
        <f>$C1092*VLOOKUP($B1092,FoodDB!$A$2:$I$1018,7,0)</f>
        <v>0</v>
      </c>
      <c r="I1092" s="103">
        <f>$C1092*VLOOKUP($B1092,FoodDB!$A$2:$I$1018,8,0)</f>
        <v>0</v>
      </c>
      <c r="J1092" s="103">
        <f>$C1092*VLOOKUP($B1092,FoodDB!$A$2:$I$1018,9,0)</f>
        <v>0</v>
      </c>
      <c r="K1092" s="103"/>
      <c r="L1092" s="103"/>
      <c r="M1092" s="103"/>
      <c r="N1092" s="103"/>
      <c r="O1092" s="103"/>
      <c r="P1092" s="103"/>
      <c r="Q1092" s="103"/>
      <c r="R1092" s="103"/>
      <c r="S1092" s="103"/>
    </row>
    <row r="1093" spans="1:19" x14ac:dyDescent="0.25">
      <c r="B1093" s="99" t="s">
        <v>108</v>
      </c>
      <c r="C1093" s="100">
        <v>1</v>
      </c>
      <c r="D1093" s="103">
        <f>$C1093*VLOOKUP($B1093,FoodDB!$A$2:$I$1018,3,0)</f>
        <v>0</v>
      </c>
      <c r="E1093" s="103">
        <f>$C1093*VLOOKUP($B1093,FoodDB!$A$2:$I$1018,4,0)</f>
        <v>0</v>
      </c>
      <c r="F1093" s="103">
        <f>$C1093*VLOOKUP($B1093,FoodDB!$A$2:$I$1018,5,0)</f>
        <v>0</v>
      </c>
      <c r="G1093" s="103">
        <f>$C1093*VLOOKUP($B1093,FoodDB!$A$2:$I$1018,6,0)</f>
        <v>0</v>
      </c>
      <c r="H1093" s="103">
        <f>$C1093*VLOOKUP($B1093,FoodDB!$A$2:$I$1018,7,0)</f>
        <v>0</v>
      </c>
      <c r="I1093" s="103">
        <f>$C1093*VLOOKUP($B1093,FoodDB!$A$2:$I$1018,8,0)</f>
        <v>0</v>
      </c>
      <c r="J1093" s="103">
        <f>$C1093*VLOOKUP($B1093,FoodDB!$A$2:$I$1018,9,0)</f>
        <v>0</v>
      </c>
      <c r="K1093" s="103"/>
      <c r="L1093" s="103"/>
      <c r="M1093" s="103"/>
      <c r="N1093" s="103"/>
      <c r="O1093" s="103"/>
      <c r="P1093" s="103"/>
      <c r="Q1093" s="103"/>
      <c r="R1093" s="103"/>
      <c r="S1093" s="103"/>
    </row>
    <row r="1094" spans="1:19" x14ac:dyDescent="0.25">
      <c r="B1094" s="99" t="s">
        <v>108</v>
      </c>
      <c r="C1094" s="100">
        <v>1</v>
      </c>
      <c r="D1094" s="103">
        <f>$C1094*VLOOKUP($B1094,FoodDB!$A$2:$I$1018,3,0)</f>
        <v>0</v>
      </c>
      <c r="E1094" s="103">
        <f>$C1094*VLOOKUP($B1094,FoodDB!$A$2:$I$1018,4,0)</f>
        <v>0</v>
      </c>
      <c r="F1094" s="103">
        <f>$C1094*VLOOKUP($B1094,FoodDB!$A$2:$I$1018,5,0)</f>
        <v>0</v>
      </c>
      <c r="G1094" s="103">
        <f>$C1094*VLOOKUP($B1094,FoodDB!$A$2:$I$1018,6,0)</f>
        <v>0</v>
      </c>
      <c r="H1094" s="103">
        <f>$C1094*VLOOKUP($B1094,FoodDB!$A$2:$I$1018,7,0)</f>
        <v>0</v>
      </c>
      <c r="I1094" s="103">
        <f>$C1094*VLOOKUP($B1094,FoodDB!$A$2:$I$1018,8,0)</f>
        <v>0</v>
      </c>
      <c r="J1094" s="103">
        <f>$C1094*VLOOKUP($B1094,FoodDB!$A$2:$I$1018,9,0)</f>
        <v>0</v>
      </c>
      <c r="K1094" s="103"/>
      <c r="L1094" s="103"/>
      <c r="M1094" s="103"/>
      <c r="N1094" s="103"/>
      <c r="O1094" s="103"/>
      <c r="P1094" s="103"/>
      <c r="Q1094" s="103"/>
      <c r="R1094" s="103"/>
      <c r="S1094" s="103"/>
    </row>
    <row r="1095" spans="1:19" x14ac:dyDescent="0.25">
      <c r="B1095" s="99" t="s">
        <v>108</v>
      </c>
      <c r="C1095" s="100">
        <v>1</v>
      </c>
      <c r="D1095" s="103">
        <f>$C1095*VLOOKUP($B1095,FoodDB!$A$2:$I$1018,3,0)</f>
        <v>0</v>
      </c>
      <c r="E1095" s="103">
        <f>$C1095*VLOOKUP($B1095,FoodDB!$A$2:$I$1018,4,0)</f>
        <v>0</v>
      </c>
      <c r="F1095" s="103">
        <f>$C1095*VLOOKUP($B1095,FoodDB!$A$2:$I$1018,5,0)</f>
        <v>0</v>
      </c>
      <c r="G1095" s="103">
        <f>$C1095*VLOOKUP($B1095,FoodDB!$A$2:$I$1018,6,0)</f>
        <v>0</v>
      </c>
      <c r="H1095" s="103">
        <f>$C1095*VLOOKUP($B1095,FoodDB!$A$2:$I$1018,7,0)</f>
        <v>0</v>
      </c>
      <c r="I1095" s="103">
        <f>$C1095*VLOOKUP($B1095,FoodDB!$A$2:$I$1018,8,0)</f>
        <v>0</v>
      </c>
      <c r="J1095" s="103">
        <f>$C1095*VLOOKUP($B1095,FoodDB!$A$2:$I$1018,9,0)</f>
        <v>0</v>
      </c>
      <c r="K1095" s="103"/>
      <c r="L1095" s="103"/>
      <c r="M1095" s="103"/>
      <c r="N1095" s="103"/>
      <c r="O1095" s="103"/>
      <c r="P1095" s="103"/>
      <c r="Q1095" s="103"/>
      <c r="R1095" s="103"/>
      <c r="S1095" s="103"/>
    </row>
    <row r="1096" spans="1:19" x14ac:dyDescent="0.25">
      <c r="B1096" s="99" t="s">
        <v>108</v>
      </c>
      <c r="C1096" s="100">
        <v>1</v>
      </c>
      <c r="D1096" s="103">
        <f>$C1096*VLOOKUP($B1096,FoodDB!$A$2:$I$1018,3,0)</f>
        <v>0</v>
      </c>
      <c r="E1096" s="103">
        <f>$C1096*VLOOKUP($B1096,FoodDB!$A$2:$I$1018,4,0)</f>
        <v>0</v>
      </c>
      <c r="F1096" s="103">
        <f>$C1096*VLOOKUP($B1096,FoodDB!$A$2:$I$1018,5,0)</f>
        <v>0</v>
      </c>
      <c r="G1096" s="103">
        <f>$C1096*VLOOKUP($B1096,FoodDB!$A$2:$I$1018,6,0)</f>
        <v>0</v>
      </c>
      <c r="H1096" s="103">
        <f>$C1096*VLOOKUP($B1096,FoodDB!$A$2:$I$1018,7,0)</f>
        <v>0</v>
      </c>
      <c r="I1096" s="103">
        <f>$C1096*VLOOKUP($B1096,FoodDB!$A$2:$I$1018,8,0)</f>
        <v>0</v>
      </c>
      <c r="J1096" s="103">
        <f>$C1096*VLOOKUP($B1096,FoodDB!$A$2:$I$1018,9,0)</f>
        <v>0</v>
      </c>
      <c r="K1096" s="103"/>
      <c r="L1096" s="103"/>
      <c r="M1096" s="103"/>
      <c r="N1096" s="103"/>
      <c r="O1096" s="103"/>
      <c r="P1096" s="103"/>
      <c r="Q1096" s="103"/>
      <c r="R1096" s="103"/>
      <c r="S1096" s="103"/>
    </row>
    <row r="1097" spans="1:19" x14ac:dyDescent="0.25">
      <c r="A1097" t="s">
        <v>98</v>
      </c>
      <c r="D1097" s="103"/>
      <c r="E1097" s="103"/>
      <c r="F1097" s="103"/>
      <c r="G1097" s="103">
        <f>SUM(G1090:G1096)</f>
        <v>0</v>
      </c>
      <c r="H1097" s="103">
        <f>SUM(H1090:H1096)</f>
        <v>0</v>
      </c>
      <c r="I1097" s="103">
        <f>SUM(I1090:I1096)</f>
        <v>0</v>
      </c>
      <c r="J1097" s="103">
        <f>SUM(G1097:I1097)</f>
        <v>0</v>
      </c>
      <c r="K1097" s="103"/>
      <c r="L1097" s="103"/>
      <c r="M1097" s="103"/>
      <c r="N1097" s="103"/>
      <c r="O1097" s="103"/>
      <c r="P1097" s="103"/>
      <c r="Q1097" s="103"/>
      <c r="R1097" s="103"/>
      <c r="S1097" s="103"/>
    </row>
    <row r="1098" spans="1:19" x14ac:dyDescent="0.25">
      <c r="A1098" t="s">
        <v>102</v>
      </c>
      <c r="B1098" t="s">
        <v>103</v>
      </c>
      <c r="D1098" s="103"/>
      <c r="E1098" s="103"/>
      <c r="F1098" s="103"/>
      <c r="G1098" s="103">
        <f>VLOOKUP($A1090,LossChart!$A$3:$AB$105,14,0)</f>
        <v>805.17504013398957</v>
      </c>
      <c r="H1098" s="103">
        <f>VLOOKUP($A1090,LossChart!$A$3:$AB$105,15,0)</f>
        <v>116</v>
      </c>
      <c r="I1098" s="103">
        <f>VLOOKUP($A1090,LossChart!$A$3:$AB$105,16,0)</f>
        <v>477.30407413615825</v>
      </c>
      <c r="J1098" s="103">
        <f>VLOOKUP($A1090,LossChart!$A$3:$AB$105,17,0)</f>
        <v>1398.4791142701479</v>
      </c>
      <c r="K1098" s="103"/>
      <c r="L1098" s="103"/>
      <c r="M1098" s="103"/>
      <c r="N1098" s="103"/>
      <c r="O1098" s="103"/>
      <c r="P1098" s="103"/>
      <c r="Q1098" s="103"/>
      <c r="R1098" s="103"/>
      <c r="S1098" s="103"/>
    </row>
    <row r="1099" spans="1:19" x14ac:dyDescent="0.25">
      <c r="A1099" t="s">
        <v>104</v>
      </c>
      <c r="D1099" s="103"/>
      <c r="E1099" s="103"/>
      <c r="F1099" s="103"/>
      <c r="G1099" s="103">
        <f>G1098-G1097</f>
        <v>805.17504013398957</v>
      </c>
      <c r="H1099" s="103">
        <f>H1098-H1097</f>
        <v>116</v>
      </c>
      <c r="I1099" s="103">
        <f>I1098-I1097</f>
        <v>477.30407413615825</v>
      </c>
      <c r="J1099" s="103">
        <f>J1098-J1097</f>
        <v>1398.4791142701479</v>
      </c>
      <c r="K1099" s="103"/>
      <c r="L1099" s="103"/>
      <c r="M1099" s="103"/>
      <c r="N1099" s="103"/>
      <c r="O1099" s="103"/>
      <c r="P1099" s="103"/>
      <c r="Q1099" s="103"/>
      <c r="R1099" s="103"/>
      <c r="S1099" s="103"/>
    </row>
    <row r="1101" spans="1:19" ht="60" x14ac:dyDescent="0.25">
      <c r="A1101" s="26" t="s">
        <v>63</v>
      </c>
      <c r="B1101" s="26" t="s">
        <v>93</v>
      </c>
      <c r="C1101" s="26" t="s">
        <v>94</v>
      </c>
      <c r="D1101" s="97" t="str">
        <f>FoodDB!$C$1</f>
        <v>Fat
(g)</v>
      </c>
      <c r="E1101" s="97" t="str">
        <f>FoodDB!$D$1</f>
        <v xml:space="preserve"> Carbs
(g)</v>
      </c>
      <c r="F1101" s="97" t="str">
        <f>FoodDB!$E$1</f>
        <v>Protein
(g)</v>
      </c>
      <c r="G1101" s="97" t="str">
        <f>FoodDB!$F$1</f>
        <v>Fat
(Cal)</v>
      </c>
      <c r="H1101" s="97" t="str">
        <f>FoodDB!$G$1</f>
        <v>Carb
(Cal)</v>
      </c>
      <c r="I1101" s="97" t="str">
        <f>FoodDB!$H$1</f>
        <v>Protein
(Cal)</v>
      </c>
      <c r="J1101" s="97" t="str">
        <f>FoodDB!$I$1</f>
        <v>Total
Calories</v>
      </c>
      <c r="K1101" s="97"/>
      <c r="L1101" s="97" t="s">
        <v>110</v>
      </c>
      <c r="M1101" s="97" t="s">
        <v>111</v>
      </c>
      <c r="N1101" s="97" t="s">
        <v>112</v>
      </c>
      <c r="O1101" s="97" t="s">
        <v>113</v>
      </c>
      <c r="P1101" s="97" t="s">
        <v>118</v>
      </c>
      <c r="Q1101" s="97" t="s">
        <v>119</v>
      </c>
      <c r="R1101" s="97" t="s">
        <v>120</v>
      </c>
      <c r="S1101" s="97" t="s">
        <v>121</v>
      </c>
    </row>
    <row r="1102" spans="1:19" x14ac:dyDescent="0.25">
      <c r="A1102" s="98">
        <f>A1090+1</f>
        <v>43085</v>
      </c>
      <c r="B1102" s="99" t="s">
        <v>108</v>
      </c>
      <c r="C1102" s="100">
        <v>1</v>
      </c>
      <c r="D1102" s="103">
        <f>$C1102*VLOOKUP($B1102,FoodDB!$A$2:$I$1018,3,0)</f>
        <v>0</v>
      </c>
      <c r="E1102" s="103">
        <f>$C1102*VLOOKUP($B1102,FoodDB!$A$2:$I$1018,4,0)</f>
        <v>0</v>
      </c>
      <c r="F1102" s="103">
        <f>$C1102*VLOOKUP($B1102,FoodDB!$A$2:$I$1018,5,0)</f>
        <v>0</v>
      </c>
      <c r="G1102" s="103">
        <f>$C1102*VLOOKUP($B1102,FoodDB!$A$2:$I$1018,6,0)</f>
        <v>0</v>
      </c>
      <c r="H1102" s="103">
        <f>$C1102*VLOOKUP($B1102,FoodDB!$A$2:$I$1018,7,0)</f>
        <v>0</v>
      </c>
      <c r="I1102" s="103">
        <f>$C1102*VLOOKUP($B1102,FoodDB!$A$2:$I$1018,8,0)</f>
        <v>0</v>
      </c>
      <c r="J1102" s="103">
        <f>$C1102*VLOOKUP($B1102,FoodDB!$A$2:$I$1018,9,0)</f>
        <v>0</v>
      </c>
      <c r="K1102" s="103"/>
      <c r="L1102" s="103">
        <f>SUM(G1102:G1108)</f>
        <v>0</v>
      </c>
      <c r="M1102" s="103">
        <f>SUM(H1102:H1108)</f>
        <v>0</v>
      </c>
      <c r="N1102" s="103">
        <f>SUM(I1102:I1108)</f>
        <v>0</v>
      </c>
      <c r="O1102" s="103">
        <f>SUM(L1102:N1102)</f>
        <v>0</v>
      </c>
      <c r="P1102" s="103">
        <f>VLOOKUP($A1102,LossChart!$A$3:$AB$105,14,0)-L1102</f>
        <v>809.22708013058877</v>
      </c>
      <c r="Q1102" s="103">
        <f>VLOOKUP($A1102,LossChart!$A$3:$AB$105,15,0)-M1102</f>
        <v>116</v>
      </c>
      <c r="R1102" s="103">
        <f>VLOOKUP($A1102,LossChart!$A$3:$AB$105,16,0)-N1102</f>
        <v>477.30407413615825</v>
      </c>
      <c r="S1102" s="103">
        <f>VLOOKUP($A1102,LossChart!$A$3:$AB$105,17,0)-O1102</f>
        <v>1402.5311542667471</v>
      </c>
    </row>
    <row r="1103" spans="1:19" x14ac:dyDescent="0.25">
      <c r="B1103" s="99" t="s">
        <v>108</v>
      </c>
      <c r="C1103" s="100">
        <v>1</v>
      </c>
      <c r="D1103" s="103">
        <f>$C1103*VLOOKUP($B1103,FoodDB!$A$2:$I$1018,3,0)</f>
        <v>0</v>
      </c>
      <c r="E1103" s="103">
        <f>$C1103*VLOOKUP($B1103,FoodDB!$A$2:$I$1018,4,0)</f>
        <v>0</v>
      </c>
      <c r="F1103" s="103">
        <f>$C1103*VLOOKUP($B1103,FoodDB!$A$2:$I$1018,5,0)</f>
        <v>0</v>
      </c>
      <c r="G1103" s="103">
        <f>$C1103*VLOOKUP($B1103,FoodDB!$A$2:$I$1018,6,0)</f>
        <v>0</v>
      </c>
      <c r="H1103" s="103">
        <f>$C1103*VLOOKUP($B1103,FoodDB!$A$2:$I$1018,7,0)</f>
        <v>0</v>
      </c>
      <c r="I1103" s="103">
        <f>$C1103*VLOOKUP($B1103,FoodDB!$A$2:$I$1018,8,0)</f>
        <v>0</v>
      </c>
      <c r="J1103" s="103">
        <f>$C1103*VLOOKUP($B1103,FoodDB!$A$2:$I$1018,9,0)</f>
        <v>0</v>
      </c>
      <c r="K1103" s="103"/>
      <c r="L1103" s="103"/>
      <c r="M1103" s="103"/>
      <c r="N1103" s="103"/>
      <c r="O1103" s="103"/>
      <c r="P1103" s="103"/>
      <c r="Q1103" s="103"/>
      <c r="R1103" s="103"/>
      <c r="S1103" s="103"/>
    </row>
    <row r="1104" spans="1:19" x14ac:dyDescent="0.25">
      <c r="B1104" s="99" t="s">
        <v>108</v>
      </c>
      <c r="C1104" s="100">
        <v>1</v>
      </c>
      <c r="D1104" s="103">
        <f>$C1104*VLOOKUP($B1104,FoodDB!$A$2:$I$1018,3,0)</f>
        <v>0</v>
      </c>
      <c r="E1104" s="103">
        <f>$C1104*VLOOKUP($B1104,FoodDB!$A$2:$I$1018,4,0)</f>
        <v>0</v>
      </c>
      <c r="F1104" s="103">
        <f>$C1104*VLOOKUP($B1104,FoodDB!$A$2:$I$1018,5,0)</f>
        <v>0</v>
      </c>
      <c r="G1104" s="103">
        <f>$C1104*VLOOKUP($B1104,FoodDB!$A$2:$I$1018,6,0)</f>
        <v>0</v>
      </c>
      <c r="H1104" s="103">
        <f>$C1104*VLOOKUP($B1104,FoodDB!$A$2:$I$1018,7,0)</f>
        <v>0</v>
      </c>
      <c r="I1104" s="103">
        <f>$C1104*VLOOKUP($B1104,FoodDB!$A$2:$I$1018,8,0)</f>
        <v>0</v>
      </c>
      <c r="J1104" s="103">
        <f>$C1104*VLOOKUP($B1104,FoodDB!$A$2:$I$1018,9,0)</f>
        <v>0</v>
      </c>
      <c r="K1104" s="103"/>
      <c r="L1104" s="103"/>
      <c r="M1104" s="103"/>
      <c r="N1104" s="103"/>
      <c r="O1104" s="103"/>
      <c r="P1104" s="103"/>
      <c r="Q1104" s="103"/>
      <c r="R1104" s="103"/>
      <c r="S1104" s="103"/>
    </row>
    <row r="1105" spans="1:19" x14ac:dyDescent="0.25">
      <c r="B1105" s="99" t="s">
        <v>108</v>
      </c>
      <c r="C1105" s="100">
        <v>1</v>
      </c>
      <c r="D1105" s="103">
        <f>$C1105*VLOOKUP($B1105,FoodDB!$A$2:$I$1018,3,0)</f>
        <v>0</v>
      </c>
      <c r="E1105" s="103">
        <f>$C1105*VLOOKUP($B1105,FoodDB!$A$2:$I$1018,4,0)</f>
        <v>0</v>
      </c>
      <c r="F1105" s="103">
        <f>$C1105*VLOOKUP($B1105,FoodDB!$A$2:$I$1018,5,0)</f>
        <v>0</v>
      </c>
      <c r="G1105" s="103">
        <f>$C1105*VLOOKUP($B1105,FoodDB!$A$2:$I$1018,6,0)</f>
        <v>0</v>
      </c>
      <c r="H1105" s="103">
        <f>$C1105*VLOOKUP($B1105,FoodDB!$A$2:$I$1018,7,0)</f>
        <v>0</v>
      </c>
      <c r="I1105" s="103">
        <f>$C1105*VLOOKUP($B1105,FoodDB!$A$2:$I$1018,8,0)</f>
        <v>0</v>
      </c>
      <c r="J1105" s="103">
        <f>$C1105*VLOOKUP($B1105,FoodDB!$A$2:$I$1018,9,0)</f>
        <v>0</v>
      </c>
      <c r="K1105" s="103"/>
      <c r="L1105" s="103"/>
      <c r="M1105" s="103"/>
      <c r="N1105" s="103"/>
      <c r="O1105" s="103"/>
      <c r="P1105" s="103"/>
      <c r="Q1105" s="103"/>
      <c r="R1105" s="103"/>
      <c r="S1105" s="103"/>
    </row>
    <row r="1106" spans="1:19" x14ac:dyDescent="0.25">
      <c r="B1106" s="99" t="s">
        <v>108</v>
      </c>
      <c r="C1106" s="100">
        <v>1</v>
      </c>
      <c r="D1106" s="103">
        <f>$C1106*VLOOKUP($B1106,FoodDB!$A$2:$I$1018,3,0)</f>
        <v>0</v>
      </c>
      <c r="E1106" s="103">
        <f>$C1106*VLOOKUP($B1106,FoodDB!$A$2:$I$1018,4,0)</f>
        <v>0</v>
      </c>
      <c r="F1106" s="103">
        <f>$C1106*VLOOKUP($B1106,FoodDB!$A$2:$I$1018,5,0)</f>
        <v>0</v>
      </c>
      <c r="G1106" s="103">
        <f>$C1106*VLOOKUP($B1106,FoodDB!$A$2:$I$1018,6,0)</f>
        <v>0</v>
      </c>
      <c r="H1106" s="103">
        <f>$C1106*VLOOKUP($B1106,FoodDB!$A$2:$I$1018,7,0)</f>
        <v>0</v>
      </c>
      <c r="I1106" s="103">
        <f>$C1106*VLOOKUP($B1106,FoodDB!$A$2:$I$1018,8,0)</f>
        <v>0</v>
      </c>
      <c r="J1106" s="103">
        <f>$C1106*VLOOKUP($B1106,FoodDB!$A$2:$I$1018,9,0)</f>
        <v>0</v>
      </c>
      <c r="K1106" s="103"/>
      <c r="L1106" s="103"/>
      <c r="M1106" s="103"/>
      <c r="N1106" s="103"/>
      <c r="O1106" s="103"/>
      <c r="P1106" s="103"/>
      <c r="Q1106" s="103"/>
      <c r="R1106" s="103"/>
      <c r="S1106" s="103"/>
    </row>
    <row r="1107" spans="1:19" x14ac:dyDescent="0.25">
      <c r="B1107" s="99" t="s">
        <v>108</v>
      </c>
      <c r="C1107" s="100">
        <v>1</v>
      </c>
      <c r="D1107" s="103">
        <f>$C1107*VLOOKUP($B1107,FoodDB!$A$2:$I$1018,3,0)</f>
        <v>0</v>
      </c>
      <c r="E1107" s="103">
        <f>$C1107*VLOOKUP($B1107,FoodDB!$A$2:$I$1018,4,0)</f>
        <v>0</v>
      </c>
      <c r="F1107" s="103">
        <f>$C1107*VLOOKUP($B1107,FoodDB!$A$2:$I$1018,5,0)</f>
        <v>0</v>
      </c>
      <c r="G1107" s="103">
        <f>$C1107*VLOOKUP($B1107,FoodDB!$A$2:$I$1018,6,0)</f>
        <v>0</v>
      </c>
      <c r="H1107" s="103">
        <f>$C1107*VLOOKUP($B1107,FoodDB!$A$2:$I$1018,7,0)</f>
        <v>0</v>
      </c>
      <c r="I1107" s="103">
        <f>$C1107*VLOOKUP($B1107,FoodDB!$A$2:$I$1018,8,0)</f>
        <v>0</v>
      </c>
      <c r="J1107" s="103">
        <f>$C1107*VLOOKUP($B1107,FoodDB!$A$2:$I$1018,9,0)</f>
        <v>0</v>
      </c>
      <c r="K1107" s="103"/>
      <c r="L1107" s="103"/>
      <c r="M1107" s="103"/>
      <c r="N1107" s="103"/>
      <c r="O1107" s="103"/>
      <c r="P1107" s="103"/>
      <c r="Q1107" s="103"/>
      <c r="R1107" s="103"/>
      <c r="S1107" s="103"/>
    </row>
    <row r="1108" spans="1:19" x14ac:dyDescent="0.25">
      <c r="B1108" s="99" t="s">
        <v>108</v>
      </c>
      <c r="C1108" s="100">
        <v>1</v>
      </c>
      <c r="D1108" s="103">
        <f>$C1108*VLOOKUP($B1108,FoodDB!$A$2:$I$1018,3,0)</f>
        <v>0</v>
      </c>
      <c r="E1108" s="103">
        <f>$C1108*VLOOKUP($B1108,FoodDB!$A$2:$I$1018,4,0)</f>
        <v>0</v>
      </c>
      <c r="F1108" s="103">
        <f>$C1108*VLOOKUP($B1108,FoodDB!$A$2:$I$1018,5,0)</f>
        <v>0</v>
      </c>
      <c r="G1108" s="103">
        <f>$C1108*VLOOKUP($B1108,FoodDB!$A$2:$I$1018,6,0)</f>
        <v>0</v>
      </c>
      <c r="H1108" s="103">
        <f>$C1108*VLOOKUP($B1108,FoodDB!$A$2:$I$1018,7,0)</f>
        <v>0</v>
      </c>
      <c r="I1108" s="103">
        <f>$C1108*VLOOKUP($B1108,FoodDB!$A$2:$I$1018,8,0)</f>
        <v>0</v>
      </c>
      <c r="J1108" s="103">
        <f>$C1108*VLOOKUP($B1108,FoodDB!$A$2:$I$1018,9,0)</f>
        <v>0</v>
      </c>
      <c r="K1108" s="103"/>
      <c r="L1108" s="103"/>
      <c r="M1108" s="103"/>
      <c r="N1108" s="103"/>
      <c r="O1108" s="103"/>
      <c r="P1108" s="103"/>
      <c r="Q1108" s="103"/>
      <c r="R1108" s="103"/>
      <c r="S1108" s="103"/>
    </row>
    <row r="1109" spans="1:19" x14ac:dyDescent="0.25">
      <c r="A1109" t="s">
        <v>98</v>
      </c>
      <c r="D1109" s="103"/>
      <c r="E1109" s="103"/>
      <c r="F1109" s="103"/>
      <c r="G1109" s="103">
        <f>SUM(G1102:G1108)</f>
        <v>0</v>
      </c>
      <c r="H1109" s="103">
        <f>SUM(H1102:H1108)</f>
        <v>0</v>
      </c>
      <c r="I1109" s="103">
        <f>SUM(I1102:I1108)</f>
        <v>0</v>
      </c>
      <c r="J1109" s="103">
        <f>SUM(G1109:I1109)</f>
        <v>0</v>
      </c>
      <c r="K1109" s="103"/>
      <c r="L1109" s="103"/>
      <c r="M1109" s="103"/>
      <c r="N1109" s="103"/>
      <c r="O1109" s="103"/>
      <c r="P1109" s="103"/>
      <c r="Q1109" s="103"/>
      <c r="R1109" s="103"/>
      <c r="S1109" s="103"/>
    </row>
    <row r="1110" spans="1:19" x14ac:dyDescent="0.25">
      <c r="A1110" t="s">
        <v>102</v>
      </c>
      <c r="B1110" t="s">
        <v>103</v>
      </c>
      <c r="D1110" s="103"/>
      <c r="E1110" s="103"/>
      <c r="F1110" s="103"/>
      <c r="G1110" s="103">
        <f>VLOOKUP($A1102,LossChart!$A$3:$AB$105,14,0)</f>
        <v>809.22708013058877</v>
      </c>
      <c r="H1110" s="103">
        <f>VLOOKUP($A1102,LossChart!$A$3:$AB$105,15,0)</f>
        <v>116</v>
      </c>
      <c r="I1110" s="103">
        <f>VLOOKUP($A1102,LossChart!$A$3:$AB$105,16,0)</f>
        <v>477.30407413615825</v>
      </c>
      <c r="J1110" s="103">
        <f>VLOOKUP($A1102,LossChart!$A$3:$AB$105,17,0)</f>
        <v>1402.5311542667471</v>
      </c>
      <c r="K1110" s="103"/>
      <c r="L1110" s="103"/>
      <c r="M1110" s="103"/>
      <c r="N1110" s="103"/>
      <c r="O1110" s="103"/>
      <c r="P1110" s="103"/>
      <c r="Q1110" s="103"/>
      <c r="R1110" s="103"/>
      <c r="S1110" s="103"/>
    </row>
    <row r="1111" spans="1:19" x14ac:dyDescent="0.25">
      <c r="A1111" t="s">
        <v>104</v>
      </c>
      <c r="D1111" s="103"/>
      <c r="E1111" s="103"/>
      <c r="F1111" s="103"/>
      <c r="G1111" s="103">
        <f>G1110-G1109</f>
        <v>809.22708013058877</v>
      </c>
      <c r="H1111" s="103">
        <f>H1110-H1109</f>
        <v>116</v>
      </c>
      <c r="I1111" s="103">
        <f>I1110-I1109</f>
        <v>477.30407413615825</v>
      </c>
      <c r="J1111" s="103">
        <f>J1110-J1109</f>
        <v>1402.5311542667471</v>
      </c>
      <c r="K1111" s="103"/>
      <c r="L1111" s="103"/>
      <c r="M1111" s="103"/>
      <c r="N1111" s="103"/>
      <c r="O1111" s="103"/>
      <c r="P1111" s="103"/>
      <c r="Q1111" s="103"/>
      <c r="R1111" s="103"/>
      <c r="S1111" s="103"/>
    </row>
    <row r="1113" spans="1:19" ht="60" x14ac:dyDescent="0.25">
      <c r="A1113" s="26" t="s">
        <v>63</v>
      </c>
      <c r="B1113" s="26" t="s">
        <v>93</v>
      </c>
      <c r="C1113" s="26" t="s">
        <v>94</v>
      </c>
      <c r="D1113" s="97" t="str">
        <f>FoodDB!$C$1</f>
        <v>Fat
(g)</v>
      </c>
      <c r="E1113" s="97" t="str">
        <f>FoodDB!$D$1</f>
        <v xml:space="preserve"> Carbs
(g)</v>
      </c>
      <c r="F1113" s="97" t="str">
        <f>FoodDB!$E$1</f>
        <v>Protein
(g)</v>
      </c>
      <c r="G1113" s="97" t="str">
        <f>FoodDB!$F$1</f>
        <v>Fat
(Cal)</v>
      </c>
      <c r="H1113" s="97" t="str">
        <f>FoodDB!$G$1</f>
        <v>Carb
(Cal)</v>
      </c>
      <c r="I1113" s="97" t="str">
        <f>FoodDB!$H$1</f>
        <v>Protein
(Cal)</v>
      </c>
      <c r="J1113" s="97" t="str">
        <f>FoodDB!$I$1</f>
        <v>Total
Calories</v>
      </c>
      <c r="K1113" s="97"/>
      <c r="L1113" s="97" t="s">
        <v>110</v>
      </c>
      <c r="M1113" s="97" t="s">
        <v>111</v>
      </c>
      <c r="N1113" s="97" t="s">
        <v>112</v>
      </c>
      <c r="O1113" s="97" t="s">
        <v>113</v>
      </c>
      <c r="P1113" s="97" t="s">
        <v>118</v>
      </c>
      <c r="Q1113" s="97" t="s">
        <v>119</v>
      </c>
      <c r="R1113" s="97" t="s">
        <v>120</v>
      </c>
      <c r="S1113" s="97" t="s">
        <v>121</v>
      </c>
    </row>
    <row r="1114" spans="1:19" x14ac:dyDescent="0.25">
      <c r="A1114" s="98">
        <f>A1102+1</f>
        <v>43086</v>
      </c>
      <c r="B1114" s="99" t="s">
        <v>108</v>
      </c>
      <c r="C1114" s="100">
        <v>1</v>
      </c>
      <c r="D1114" s="103">
        <f>$C1114*VLOOKUP($B1114,FoodDB!$A$2:$I$1018,3,0)</f>
        <v>0</v>
      </c>
      <c r="E1114" s="103">
        <f>$C1114*VLOOKUP($B1114,FoodDB!$A$2:$I$1018,4,0)</f>
        <v>0</v>
      </c>
      <c r="F1114" s="103">
        <f>$C1114*VLOOKUP($B1114,FoodDB!$A$2:$I$1018,5,0)</f>
        <v>0</v>
      </c>
      <c r="G1114" s="103">
        <f>$C1114*VLOOKUP($B1114,FoodDB!$A$2:$I$1018,6,0)</f>
        <v>0</v>
      </c>
      <c r="H1114" s="103">
        <f>$C1114*VLOOKUP($B1114,FoodDB!$A$2:$I$1018,7,0)</f>
        <v>0</v>
      </c>
      <c r="I1114" s="103">
        <f>$C1114*VLOOKUP($B1114,FoodDB!$A$2:$I$1018,8,0)</f>
        <v>0</v>
      </c>
      <c r="J1114" s="103">
        <f>$C1114*VLOOKUP($B1114,FoodDB!$A$2:$I$1018,9,0)</f>
        <v>0</v>
      </c>
      <c r="K1114" s="103"/>
      <c r="L1114" s="103">
        <f>SUM(G1114:G1120)</f>
        <v>0</v>
      </c>
      <c r="M1114" s="103">
        <f>SUM(H1114:H1120)</f>
        <v>0</v>
      </c>
      <c r="N1114" s="103">
        <f>SUM(I1114:I1120)</f>
        <v>0</v>
      </c>
      <c r="O1114" s="103">
        <f>SUM(L1114:N1114)</f>
        <v>0</v>
      </c>
      <c r="P1114" s="103">
        <f>VLOOKUP($A1114,LossChart!$A$3:$AB$105,14,0)-L1114</f>
        <v>813.24323063007523</v>
      </c>
      <c r="Q1114" s="103">
        <f>VLOOKUP($A1114,LossChart!$A$3:$AB$105,15,0)-M1114</f>
        <v>116</v>
      </c>
      <c r="R1114" s="103">
        <f>VLOOKUP($A1114,LossChart!$A$3:$AB$105,16,0)-N1114</f>
        <v>477.30407413615825</v>
      </c>
      <c r="S1114" s="103">
        <f>VLOOKUP($A1114,LossChart!$A$3:$AB$105,17,0)-O1114</f>
        <v>1406.5473047662335</v>
      </c>
    </row>
    <row r="1115" spans="1:19" x14ac:dyDescent="0.25">
      <c r="B1115" s="99" t="s">
        <v>108</v>
      </c>
      <c r="C1115" s="100">
        <v>1</v>
      </c>
      <c r="D1115" s="103">
        <f>$C1115*VLOOKUP($B1115,FoodDB!$A$2:$I$1018,3,0)</f>
        <v>0</v>
      </c>
      <c r="E1115" s="103">
        <f>$C1115*VLOOKUP($B1115,FoodDB!$A$2:$I$1018,4,0)</f>
        <v>0</v>
      </c>
      <c r="F1115" s="103">
        <f>$C1115*VLOOKUP($B1115,FoodDB!$A$2:$I$1018,5,0)</f>
        <v>0</v>
      </c>
      <c r="G1115" s="103">
        <f>$C1115*VLOOKUP($B1115,FoodDB!$A$2:$I$1018,6,0)</f>
        <v>0</v>
      </c>
      <c r="H1115" s="103">
        <f>$C1115*VLOOKUP($B1115,FoodDB!$A$2:$I$1018,7,0)</f>
        <v>0</v>
      </c>
      <c r="I1115" s="103">
        <f>$C1115*VLOOKUP($B1115,FoodDB!$A$2:$I$1018,8,0)</f>
        <v>0</v>
      </c>
      <c r="J1115" s="103">
        <f>$C1115*VLOOKUP($B1115,FoodDB!$A$2:$I$1018,9,0)</f>
        <v>0</v>
      </c>
      <c r="K1115" s="103"/>
      <c r="L1115" s="103"/>
      <c r="M1115" s="103"/>
      <c r="N1115" s="103"/>
      <c r="O1115" s="103"/>
      <c r="P1115" s="103"/>
      <c r="Q1115" s="103"/>
      <c r="R1115" s="103"/>
      <c r="S1115" s="103"/>
    </row>
    <row r="1116" spans="1:19" x14ac:dyDescent="0.25">
      <c r="B1116" s="99" t="s">
        <v>108</v>
      </c>
      <c r="C1116" s="100">
        <v>1</v>
      </c>
      <c r="D1116" s="103">
        <f>$C1116*VLOOKUP($B1116,FoodDB!$A$2:$I$1018,3,0)</f>
        <v>0</v>
      </c>
      <c r="E1116" s="103">
        <f>$C1116*VLOOKUP($B1116,FoodDB!$A$2:$I$1018,4,0)</f>
        <v>0</v>
      </c>
      <c r="F1116" s="103">
        <f>$C1116*VLOOKUP($B1116,FoodDB!$A$2:$I$1018,5,0)</f>
        <v>0</v>
      </c>
      <c r="G1116" s="103">
        <f>$C1116*VLOOKUP($B1116,FoodDB!$A$2:$I$1018,6,0)</f>
        <v>0</v>
      </c>
      <c r="H1116" s="103">
        <f>$C1116*VLOOKUP($B1116,FoodDB!$A$2:$I$1018,7,0)</f>
        <v>0</v>
      </c>
      <c r="I1116" s="103">
        <f>$C1116*VLOOKUP($B1116,FoodDB!$A$2:$I$1018,8,0)</f>
        <v>0</v>
      </c>
      <c r="J1116" s="103">
        <f>$C1116*VLOOKUP($B1116,FoodDB!$A$2:$I$1018,9,0)</f>
        <v>0</v>
      </c>
      <c r="K1116" s="103"/>
      <c r="L1116" s="103"/>
      <c r="M1116" s="103"/>
      <c r="N1116" s="103"/>
      <c r="O1116" s="103"/>
      <c r="P1116" s="103"/>
      <c r="Q1116" s="103"/>
      <c r="R1116" s="103"/>
      <c r="S1116" s="103"/>
    </row>
    <row r="1117" spans="1:19" x14ac:dyDescent="0.25">
      <c r="B1117" s="99" t="s">
        <v>108</v>
      </c>
      <c r="C1117" s="100">
        <v>1</v>
      </c>
      <c r="D1117" s="103">
        <f>$C1117*VLOOKUP($B1117,FoodDB!$A$2:$I$1018,3,0)</f>
        <v>0</v>
      </c>
      <c r="E1117" s="103">
        <f>$C1117*VLOOKUP($B1117,FoodDB!$A$2:$I$1018,4,0)</f>
        <v>0</v>
      </c>
      <c r="F1117" s="103">
        <f>$C1117*VLOOKUP($B1117,FoodDB!$A$2:$I$1018,5,0)</f>
        <v>0</v>
      </c>
      <c r="G1117" s="103">
        <f>$C1117*VLOOKUP($B1117,FoodDB!$A$2:$I$1018,6,0)</f>
        <v>0</v>
      </c>
      <c r="H1117" s="103">
        <f>$C1117*VLOOKUP($B1117,FoodDB!$A$2:$I$1018,7,0)</f>
        <v>0</v>
      </c>
      <c r="I1117" s="103">
        <f>$C1117*VLOOKUP($B1117,FoodDB!$A$2:$I$1018,8,0)</f>
        <v>0</v>
      </c>
      <c r="J1117" s="103">
        <f>$C1117*VLOOKUP($B1117,FoodDB!$A$2:$I$1018,9,0)</f>
        <v>0</v>
      </c>
      <c r="K1117" s="103"/>
      <c r="L1117" s="103"/>
      <c r="M1117" s="103"/>
      <c r="N1117" s="103"/>
      <c r="O1117" s="103"/>
      <c r="P1117" s="103"/>
      <c r="Q1117" s="103"/>
      <c r="R1117" s="103"/>
      <c r="S1117" s="103"/>
    </row>
    <row r="1118" spans="1:19" x14ac:dyDescent="0.25">
      <c r="B1118" s="99" t="s">
        <v>108</v>
      </c>
      <c r="C1118" s="100">
        <v>1</v>
      </c>
      <c r="D1118" s="103">
        <f>$C1118*VLOOKUP($B1118,FoodDB!$A$2:$I$1018,3,0)</f>
        <v>0</v>
      </c>
      <c r="E1118" s="103">
        <f>$C1118*VLOOKUP($B1118,FoodDB!$A$2:$I$1018,4,0)</f>
        <v>0</v>
      </c>
      <c r="F1118" s="103">
        <f>$C1118*VLOOKUP($B1118,FoodDB!$A$2:$I$1018,5,0)</f>
        <v>0</v>
      </c>
      <c r="G1118" s="103">
        <f>$C1118*VLOOKUP($B1118,FoodDB!$A$2:$I$1018,6,0)</f>
        <v>0</v>
      </c>
      <c r="H1118" s="103">
        <f>$C1118*VLOOKUP($B1118,FoodDB!$A$2:$I$1018,7,0)</f>
        <v>0</v>
      </c>
      <c r="I1118" s="103">
        <f>$C1118*VLOOKUP($B1118,FoodDB!$A$2:$I$1018,8,0)</f>
        <v>0</v>
      </c>
      <c r="J1118" s="103">
        <f>$C1118*VLOOKUP($B1118,FoodDB!$A$2:$I$1018,9,0)</f>
        <v>0</v>
      </c>
      <c r="K1118" s="103"/>
      <c r="L1118" s="103"/>
      <c r="M1118" s="103"/>
      <c r="N1118" s="103"/>
      <c r="O1118" s="103"/>
      <c r="P1118" s="103"/>
      <c r="Q1118" s="103"/>
      <c r="R1118" s="103"/>
      <c r="S1118" s="103"/>
    </row>
    <row r="1119" spans="1:19" x14ac:dyDescent="0.25">
      <c r="B1119" s="99" t="s">
        <v>108</v>
      </c>
      <c r="C1119" s="100">
        <v>1</v>
      </c>
      <c r="D1119" s="103">
        <f>$C1119*VLOOKUP($B1119,FoodDB!$A$2:$I$1018,3,0)</f>
        <v>0</v>
      </c>
      <c r="E1119" s="103">
        <f>$C1119*VLOOKUP($B1119,FoodDB!$A$2:$I$1018,4,0)</f>
        <v>0</v>
      </c>
      <c r="F1119" s="103">
        <f>$C1119*VLOOKUP($B1119,FoodDB!$A$2:$I$1018,5,0)</f>
        <v>0</v>
      </c>
      <c r="G1119" s="103">
        <f>$C1119*VLOOKUP($B1119,FoodDB!$A$2:$I$1018,6,0)</f>
        <v>0</v>
      </c>
      <c r="H1119" s="103">
        <f>$C1119*VLOOKUP($B1119,FoodDB!$A$2:$I$1018,7,0)</f>
        <v>0</v>
      </c>
      <c r="I1119" s="103">
        <f>$C1119*VLOOKUP($B1119,FoodDB!$A$2:$I$1018,8,0)</f>
        <v>0</v>
      </c>
      <c r="J1119" s="103">
        <f>$C1119*VLOOKUP($B1119,FoodDB!$A$2:$I$1018,9,0)</f>
        <v>0</v>
      </c>
      <c r="K1119" s="103"/>
      <c r="L1119" s="103"/>
      <c r="M1119" s="103"/>
      <c r="N1119" s="103"/>
      <c r="O1119" s="103"/>
      <c r="P1119" s="103"/>
      <c r="Q1119" s="103"/>
      <c r="R1119" s="103"/>
      <c r="S1119" s="103"/>
    </row>
    <row r="1120" spans="1:19" x14ac:dyDescent="0.25">
      <c r="B1120" s="99" t="s">
        <v>108</v>
      </c>
      <c r="C1120" s="100">
        <v>1</v>
      </c>
      <c r="D1120" s="103">
        <f>$C1120*VLOOKUP($B1120,FoodDB!$A$2:$I$1018,3,0)</f>
        <v>0</v>
      </c>
      <c r="E1120" s="103">
        <f>$C1120*VLOOKUP($B1120,FoodDB!$A$2:$I$1018,4,0)</f>
        <v>0</v>
      </c>
      <c r="F1120" s="103">
        <f>$C1120*VLOOKUP($B1120,FoodDB!$A$2:$I$1018,5,0)</f>
        <v>0</v>
      </c>
      <c r="G1120" s="103">
        <f>$C1120*VLOOKUP($B1120,FoodDB!$A$2:$I$1018,6,0)</f>
        <v>0</v>
      </c>
      <c r="H1120" s="103">
        <f>$C1120*VLOOKUP($B1120,FoodDB!$A$2:$I$1018,7,0)</f>
        <v>0</v>
      </c>
      <c r="I1120" s="103">
        <f>$C1120*VLOOKUP($B1120,FoodDB!$A$2:$I$1018,8,0)</f>
        <v>0</v>
      </c>
      <c r="J1120" s="103">
        <f>$C1120*VLOOKUP($B1120,FoodDB!$A$2:$I$1018,9,0)</f>
        <v>0</v>
      </c>
      <c r="K1120" s="103"/>
      <c r="L1120" s="103"/>
      <c r="M1120" s="103"/>
      <c r="N1120" s="103"/>
      <c r="O1120" s="103"/>
      <c r="P1120" s="103"/>
      <c r="Q1120" s="103"/>
      <c r="R1120" s="103"/>
      <c r="S1120" s="103"/>
    </row>
    <row r="1121" spans="1:19" x14ac:dyDescent="0.25">
      <c r="A1121" t="s">
        <v>98</v>
      </c>
      <c r="D1121" s="103"/>
      <c r="E1121" s="103"/>
      <c r="F1121" s="103"/>
      <c r="G1121" s="103">
        <f>SUM(G1114:G1120)</f>
        <v>0</v>
      </c>
      <c r="H1121" s="103">
        <f>SUM(H1114:H1120)</f>
        <v>0</v>
      </c>
      <c r="I1121" s="103">
        <f>SUM(I1114:I1120)</f>
        <v>0</v>
      </c>
      <c r="J1121" s="103">
        <f>SUM(G1121:I1121)</f>
        <v>0</v>
      </c>
      <c r="K1121" s="103"/>
      <c r="L1121" s="103"/>
      <c r="M1121" s="103"/>
      <c r="N1121" s="103"/>
      <c r="O1121" s="103"/>
      <c r="P1121" s="103"/>
      <c r="Q1121" s="103"/>
      <c r="R1121" s="103"/>
      <c r="S1121" s="103"/>
    </row>
    <row r="1122" spans="1:19" x14ac:dyDescent="0.25">
      <c r="A1122" t="s">
        <v>102</v>
      </c>
      <c r="B1122" t="s">
        <v>103</v>
      </c>
      <c r="D1122" s="103"/>
      <c r="E1122" s="103"/>
      <c r="F1122" s="103"/>
      <c r="G1122" s="103">
        <f>VLOOKUP($A1114,LossChart!$A$3:$AB$105,14,0)</f>
        <v>813.24323063007523</v>
      </c>
      <c r="H1122" s="103">
        <f>VLOOKUP($A1114,LossChart!$A$3:$AB$105,15,0)</f>
        <v>116</v>
      </c>
      <c r="I1122" s="103">
        <f>VLOOKUP($A1114,LossChart!$A$3:$AB$105,16,0)</f>
        <v>477.30407413615825</v>
      </c>
      <c r="J1122" s="103">
        <f>VLOOKUP($A1114,LossChart!$A$3:$AB$105,17,0)</f>
        <v>1406.5473047662335</v>
      </c>
      <c r="K1122" s="103"/>
      <c r="L1122" s="103"/>
      <c r="M1122" s="103"/>
      <c r="N1122" s="103"/>
      <c r="O1122" s="103"/>
      <c r="P1122" s="103"/>
      <c r="Q1122" s="103"/>
      <c r="R1122" s="103"/>
      <c r="S1122" s="103"/>
    </row>
    <row r="1123" spans="1:19" x14ac:dyDescent="0.25">
      <c r="A1123" t="s">
        <v>104</v>
      </c>
      <c r="D1123" s="103"/>
      <c r="E1123" s="103"/>
      <c r="F1123" s="103"/>
      <c r="G1123" s="103">
        <f>G1122-G1121</f>
        <v>813.24323063007523</v>
      </c>
      <c r="H1123" s="103">
        <f>H1122-H1121</f>
        <v>116</v>
      </c>
      <c r="I1123" s="103">
        <f>I1122-I1121</f>
        <v>477.30407413615825</v>
      </c>
      <c r="J1123" s="103">
        <f>J1122-J1121</f>
        <v>1406.5473047662335</v>
      </c>
      <c r="K1123" s="103"/>
      <c r="L1123" s="103"/>
      <c r="M1123" s="103"/>
      <c r="N1123" s="103"/>
      <c r="O1123" s="103"/>
      <c r="P1123" s="103"/>
      <c r="Q1123" s="103"/>
      <c r="R1123" s="103"/>
      <c r="S1123" s="103"/>
    </row>
    <row r="1125" spans="1:19" ht="60" x14ac:dyDescent="0.25">
      <c r="A1125" s="26" t="s">
        <v>63</v>
      </c>
      <c r="B1125" s="26" t="s">
        <v>93</v>
      </c>
      <c r="C1125" s="26" t="s">
        <v>94</v>
      </c>
      <c r="D1125" s="97" t="str">
        <f>FoodDB!$C$1</f>
        <v>Fat
(g)</v>
      </c>
      <c r="E1125" s="97" t="str">
        <f>FoodDB!$D$1</f>
        <v xml:space="preserve"> Carbs
(g)</v>
      </c>
      <c r="F1125" s="97" t="str">
        <f>FoodDB!$E$1</f>
        <v>Protein
(g)</v>
      </c>
      <c r="G1125" s="97" t="str">
        <f>FoodDB!$F$1</f>
        <v>Fat
(Cal)</v>
      </c>
      <c r="H1125" s="97" t="str">
        <f>FoodDB!$G$1</f>
        <v>Carb
(Cal)</v>
      </c>
      <c r="I1125" s="97" t="str">
        <f>FoodDB!$H$1</f>
        <v>Protein
(Cal)</v>
      </c>
      <c r="J1125" s="97" t="str">
        <f>FoodDB!$I$1</f>
        <v>Total
Calories</v>
      </c>
      <c r="K1125" s="97"/>
      <c r="L1125" s="97" t="s">
        <v>110</v>
      </c>
      <c r="M1125" s="97" t="s">
        <v>111</v>
      </c>
      <c r="N1125" s="97" t="s">
        <v>112</v>
      </c>
      <c r="O1125" s="97" t="s">
        <v>113</v>
      </c>
      <c r="P1125" s="97" t="s">
        <v>118</v>
      </c>
      <c r="Q1125" s="97" t="s">
        <v>119</v>
      </c>
      <c r="R1125" s="97" t="s">
        <v>120</v>
      </c>
      <c r="S1125" s="97" t="s">
        <v>121</v>
      </c>
    </row>
    <row r="1126" spans="1:19" x14ac:dyDescent="0.25">
      <c r="A1126" s="98">
        <f>A1114+1</f>
        <v>43087</v>
      </c>
      <c r="B1126" s="99" t="s">
        <v>108</v>
      </c>
      <c r="C1126" s="100">
        <v>1</v>
      </c>
      <c r="D1126" s="103">
        <f>$C1126*VLOOKUP($B1126,FoodDB!$A$2:$I$1018,3,0)</f>
        <v>0</v>
      </c>
      <c r="E1126" s="103">
        <f>$C1126*VLOOKUP($B1126,FoodDB!$A$2:$I$1018,4,0)</f>
        <v>0</v>
      </c>
      <c r="F1126" s="103">
        <f>$C1126*VLOOKUP($B1126,FoodDB!$A$2:$I$1018,5,0)</f>
        <v>0</v>
      </c>
      <c r="G1126" s="103">
        <f>$C1126*VLOOKUP($B1126,FoodDB!$A$2:$I$1018,6,0)</f>
        <v>0</v>
      </c>
      <c r="H1126" s="103">
        <f>$C1126*VLOOKUP($B1126,FoodDB!$A$2:$I$1018,7,0)</f>
        <v>0</v>
      </c>
      <c r="I1126" s="103">
        <f>$C1126*VLOOKUP($B1126,FoodDB!$A$2:$I$1018,8,0)</f>
        <v>0</v>
      </c>
      <c r="J1126" s="103">
        <f>$C1126*VLOOKUP($B1126,FoodDB!$A$2:$I$1018,9,0)</f>
        <v>0</v>
      </c>
      <c r="K1126" s="103"/>
      <c r="L1126" s="103">
        <f>SUM(G1126:G1132)</f>
        <v>0</v>
      </c>
      <c r="M1126" s="103">
        <f>SUM(H1126:H1132)</f>
        <v>0</v>
      </c>
      <c r="N1126" s="103">
        <f>SUM(I1126:I1132)</f>
        <v>0</v>
      </c>
      <c r="O1126" s="103">
        <f>SUM(L1126:N1126)</f>
        <v>0</v>
      </c>
      <c r="P1126" s="103">
        <f>VLOOKUP($A1126,LossChart!$A$3:$AB$105,14,0)-L1126</f>
        <v>817.22380951085142</v>
      </c>
      <c r="Q1126" s="103">
        <f>VLOOKUP($A1126,LossChart!$A$3:$AB$105,15,0)-M1126</f>
        <v>116</v>
      </c>
      <c r="R1126" s="103">
        <f>VLOOKUP($A1126,LossChart!$A$3:$AB$105,16,0)-N1126</f>
        <v>477.30407413615825</v>
      </c>
      <c r="S1126" s="103">
        <f>VLOOKUP($A1126,LossChart!$A$3:$AB$105,17,0)-O1126</f>
        <v>1410.5278836470097</v>
      </c>
    </row>
    <row r="1127" spans="1:19" x14ac:dyDescent="0.25">
      <c r="B1127" s="99" t="s">
        <v>108</v>
      </c>
      <c r="C1127" s="100">
        <v>1</v>
      </c>
      <c r="D1127" s="103">
        <f>$C1127*VLOOKUP($B1127,FoodDB!$A$2:$I$1018,3,0)</f>
        <v>0</v>
      </c>
      <c r="E1127" s="103">
        <f>$C1127*VLOOKUP($B1127,FoodDB!$A$2:$I$1018,4,0)</f>
        <v>0</v>
      </c>
      <c r="F1127" s="103">
        <f>$C1127*VLOOKUP($B1127,FoodDB!$A$2:$I$1018,5,0)</f>
        <v>0</v>
      </c>
      <c r="G1127" s="103">
        <f>$C1127*VLOOKUP($B1127,FoodDB!$A$2:$I$1018,6,0)</f>
        <v>0</v>
      </c>
      <c r="H1127" s="103">
        <f>$C1127*VLOOKUP($B1127,FoodDB!$A$2:$I$1018,7,0)</f>
        <v>0</v>
      </c>
      <c r="I1127" s="103">
        <f>$C1127*VLOOKUP($B1127,FoodDB!$A$2:$I$1018,8,0)</f>
        <v>0</v>
      </c>
      <c r="J1127" s="103">
        <f>$C1127*VLOOKUP($B1127,FoodDB!$A$2:$I$1018,9,0)</f>
        <v>0</v>
      </c>
      <c r="K1127" s="103"/>
      <c r="L1127" s="103"/>
      <c r="M1127" s="103"/>
      <c r="N1127" s="103"/>
      <c r="O1127" s="103"/>
      <c r="P1127" s="103"/>
      <c r="Q1127" s="103"/>
      <c r="R1127" s="103"/>
      <c r="S1127" s="103"/>
    </row>
    <row r="1128" spans="1:19" x14ac:dyDescent="0.25">
      <c r="B1128" s="99" t="s">
        <v>108</v>
      </c>
      <c r="C1128" s="100">
        <v>1</v>
      </c>
      <c r="D1128" s="103">
        <f>$C1128*VLOOKUP($B1128,FoodDB!$A$2:$I$1018,3,0)</f>
        <v>0</v>
      </c>
      <c r="E1128" s="103">
        <f>$C1128*VLOOKUP($B1128,FoodDB!$A$2:$I$1018,4,0)</f>
        <v>0</v>
      </c>
      <c r="F1128" s="103">
        <f>$C1128*VLOOKUP($B1128,FoodDB!$A$2:$I$1018,5,0)</f>
        <v>0</v>
      </c>
      <c r="G1128" s="103">
        <f>$C1128*VLOOKUP($B1128,FoodDB!$A$2:$I$1018,6,0)</f>
        <v>0</v>
      </c>
      <c r="H1128" s="103">
        <f>$C1128*VLOOKUP($B1128,FoodDB!$A$2:$I$1018,7,0)</f>
        <v>0</v>
      </c>
      <c r="I1128" s="103">
        <f>$C1128*VLOOKUP($B1128,FoodDB!$A$2:$I$1018,8,0)</f>
        <v>0</v>
      </c>
      <c r="J1128" s="103">
        <f>$C1128*VLOOKUP($B1128,FoodDB!$A$2:$I$1018,9,0)</f>
        <v>0</v>
      </c>
      <c r="K1128" s="103"/>
      <c r="L1128" s="103"/>
      <c r="M1128" s="103"/>
      <c r="N1128" s="103"/>
      <c r="O1128" s="103"/>
      <c r="P1128" s="103"/>
      <c r="Q1128" s="103"/>
      <c r="R1128" s="103"/>
      <c r="S1128" s="103"/>
    </row>
    <row r="1129" spans="1:19" x14ac:dyDescent="0.25">
      <c r="B1129" s="99" t="s">
        <v>108</v>
      </c>
      <c r="C1129" s="100">
        <v>1</v>
      </c>
      <c r="D1129" s="103">
        <f>$C1129*VLOOKUP($B1129,FoodDB!$A$2:$I$1018,3,0)</f>
        <v>0</v>
      </c>
      <c r="E1129" s="103">
        <f>$C1129*VLOOKUP($B1129,FoodDB!$A$2:$I$1018,4,0)</f>
        <v>0</v>
      </c>
      <c r="F1129" s="103">
        <f>$C1129*VLOOKUP($B1129,FoodDB!$A$2:$I$1018,5,0)</f>
        <v>0</v>
      </c>
      <c r="G1129" s="103">
        <f>$C1129*VLOOKUP($B1129,FoodDB!$A$2:$I$1018,6,0)</f>
        <v>0</v>
      </c>
      <c r="H1129" s="103">
        <f>$C1129*VLOOKUP($B1129,FoodDB!$A$2:$I$1018,7,0)</f>
        <v>0</v>
      </c>
      <c r="I1129" s="103">
        <f>$C1129*VLOOKUP($B1129,FoodDB!$A$2:$I$1018,8,0)</f>
        <v>0</v>
      </c>
      <c r="J1129" s="103">
        <f>$C1129*VLOOKUP($B1129,FoodDB!$A$2:$I$1018,9,0)</f>
        <v>0</v>
      </c>
      <c r="K1129" s="103"/>
      <c r="L1129" s="103"/>
      <c r="M1129" s="103"/>
      <c r="N1129" s="103"/>
      <c r="O1129" s="103"/>
      <c r="P1129" s="103"/>
      <c r="Q1129" s="103"/>
      <c r="R1129" s="103"/>
      <c r="S1129" s="103"/>
    </row>
    <row r="1130" spans="1:19" x14ac:dyDescent="0.25">
      <c r="B1130" s="99" t="s">
        <v>108</v>
      </c>
      <c r="C1130" s="100">
        <v>1</v>
      </c>
      <c r="D1130" s="103">
        <f>$C1130*VLOOKUP($B1130,FoodDB!$A$2:$I$1018,3,0)</f>
        <v>0</v>
      </c>
      <c r="E1130" s="103">
        <f>$C1130*VLOOKUP($B1130,FoodDB!$A$2:$I$1018,4,0)</f>
        <v>0</v>
      </c>
      <c r="F1130" s="103">
        <f>$C1130*VLOOKUP($B1130,FoodDB!$A$2:$I$1018,5,0)</f>
        <v>0</v>
      </c>
      <c r="G1130" s="103">
        <f>$C1130*VLOOKUP($B1130,FoodDB!$A$2:$I$1018,6,0)</f>
        <v>0</v>
      </c>
      <c r="H1130" s="103">
        <f>$C1130*VLOOKUP($B1130,FoodDB!$A$2:$I$1018,7,0)</f>
        <v>0</v>
      </c>
      <c r="I1130" s="103">
        <f>$C1130*VLOOKUP($B1130,FoodDB!$A$2:$I$1018,8,0)</f>
        <v>0</v>
      </c>
      <c r="J1130" s="103">
        <f>$C1130*VLOOKUP($B1130,FoodDB!$A$2:$I$1018,9,0)</f>
        <v>0</v>
      </c>
      <c r="K1130" s="103"/>
      <c r="L1130" s="103"/>
      <c r="M1130" s="103"/>
      <c r="N1130" s="103"/>
      <c r="O1130" s="103"/>
      <c r="P1130" s="103"/>
      <c r="Q1130" s="103"/>
      <c r="R1130" s="103"/>
      <c r="S1130" s="103"/>
    </row>
    <row r="1131" spans="1:19" x14ac:dyDescent="0.25">
      <c r="B1131" s="99" t="s">
        <v>108</v>
      </c>
      <c r="C1131" s="100">
        <v>1</v>
      </c>
      <c r="D1131" s="103">
        <f>$C1131*VLOOKUP($B1131,FoodDB!$A$2:$I$1018,3,0)</f>
        <v>0</v>
      </c>
      <c r="E1131" s="103">
        <f>$C1131*VLOOKUP($B1131,FoodDB!$A$2:$I$1018,4,0)</f>
        <v>0</v>
      </c>
      <c r="F1131" s="103">
        <f>$C1131*VLOOKUP($B1131,FoodDB!$A$2:$I$1018,5,0)</f>
        <v>0</v>
      </c>
      <c r="G1131" s="103">
        <f>$C1131*VLOOKUP($B1131,FoodDB!$A$2:$I$1018,6,0)</f>
        <v>0</v>
      </c>
      <c r="H1131" s="103">
        <f>$C1131*VLOOKUP($B1131,FoodDB!$A$2:$I$1018,7,0)</f>
        <v>0</v>
      </c>
      <c r="I1131" s="103">
        <f>$C1131*VLOOKUP($B1131,FoodDB!$A$2:$I$1018,8,0)</f>
        <v>0</v>
      </c>
      <c r="J1131" s="103">
        <f>$C1131*VLOOKUP($B1131,FoodDB!$A$2:$I$1018,9,0)</f>
        <v>0</v>
      </c>
      <c r="K1131" s="103"/>
      <c r="L1131" s="103"/>
      <c r="M1131" s="103"/>
      <c r="N1131" s="103"/>
      <c r="O1131" s="103"/>
      <c r="P1131" s="103"/>
      <c r="Q1131" s="103"/>
      <c r="R1131" s="103"/>
      <c r="S1131" s="103"/>
    </row>
    <row r="1132" spans="1:19" x14ac:dyDescent="0.25">
      <c r="B1132" s="99" t="s">
        <v>108</v>
      </c>
      <c r="C1132" s="100">
        <v>1</v>
      </c>
      <c r="D1132" s="103">
        <f>$C1132*VLOOKUP($B1132,FoodDB!$A$2:$I$1018,3,0)</f>
        <v>0</v>
      </c>
      <c r="E1132" s="103">
        <f>$C1132*VLOOKUP($B1132,FoodDB!$A$2:$I$1018,4,0)</f>
        <v>0</v>
      </c>
      <c r="F1132" s="103">
        <f>$C1132*VLOOKUP($B1132,FoodDB!$A$2:$I$1018,5,0)</f>
        <v>0</v>
      </c>
      <c r="G1132" s="103">
        <f>$C1132*VLOOKUP($B1132,FoodDB!$A$2:$I$1018,6,0)</f>
        <v>0</v>
      </c>
      <c r="H1132" s="103">
        <f>$C1132*VLOOKUP($B1132,FoodDB!$A$2:$I$1018,7,0)</f>
        <v>0</v>
      </c>
      <c r="I1132" s="103">
        <f>$C1132*VLOOKUP($B1132,FoodDB!$A$2:$I$1018,8,0)</f>
        <v>0</v>
      </c>
      <c r="J1132" s="103">
        <f>$C1132*VLOOKUP($B1132,FoodDB!$A$2:$I$1018,9,0)</f>
        <v>0</v>
      </c>
      <c r="K1132" s="103"/>
      <c r="L1132" s="103"/>
      <c r="M1132" s="103"/>
      <c r="N1132" s="103"/>
      <c r="O1132" s="103"/>
      <c r="P1132" s="103"/>
      <c r="Q1132" s="103"/>
      <c r="R1132" s="103"/>
      <c r="S1132" s="103"/>
    </row>
    <row r="1133" spans="1:19" x14ac:dyDescent="0.25">
      <c r="A1133" t="s">
        <v>98</v>
      </c>
      <c r="D1133" s="103"/>
      <c r="E1133" s="103"/>
      <c r="F1133" s="103"/>
      <c r="G1133" s="103">
        <f>SUM(G1126:G1132)</f>
        <v>0</v>
      </c>
      <c r="H1133" s="103">
        <f>SUM(H1126:H1132)</f>
        <v>0</v>
      </c>
      <c r="I1133" s="103">
        <f>SUM(I1126:I1132)</f>
        <v>0</v>
      </c>
      <c r="J1133" s="103">
        <f>SUM(G1133:I1133)</f>
        <v>0</v>
      </c>
      <c r="K1133" s="103"/>
      <c r="L1133" s="103"/>
      <c r="M1133" s="103"/>
      <c r="N1133" s="103"/>
      <c r="O1133" s="103"/>
      <c r="P1133" s="103"/>
      <c r="Q1133" s="103"/>
      <c r="R1133" s="103"/>
      <c r="S1133" s="103"/>
    </row>
    <row r="1134" spans="1:19" x14ac:dyDescent="0.25">
      <c r="A1134" t="s">
        <v>102</v>
      </c>
      <c r="B1134" t="s">
        <v>103</v>
      </c>
      <c r="D1134" s="103"/>
      <c r="E1134" s="103"/>
      <c r="F1134" s="103"/>
      <c r="G1134" s="103">
        <f>VLOOKUP($A1126,LossChart!$A$3:$AB$105,14,0)</f>
        <v>817.22380951085142</v>
      </c>
      <c r="H1134" s="103">
        <f>VLOOKUP($A1126,LossChart!$A$3:$AB$105,15,0)</f>
        <v>116</v>
      </c>
      <c r="I1134" s="103">
        <f>VLOOKUP($A1126,LossChart!$A$3:$AB$105,16,0)</f>
        <v>477.30407413615825</v>
      </c>
      <c r="J1134" s="103">
        <f>VLOOKUP($A1126,LossChart!$A$3:$AB$105,17,0)</f>
        <v>1410.5278836470097</v>
      </c>
      <c r="K1134" s="103"/>
      <c r="L1134" s="103"/>
      <c r="M1134" s="103"/>
      <c r="N1134" s="103"/>
      <c r="O1134" s="103"/>
      <c r="P1134" s="103"/>
      <c r="Q1134" s="103"/>
      <c r="R1134" s="103"/>
      <c r="S1134" s="103"/>
    </row>
    <row r="1135" spans="1:19" x14ac:dyDescent="0.25">
      <c r="A1135" t="s">
        <v>104</v>
      </c>
      <c r="D1135" s="103"/>
      <c r="E1135" s="103"/>
      <c r="F1135" s="103"/>
      <c r="G1135" s="103">
        <f>G1134-G1133</f>
        <v>817.22380951085142</v>
      </c>
      <c r="H1135" s="103">
        <f>H1134-H1133</f>
        <v>116</v>
      </c>
      <c r="I1135" s="103">
        <f>I1134-I1133</f>
        <v>477.30407413615825</v>
      </c>
      <c r="J1135" s="103">
        <f>J1134-J1133</f>
        <v>1410.5278836470097</v>
      </c>
      <c r="K1135" s="103"/>
      <c r="L1135" s="103"/>
      <c r="M1135" s="103"/>
      <c r="N1135" s="103"/>
      <c r="O1135" s="103"/>
      <c r="P1135" s="103"/>
      <c r="Q1135" s="103"/>
      <c r="R1135" s="103"/>
      <c r="S1135" s="103"/>
    </row>
    <row r="1137" spans="1:19" ht="60" x14ac:dyDescent="0.25">
      <c r="A1137" s="26" t="s">
        <v>63</v>
      </c>
      <c r="B1137" s="26" t="s">
        <v>93</v>
      </c>
      <c r="C1137" s="26" t="s">
        <v>94</v>
      </c>
      <c r="D1137" s="97" t="str">
        <f>FoodDB!$C$1</f>
        <v>Fat
(g)</v>
      </c>
      <c r="E1137" s="97" t="str">
        <f>FoodDB!$D$1</f>
        <v xml:space="preserve"> Carbs
(g)</v>
      </c>
      <c r="F1137" s="97" t="str">
        <f>FoodDB!$E$1</f>
        <v>Protein
(g)</v>
      </c>
      <c r="G1137" s="97" t="str">
        <f>FoodDB!$F$1</f>
        <v>Fat
(Cal)</v>
      </c>
      <c r="H1137" s="97" t="str">
        <f>FoodDB!$G$1</f>
        <v>Carb
(Cal)</v>
      </c>
      <c r="I1137" s="97" t="str">
        <f>FoodDB!$H$1</f>
        <v>Protein
(Cal)</v>
      </c>
      <c r="J1137" s="97" t="str">
        <f>FoodDB!$I$1</f>
        <v>Total
Calories</v>
      </c>
      <c r="K1137" s="97"/>
      <c r="L1137" s="97" t="s">
        <v>110</v>
      </c>
      <c r="M1137" s="97" t="s">
        <v>111</v>
      </c>
      <c r="N1137" s="97" t="s">
        <v>112</v>
      </c>
      <c r="O1137" s="97" t="s">
        <v>113</v>
      </c>
      <c r="P1137" s="97" t="s">
        <v>118</v>
      </c>
      <c r="Q1137" s="97" t="s">
        <v>119</v>
      </c>
      <c r="R1137" s="97" t="s">
        <v>120</v>
      </c>
      <c r="S1137" s="97" t="s">
        <v>121</v>
      </c>
    </row>
    <row r="1138" spans="1:19" x14ac:dyDescent="0.25">
      <c r="A1138" s="98">
        <f>A1126+1</f>
        <v>43088</v>
      </c>
      <c r="B1138" s="99" t="s">
        <v>108</v>
      </c>
      <c r="C1138" s="100">
        <v>1</v>
      </c>
      <c r="D1138" s="103">
        <f>$C1138*VLOOKUP($B1138,FoodDB!$A$2:$I$1018,3,0)</f>
        <v>0</v>
      </c>
      <c r="E1138" s="103">
        <f>$C1138*VLOOKUP($B1138,FoodDB!$A$2:$I$1018,4,0)</f>
        <v>0</v>
      </c>
      <c r="F1138" s="103">
        <f>$C1138*VLOOKUP($B1138,FoodDB!$A$2:$I$1018,5,0)</f>
        <v>0</v>
      </c>
      <c r="G1138" s="103">
        <f>$C1138*VLOOKUP($B1138,FoodDB!$A$2:$I$1018,6,0)</f>
        <v>0</v>
      </c>
      <c r="H1138" s="103">
        <f>$C1138*VLOOKUP($B1138,FoodDB!$A$2:$I$1018,7,0)</f>
        <v>0</v>
      </c>
      <c r="I1138" s="103">
        <f>$C1138*VLOOKUP($B1138,FoodDB!$A$2:$I$1018,8,0)</f>
        <v>0</v>
      </c>
      <c r="J1138" s="103">
        <f>$C1138*VLOOKUP($B1138,FoodDB!$A$2:$I$1018,9,0)</f>
        <v>0</v>
      </c>
      <c r="K1138" s="103"/>
      <c r="L1138" s="103">
        <f>SUM(G1138:G1144)</f>
        <v>0</v>
      </c>
      <c r="M1138" s="103">
        <f>SUM(H1138:H1144)</f>
        <v>0</v>
      </c>
      <c r="N1138" s="103">
        <f>SUM(I1138:I1144)</f>
        <v>0</v>
      </c>
      <c r="O1138" s="103">
        <f>SUM(L1138:N1138)</f>
        <v>0</v>
      </c>
      <c r="P1138" s="103">
        <f>VLOOKUP($A1138,LossChart!$A$3:$AB$105,14,0)-L1138</f>
        <v>821.16913183582687</v>
      </c>
      <c r="Q1138" s="103">
        <f>VLOOKUP($A1138,LossChart!$A$3:$AB$105,15,0)-M1138</f>
        <v>116</v>
      </c>
      <c r="R1138" s="103">
        <f>VLOOKUP($A1138,LossChart!$A$3:$AB$105,16,0)-N1138</f>
        <v>477.30407413615825</v>
      </c>
      <c r="S1138" s="103">
        <f>VLOOKUP($A1138,LossChart!$A$3:$AB$105,17,0)-O1138</f>
        <v>1414.4732059719852</v>
      </c>
    </row>
    <row r="1139" spans="1:19" x14ac:dyDescent="0.25">
      <c r="B1139" s="99" t="s">
        <v>108</v>
      </c>
      <c r="C1139" s="100">
        <v>1</v>
      </c>
      <c r="D1139" s="103">
        <f>$C1139*VLOOKUP($B1139,FoodDB!$A$2:$I$1018,3,0)</f>
        <v>0</v>
      </c>
      <c r="E1139" s="103">
        <f>$C1139*VLOOKUP($B1139,FoodDB!$A$2:$I$1018,4,0)</f>
        <v>0</v>
      </c>
      <c r="F1139" s="103">
        <f>$C1139*VLOOKUP($B1139,FoodDB!$A$2:$I$1018,5,0)</f>
        <v>0</v>
      </c>
      <c r="G1139" s="103">
        <f>$C1139*VLOOKUP($B1139,FoodDB!$A$2:$I$1018,6,0)</f>
        <v>0</v>
      </c>
      <c r="H1139" s="103">
        <f>$C1139*VLOOKUP($B1139,FoodDB!$A$2:$I$1018,7,0)</f>
        <v>0</v>
      </c>
      <c r="I1139" s="103">
        <f>$C1139*VLOOKUP($B1139,FoodDB!$A$2:$I$1018,8,0)</f>
        <v>0</v>
      </c>
      <c r="J1139" s="103">
        <f>$C1139*VLOOKUP($B1139,FoodDB!$A$2:$I$1018,9,0)</f>
        <v>0</v>
      </c>
      <c r="K1139" s="103"/>
      <c r="L1139" s="103"/>
      <c r="M1139" s="103"/>
      <c r="N1139" s="103"/>
      <c r="O1139" s="103"/>
      <c r="P1139" s="103"/>
      <c r="Q1139" s="103"/>
      <c r="R1139" s="103"/>
      <c r="S1139" s="103"/>
    </row>
    <row r="1140" spans="1:19" x14ac:dyDescent="0.25">
      <c r="B1140" s="99" t="s">
        <v>108</v>
      </c>
      <c r="C1140" s="100">
        <v>1</v>
      </c>
      <c r="D1140" s="103">
        <f>$C1140*VLOOKUP($B1140,FoodDB!$A$2:$I$1018,3,0)</f>
        <v>0</v>
      </c>
      <c r="E1140" s="103">
        <f>$C1140*VLOOKUP($B1140,FoodDB!$A$2:$I$1018,4,0)</f>
        <v>0</v>
      </c>
      <c r="F1140" s="103">
        <f>$C1140*VLOOKUP($B1140,FoodDB!$A$2:$I$1018,5,0)</f>
        <v>0</v>
      </c>
      <c r="G1140" s="103">
        <f>$C1140*VLOOKUP($B1140,FoodDB!$A$2:$I$1018,6,0)</f>
        <v>0</v>
      </c>
      <c r="H1140" s="103">
        <f>$C1140*VLOOKUP($B1140,FoodDB!$A$2:$I$1018,7,0)</f>
        <v>0</v>
      </c>
      <c r="I1140" s="103">
        <f>$C1140*VLOOKUP($B1140,FoodDB!$A$2:$I$1018,8,0)</f>
        <v>0</v>
      </c>
      <c r="J1140" s="103">
        <f>$C1140*VLOOKUP($B1140,FoodDB!$A$2:$I$1018,9,0)</f>
        <v>0</v>
      </c>
      <c r="K1140" s="103"/>
      <c r="L1140" s="103"/>
      <c r="M1140" s="103"/>
      <c r="N1140" s="103"/>
      <c r="O1140" s="103"/>
      <c r="P1140" s="103"/>
      <c r="Q1140" s="103"/>
      <c r="R1140" s="103"/>
      <c r="S1140" s="103"/>
    </row>
    <row r="1141" spans="1:19" x14ac:dyDescent="0.25">
      <c r="B1141" s="99" t="s">
        <v>108</v>
      </c>
      <c r="C1141" s="100">
        <v>1</v>
      </c>
      <c r="D1141" s="103">
        <f>$C1141*VLOOKUP($B1141,FoodDB!$A$2:$I$1018,3,0)</f>
        <v>0</v>
      </c>
      <c r="E1141" s="103">
        <f>$C1141*VLOOKUP($B1141,FoodDB!$A$2:$I$1018,4,0)</f>
        <v>0</v>
      </c>
      <c r="F1141" s="103">
        <f>$C1141*VLOOKUP($B1141,FoodDB!$A$2:$I$1018,5,0)</f>
        <v>0</v>
      </c>
      <c r="G1141" s="103">
        <f>$C1141*VLOOKUP($B1141,FoodDB!$A$2:$I$1018,6,0)</f>
        <v>0</v>
      </c>
      <c r="H1141" s="103">
        <f>$C1141*VLOOKUP($B1141,FoodDB!$A$2:$I$1018,7,0)</f>
        <v>0</v>
      </c>
      <c r="I1141" s="103">
        <f>$C1141*VLOOKUP($B1141,FoodDB!$A$2:$I$1018,8,0)</f>
        <v>0</v>
      </c>
      <c r="J1141" s="103">
        <f>$C1141*VLOOKUP($B1141,FoodDB!$A$2:$I$1018,9,0)</f>
        <v>0</v>
      </c>
      <c r="K1141" s="103"/>
      <c r="L1141" s="103"/>
      <c r="M1141" s="103"/>
      <c r="N1141" s="103"/>
      <c r="O1141" s="103"/>
      <c r="P1141" s="103"/>
      <c r="Q1141" s="103"/>
      <c r="R1141" s="103"/>
      <c r="S1141" s="103"/>
    </row>
    <row r="1142" spans="1:19" x14ac:dyDescent="0.25">
      <c r="B1142" s="99" t="s">
        <v>108</v>
      </c>
      <c r="C1142" s="100">
        <v>1</v>
      </c>
      <c r="D1142" s="103">
        <f>$C1142*VLOOKUP($B1142,FoodDB!$A$2:$I$1018,3,0)</f>
        <v>0</v>
      </c>
      <c r="E1142" s="103">
        <f>$C1142*VLOOKUP($B1142,FoodDB!$A$2:$I$1018,4,0)</f>
        <v>0</v>
      </c>
      <c r="F1142" s="103">
        <f>$C1142*VLOOKUP($B1142,FoodDB!$A$2:$I$1018,5,0)</f>
        <v>0</v>
      </c>
      <c r="G1142" s="103">
        <f>$C1142*VLOOKUP($B1142,FoodDB!$A$2:$I$1018,6,0)</f>
        <v>0</v>
      </c>
      <c r="H1142" s="103">
        <f>$C1142*VLOOKUP($B1142,FoodDB!$A$2:$I$1018,7,0)</f>
        <v>0</v>
      </c>
      <c r="I1142" s="103">
        <f>$C1142*VLOOKUP($B1142,FoodDB!$A$2:$I$1018,8,0)</f>
        <v>0</v>
      </c>
      <c r="J1142" s="103">
        <f>$C1142*VLOOKUP($B1142,FoodDB!$A$2:$I$1018,9,0)</f>
        <v>0</v>
      </c>
      <c r="K1142" s="103"/>
      <c r="L1142" s="103"/>
      <c r="M1142" s="103"/>
      <c r="N1142" s="103"/>
      <c r="O1142" s="103"/>
      <c r="P1142" s="103"/>
      <c r="Q1142" s="103"/>
      <c r="R1142" s="103"/>
      <c r="S1142" s="103"/>
    </row>
    <row r="1143" spans="1:19" x14ac:dyDescent="0.25">
      <c r="B1143" s="99" t="s">
        <v>108</v>
      </c>
      <c r="C1143" s="100">
        <v>1</v>
      </c>
      <c r="D1143" s="103">
        <f>$C1143*VLOOKUP($B1143,FoodDB!$A$2:$I$1018,3,0)</f>
        <v>0</v>
      </c>
      <c r="E1143" s="103">
        <f>$C1143*VLOOKUP($B1143,FoodDB!$A$2:$I$1018,4,0)</f>
        <v>0</v>
      </c>
      <c r="F1143" s="103">
        <f>$C1143*VLOOKUP($B1143,FoodDB!$A$2:$I$1018,5,0)</f>
        <v>0</v>
      </c>
      <c r="G1143" s="103">
        <f>$C1143*VLOOKUP($B1143,FoodDB!$A$2:$I$1018,6,0)</f>
        <v>0</v>
      </c>
      <c r="H1143" s="103">
        <f>$C1143*VLOOKUP($B1143,FoodDB!$A$2:$I$1018,7,0)</f>
        <v>0</v>
      </c>
      <c r="I1143" s="103">
        <f>$C1143*VLOOKUP($B1143,FoodDB!$A$2:$I$1018,8,0)</f>
        <v>0</v>
      </c>
      <c r="J1143" s="103">
        <f>$C1143*VLOOKUP($B1143,FoodDB!$A$2:$I$1018,9,0)</f>
        <v>0</v>
      </c>
      <c r="K1143" s="103"/>
      <c r="L1143" s="103"/>
      <c r="M1143" s="103"/>
      <c r="N1143" s="103"/>
      <c r="O1143" s="103"/>
      <c r="P1143" s="103"/>
      <c r="Q1143" s="103"/>
      <c r="R1143" s="103"/>
      <c r="S1143" s="103"/>
    </row>
    <row r="1144" spans="1:19" x14ac:dyDescent="0.25">
      <c r="B1144" s="99" t="s">
        <v>108</v>
      </c>
      <c r="C1144" s="100">
        <v>1</v>
      </c>
      <c r="D1144" s="103">
        <f>$C1144*VLOOKUP($B1144,FoodDB!$A$2:$I$1018,3,0)</f>
        <v>0</v>
      </c>
      <c r="E1144" s="103">
        <f>$C1144*VLOOKUP($B1144,FoodDB!$A$2:$I$1018,4,0)</f>
        <v>0</v>
      </c>
      <c r="F1144" s="103">
        <f>$C1144*VLOOKUP($B1144,FoodDB!$A$2:$I$1018,5,0)</f>
        <v>0</v>
      </c>
      <c r="G1144" s="103">
        <f>$C1144*VLOOKUP($B1144,FoodDB!$A$2:$I$1018,6,0)</f>
        <v>0</v>
      </c>
      <c r="H1144" s="103">
        <f>$C1144*VLOOKUP($B1144,FoodDB!$A$2:$I$1018,7,0)</f>
        <v>0</v>
      </c>
      <c r="I1144" s="103">
        <f>$C1144*VLOOKUP($B1144,FoodDB!$A$2:$I$1018,8,0)</f>
        <v>0</v>
      </c>
      <c r="J1144" s="103">
        <f>$C1144*VLOOKUP($B1144,FoodDB!$A$2:$I$1018,9,0)</f>
        <v>0</v>
      </c>
      <c r="K1144" s="103"/>
      <c r="L1144" s="103"/>
      <c r="M1144" s="103"/>
      <c r="N1144" s="103"/>
      <c r="O1144" s="103"/>
      <c r="P1144" s="103"/>
      <c r="Q1144" s="103"/>
      <c r="R1144" s="103"/>
      <c r="S1144" s="103"/>
    </row>
    <row r="1145" spans="1:19" x14ac:dyDescent="0.25">
      <c r="A1145" t="s">
        <v>98</v>
      </c>
      <c r="D1145" s="103"/>
      <c r="E1145" s="103"/>
      <c r="F1145" s="103"/>
      <c r="G1145" s="103">
        <f>SUM(G1138:G1144)</f>
        <v>0</v>
      </c>
      <c r="H1145" s="103">
        <f>SUM(H1138:H1144)</f>
        <v>0</v>
      </c>
      <c r="I1145" s="103">
        <f>SUM(I1138:I1144)</f>
        <v>0</v>
      </c>
      <c r="J1145" s="103">
        <f>SUM(G1145:I1145)</f>
        <v>0</v>
      </c>
      <c r="K1145" s="103"/>
      <c r="L1145" s="103"/>
      <c r="M1145" s="103"/>
      <c r="N1145" s="103"/>
      <c r="O1145" s="103"/>
      <c r="P1145" s="103"/>
      <c r="Q1145" s="103"/>
      <c r="R1145" s="103"/>
      <c r="S1145" s="103"/>
    </row>
    <row r="1146" spans="1:19" x14ac:dyDescent="0.25">
      <c r="A1146" t="s">
        <v>102</v>
      </c>
      <c r="B1146" t="s">
        <v>103</v>
      </c>
      <c r="D1146" s="103"/>
      <c r="E1146" s="103"/>
      <c r="F1146" s="103"/>
      <c r="G1146" s="103">
        <f>VLOOKUP($A1138,LossChart!$A$3:$AB$105,14,0)</f>
        <v>821.16913183582687</v>
      </c>
      <c r="H1146" s="103">
        <f>VLOOKUP($A1138,LossChart!$A$3:$AB$105,15,0)</f>
        <v>116</v>
      </c>
      <c r="I1146" s="103">
        <f>VLOOKUP($A1138,LossChart!$A$3:$AB$105,16,0)</f>
        <v>477.30407413615825</v>
      </c>
      <c r="J1146" s="103">
        <f>VLOOKUP($A1138,LossChart!$A$3:$AB$105,17,0)</f>
        <v>1414.4732059719852</v>
      </c>
      <c r="K1146" s="103"/>
      <c r="L1146" s="103"/>
      <c r="M1146" s="103"/>
      <c r="N1146" s="103"/>
      <c r="O1146" s="103"/>
      <c r="P1146" s="103"/>
      <c r="Q1146" s="103"/>
      <c r="R1146" s="103"/>
      <c r="S1146" s="103"/>
    </row>
    <row r="1147" spans="1:19" x14ac:dyDescent="0.25">
      <c r="A1147" t="s">
        <v>104</v>
      </c>
      <c r="D1147" s="103"/>
      <c r="E1147" s="103"/>
      <c r="F1147" s="103"/>
      <c r="G1147" s="103">
        <f>G1146-G1145</f>
        <v>821.16913183582687</v>
      </c>
      <c r="H1147" s="103">
        <f>H1146-H1145</f>
        <v>116</v>
      </c>
      <c r="I1147" s="103">
        <f>I1146-I1145</f>
        <v>477.30407413615825</v>
      </c>
      <c r="J1147" s="103">
        <f>J1146-J1145</f>
        <v>1414.4732059719852</v>
      </c>
      <c r="K1147" s="103"/>
      <c r="L1147" s="103"/>
      <c r="M1147" s="103"/>
      <c r="N1147" s="103"/>
      <c r="O1147" s="103"/>
      <c r="P1147" s="103"/>
      <c r="Q1147" s="103"/>
      <c r="R1147" s="103"/>
      <c r="S1147" s="103"/>
    </row>
    <row r="1149" spans="1:19" ht="60" x14ac:dyDescent="0.25">
      <c r="A1149" s="26" t="s">
        <v>63</v>
      </c>
      <c r="B1149" s="26" t="s">
        <v>93</v>
      </c>
      <c r="C1149" s="26" t="s">
        <v>94</v>
      </c>
      <c r="D1149" s="97" t="str">
        <f>FoodDB!$C$1</f>
        <v>Fat
(g)</v>
      </c>
      <c r="E1149" s="97" t="str">
        <f>FoodDB!$D$1</f>
        <v xml:space="preserve"> Carbs
(g)</v>
      </c>
      <c r="F1149" s="97" t="str">
        <f>FoodDB!$E$1</f>
        <v>Protein
(g)</v>
      </c>
      <c r="G1149" s="97" t="str">
        <f>FoodDB!$F$1</f>
        <v>Fat
(Cal)</v>
      </c>
      <c r="H1149" s="97" t="str">
        <f>FoodDB!$G$1</f>
        <v>Carb
(Cal)</v>
      </c>
      <c r="I1149" s="97" t="str">
        <f>FoodDB!$H$1</f>
        <v>Protein
(Cal)</v>
      </c>
      <c r="J1149" s="97" t="str">
        <f>FoodDB!$I$1</f>
        <v>Total
Calories</v>
      </c>
      <c r="K1149" s="97"/>
      <c r="L1149" s="97" t="s">
        <v>110</v>
      </c>
      <c r="M1149" s="97" t="s">
        <v>111</v>
      </c>
      <c r="N1149" s="97" t="s">
        <v>112</v>
      </c>
      <c r="O1149" s="97" t="s">
        <v>113</v>
      </c>
      <c r="P1149" s="97" t="s">
        <v>118</v>
      </c>
      <c r="Q1149" s="97" t="s">
        <v>119</v>
      </c>
      <c r="R1149" s="97" t="s">
        <v>120</v>
      </c>
      <c r="S1149" s="97" t="s">
        <v>121</v>
      </c>
    </row>
    <row r="1150" spans="1:19" x14ac:dyDescent="0.25">
      <c r="A1150" s="98">
        <f>A1138+1</f>
        <v>43089</v>
      </c>
      <c r="B1150" s="99" t="s">
        <v>108</v>
      </c>
      <c r="C1150" s="100">
        <v>1</v>
      </c>
      <c r="D1150" s="103">
        <f>$C1150*VLOOKUP($B1150,FoodDB!$A$2:$I$1018,3,0)</f>
        <v>0</v>
      </c>
      <c r="E1150" s="103">
        <f>$C1150*VLOOKUP($B1150,FoodDB!$A$2:$I$1018,4,0)</f>
        <v>0</v>
      </c>
      <c r="F1150" s="103">
        <f>$C1150*VLOOKUP($B1150,FoodDB!$A$2:$I$1018,5,0)</f>
        <v>0</v>
      </c>
      <c r="G1150" s="103">
        <f>$C1150*VLOOKUP($B1150,FoodDB!$A$2:$I$1018,6,0)</f>
        <v>0</v>
      </c>
      <c r="H1150" s="103">
        <f>$C1150*VLOOKUP($B1150,FoodDB!$A$2:$I$1018,7,0)</f>
        <v>0</v>
      </c>
      <c r="I1150" s="103">
        <f>$C1150*VLOOKUP($B1150,FoodDB!$A$2:$I$1018,8,0)</f>
        <v>0</v>
      </c>
      <c r="J1150" s="103">
        <f>$C1150*VLOOKUP($B1150,FoodDB!$A$2:$I$1018,9,0)</f>
        <v>0</v>
      </c>
      <c r="K1150" s="103"/>
      <c r="L1150" s="103">
        <f>SUM(G1150:G1156)</f>
        <v>0</v>
      </c>
      <c r="M1150" s="103">
        <f>SUM(H1150:H1156)</f>
        <v>0</v>
      </c>
      <c r="N1150" s="103">
        <f>SUM(I1150:I1156)</f>
        <v>0</v>
      </c>
      <c r="O1150" s="103">
        <f>SUM(L1150:N1150)</f>
        <v>0</v>
      </c>
      <c r="P1150" s="103">
        <f>VLOOKUP($A1150,LossChart!$A$3:$AB$105,14,0)-L1150</f>
        <v>825.07950987735239</v>
      </c>
      <c r="Q1150" s="103">
        <f>VLOOKUP($A1150,LossChart!$A$3:$AB$105,15,0)-M1150</f>
        <v>116</v>
      </c>
      <c r="R1150" s="103">
        <f>VLOOKUP($A1150,LossChart!$A$3:$AB$105,16,0)-N1150</f>
        <v>477.30407413615825</v>
      </c>
      <c r="S1150" s="103">
        <f>VLOOKUP($A1150,LossChart!$A$3:$AB$105,17,0)-O1150</f>
        <v>1418.3835840135107</v>
      </c>
    </row>
    <row r="1151" spans="1:19" x14ac:dyDescent="0.25">
      <c r="B1151" s="99" t="s">
        <v>108</v>
      </c>
      <c r="C1151" s="100">
        <v>1</v>
      </c>
      <c r="D1151" s="103">
        <f>$C1151*VLOOKUP($B1151,FoodDB!$A$2:$I$1018,3,0)</f>
        <v>0</v>
      </c>
      <c r="E1151" s="103">
        <f>$C1151*VLOOKUP($B1151,FoodDB!$A$2:$I$1018,4,0)</f>
        <v>0</v>
      </c>
      <c r="F1151" s="103">
        <f>$C1151*VLOOKUP($B1151,FoodDB!$A$2:$I$1018,5,0)</f>
        <v>0</v>
      </c>
      <c r="G1151" s="103">
        <f>$C1151*VLOOKUP($B1151,FoodDB!$A$2:$I$1018,6,0)</f>
        <v>0</v>
      </c>
      <c r="H1151" s="103">
        <f>$C1151*VLOOKUP($B1151,FoodDB!$A$2:$I$1018,7,0)</f>
        <v>0</v>
      </c>
      <c r="I1151" s="103">
        <f>$C1151*VLOOKUP($B1151,FoodDB!$A$2:$I$1018,8,0)</f>
        <v>0</v>
      </c>
      <c r="J1151" s="103">
        <f>$C1151*VLOOKUP($B1151,FoodDB!$A$2:$I$1018,9,0)</f>
        <v>0</v>
      </c>
      <c r="K1151" s="103"/>
      <c r="L1151" s="103"/>
      <c r="M1151" s="103"/>
      <c r="N1151" s="103"/>
      <c r="O1151" s="103"/>
      <c r="P1151" s="103"/>
      <c r="Q1151" s="103"/>
      <c r="R1151" s="103"/>
      <c r="S1151" s="103"/>
    </row>
    <row r="1152" spans="1:19" x14ac:dyDescent="0.25">
      <c r="B1152" s="99" t="s">
        <v>108</v>
      </c>
      <c r="C1152" s="100">
        <v>1</v>
      </c>
      <c r="D1152" s="103">
        <f>$C1152*VLOOKUP($B1152,FoodDB!$A$2:$I$1018,3,0)</f>
        <v>0</v>
      </c>
      <c r="E1152" s="103">
        <f>$C1152*VLOOKUP($B1152,FoodDB!$A$2:$I$1018,4,0)</f>
        <v>0</v>
      </c>
      <c r="F1152" s="103">
        <f>$C1152*VLOOKUP($B1152,FoodDB!$A$2:$I$1018,5,0)</f>
        <v>0</v>
      </c>
      <c r="G1152" s="103">
        <f>$C1152*VLOOKUP($B1152,FoodDB!$A$2:$I$1018,6,0)</f>
        <v>0</v>
      </c>
      <c r="H1152" s="103">
        <f>$C1152*VLOOKUP($B1152,FoodDB!$A$2:$I$1018,7,0)</f>
        <v>0</v>
      </c>
      <c r="I1152" s="103">
        <f>$C1152*VLOOKUP($B1152,FoodDB!$A$2:$I$1018,8,0)</f>
        <v>0</v>
      </c>
      <c r="J1152" s="103">
        <f>$C1152*VLOOKUP($B1152,FoodDB!$A$2:$I$1018,9,0)</f>
        <v>0</v>
      </c>
      <c r="K1152" s="103"/>
      <c r="L1152" s="103"/>
      <c r="M1152" s="103"/>
      <c r="N1152" s="103"/>
      <c r="O1152" s="103"/>
      <c r="P1152" s="103"/>
      <c r="Q1152" s="103"/>
      <c r="R1152" s="103"/>
      <c r="S1152" s="103"/>
    </row>
    <row r="1153" spans="1:19" x14ac:dyDescent="0.25">
      <c r="B1153" s="99" t="s">
        <v>108</v>
      </c>
      <c r="C1153" s="100">
        <v>1</v>
      </c>
      <c r="D1153" s="103">
        <f>$C1153*VLOOKUP($B1153,FoodDB!$A$2:$I$1018,3,0)</f>
        <v>0</v>
      </c>
      <c r="E1153" s="103">
        <f>$C1153*VLOOKUP($B1153,FoodDB!$A$2:$I$1018,4,0)</f>
        <v>0</v>
      </c>
      <c r="F1153" s="103">
        <f>$C1153*VLOOKUP($B1153,FoodDB!$A$2:$I$1018,5,0)</f>
        <v>0</v>
      </c>
      <c r="G1153" s="103">
        <f>$C1153*VLOOKUP($B1153,FoodDB!$A$2:$I$1018,6,0)</f>
        <v>0</v>
      </c>
      <c r="H1153" s="103">
        <f>$C1153*VLOOKUP($B1153,FoodDB!$A$2:$I$1018,7,0)</f>
        <v>0</v>
      </c>
      <c r="I1153" s="103">
        <f>$C1153*VLOOKUP($B1153,FoodDB!$A$2:$I$1018,8,0)</f>
        <v>0</v>
      </c>
      <c r="J1153" s="103">
        <f>$C1153*VLOOKUP($B1153,FoodDB!$A$2:$I$1018,9,0)</f>
        <v>0</v>
      </c>
      <c r="K1153" s="103"/>
      <c r="L1153" s="103"/>
      <c r="M1153" s="103"/>
      <c r="N1153" s="103"/>
      <c r="O1153" s="103"/>
      <c r="P1153" s="103"/>
      <c r="Q1153" s="103"/>
      <c r="R1153" s="103"/>
      <c r="S1153" s="103"/>
    </row>
    <row r="1154" spans="1:19" x14ac:dyDescent="0.25">
      <c r="B1154" s="99" t="s">
        <v>108</v>
      </c>
      <c r="C1154" s="100">
        <v>1</v>
      </c>
      <c r="D1154" s="103">
        <f>$C1154*VLOOKUP($B1154,FoodDB!$A$2:$I$1018,3,0)</f>
        <v>0</v>
      </c>
      <c r="E1154" s="103">
        <f>$C1154*VLOOKUP($B1154,FoodDB!$A$2:$I$1018,4,0)</f>
        <v>0</v>
      </c>
      <c r="F1154" s="103">
        <f>$C1154*VLOOKUP($B1154,FoodDB!$A$2:$I$1018,5,0)</f>
        <v>0</v>
      </c>
      <c r="G1154" s="103">
        <f>$C1154*VLOOKUP($B1154,FoodDB!$A$2:$I$1018,6,0)</f>
        <v>0</v>
      </c>
      <c r="H1154" s="103">
        <f>$C1154*VLOOKUP($B1154,FoodDB!$A$2:$I$1018,7,0)</f>
        <v>0</v>
      </c>
      <c r="I1154" s="103">
        <f>$C1154*VLOOKUP($B1154,FoodDB!$A$2:$I$1018,8,0)</f>
        <v>0</v>
      </c>
      <c r="J1154" s="103">
        <f>$C1154*VLOOKUP($B1154,FoodDB!$A$2:$I$1018,9,0)</f>
        <v>0</v>
      </c>
      <c r="K1154" s="103"/>
      <c r="L1154" s="103"/>
      <c r="M1154" s="103"/>
      <c r="N1154" s="103"/>
      <c r="O1154" s="103"/>
      <c r="P1154" s="103"/>
      <c r="Q1154" s="103"/>
      <c r="R1154" s="103"/>
      <c r="S1154" s="103"/>
    </row>
    <row r="1155" spans="1:19" x14ac:dyDescent="0.25">
      <c r="B1155" s="99" t="s">
        <v>108</v>
      </c>
      <c r="C1155" s="100">
        <v>1</v>
      </c>
      <c r="D1155" s="103">
        <f>$C1155*VLOOKUP($B1155,FoodDB!$A$2:$I$1018,3,0)</f>
        <v>0</v>
      </c>
      <c r="E1155" s="103">
        <f>$C1155*VLOOKUP($B1155,FoodDB!$A$2:$I$1018,4,0)</f>
        <v>0</v>
      </c>
      <c r="F1155" s="103">
        <f>$C1155*VLOOKUP($B1155,FoodDB!$A$2:$I$1018,5,0)</f>
        <v>0</v>
      </c>
      <c r="G1155" s="103">
        <f>$C1155*VLOOKUP($B1155,FoodDB!$A$2:$I$1018,6,0)</f>
        <v>0</v>
      </c>
      <c r="H1155" s="103">
        <f>$C1155*VLOOKUP($B1155,FoodDB!$A$2:$I$1018,7,0)</f>
        <v>0</v>
      </c>
      <c r="I1155" s="103">
        <f>$C1155*VLOOKUP($B1155,FoodDB!$A$2:$I$1018,8,0)</f>
        <v>0</v>
      </c>
      <c r="J1155" s="103">
        <f>$C1155*VLOOKUP($B1155,FoodDB!$A$2:$I$1018,9,0)</f>
        <v>0</v>
      </c>
      <c r="K1155" s="103"/>
      <c r="L1155" s="103"/>
      <c r="M1155" s="103"/>
      <c r="N1155" s="103"/>
      <c r="O1155" s="103"/>
      <c r="P1155" s="103"/>
      <c r="Q1155" s="103"/>
      <c r="R1155" s="103"/>
      <c r="S1155" s="103"/>
    </row>
    <row r="1156" spans="1:19" x14ac:dyDescent="0.25">
      <c r="B1156" s="99" t="s">
        <v>108</v>
      </c>
      <c r="C1156" s="100">
        <v>1</v>
      </c>
      <c r="D1156" s="103">
        <f>$C1156*VLOOKUP($B1156,FoodDB!$A$2:$I$1018,3,0)</f>
        <v>0</v>
      </c>
      <c r="E1156" s="103">
        <f>$C1156*VLOOKUP($B1156,FoodDB!$A$2:$I$1018,4,0)</f>
        <v>0</v>
      </c>
      <c r="F1156" s="103">
        <f>$C1156*VLOOKUP($B1156,FoodDB!$A$2:$I$1018,5,0)</f>
        <v>0</v>
      </c>
      <c r="G1156" s="103">
        <f>$C1156*VLOOKUP($B1156,FoodDB!$A$2:$I$1018,6,0)</f>
        <v>0</v>
      </c>
      <c r="H1156" s="103">
        <f>$C1156*VLOOKUP($B1156,FoodDB!$A$2:$I$1018,7,0)</f>
        <v>0</v>
      </c>
      <c r="I1156" s="103">
        <f>$C1156*VLOOKUP($B1156,FoodDB!$A$2:$I$1018,8,0)</f>
        <v>0</v>
      </c>
      <c r="J1156" s="103">
        <f>$C1156*VLOOKUP($B1156,FoodDB!$A$2:$I$1018,9,0)</f>
        <v>0</v>
      </c>
      <c r="K1156" s="103"/>
      <c r="L1156" s="103"/>
      <c r="M1156" s="103"/>
      <c r="N1156" s="103"/>
      <c r="O1156" s="103"/>
      <c r="P1156" s="103"/>
      <c r="Q1156" s="103"/>
      <c r="R1156" s="103"/>
      <c r="S1156" s="103"/>
    </row>
    <row r="1157" spans="1:19" x14ac:dyDescent="0.25">
      <c r="A1157" t="s">
        <v>98</v>
      </c>
      <c r="D1157" s="103"/>
      <c r="E1157" s="103"/>
      <c r="F1157" s="103"/>
      <c r="G1157" s="103">
        <f>SUM(G1150:G1156)</f>
        <v>0</v>
      </c>
      <c r="H1157" s="103">
        <f>SUM(H1150:H1156)</f>
        <v>0</v>
      </c>
      <c r="I1157" s="103">
        <f>SUM(I1150:I1156)</f>
        <v>0</v>
      </c>
      <c r="J1157" s="103">
        <f>SUM(G1157:I1157)</f>
        <v>0</v>
      </c>
      <c r="K1157" s="103"/>
      <c r="L1157" s="103"/>
      <c r="M1157" s="103"/>
      <c r="N1157" s="103"/>
      <c r="O1157" s="103"/>
      <c r="P1157" s="103"/>
      <c r="Q1157" s="103"/>
      <c r="R1157" s="103"/>
      <c r="S1157" s="103"/>
    </row>
    <row r="1158" spans="1:19" x14ac:dyDescent="0.25">
      <c r="A1158" t="s">
        <v>102</v>
      </c>
      <c r="B1158" t="s">
        <v>103</v>
      </c>
      <c r="D1158" s="103"/>
      <c r="E1158" s="103"/>
      <c r="F1158" s="103"/>
      <c r="G1158" s="103">
        <f>VLOOKUP($A1150,LossChart!$A$3:$AB$105,14,0)</f>
        <v>825.07950987735239</v>
      </c>
      <c r="H1158" s="103">
        <f>VLOOKUP($A1150,LossChart!$A$3:$AB$105,15,0)</f>
        <v>116</v>
      </c>
      <c r="I1158" s="103">
        <f>VLOOKUP($A1150,LossChart!$A$3:$AB$105,16,0)</f>
        <v>477.30407413615825</v>
      </c>
      <c r="J1158" s="103">
        <f>VLOOKUP($A1150,LossChart!$A$3:$AB$105,17,0)</f>
        <v>1418.3835840135107</v>
      </c>
      <c r="K1158" s="103"/>
      <c r="L1158" s="103"/>
      <c r="M1158" s="103"/>
      <c r="N1158" s="103"/>
      <c r="O1158" s="103"/>
      <c r="P1158" s="103"/>
      <c r="Q1158" s="103"/>
      <c r="R1158" s="103"/>
      <c r="S1158" s="103"/>
    </row>
    <row r="1159" spans="1:19" x14ac:dyDescent="0.25">
      <c r="A1159" t="s">
        <v>104</v>
      </c>
      <c r="D1159" s="103"/>
      <c r="E1159" s="103"/>
      <c r="F1159" s="103"/>
      <c r="G1159" s="103">
        <f>G1158-G1157</f>
        <v>825.07950987735239</v>
      </c>
      <c r="H1159" s="103">
        <f>H1158-H1157</f>
        <v>116</v>
      </c>
      <c r="I1159" s="103">
        <f>I1158-I1157</f>
        <v>477.30407413615825</v>
      </c>
      <c r="J1159" s="103">
        <f>J1158-J1157</f>
        <v>1418.3835840135107</v>
      </c>
      <c r="K1159" s="103"/>
      <c r="L1159" s="103"/>
      <c r="M1159" s="103"/>
      <c r="N1159" s="103"/>
      <c r="O1159" s="103"/>
      <c r="P1159" s="103"/>
      <c r="Q1159" s="103"/>
      <c r="R1159" s="103"/>
      <c r="S1159" s="103"/>
    </row>
    <row r="1161" spans="1:19" ht="60" x14ac:dyDescent="0.25">
      <c r="A1161" s="26" t="s">
        <v>63</v>
      </c>
      <c r="B1161" s="26" t="s">
        <v>93</v>
      </c>
      <c r="C1161" s="26" t="s">
        <v>94</v>
      </c>
      <c r="D1161" s="97" t="str">
        <f>FoodDB!$C$1</f>
        <v>Fat
(g)</v>
      </c>
      <c r="E1161" s="97" t="str">
        <f>FoodDB!$D$1</f>
        <v xml:space="preserve"> Carbs
(g)</v>
      </c>
      <c r="F1161" s="97" t="str">
        <f>FoodDB!$E$1</f>
        <v>Protein
(g)</v>
      </c>
      <c r="G1161" s="97" t="str">
        <f>FoodDB!$F$1</f>
        <v>Fat
(Cal)</v>
      </c>
      <c r="H1161" s="97" t="str">
        <f>FoodDB!$G$1</f>
        <v>Carb
(Cal)</v>
      </c>
      <c r="I1161" s="97" t="str">
        <f>FoodDB!$H$1</f>
        <v>Protein
(Cal)</v>
      </c>
      <c r="J1161" s="97" t="str">
        <f>FoodDB!$I$1</f>
        <v>Total
Calories</v>
      </c>
      <c r="K1161" s="97"/>
      <c r="L1161" s="97" t="s">
        <v>110</v>
      </c>
      <c r="M1161" s="97" t="s">
        <v>111</v>
      </c>
      <c r="N1161" s="97" t="s">
        <v>112</v>
      </c>
      <c r="O1161" s="97" t="s">
        <v>113</v>
      </c>
      <c r="P1161" s="97" t="s">
        <v>118</v>
      </c>
      <c r="Q1161" s="97" t="s">
        <v>119</v>
      </c>
      <c r="R1161" s="97" t="s">
        <v>120</v>
      </c>
      <c r="S1161" s="97" t="s">
        <v>121</v>
      </c>
    </row>
    <row r="1162" spans="1:19" x14ac:dyDescent="0.25">
      <c r="A1162" s="98">
        <f>A1150+1</f>
        <v>43090</v>
      </c>
      <c r="B1162" s="99" t="s">
        <v>108</v>
      </c>
      <c r="C1162" s="100">
        <v>1</v>
      </c>
      <c r="D1162" s="103">
        <f>$C1162*VLOOKUP($B1162,FoodDB!$A$2:$I$1018,3,0)</f>
        <v>0</v>
      </c>
      <c r="E1162" s="103">
        <f>$C1162*VLOOKUP($B1162,FoodDB!$A$2:$I$1018,4,0)</f>
        <v>0</v>
      </c>
      <c r="F1162" s="103">
        <f>$C1162*VLOOKUP($B1162,FoodDB!$A$2:$I$1018,5,0)</f>
        <v>0</v>
      </c>
      <c r="G1162" s="103">
        <f>$C1162*VLOOKUP($B1162,FoodDB!$A$2:$I$1018,6,0)</f>
        <v>0</v>
      </c>
      <c r="H1162" s="103">
        <f>$C1162*VLOOKUP($B1162,FoodDB!$A$2:$I$1018,7,0)</f>
        <v>0</v>
      </c>
      <c r="I1162" s="103">
        <f>$C1162*VLOOKUP($B1162,FoodDB!$A$2:$I$1018,8,0)</f>
        <v>0</v>
      </c>
      <c r="J1162" s="103">
        <f>$C1162*VLOOKUP($B1162,FoodDB!$A$2:$I$1018,9,0)</f>
        <v>0</v>
      </c>
      <c r="K1162" s="103"/>
      <c r="L1162" s="103">
        <f>SUM(G1162:G1168)</f>
        <v>0</v>
      </c>
      <c r="M1162" s="103">
        <f>SUM(H1162:H1168)</f>
        <v>0</v>
      </c>
      <c r="N1162" s="103">
        <f>SUM(I1162:I1168)</f>
        <v>0</v>
      </c>
      <c r="O1162" s="103">
        <f>SUM(L1162:N1162)</f>
        <v>0</v>
      </c>
      <c r="P1162" s="103">
        <f>VLOOKUP($A1162,LossChart!$A$3:$AB$105,14,0)-L1162</f>
        <v>828.95525314193878</v>
      </c>
      <c r="Q1162" s="103">
        <f>VLOOKUP($A1162,LossChart!$A$3:$AB$105,15,0)-M1162</f>
        <v>116</v>
      </c>
      <c r="R1162" s="103">
        <f>VLOOKUP($A1162,LossChart!$A$3:$AB$105,16,0)-N1162</f>
        <v>477.30407413615825</v>
      </c>
      <c r="S1162" s="103">
        <f>VLOOKUP($A1162,LossChart!$A$3:$AB$105,17,0)-O1162</f>
        <v>1422.2593272780971</v>
      </c>
    </row>
    <row r="1163" spans="1:19" x14ac:dyDescent="0.25">
      <c r="B1163" s="99" t="s">
        <v>108</v>
      </c>
      <c r="C1163" s="100">
        <v>1</v>
      </c>
      <c r="D1163" s="103">
        <f>$C1163*VLOOKUP($B1163,FoodDB!$A$2:$I$1018,3,0)</f>
        <v>0</v>
      </c>
      <c r="E1163" s="103">
        <f>$C1163*VLOOKUP($B1163,FoodDB!$A$2:$I$1018,4,0)</f>
        <v>0</v>
      </c>
      <c r="F1163" s="103">
        <f>$C1163*VLOOKUP($B1163,FoodDB!$A$2:$I$1018,5,0)</f>
        <v>0</v>
      </c>
      <c r="G1163" s="103">
        <f>$C1163*VLOOKUP($B1163,FoodDB!$A$2:$I$1018,6,0)</f>
        <v>0</v>
      </c>
      <c r="H1163" s="103">
        <f>$C1163*VLOOKUP($B1163,FoodDB!$A$2:$I$1018,7,0)</f>
        <v>0</v>
      </c>
      <c r="I1163" s="103">
        <f>$C1163*VLOOKUP($B1163,FoodDB!$A$2:$I$1018,8,0)</f>
        <v>0</v>
      </c>
      <c r="J1163" s="103">
        <f>$C1163*VLOOKUP($B1163,FoodDB!$A$2:$I$1018,9,0)</f>
        <v>0</v>
      </c>
      <c r="K1163" s="103"/>
      <c r="L1163" s="103"/>
      <c r="M1163" s="103"/>
      <c r="N1163" s="103"/>
      <c r="O1163" s="103"/>
      <c r="P1163" s="103"/>
      <c r="Q1163" s="103"/>
      <c r="R1163" s="103"/>
      <c r="S1163" s="103"/>
    </row>
    <row r="1164" spans="1:19" x14ac:dyDescent="0.25">
      <c r="B1164" s="99" t="s">
        <v>108</v>
      </c>
      <c r="C1164" s="100">
        <v>1</v>
      </c>
      <c r="D1164" s="103">
        <f>$C1164*VLOOKUP($B1164,FoodDB!$A$2:$I$1018,3,0)</f>
        <v>0</v>
      </c>
      <c r="E1164" s="103">
        <f>$C1164*VLOOKUP($B1164,FoodDB!$A$2:$I$1018,4,0)</f>
        <v>0</v>
      </c>
      <c r="F1164" s="103">
        <f>$C1164*VLOOKUP($B1164,FoodDB!$A$2:$I$1018,5,0)</f>
        <v>0</v>
      </c>
      <c r="G1164" s="103">
        <f>$C1164*VLOOKUP($B1164,FoodDB!$A$2:$I$1018,6,0)</f>
        <v>0</v>
      </c>
      <c r="H1164" s="103">
        <f>$C1164*VLOOKUP($B1164,FoodDB!$A$2:$I$1018,7,0)</f>
        <v>0</v>
      </c>
      <c r="I1164" s="103">
        <f>$C1164*VLOOKUP($B1164,FoodDB!$A$2:$I$1018,8,0)</f>
        <v>0</v>
      </c>
      <c r="J1164" s="103">
        <f>$C1164*VLOOKUP($B1164,FoodDB!$A$2:$I$1018,9,0)</f>
        <v>0</v>
      </c>
      <c r="K1164" s="103"/>
      <c r="L1164" s="103"/>
      <c r="M1164" s="103"/>
      <c r="N1164" s="103"/>
      <c r="O1164" s="103"/>
      <c r="P1164" s="103"/>
      <c r="Q1164" s="103"/>
      <c r="R1164" s="103"/>
      <c r="S1164" s="103"/>
    </row>
    <row r="1165" spans="1:19" x14ac:dyDescent="0.25">
      <c r="B1165" s="99" t="s">
        <v>108</v>
      </c>
      <c r="C1165" s="100">
        <v>1</v>
      </c>
      <c r="D1165" s="103">
        <f>$C1165*VLOOKUP($B1165,FoodDB!$A$2:$I$1018,3,0)</f>
        <v>0</v>
      </c>
      <c r="E1165" s="103">
        <f>$C1165*VLOOKUP($B1165,FoodDB!$A$2:$I$1018,4,0)</f>
        <v>0</v>
      </c>
      <c r="F1165" s="103">
        <f>$C1165*VLOOKUP($B1165,FoodDB!$A$2:$I$1018,5,0)</f>
        <v>0</v>
      </c>
      <c r="G1165" s="103">
        <f>$C1165*VLOOKUP($B1165,FoodDB!$A$2:$I$1018,6,0)</f>
        <v>0</v>
      </c>
      <c r="H1165" s="103">
        <f>$C1165*VLOOKUP($B1165,FoodDB!$A$2:$I$1018,7,0)</f>
        <v>0</v>
      </c>
      <c r="I1165" s="103">
        <f>$C1165*VLOOKUP($B1165,FoodDB!$A$2:$I$1018,8,0)</f>
        <v>0</v>
      </c>
      <c r="J1165" s="103">
        <f>$C1165*VLOOKUP($B1165,FoodDB!$A$2:$I$1018,9,0)</f>
        <v>0</v>
      </c>
      <c r="K1165" s="103"/>
      <c r="L1165" s="103"/>
      <c r="M1165" s="103"/>
      <c r="N1165" s="103"/>
      <c r="O1165" s="103"/>
      <c r="P1165" s="103"/>
      <c r="Q1165" s="103"/>
      <c r="R1165" s="103"/>
      <c r="S1165" s="103"/>
    </row>
    <row r="1166" spans="1:19" x14ac:dyDescent="0.25">
      <c r="B1166" s="99" t="s">
        <v>108</v>
      </c>
      <c r="C1166" s="100">
        <v>1</v>
      </c>
      <c r="D1166" s="103">
        <f>$C1166*VLOOKUP($B1166,FoodDB!$A$2:$I$1018,3,0)</f>
        <v>0</v>
      </c>
      <c r="E1166" s="103">
        <f>$C1166*VLOOKUP($B1166,FoodDB!$A$2:$I$1018,4,0)</f>
        <v>0</v>
      </c>
      <c r="F1166" s="103">
        <f>$C1166*VLOOKUP($B1166,FoodDB!$A$2:$I$1018,5,0)</f>
        <v>0</v>
      </c>
      <c r="G1166" s="103">
        <f>$C1166*VLOOKUP($B1166,FoodDB!$A$2:$I$1018,6,0)</f>
        <v>0</v>
      </c>
      <c r="H1166" s="103">
        <f>$C1166*VLOOKUP($B1166,FoodDB!$A$2:$I$1018,7,0)</f>
        <v>0</v>
      </c>
      <c r="I1166" s="103">
        <f>$C1166*VLOOKUP($B1166,FoodDB!$A$2:$I$1018,8,0)</f>
        <v>0</v>
      </c>
      <c r="J1166" s="103">
        <f>$C1166*VLOOKUP($B1166,FoodDB!$A$2:$I$1018,9,0)</f>
        <v>0</v>
      </c>
      <c r="K1166" s="103"/>
      <c r="L1166" s="103"/>
      <c r="M1166" s="103"/>
      <c r="N1166" s="103"/>
      <c r="O1166" s="103"/>
      <c r="P1166" s="103"/>
      <c r="Q1166" s="103"/>
      <c r="R1166" s="103"/>
      <c r="S1166" s="103"/>
    </row>
    <row r="1167" spans="1:19" x14ac:dyDescent="0.25">
      <c r="B1167" s="99" t="s">
        <v>108</v>
      </c>
      <c r="C1167" s="100">
        <v>1</v>
      </c>
      <c r="D1167" s="103">
        <f>$C1167*VLOOKUP($B1167,FoodDB!$A$2:$I$1018,3,0)</f>
        <v>0</v>
      </c>
      <c r="E1167" s="103">
        <f>$C1167*VLOOKUP($B1167,FoodDB!$A$2:$I$1018,4,0)</f>
        <v>0</v>
      </c>
      <c r="F1167" s="103">
        <f>$C1167*VLOOKUP($B1167,FoodDB!$A$2:$I$1018,5,0)</f>
        <v>0</v>
      </c>
      <c r="G1167" s="103">
        <f>$C1167*VLOOKUP($B1167,FoodDB!$A$2:$I$1018,6,0)</f>
        <v>0</v>
      </c>
      <c r="H1167" s="103">
        <f>$C1167*VLOOKUP($B1167,FoodDB!$A$2:$I$1018,7,0)</f>
        <v>0</v>
      </c>
      <c r="I1167" s="103">
        <f>$C1167*VLOOKUP($B1167,FoodDB!$A$2:$I$1018,8,0)</f>
        <v>0</v>
      </c>
      <c r="J1167" s="103">
        <f>$C1167*VLOOKUP($B1167,FoodDB!$A$2:$I$1018,9,0)</f>
        <v>0</v>
      </c>
      <c r="K1167" s="103"/>
      <c r="L1167" s="103"/>
      <c r="M1167" s="103"/>
      <c r="N1167" s="103"/>
      <c r="O1167" s="103"/>
      <c r="P1167" s="103"/>
      <c r="Q1167" s="103"/>
      <c r="R1167" s="103"/>
      <c r="S1167" s="103"/>
    </row>
    <row r="1168" spans="1:19" x14ac:dyDescent="0.25">
      <c r="B1168" s="99" t="s">
        <v>108</v>
      </c>
      <c r="C1168" s="100">
        <v>1</v>
      </c>
      <c r="D1168" s="103">
        <f>$C1168*VLOOKUP($B1168,FoodDB!$A$2:$I$1018,3,0)</f>
        <v>0</v>
      </c>
      <c r="E1168" s="103">
        <f>$C1168*VLOOKUP($B1168,FoodDB!$A$2:$I$1018,4,0)</f>
        <v>0</v>
      </c>
      <c r="F1168" s="103">
        <f>$C1168*VLOOKUP($B1168,FoodDB!$A$2:$I$1018,5,0)</f>
        <v>0</v>
      </c>
      <c r="G1168" s="103">
        <f>$C1168*VLOOKUP($B1168,FoodDB!$A$2:$I$1018,6,0)</f>
        <v>0</v>
      </c>
      <c r="H1168" s="103">
        <f>$C1168*VLOOKUP($B1168,FoodDB!$A$2:$I$1018,7,0)</f>
        <v>0</v>
      </c>
      <c r="I1168" s="103">
        <f>$C1168*VLOOKUP($B1168,FoodDB!$A$2:$I$1018,8,0)</f>
        <v>0</v>
      </c>
      <c r="J1168" s="103">
        <f>$C1168*VLOOKUP($B1168,FoodDB!$A$2:$I$1018,9,0)</f>
        <v>0</v>
      </c>
      <c r="K1168" s="103"/>
      <c r="L1168" s="103"/>
      <c r="M1168" s="103"/>
      <c r="N1168" s="103"/>
      <c r="O1168" s="103"/>
      <c r="P1168" s="103"/>
      <c r="Q1168" s="103"/>
      <c r="R1168" s="103"/>
      <c r="S1168" s="103"/>
    </row>
    <row r="1169" spans="1:19" x14ac:dyDescent="0.25">
      <c r="A1169" t="s">
        <v>98</v>
      </c>
      <c r="D1169" s="103"/>
      <c r="E1169" s="103"/>
      <c r="F1169" s="103"/>
      <c r="G1169" s="103">
        <f>SUM(G1162:G1168)</f>
        <v>0</v>
      </c>
      <c r="H1169" s="103">
        <f>SUM(H1162:H1168)</f>
        <v>0</v>
      </c>
      <c r="I1169" s="103">
        <f>SUM(I1162:I1168)</f>
        <v>0</v>
      </c>
      <c r="J1169" s="103">
        <f>SUM(G1169:I1169)</f>
        <v>0</v>
      </c>
      <c r="K1169" s="103"/>
      <c r="L1169" s="103"/>
      <c r="M1169" s="103"/>
      <c r="N1169" s="103"/>
      <c r="O1169" s="103"/>
      <c r="P1169" s="103"/>
      <c r="Q1169" s="103"/>
      <c r="R1169" s="103"/>
      <c r="S1169" s="103"/>
    </row>
    <row r="1170" spans="1:19" x14ac:dyDescent="0.25">
      <c r="A1170" t="s">
        <v>102</v>
      </c>
      <c r="B1170" t="s">
        <v>103</v>
      </c>
      <c r="D1170" s="103"/>
      <c r="E1170" s="103"/>
      <c r="F1170" s="103"/>
      <c r="G1170" s="103">
        <f>VLOOKUP($A1162,LossChart!$A$3:$AB$105,14,0)</f>
        <v>828.95525314193878</v>
      </c>
      <c r="H1170" s="103">
        <f>VLOOKUP($A1162,LossChart!$A$3:$AB$105,15,0)</f>
        <v>116</v>
      </c>
      <c r="I1170" s="103">
        <f>VLOOKUP($A1162,LossChart!$A$3:$AB$105,16,0)</f>
        <v>477.30407413615825</v>
      </c>
      <c r="J1170" s="103">
        <f>VLOOKUP($A1162,LossChart!$A$3:$AB$105,17,0)</f>
        <v>1422.2593272780971</v>
      </c>
      <c r="K1170" s="103"/>
      <c r="L1170" s="103"/>
      <c r="M1170" s="103"/>
      <c r="N1170" s="103"/>
      <c r="O1170" s="103"/>
      <c r="P1170" s="103"/>
      <c r="Q1170" s="103"/>
      <c r="R1170" s="103"/>
      <c r="S1170" s="103"/>
    </row>
    <row r="1171" spans="1:19" x14ac:dyDescent="0.25">
      <c r="A1171" t="s">
        <v>104</v>
      </c>
      <c r="D1171" s="103"/>
      <c r="E1171" s="103"/>
      <c r="F1171" s="103"/>
      <c r="G1171" s="103">
        <f>G1170-G1169</f>
        <v>828.95525314193878</v>
      </c>
      <c r="H1171" s="103">
        <f>H1170-H1169</f>
        <v>116</v>
      </c>
      <c r="I1171" s="103">
        <f>I1170-I1169</f>
        <v>477.30407413615825</v>
      </c>
      <c r="J1171" s="103">
        <f>J1170-J1169</f>
        <v>1422.2593272780971</v>
      </c>
      <c r="K1171" s="103"/>
      <c r="L1171" s="103"/>
      <c r="M1171" s="103"/>
      <c r="N1171" s="103"/>
      <c r="O1171" s="103"/>
      <c r="P1171" s="103"/>
      <c r="Q1171" s="103"/>
      <c r="R1171" s="103"/>
      <c r="S1171" s="103"/>
    </row>
    <row r="1173" spans="1:19" ht="60" x14ac:dyDescent="0.25">
      <c r="A1173" s="26" t="s">
        <v>63</v>
      </c>
      <c r="B1173" s="26" t="s">
        <v>93</v>
      </c>
      <c r="C1173" s="26" t="s">
        <v>94</v>
      </c>
      <c r="D1173" s="97" t="str">
        <f>FoodDB!$C$1</f>
        <v>Fat
(g)</v>
      </c>
      <c r="E1173" s="97" t="str">
        <f>FoodDB!$D$1</f>
        <v xml:space="preserve"> Carbs
(g)</v>
      </c>
      <c r="F1173" s="97" t="str">
        <f>FoodDB!$E$1</f>
        <v>Protein
(g)</v>
      </c>
      <c r="G1173" s="97" t="str">
        <f>FoodDB!$F$1</f>
        <v>Fat
(Cal)</v>
      </c>
      <c r="H1173" s="97" t="str">
        <f>FoodDB!$G$1</f>
        <v>Carb
(Cal)</v>
      </c>
      <c r="I1173" s="97" t="str">
        <f>FoodDB!$H$1</f>
        <v>Protein
(Cal)</v>
      </c>
      <c r="J1173" s="97" t="str">
        <f>FoodDB!$I$1</f>
        <v>Total
Calories</v>
      </c>
      <c r="K1173" s="97"/>
      <c r="L1173" s="97" t="s">
        <v>110</v>
      </c>
      <c r="M1173" s="97" t="s">
        <v>111</v>
      </c>
      <c r="N1173" s="97" t="s">
        <v>112</v>
      </c>
      <c r="O1173" s="97" t="s">
        <v>113</v>
      </c>
      <c r="P1173" s="97" t="s">
        <v>118</v>
      </c>
      <c r="Q1173" s="97" t="s">
        <v>119</v>
      </c>
      <c r="R1173" s="97" t="s">
        <v>120</v>
      </c>
      <c r="S1173" s="97" t="s">
        <v>121</v>
      </c>
    </row>
    <row r="1174" spans="1:19" x14ac:dyDescent="0.25">
      <c r="A1174" s="98">
        <f>A1162+1</f>
        <v>43091</v>
      </c>
      <c r="B1174" s="99" t="s">
        <v>108</v>
      </c>
      <c r="C1174" s="100">
        <v>1</v>
      </c>
      <c r="D1174" s="103">
        <f>$C1174*VLOOKUP($B1174,FoodDB!$A$2:$I$1018,3,0)</f>
        <v>0</v>
      </c>
      <c r="E1174" s="103">
        <f>$C1174*VLOOKUP($B1174,FoodDB!$A$2:$I$1018,4,0)</f>
        <v>0</v>
      </c>
      <c r="F1174" s="103">
        <f>$C1174*VLOOKUP($B1174,FoodDB!$A$2:$I$1018,5,0)</f>
        <v>0</v>
      </c>
      <c r="G1174" s="103">
        <f>$C1174*VLOOKUP($B1174,FoodDB!$A$2:$I$1018,6,0)</f>
        <v>0</v>
      </c>
      <c r="H1174" s="103">
        <f>$C1174*VLOOKUP($B1174,FoodDB!$A$2:$I$1018,7,0)</f>
        <v>0</v>
      </c>
      <c r="I1174" s="103">
        <f>$C1174*VLOOKUP($B1174,FoodDB!$A$2:$I$1018,8,0)</f>
        <v>0</v>
      </c>
      <c r="J1174" s="103">
        <f>$C1174*VLOOKUP($B1174,FoodDB!$A$2:$I$1018,9,0)</f>
        <v>0</v>
      </c>
      <c r="K1174" s="103"/>
      <c r="L1174" s="103">
        <f>SUM(G1174:G1180)</f>
        <v>0</v>
      </c>
      <c r="M1174" s="103">
        <f>SUM(H1174:H1180)</f>
        <v>0</v>
      </c>
      <c r="N1174" s="103">
        <f>SUM(I1174:I1180)</f>
        <v>0</v>
      </c>
      <c r="O1174" s="103">
        <f>SUM(L1174:N1174)</f>
        <v>0</v>
      </c>
      <c r="P1174" s="103">
        <f>VLOOKUP($A1174,LossChart!$A$3:$AB$105,14,0)-L1174</f>
        <v>832.79666839475317</v>
      </c>
      <c r="Q1174" s="103">
        <f>VLOOKUP($A1174,LossChart!$A$3:$AB$105,15,0)-M1174</f>
        <v>116</v>
      </c>
      <c r="R1174" s="103">
        <f>VLOOKUP($A1174,LossChart!$A$3:$AB$105,16,0)-N1174</f>
        <v>477.30407413615825</v>
      </c>
      <c r="S1174" s="103">
        <f>VLOOKUP($A1174,LossChart!$A$3:$AB$105,17,0)-O1174</f>
        <v>1426.1007425309115</v>
      </c>
    </row>
    <row r="1175" spans="1:19" x14ac:dyDescent="0.25">
      <c r="B1175" s="99" t="s">
        <v>108</v>
      </c>
      <c r="C1175" s="100">
        <v>1</v>
      </c>
      <c r="D1175" s="103">
        <f>$C1175*VLOOKUP($B1175,FoodDB!$A$2:$I$1018,3,0)</f>
        <v>0</v>
      </c>
      <c r="E1175" s="103">
        <f>$C1175*VLOOKUP($B1175,FoodDB!$A$2:$I$1018,4,0)</f>
        <v>0</v>
      </c>
      <c r="F1175" s="103">
        <f>$C1175*VLOOKUP($B1175,FoodDB!$A$2:$I$1018,5,0)</f>
        <v>0</v>
      </c>
      <c r="G1175" s="103">
        <f>$C1175*VLOOKUP($B1175,FoodDB!$A$2:$I$1018,6,0)</f>
        <v>0</v>
      </c>
      <c r="H1175" s="103">
        <f>$C1175*VLOOKUP($B1175,FoodDB!$A$2:$I$1018,7,0)</f>
        <v>0</v>
      </c>
      <c r="I1175" s="103">
        <f>$C1175*VLOOKUP($B1175,FoodDB!$A$2:$I$1018,8,0)</f>
        <v>0</v>
      </c>
      <c r="J1175" s="103">
        <f>$C1175*VLOOKUP($B1175,FoodDB!$A$2:$I$1018,9,0)</f>
        <v>0</v>
      </c>
      <c r="K1175" s="103"/>
      <c r="L1175" s="103"/>
      <c r="M1175" s="103"/>
      <c r="N1175" s="103"/>
      <c r="O1175" s="103"/>
      <c r="P1175" s="103"/>
      <c r="Q1175" s="103"/>
      <c r="R1175" s="103"/>
      <c r="S1175" s="103"/>
    </row>
    <row r="1176" spans="1:19" x14ac:dyDescent="0.25">
      <c r="B1176" s="99" t="s">
        <v>108</v>
      </c>
      <c r="C1176" s="100">
        <v>1</v>
      </c>
      <c r="D1176" s="103">
        <f>$C1176*VLOOKUP($B1176,FoodDB!$A$2:$I$1018,3,0)</f>
        <v>0</v>
      </c>
      <c r="E1176" s="103">
        <f>$C1176*VLOOKUP($B1176,FoodDB!$A$2:$I$1018,4,0)</f>
        <v>0</v>
      </c>
      <c r="F1176" s="103">
        <f>$C1176*VLOOKUP($B1176,FoodDB!$A$2:$I$1018,5,0)</f>
        <v>0</v>
      </c>
      <c r="G1176" s="103">
        <f>$C1176*VLOOKUP($B1176,FoodDB!$A$2:$I$1018,6,0)</f>
        <v>0</v>
      </c>
      <c r="H1176" s="103">
        <f>$C1176*VLOOKUP($B1176,FoodDB!$A$2:$I$1018,7,0)</f>
        <v>0</v>
      </c>
      <c r="I1176" s="103">
        <f>$C1176*VLOOKUP($B1176,FoodDB!$A$2:$I$1018,8,0)</f>
        <v>0</v>
      </c>
      <c r="J1176" s="103">
        <f>$C1176*VLOOKUP($B1176,FoodDB!$A$2:$I$1018,9,0)</f>
        <v>0</v>
      </c>
      <c r="K1176" s="103"/>
      <c r="L1176" s="103"/>
      <c r="M1176" s="103"/>
      <c r="N1176" s="103"/>
      <c r="O1176" s="103"/>
      <c r="P1176" s="103"/>
      <c r="Q1176" s="103"/>
      <c r="R1176" s="103"/>
      <c r="S1176" s="103"/>
    </row>
    <row r="1177" spans="1:19" x14ac:dyDescent="0.25">
      <c r="B1177" s="99" t="s">
        <v>108</v>
      </c>
      <c r="C1177" s="100">
        <v>1</v>
      </c>
      <c r="D1177" s="103">
        <f>$C1177*VLOOKUP($B1177,FoodDB!$A$2:$I$1018,3,0)</f>
        <v>0</v>
      </c>
      <c r="E1177" s="103">
        <f>$C1177*VLOOKUP($B1177,FoodDB!$A$2:$I$1018,4,0)</f>
        <v>0</v>
      </c>
      <c r="F1177" s="103">
        <f>$C1177*VLOOKUP($B1177,FoodDB!$A$2:$I$1018,5,0)</f>
        <v>0</v>
      </c>
      <c r="G1177" s="103">
        <f>$C1177*VLOOKUP($B1177,FoodDB!$A$2:$I$1018,6,0)</f>
        <v>0</v>
      </c>
      <c r="H1177" s="103">
        <f>$C1177*VLOOKUP($B1177,FoodDB!$A$2:$I$1018,7,0)</f>
        <v>0</v>
      </c>
      <c r="I1177" s="103">
        <f>$C1177*VLOOKUP($B1177,FoodDB!$A$2:$I$1018,8,0)</f>
        <v>0</v>
      </c>
      <c r="J1177" s="103">
        <f>$C1177*VLOOKUP($B1177,FoodDB!$A$2:$I$1018,9,0)</f>
        <v>0</v>
      </c>
      <c r="K1177" s="103"/>
      <c r="L1177" s="103"/>
      <c r="M1177" s="103"/>
      <c r="N1177" s="103"/>
      <c r="O1177" s="103"/>
      <c r="P1177" s="103"/>
      <c r="Q1177" s="103"/>
      <c r="R1177" s="103"/>
      <c r="S1177" s="103"/>
    </row>
    <row r="1178" spans="1:19" x14ac:dyDescent="0.25">
      <c r="B1178" s="99" t="s">
        <v>108</v>
      </c>
      <c r="C1178" s="100">
        <v>1</v>
      </c>
      <c r="D1178" s="103">
        <f>$C1178*VLOOKUP($B1178,FoodDB!$A$2:$I$1018,3,0)</f>
        <v>0</v>
      </c>
      <c r="E1178" s="103">
        <f>$C1178*VLOOKUP($B1178,FoodDB!$A$2:$I$1018,4,0)</f>
        <v>0</v>
      </c>
      <c r="F1178" s="103">
        <f>$C1178*VLOOKUP($B1178,FoodDB!$A$2:$I$1018,5,0)</f>
        <v>0</v>
      </c>
      <c r="G1178" s="103">
        <f>$C1178*VLOOKUP($B1178,FoodDB!$A$2:$I$1018,6,0)</f>
        <v>0</v>
      </c>
      <c r="H1178" s="103">
        <f>$C1178*VLOOKUP($B1178,FoodDB!$A$2:$I$1018,7,0)</f>
        <v>0</v>
      </c>
      <c r="I1178" s="103">
        <f>$C1178*VLOOKUP($B1178,FoodDB!$A$2:$I$1018,8,0)</f>
        <v>0</v>
      </c>
      <c r="J1178" s="103">
        <f>$C1178*VLOOKUP($B1178,FoodDB!$A$2:$I$1018,9,0)</f>
        <v>0</v>
      </c>
      <c r="K1178" s="103"/>
      <c r="L1178" s="103"/>
      <c r="M1178" s="103"/>
      <c r="N1178" s="103"/>
      <c r="O1178" s="103"/>
      <c r="P1178" s="103"/>
      <c r="Q1178" s="103"/>
      <c r="R1178" s="103"/>
      <c r="S1178" s="103"/>
    </row>
    <row r="1179" spans="1:19" x14ac:dyDescent="0.25">
      <c r="B1179" s="99" t="s">
        <v>108</v>
      </c>
      <c r="C1179" s="100">
        <v>1</v>
      </c>
      <c r="D1179" s="103">
        <f>$C1179*VLOOKUP($B1179,FoodDB!$A$2:$I$1018,3,0)</f>
        <v>0</v>
      </c>
      <c r="E1179" s="103">
        <f>$C1179*VLOOKUP($B1179,FoodDB!$A$2:$I$1018,4,0)</f>
        <v>0</v>
      </c>
      <c r="F1179" s="103">
        <f>$C1179*VLOOKUP($B1179,FoodDB!$A$2:$I$1018,5,0)</f>
        <v>0</v>
      </c>
      <c r="G1179" s="103">
        <f>$C1179*VLOOKUP($B1179,FoodDB!$A$2:$I$1018,6,0)</f>
        <v>0</v>
      </c>
      <c r="H1179" s="103">
        <f>$C1179*VLOOKUP($B1179,FoodDB!$A$2:$I$1018,7,0)</f>
        <v>0</v>
      </c>
      <c r="I1179" s="103">
        <f>$C1179*VLOOKUP($B1179,FoodDB!$A$2:$I$1018,8,0)</f>
        <v>0</v>
      </c>
      <c r="J1179" s="103">
        <f>$C1179*VLOOKUP($B1179,FoodDB!$A$2:$I$1018,9,0)</f>
        <v>0</v>
      </c>
      <c r="K1179" s="103"/>
      <c r="L1179" s="103"/>
      <c r="M1179" s="103"/>
      <c r="N1179" s="103"/>
      <c r="O1179" s="103"/>
      <c r="P1179" s="103"/>
      <c r="Q1179" s="103"/>
      <c r="R1179" s="103"/>
      <c r="S1179" s="103"/>
    </row>
    <row r="1180" spans="1:19" x14ac:dyDescent="0.25">
      <c r="B1180" s="99" t="s">
        <v>108</v>
      </c>
      <c r="C1180" s="100">
        <v>1</v>
      </c>
      <c r="D1180" s="103">
        <f>$C1180*VLOOKUP($B1180,FoodDB!$A$2:$I$1018,3,0)</f>
        <v>0</v>
      </c>
      <c r="E1180" s="103">
        <f>$C1180*VLOOKUP($B1180,FoodDB!$A$2:$I$1018,4,0)</f>
        <v>0</v>
      </c>
      <c r="F1180" s="103">
        <f>$C1180*VLOOKUP($B1180,FoodDB!$A$2:$I$1018,5,0)</f>
        <v>0</v>
      </c>
      <c r="G1180" s="103">
        <f>$C1180*VLOOKUP($B1180,FoodDB!$A$2:$I$1018,6,0)</f>
        <v>0</v>
      </c>
      <c r="H1180" s="103">
        <f>$C1180*VLOOKUP($B1180,FoodDB!$A$2:$I$1018,7,0)</f>
        <v>0</v>
      </c>
      <c r="I1180" s="103">
        <f>$C1180*VLOOKUP($B1180,FoodDB!$A$2:$I$1018,8,0)</f>
        <v>0</v>
      </c>
      <c r="J1180" s="103">
        <f>$C1180*VLOOKUP($B1180,FoodDB!$A$2:$I$1018,9,0)</f>
        <v>0</v>
      </c>
      <c r="K1180" s="103"/>
      <c r="L1180" s="103"/>
      <c r="M1180" s="103"/>
      <c r="N1180" s="103"/>
      <c r="O1180" s="103"/>
      <c r="P1180" s="103"/>
      <c r="Q1180" s="103"/>
      <c r="R1180" s="103"/>
      <c r="S1180" s="103"/>
    </row>
    <row r="1181" spans="1:19" x14ac:dyDescent="0.25">
      <c r="A1181" t="s">
        <v>98</v>
      </c>
      <c r="D1181" s="103"/>
      <c r="E1181" s="103"/>
      <c r="F1181" s="103"/>
      <c r="G1181" s="103">
        <f>SUM(G1174:G1180)</f>
        <v>0</v>
      </c>
      <c r="H1181" s="103">
        <f>SUM(H1174:H1180)</f>
        <v>0</v>
      </c>
      <c r="I1181" s="103">
        <f>SUM(I1174:I1180)</f>
        <v>0</v>
      </c>
      <c r="J1181" s="103">
        <f>SUM(G1181:I1181)</f>
        <v>0</v>
      </c>
      <c r="K1181" s="103"/>
      <c r="L1181" s="103"/>
      <c r="M1181" s="103"/>
      <c r="N1181" s="103"/>
      <c r="O1181" s="103"/>
      <c r="P1181" s="103"/>
      <c r="Q1181" s="103"/>
      <c r="R1181" s="103"/>
      <c r="S1181" s="103"/>
    </row>
    <row r="1182" spans="1:19" x14ac:dyDescent="0.25">
      <c r="A1182" t="s">
        <v>102</v>
      </c>
      <c r="B1182" t="s">
        <v>103</v>
      </c>
      <c r="D1182" s="103"/>
      <c r="E1182" s="103"/>
      <c r="F1182" s="103"/>
      <c r="G1182" s="103">
        <f>VLOOKUP($A1174,LossChart!$A$3:$AB$105,14,0)</f>
        <v>832.79666839475317</v>
      </c>
      <c r="H1182" s="103">
        <f>VLOOKUP($A1174,LossChart!$A$3:$AB$105,15,0)</f>
        <v>116</v>
      </c>
      <c r="I1182" s="103">
        <f>VLOOKUP($A1174,LossChart!$A$3:$AB$105,16,0)</f>
        <v>477.30407413615825</v>
      </c>
      <c r="J1182" s="103">
        <f>VLOOKUP($A1174,LossChart!$A$3:$AB$105,17,0)</f>
        <v>1426.1007425309115</v>
      </c>
      <c r="K1182" s="103"/>
      <c r="L1182" s="103"/>
      <c r="M1182" s="103"/>
      <c r="N1182" s="103"/>
      <c r="O1182" s="103"/>
      <c r="P1182" s="103"/>
      <c r="Q1182" s="103"/>
      <c r="R1182" s="103"/>
      <c r="S1182" s="103"/>
    </row>
    <row r="1183" spans="1:19" x14ac:dyDescent="0.25">
      <c r="A1183" t="s">
        <v>104</v>
      </c>
      <c r="D1183" s="103"/>
      <c r="E1183" s="103"/>
      <c r="F1183" s="103"/>
      <c r="G1183" s="103">
        <f>G1182-G1181</f>
        <v>832.79666839475317</v>
      </c>
      <c r="H1183" s="103">
        <f>H1182-H1181</f>
        <v>116</v>
      </c>
      <c r="I1183" s="103">
        <f>I1182-I1181</f>
        <v>477.30407413615825</v>
      </c>
      <c r="J1183" s="103">
        <f>J1182-J1181</f>
        <v>1426.1007425309115</v>
      </c>
      <c r="K1183" s="103"/>
      <c r="L1183" s="103"/>
      <c r="M1183" s="103"/>
      <c r="N1183" s="103"/>
      <c r="O1183" s="103"/>
      <c r="P1183" s="103"/>
      <c r="Q1183" s="103"/>
      <c r="R1183" s="103"/>
      <c r="S1183" s="103"/>
    </row>
    <row r="1185" spans="1:19" ht="60" x14ac:dyDescent="0.25">
      <c r="A1185" s="26" t="s">
        <v>63</v>
      </c>
      <c r="B1185" s="26" t="s">
        <v>93</v>
      </c>
      <c r="C1185" s="26" t="s">
        <v>94</v>
      </c>
      <c r="D1185" s="97" t="str">
        <f>FoodDB!$C$1</f>
        <v>Fat
(g)</v>
      </c>
      <c r="E1185" s="97" t="str">
        <f>FoodDB!$D$1</f>
        <v xml:space="preserve"> Carbs
(g)</v>
      </c>
      <c r="F1185" s="97" t="str">
        <f>FoodDB!$E$1</f>
        <v>Protein
(g)</v>
      </c>
      <c r="G1185" s="97" t="str">
        <f>FoodDB!$F$1</f>
        <v>Fat
(Cal)</v>
      </c>
      <c r="H1185" s="97" t="str">
        <f>FoodDB!$G$1</f>
        <v>Carb
(Cal)</v>
      </c>
      <c r="I1185" s="97" t="str">
        <f>FoodDB!$H$1</f>
        <v>Protein
(Cal)</v>
      </c>
      <c r="J1185" s="97" t="str">
        <f>FoodDB!$I$1</f>
        <v>Total
Calories</v>
      </c>
      <c r="K1185" s="97"/>
      <c r="L1185" s="97" t="s">
        <v>110</v>
      </c>
      <c r="M1185" s="97" t="s">
        <v>111</v>
      </c>
      <c r="N1185" s="97" t="s">
        <v>112</v>
      </c>
      <c r="O1185" s="97" t="s">
        <v>113</v>
      </c>
      <c r="P1185" s="97" t="s">
        <v>118</v>
      </c>
      <c r="Q1185" s="97" t="s">
        <v>119</v>
      </c>
      <c r="R1185" s="97" t="s">
        <v>120</v>
      </c>
      <c r="S1185" s="97" t="s">
        <v>121</v>
      </c>
    </row>
    <row r="1186" spans="1:19" x14ac:dyDescent="0.25">
      <c r="A1186" s="98">
        <f>A1174+1</f>
        <v>43092</v>
      </c>
      <c r="B1186" s="99" t="s">
        <v>108</v>
      </c>
      <c r="C1186" s="100">
        <v>1</v>
      </c>
      <c r="D1186" s="103">
        <f>$C1186*VLOOKUP($B1186,FoodDB!$A$2:$I$1018,3,0)</f>
        <v>0</v>
      </c>
      <c r="E1186" s="103">
        <f>$C1186*VLOOKUP($B1186,FoodDB!$A$2:$I$1018,4,0)</f>
        <v>0</v>
      </c>
      <c r="F1186" s="103">
        <f>$C1186*VLOOKUP($B1186,FoodDB!$A$2:$I$1018,5,0)</f>
        <v>0</v>
      </c>
      <c r="G1186" s="103">
        <f>$C1186*VLOOKUP($B1186,FoodDB!$A$2:$I$1018,6,0)</f>
        <v>0</v>
      </c>
      <c r="H1186" s="103">
        <f>$C1186*VLOOKUP($B1186,FoodDB!$A$2:$I$1018,7,0)</f>
        <v>0</v>
      </c>
      <c r="I1186" s="103">
        <f>$C1186*VLOOKUP($B1186,FoodDB!$A$2:$I$1018,8,0)</f>
        <v>0</v>
      </c>
      <c r="J1186" s="103">
        <f>$C1186*VLOOKUP($B1186,FoodDB!$A$2:$I$1018,9,0)</f>
        <v>0</v>
      </c>
      <c r="K1186" s="103"/>
      <c r="L1186" s="103">
        <f>SUM(G1186:G1192)</f>
        <v>0</v>
      </c>
      <c r="M1186" s="103">
        <f>SUM(H1186:H1192)</f>
        <v>0</v>
      </c>
      <c r="N1186" s="103">
        <f>SUM(I1186:I1192)</f>
        <v>0</v>
      </c>
      <c r="O1186" s="103">
        <f>SUM(L1186:N1186)</f>
        <v>0</v>
      </c>
      <c r="P1186" s="103">
        <f>VLOOKUP($A1186,LossChart!$A$3:$AB$105,14,0)-L1186</f>
        <v>836.60405968389932</v>
      </c>
      <c r="Q1186" s="103">
        <f>VLOOKUP($A1186,LossChart!$A$3:$AB$105,15,0)-M1186</f>
        <v>116</v>
      </c>
      <c r="R1186" s="103">
        <f>VLOOKUP($A1186,LossChart!$A$3:$AB$105,16,0)-N1186</f>
        <v>477.30407413615825</v>
      </c>
      <c r="S1186" s="103">
        <f>VLOOKUP($A1186,LossChart!$A$3:$AB$105,17,0)-O1186</f>
        <v>1429.9081338200576</v>
      </c>
    </row>
    <row r="1187" spans="1:19" x14ac:dyDescent="0.25">
      <c r="B1187" s="99" t="s">
        <v>108</v>
      </c>
      <c r="C1187" s="100">
        <v>1</v>
      </c>
      <c r="D1187" s="103">
        <f>$C1187*VLOOKUP($B1187,FoodDB!$A$2:$I$1018,3,0)</f>
        <v>0</v>
      </c>
      <c r="E1187" s="103">
        <f>$C1187*VLOOKUP($B1187,FoodDB!$A$2:$I$1018,4,0)</f>
        <v>0</v>
      </c>
      <c r="F1187" s="103">
        <f>$C1187*VLOOKUP($B1187,FoodDB!$A$2:$I$1018,5,0)</f>
        <v>0</v>
      </c>
      <c r="G1187" s="103">
        <f>$C1187*VLOOKUP($B1187,FoodDB!$A$2:$I$1018,6,0)</f>
        <v>0</v>
      </c>
      <c r="H1187" s="103">
        <f>$C1187*VLOOKUP($B1187,FoodDB!$A$2:$I$1018,7,0)</f>
        <v>0</v>
      </c>
      <c r="I1187" s="103">
        <f>$C1187*VLOOKUP($B1187,FoodDB!$A$2:$I$1018,8,0)</f>
        <v>0</v>
      </c>
      <c r="J1187" s="103">
        <f>$C1187*VLOOKUP($B1187,FoodDB!$A$2:$I$1018,9,0)</f>
        <v>0</v>
      </c>
      <c r="K1187" s="103"/>
      <c r="L1187" s="103"/>
      <c r="M1187" s="103"/>
      <c r="N1187" s="103"/>
      <c r="O1187" s="103"/>
      <c r="P1187" s="103"/>
      <c r="Q1187" s="103"/>
      <c r="R1187" s="103"/>
      <c r="S1187" s="103"/>
    </row>
    <row r="1188" spans="1:19" x14ac:dyDescent="0.25">
      <c r="B1188" s="99" t="s">
        <v>108</v>
      </c>
      <c r="C1188" s="100">
        <v>1</v>
      </c>
      <c r="D1188" s="103">
        <f>$C1188*VLOOKUP($B1188,FoodDB!$A$2:$I$1018,3,0)</f>
        <v>0</v>
      </c>
      <c r="E1188" s="103">
        <f>$C1188*VLOOKUP($B1188,FoodDB!$A$2:$I$1018,4,0)</f>
        <v>0</v>
      </c>
      <c r="F1188" s="103">
        <f>$C1188*VLOOKUP($B1188,FoodDB!$A$2:$I$1018,5,0)</f>
        <v>0</v>
      </c>
      <c r="G1188" s="103">
        <f>$C1188*VLOOKUP($B1188,FoodDB!$A$2:$I$1018,6,0)</f>
        <v>0</v>
      </c>
      <c r="H1188" s="103">
        <f>$C1188*VLOOKUP($B1188,FoodDB!$A$2:$I$1018,7,0)</f>
        <v>0</v>
      </c>
      <c r="I1188" s="103">
        <f>$C1188*VLOOKUP($B1188,FoodDB!$A$2:$I$1018,8,0)</f>
        <v>0</v>
      </c>
      <c r="J1188" s="103">
        <f>$C1188*VLOOKUP($B1188,FoodDB!$A$2:$I$1018,9,0)</f>
        <v>0</v>
      </c>
      <c r="K1188" s="103"/>
      <c r="L1188" s="103"/>
      <c r="M1188" s="103"/>
      <c r="N1188" s="103"/>
      <c r="O1188" s="103"/>
      <c r="P1188" s="103"/>
      <c r="Q1188" s="103"/>
      <c r="R1188" s="103"/>
      <c r="S1188" s="103"/>
    </row>
    <row r="1189" spans="1:19" x14ac:dyDescent="0.25">
      <c r="B1189" s="99" t="s">
        <v>108</v>
      </c>
      <c r="C1189" s="100">
        <v>1</v>
      </c>
      <c r="D1189" s="103">
        <f>$C1189*VLOOKUP($B1189,FoodDB!$A$2:$I$1018,3,0)</f>
        <v>0</v>
      </c>
      <c r="E1189" s="103">
        <f>$C1189*VLOOKUP($B1189,FoodDB!$A$2:$I$1018,4,0)</f>
        <v>0</v>
      </c>
      <c r="F1189" s="103">
        <f>$C1189*VLOOKUP($B1189,FoodDB!$A$2:$I$1018,5,0)</f>
        <v>0</v>
      </c>
      <c r="G1189" s="103">
        <f>$C1189*VLOOKUP($B1189,FoodDB!$A$2:$I$1018,6,0)</f>
        <v>0</v>
      </c>
      <c r="H1189" s="103">
        <f>$C1189*VLOOKUP($B1189,FoodDB!$A$2:$I$1018,7,0)</f>
        <v>0</v>
      </c>
      <c r="I1189" s="103">
        <f>$C1189*VLOOKUP($B1189,FoodDB!$A$2:$I$1018,8,0)</f>
        <v>0</v>
      </c>
      <c r="J1189" s="103">
        <f>$C1189*VLOOKUP($B1189,FoodDB!$A$2:$I$1018,9,0)</f>
        <v>0</v>
      </c>
      <c r="K1189" s="103"/>
      <c r="L1189" s="103"/>
      <c r="M1189" s="103"/>
      <c r="N1189" s="103"/>
      <c r="O1189" s="103"/>
      <c r="P1189" s="103"/>
      <c r="Q1189" s="103"/>
      <c r="R1189" s="103"/>
      <c r="S1189" s="103"/>
    </row>
    <row r="1190" spans="1:19" x14ac:dyDescent="0.25">
      <c r="B1190" s="99" t="s">
        <v>108</v>
      </c>
      <c r="C1190" s="100">
        <v>1</v>
      </c>
      <c r="D1190" s="103">
        <f>$C1190*VLOOKUP($B1190,FoodDB!$A$2:$I$1018,3,0)</f>
        <v>0</v>
      </c>
      <c r="E1190" s="103">
        <f>$C1190*VLOOKUP($B1190,FoodDB!$A$2:$I$1018,4,0)</f>
        <v>0</v>
      </c>
      <c r="F1190" s="103">
        <f>$C1190*VLOOKUP($B1190,FoodDB!$A$2:$I$1018,5,0)</f>
        <v>0</v>
      </c>
      <c r="G1190" s="103">
        <f>$C1190*VLOOKUP($B1190,FoodDB!$A$2:$I$1018,6,0)</f>
        <v>0</v>
      </c>
      <c r="H1190" s="103">
        <f>$C1190*VLOOKUP($B1190,FoodDB!$A$2:$I$1018,7,0)</f>
        <v>0</v>
      </c>
      <c r="I1190" s="103">
        <f>$C1190*VLOOKUP($B1190,FoodDB!$A$2:$I$1018,8,0)</f>
        <v>0</v>
      </c>
      <c r="J1190" s="103">
        <f>$C1190*VLOOKUP($B1190,FoodDB!$A$2:$I$1018,9,0)</f>
        <v>0</v>
      </c>
      <c r="K1190" s="103"/>
      <c r="L1190" s="103"/>
      <c r="M1190" s="103"/>
      <c r="N1190" s="103"/>
      <c r="O1190" s="103"/>
      <c r="P1190" s="103"/>
      <c r="Q1190" s="103"/>
      <c r="R1190" s="103"/>
      <c r="S1190" s="103"/>
    </row>
    <row r="1191" spans="1:19" x14ac:dyDescent="0.25">
      <c r="B1191" s="99" t="s">
        <v>108</v>
      </c>
      <c r="C1191" s="100">
        <v>1</v>
      </c>
      <c r="D1191" s="103">
        <f>$C1191*VLOOKUP($B1191,FoodDB!$A$2:$I$1018,3,0)</f>
        <v>0</v>
      </c>
      <c r="E1191" s="103">
        <f>$C1191*VLOOKUP($B1191,FoodDB!$A$2:$I$1018,4,0)</f>
        <v>0</v>
      </c>
      <c r="F1191" s="103">
        <f>$C1191*VLOOKUP($B1191,FoodDB!$A$2:$I$1018,5,0)</f>
        <v>0</v>
      </c>
      <c r="G1191" s="103">
        <f>$C1191*VLOOKUP($B1191,FoodDB!$A$2:$I$1018,6,0)</f>
        <v>0</v>
      </c>
      <c r="H1191" s="103">
        <f>$C1191*VLOOKUP($B1191,FoodDB!$A$2:$I$1018,7,0)</f>
        <v>0</v>
      </c>
      <c r="I1191" s="103">
        <f>$C1191*VLOOKUP($B1191,FoodDB!$A$2:$I$1018,8,0)</f>
        <v>0</v>
      </c>
      <c r="J1191" s="103">
        <f>$C1191*VLOOKUP($B1191,FoodDB!$A$2:$I$1018,9,0)</f>
        <v>0</v>
      </c>
      <c r="K1191" s="103"/>
      <c r="L1191" s="103"/>
      <c r="M1191" s="103"/>
      <c r="N1191" s="103"/>
      <c r="O1191" s="103"/>
      <c r="P1191" s="103"/>
      <c r="Q1191" s="103"/>
      <c r="R1191" s="103"/>
      <c r="S1191" s="103"/>
    </row>
    <row r="1192" spans="1:19" x14ac:dyDescent="0.25">
      <c r="B1192" s="99" t="s">
        <v>108</v>
      </c>
      <c r="C1192" s="100">
        <v>1</v>
      </c>
      <c r="D1192" s="103">
        <f>$C1192*VLOOKUP($B1192,FoodDB!$A$2:$I$1018,3,0)</f>
        <v>0</v>
      </c>
      <c r="E1192" s="103">
        <f>$C1192*VLOOKUP($B1192,FoodDB!$A$2:$I$1018,4,0)</f>
        <v>0</v>
      </c>
      <c r="F1192" s="103">
        <f>$C1192*VLOOKUP($B1192,FoodDB!$A$2:$I$1018,5,0)</f>
        <v>0</v>
      </c>
      <c r="G1192" s="103">
        <f>$C1192*VLOOKUP($B1192,FoodDB!$A$2:$I$1018,6,0)</f>
        <v>0</v>
      </c>
      <c r="H1192" s="103">
        <f>$C1192*VLOOKUP($B1192,FoodDB!$A$2:$I$1018,7,0)</f>
        <v>0</v>
      </c>
      <c r="I1192" s="103">
        <f>$C1192*VLOOKUP($B1192,FoodDB!$A$2:$I$1018,8,0)</f>
        <v>0</v>
      </c>
      <c r="J1192" s="103">
        <f>$C1192*VLOOKUP($B1192,FoodDB!$A$2:$I$1018,9,0)</f>
        <v>0</v>
      </c>
      <c r="K1192" s="103"/>
      <c r="L1192" s="103"/>
      <c r="M1192" s="103"/>
      <c r="N1192" s="103"/>
      <c r="O1192" s="103"/>
      <c r="P1192" s="103"/>
      <c r="Q1192" s="103"/>
      <c r="R1192" s="103"/>
      <c r="S1192" s="103"/>
    </row>
    <row r="1193" spans="1:19" x14ac:dyDescent="0.25">
      <c r="A1193" t="s">
        <v>98</v>
      </c>
      <c r="D1193" s="103"/>
      <c r="E1193" s="103"/>
      <c r="F1193" s="103"/>
      <c r="G1193" s="103">
        <f>SUM(G1186:G1192)</f>
        <v>0</v>
      </c>
      <c r="H1193" s="103">
        <f>SUM(H1186:H1192)</f>
        <v>0</v>
      </c>
      <c r="I1193" s="103">
        <f>SUM(I1186:I1192)</f>
        <v>0</v>
      </c>
      <c r="J1193" s="103">
        <f>SUM(G1193:I1193)</f>
        <v>0</v>
      </c>
      <c r="K1193" s="103"/>
      <c r="L1193" s="103"/>
      <c r="M1193" s="103"/>
      <c r="N1193" s="103"/>
      <c r="O1193" s="103"/>
      <c r="P1193" s="103"/>
      <c r="Q1193" s="103"/>
      <c r="R1193" s="103"/>
      <c r="S1193" s="103"/>
    </row>
    <row r="1194" spans="1:19" x14ac:dyDescent="0.25">
      <c r="A1194" t="s">
        <v>102</v>
      </c>
      <c r="B1194" t="s">
        <v>103</v>
      </c>
      <c r="D1194" s="103"/>
      <c r="E1194" s="103"/>
      <c r="F1194" s="103"/>
      <c r="G1194" s="103">
        <f>VLOOKUP($A1186,LossChart!$A$3:$AB$105,14,0)</f>
        <v>836.60405968389932</v>
      </c>
      <c r="H1194" s="103">
        <f>VLOOKUP($A1186,LossChart!$A$3:$AB$105,15,0)</f>
        <v>116</v>
      </c>
      <c r="I1194" s="103">
        <f>VLOOKUP($A1186,LossChart!$A$3:$AB$105,16,0)</f>
        <v>477.30407413615825</v>
      </c>
      <c r="J1194" s="103">
        <f>VLOOKUP($A1186,LossChart!$A$3:$AB$105,17,0)</f>
        <v>1429.9081338200576</v>
      </c>
      <c r="K1194" s="103"/>
      <c r="L1194" s="103"/>
      <c r="M1194" s="103"/>
      <c r="N1194" s="103"/>
      <c r="O1194" s="103"/>
      <c r="P1194" s="103"/>
      <c r="Q1194" s="103"/>
      <c r="R1194" s="103"/>
      <c r="S1194" s="103"/>
    </row>
    <row r="1195" spans="1:19" x14ac:dyDescent="0.25">
      <c r="A1195" t="s">
        <v>104</v>
      </c>
      <c r="D1195" s="103"/>
      <c r="E1195" s="103"/>
      <c r="F1195" s="103"/>
      <c r="G1195" s="103">
        <f>G1194-G1193</f>
        <v>836.60405968389932</v>
      </c>
      <c r="H1195" s="103">
        <f>H1194-H1193</f>
        <v>116</v>
      </c>
      <c r="I1195" s="103">
        <f>I1194-I1193</f>
        <v>477.30407413615825</v>
      </c>
      <c r="J1195" s="103">
        <f>J1194-J1193</f>
        <v>1429.9081338200576</v>
      </c>
      <c r="K1195" s="103"/>
      <c r="L1195" s="103"/>
      <c r="M1195" s="103"/>
      <c r="N1195" s="103"/>
      <c r="O1195" s="103"/>
      <c r="P1195" s="103"/>
      <c r="Q1195" s="103"/>
      <c r="R1195" s="103"/>
      <c r="S1195" s="103"/>
    </row>
    <row r="1197" spans="1:19" ht="60" x14ac:dyDescent="0.25">
      <c r="A1197" s="26" t="s">
        <v>63</v>
      </c>
      <c r="B1197" s="26" t="s">
        <v>93</v>
      </c>
      <c r="C1197" s="26" t="s">
        <v>94</v>
      </c>
      <c r="D1197" s="97" t="str">
        <f>FoodDB!$C$1</f>
        <v>Fat
(g)</v>
      </c>
      <c r="E1197" s="97" t="str">
        <f>FoodDB!$D$1</f>
        <v xml:space="preserve"> Carbs
(g)</v>
      </c>
      <c r="F1197" s="97" t="str">
        <f>FoodDB!$E$1</f>
        <v>Protein
(g)</v>
      </c>
      <c r="G1197" s="97" t="str">
        <f>FoodDB!$F$1</f>
        <v>Fat
(Cal)</v>
      </c>
      <c r="H1197" s="97" t="str">
        <f>FoodDB!$G$1</f>
        <v>Carb
(Cal)</v>
      </c>
      <c r="I1197" s="97" t="str">
        <f>FoodDB!$H$1</f>
        <v>Protein
(Cal)</v>
      </c>
      <c r="J1197" s="97" t="str">
        <f>FoodDB!$I$1</f>
        <v>Total
Calories</v>
      </c>
      <c r="K1197" s="97"/>
      <c r="L1197" s="97" t="s">
        <v>110</v>
      </c>
      <c r="M1197" s="97" t="s">
        <v>111</v>
      </c>
      <c r="N1197" s="97" t="s">
        <v>112</v>
      </c>
      <c r="O1197" s="97" t="s">
        <v>113</v>
      </c>
      <c r="P1197" s="97" t="s">
        <v>118</v>
      </c>
      <c r="Q1197" s="97" t="s">
        <v>119</v>
      </c>
      <c r="R1197" s="97" t="s">
        <v>120</v>
      </c>
      <c r="S1197" s="97" t="s">
        <v>121</v>
      </c>
    </row>
    <row r="1198" spans="1:19" x14ac:dyDescent="0.25">
      <c r="A1198" s="98">
        <f>A1186+1</f>
        <v>43093</v>
      </c>
      <c r="B1198" s="99" t="s">
        <v>108</v>
      </c>
      <c r="C1198" s="100">
        <v>1</v>
      </c>
      <c r="D1198" s="103">
        <f>$C1198*VLOOKUP($B1198,FoodDB!$A$2:$I$1018,3,0)</f>
        <v>0</v>
      </c>
      <c r="E1198" s="103">
        <f>$C1198*VLOOKUP($B1198,FoodDB!$A$2:$I$1018,4,0)</f>
        <v>0</v>
      </c>
      <c r="F1198" s="103">
        <f>$C1198*VLOOKUP($B1198,FoodDB!$A$2:$I$1018,5,0)</f>
        <v>0</v>
      </c>
      <c r="G1198" s="103">
        <f>$C1198*VLOOKUP($B1198,FoodDB!$A$2:$I$1018,6,0)</f>
        <v>0</v>
      </c>
      <c r="H1198" s="103">
        <f>$C1198*VLOOKUP($B1198,FoodDB!$A$2:$I$1018,7,0)</f>
        <v>0</v>
      </c>
      <c r="I1198" s="103">
        <f>$C1198*VLOOKUP($B1198,FoodDB!$A$2:$I$1018,8,0)</f>
        <v>0</v>
      </c>
      <c r="J1198" s="103">
        <f>$C1198*VLOOKUP($B1198,FoodDB!$A$2:$I$1018,9,0)</f>
        <v>0</v>
      </c>
      <c r="K1198" s="103"/>
      <c r="L1198" s="103">
        <f>SUM(G1198:G1204)</f>
        <v>0</v>
      </c>
      <c r="M1198" s="103">
        <f>SUM(H1198:H1204)</f>
        <v>0</v>
      </c>
      <c r="N1198" s="103">
        <f>SUM(I1198:I1204)</f>
        <v>0</v>
      </c>
      <c r="O1198" s="103">
        <f>SUM(L1198:N1198)</f>
        <v>0</v>
      </c>
      <c r="P1198" s="103">
        <f>VLOOKUP($A1198,LossChart!$A$3:$AB$105,14,0)-L1198</f>
        <v>840.37772836448471</v>
      </c>
      <c r="Q1198" s="103">
        <f>VLOOKUP($A1198,LossChart!$A$3:$AB$105,15,0)-M1198</f>
        <v>116</v>
      </c>
      <c r="R1198" s="103">
        <f>VLOOKUP($A1198,LossChart!$A$3:$AB$105,16,0)-N1198</f>
        <v>477.30407413615825</v>
      </c>
      <c r="S1198" s="103">
        <f>VLOOKUP($A1198,LossChart!$A$3:$AB$105,17,0)-O1198</f>
        <v>1433.681802500643</v>
      </c>
    </row>
    <row r="1199" spans="1:19" x14ac:dyDescent="0.25">
      <c r="B1199" s="99" t="s">
        <v>108</v>
      </c>
      <c r="C1199" s="100">
        <v>1</v>
      </c>
      <c r="D1199" s="103">
        <f>$C1199*VLOOKUP($B1199,FoodDB!$A$2:$I$1018,3,0)</f>
        <v>0</v>
      </c>
      <c r="E1199" s="103">
        <f>$C1199*VLOOKUP($B1199,FoodDB!$A$2:$I$1018,4,0)</f>
        <v>0</v>
      </c>
      <c r="F1199" s="103">
        <f>$C1199*VLOOKUP($B1199,FoodDB!$A$2:$I$1018,5,0)</f>
        <v>0</v>
      </c>
      <c r="G1199" s="103">
        <f>$C1199*VLOOKUP($B1199,FoodDB!$A$2:$I$1018,6,0)</f>
        <v>0</v>
      </c>
      <c r="H1199" s="103">
        <f>$C1199*VLOOKUP($B1199,FoodDB!$A$2:$I$1018,7,0)</f>
        <v>0</v>
      </c>
      <c r="I1199" s="103">
        <f>$C1199*VLOOKUP($B1199,FoodDB!$A$2:$I$1018,8,0)</f>
        <v>0</v>
      </c>
      <c r="J1199" s="103">
        <f>$C1199*VLOOKUP($B1199,FoodDB!$A$2:$I$1018,9,0)</f>
        <v>0</v>
      </c>
      <c r="K1199" s="103"/>
      <c r="L1199" s="103"/>
      <c r="M1199" s="103"/>
      <c r="N1199" s="103"/>
      <c r="O1199" s="103"/>
      <c r="P1199" s="103"/>
      <c r="Q1199" s="103"/>
      <c r="R1199" s="103"/>
      <c r="S1199" s="103"/>
    </row>
    <row r="1200" spans="1:19" x14ac:dyDescent="0.25">
      <c r="B1200" s="99" t="s">
        <v>108</v>
      </c>
      <c r="C1200" s="100">
        <v>1</v>
      </c>
      <c r="D1200" s="103">
        <f>$C1200*VLOOKUP($B1200,FoodDB!$A$2:$I$1018,3,0)</f>
        <v>0</v>
      </c>
      <c r="E1200" s="103">
        <f>$C1200*VLOOKUP($B1200,FoodDB!$A$2:$I$1018,4,0)</f>
        <v>0</v>
      </c>
      <c r="F1200" s="103">
        <f>$C1200*VLOOKUP($B1200,FoodDB!$A$2:$I$1018,5,0)</f>
        <v>0</v>
      </c>
      <c r="G1200" s="103">
        <f>$C1200*VLOOKUP($B1200,FoodDB!$A$2:$I$1018,6,0)</f>
        <v>0</v>
      </c>
      <c r="H1200" s="103">
        <f>$C1200*VLOOKUP($B1200,FoodDB!$A$2:$I$1018,7,0)</f>
        <v>0</v>
      </c>
      <c r="I1200" s="103">
        <f>$C1200*VLOOKUP($B1200,FoodDB!$A$2:$I$1018,8,0)</f>
        <v>0</v>
      </c>
      <c r="J1200" s="103">
        <f>$C1200*VLOOKUP($B1200,FoodDB!$A$2:$I$1018,9,0)</f>
        <v>0</v>
      </c>
      <c r="K1200" s="103"/>
      <c r="L1200" s="103"/>
      <c r="M1200" s="103"/>
      <c r="N1200" s="103"/>
      <c r="O1200" s="103"/>
      <c r="P1200" s="103"/>
      <c r="Q1200" s="103"/>
      <c r="R1200" s="103"/>
      <c r="S1200" s="103"/>
    </row>
    <row r="1201" spans="1:19" x14ac:dyDescent="0.25">
      <c r="B1201" s="99" t="s">
        <v>108</v>
      </c>
      <c r="C1201" s="100">
        <v>1</v>
      </c>
      <c r="D1201" s="103">
        <f>$C1201*VLOOKUP($B1201,FoodDB!$A$2:$I$1018,3,0)</f>
        <v>0</v>
      </c>
      <c r="E1201" s="103">
        <f>$C1201*VLOOKUP($B1201,FoodDB!$A$2:$I$1018,4,0)</f>
        <v>0</v>
      </c>
      <c r="F1201" s="103">
        <f>$C1201*VLOOKUP($B1201,FoodDB!$A$2:$I$1018,5,0)</f>
        <v>0</v>
      </c>
      <c r="G1201" s="103">
        <f>$C1201*VLOOKUP($B1201,FoodDB!$A$2:$I$1018,6,0)</f>
        <v>0</v>
      </c>
      <c r="H1201" s="103">
        <f>$C1201*VLOOKUP($B1201,FoodDB!$A$2:$I$1018,7,0)</f>
        <v>0</v>
      </c>
      <c r="I1201" s="103">
        <f>$C1201*VLOOKUP($B1201,FoodDB!$A$2:$I$1018,8,0)</f>
        <v>0</v>
      </c>
      <c r="J1201" s="103">
        <f>$C1201*VLOOKUP($B1201,FoodDB!$A$2:$I$1018,9,0)</f>
        <v>0</v>
      </c>
      <c r="K1201" s="103"/>
      <c r="L1201" s="103"/>
      <c r="M1201" s="103"/>
      <c r="N1201" s="103"/>
      <c r="O1201" s="103"/>
      <c r="P1201" s="103"/>
      <c r="Q1201" s="103"/>
      <c r="R1201" s="103"/>
      <c r="S1201" s="103"/>
    </row>
    <row r="1202" spans="1:19" x14ac:dyDescent="0.25">
      <c r="B1202" s="99" t="s">
        <v>108</v>
      </c>
      <c r="C1202" s="100">
        <v>1</v>
      </c>
      <c r="D1202" s="103">
        <f>$C1202*VLOOKUP($B1202,FoodDB!$A$2:$I$1018,3,0)</f>
        <v>0</v>
      </c>
      <c r="E1202" s="103">
        <f>$C1202*VLOOKUP($B1202,FoodDB!$A$2:$I$1018,4,0)</f>
        <v>0</v>
      </c>
      <c r="F1202" s="103">
        <f>$C1202*VLOOKUP($B1202,FoodDB!$A$2:$I$1018,5,0)</f>
        <v>0</v>
      </c>
      <c r="G1202" s="103">
        <f>$C1202*VLOOKUP($B1202,FoodDB!$A$2:$I$1018,6,0)</f>
        <v>0</v>
      </c>
      <c r="H1202" s="103">
        <f>$C1202*VLOOKUP($B1202,FoodDB!$A$2:$I$1018,7,0)</f>
        <v>0</v>
      </c>
      <c r="I1202" s="103">
        <f>$C1202*VLOOKUP($B1202,FoodDB!$A$2:$I$1018,8,0)</f>
        <v>0</v>
      </c>
      <c r="J1202" s="103">
        <f>$C1202*VLOOKUP($B1202,FoodDB!$A$2:$I$1018,9,0)</f>
        <v>0</v>
      </c>
      <c r="K1202" s="103"/>
      <c r="L1202" s="103"/>
      <c r="M1202" s="103"/>
      <c r="N1202" s="103"/>
      <c r="O1202" s="103"/>
      <c r="P1202" s="103"/>
      <c r="Q1202" s="103"/>
      <c r="R1202" s="103"/>
      <c r="S1202" s="103"/>
    </row>
    <row r="1203" spans="1:19" x14ac:dyDescent="0.25">
      <c r="B1203" s="99" t="s">
        <v>108</v>
      </c>
      <c r="C1203" s="100">
        <v>1</v>
      </c>
      <c r="D1203" s="103">
        <f>$C1203*VLOOKUP($B1203,FoodDB!$A$2:$I$1018,3,0)</f>
        <v>0</v>
      </c>
      <c r="E1203" s="103">
        <f>$C1203*VLOOKUP($B1203,FoodDB!$A$2:$I$1018,4,0)</f>
        <v>0</v>
      </c>
      <c r="F1203" s="103">
        <f>$C1203*VLOOKUP($B1203,FoodDB!$A$2:$I$1018,5,0)</f>
        <v>0</v>
      </c>
      <c r="G1203" s="103">
        <f>$C1203*VLOOKUP($B1203,FoodDB!$A$2:$I$1018,6,0)</f>
        <v>0</v>
      </c>
      <c r="H1203" s="103">
        <f>$C1203*VLOOKUP($B1203,FoodDB!$A$2:$I$1018,7,0)</f>
        <v>0</v>
      </c>
      <c r="I1203" s="103">
        <f>$C1203*VLOOKUP($B1203,FoodDB!$A$2:$I$1018,8,0)</f>
        <v>0</v>
      </c>
      <c r="J1203" s="103">
        <f>$C1203*VLOOKUP($B1203,FoodDB!$A$2:$I$1018,9,0)</f>
        <v>0</v>
      </c>
      <c r="K1203" s="103"/>
      <c r="L1203" s="103"/>
      <c r="M1203" s="103"/>
      <c r="N1203" s="103"/>
      <c r="O1203" s="103"/>
      <c r="P1203" s="103"/>
      <c r="Q1203" s="103"/>
      <c r="R1203" s="103"/>
      <c r="S1203" s="103"/>
    </row>
    <row r="1204" spans="1:19" x14ac:dyDescent="0.25">
      <c r="B1204" s="99" t="s">
        <v>108</v>
      </c>
      <c r="C1204" s="100">
        <v>1</v>
      </c>
      <c r="D1204" s="103">
        <f>$C1204*VLOOKUP($B1204,FoodDB!$A$2:$I$1018,3,0)</f>
        <v>0</v>
      </c>
      <c r="E1204" s="103">
        <f>$C1204*VLOOKUP($B1204,FoodDB!$A$2:$I$1018,4,0)</f>
        <v>0</v>
      </c>
      <c r="F1204" s="103">
        <f>$C1204*VLOOKUP($B1204,FoodDB!$A$2:$I$1018,5,0)</f>
        <v>0</v>
      </c>
      <c r="G1204" s="103">
        <f>$C1204*VLOOKUP($B1204,FoodDB!$A$2:$I$1018,6,0)</f>
        <v>0</v>
      </c>
      <c r="H1204" s="103">
        <f>$C1204*VLOOKUP($B1204,FoodDB!$A$2:$I$1018,7,0)</f>
        <v>0</v>
      </c>
      <c r="I1204" s="103">
        <f>$C1204*VLOOKUP($B1204,FoodDB!$A$2:$I$1018,8,0)</f>
        <v>0</v>
      </c>
      <c r="J1204" s="103">
        <f>$C1204*VLOOKUP($B1204,FoodDB!$A$2:$I$1018,9,0)</f>
        <v>0</v>
      </c>
      <c r="K1204" s="103"/>
      <c r="L1204" s="103"/>
      <c r="M1204" s="103"/>
      <c r="N1204" s="103"/>
      <c r="O1204" s="103"/>
      <c r="P1204" s="103"/>
      <c r="Q1204" s="103"/>
      <c r="R1204" s="103"/>
      <c r="S1204" s="103"/>
    </row>
    <row r="1205" spans="1:19" x14ac:dyDescent="0.25">
      <c r="A1205" t="s">
        <v>98</v>
      </c>
      <c r="D1205" s="103"/>
      <c r="E1205" s="103"/>
      <c r="F1205" s="103"/>
      <c r="G1205" s="103">
        <f>SUM(G1198:G1204)</f>
        <v>0</v>
      </c>
      <c r="H1205" s="103">
        <f>SUM(H1198:H1204)</f>
        <v>0</v>
      </c>
      <c r="I1205" s="103">
        <f>SUM(I1198:I1204)</f>
        <v>0</v>
      </c>
      <c r="J1205" s="103">
        <f>SUM(G1205:I1205)</f>
        <v>0</v>
      </c>
      <c r="K1205" s="103"/>
      <c r="L1205" s="103"/>
      <c r="M1205" s="103"/>
      <c r="N1205" s="103"/>
      <c r="O1205" s="103"/>
      <c r="P1205" s="103"/>
      <c r="Q1205" s="103"/>
      <c r="R1205" s="103"/>
      <c r="S1205" s="103"/>
    </row>
    <row r="1206" spans="1:19" x14ac:dyDescent="0.25">
      <c r="A1206" t="s">
        <v>102</v>
      </c>
      <c r="B1206" t="s">
        <v>103</v>
      </c>
      <c r="D1206" s="103"/>
      <c r="E1206" s="103"/>
      <c r="F1206" s="103"/>
      <c r="G1206" s="103">
        <f>VLOOKUP($A1198,LossChart!$A$3:$AB$105,14,0)</f>
        <v>840.37772836448471</v>
      </c>
      <c r="H1206" s="103">
        <f>VLOOKUP($A1198,LossChart!$A$3:$AB$105,15,0)</f>
        <v>116</v>
      </c>
      <c r="I1206" s="103">
        <f>VLOOKUP($A1198,LossChart!$A$3:$AB$105,16,0)</f>
        <v>477.30407413615825</v>
      </c>
      <c r="J1206" s="103">
        <f>VLOOKUP($A1198,LossChart!$A$3:$AB$105,17,0)</f>
        <v>1433.681802500643</v>
      </c>
      <c r="K1206" s="103"/>
      <c r="L1206" s="103"/>
      <c r="M1206" s="103"/>
      <c r="N1206" s="103"/>
      <c r="O1206" s="103"/>
      <c r="P1206" s="103"/>
      <c r="Q1206" s="103"/>
      <c r="R1206" s="103"/>
      <c r="S1206" s="103"/>
    </row>
    <row r="1207" spans="1:19" x14ac:dyDescent="0.25">
      <c r="A1207" t="s">
        <v>104</v>
      </c>
      <c r="D1207" s="103"/>
      <c r="E1207" s="103"/>
      <c r="F1207" s="103"/>
      <c r="G1207" s="103">
        <f>G1206-G1205</f>
        <v>840.37772836448471</v>
      </c>
      <c r="H1207" s="103">
        <f>H1206-H1205</f>
        <v>116</v>
      </c>
      <c r="I1207" s="103">
        <f>I1206-I1205</f>
        <v>477.30407413615825</v>
      </c>
      <c r="J1207" s="103">
        <f>J1206-J1205</f>
        <v>1433.681802500643</v>
      </c>
      <c r="K1207" s="103"/>
      <c r="L1207" s="103"/>
      <c r="M1207" s="103"/>
      <c r="N1207" s="103"/>
      <c r="O1207" s="103"/>
      <c r="P1207" s="103"/>
      <c r="Q1207" s="103"/>
      <c r="R1207" s="103"/>
      <c r="S1207" s="103"/>
    </row>
    <row r="1209" spans="1:19" ht="60" x14ac:dyDescent="0.25">
      <c r="A1209" s="26" t="s">
        <v>63</v>
      </c>
      <c r="B1209" s="26" t="s">
        <v>93</v>
      </c>
      <c r="C1209" s="26" t="s">
        <v>94</v>
      </c>
      <c r="D1209" s="97" t="str">
        <f>FoodDB!$C$1</f>
        <v>Fat
(g)</v>
      </c>
      <c r="E1209" s="97" t="str">
        <f>FoodDB!$D$1</f>
        <v xml:space="preserve"> Carbs
(g)</v>
      </c>
      <c r="F1209" s="97" t="str">
        <f>FoodDB!$E$1</f>
        <v>Protein
(g)</v>
      </c>
      <c r="G1209" s="97" t="str">
        <f>FoodDB!$F$1</f>
        <v>Fat
(Cal)</v>
      </c>
      <c r="H1209" s="97" t="str">
        <f>FoodDB!$G$1</f>
        <v>Carb
(Cal)</v>
      </c>
      <c r="I1209" s="97" t="str">
        <f>FoodDB!$H$1</f>
        <v>Protein
(Cal)</v>
      </c>
      <c r="J1209" s="97" t="str">
        <f>FoodDB!$I$1</f>
        <v>Total
Calories</v>
      </c>
      <c r="K1209" s="97"/>
      <c r="L1209" s="97" t="s">
        <v>110</v>
      </c>
      <c r="M1209" s="97" t="s">
        <v>111</v>
      </c>
      <c r="N1209" s="97" t="s">
        <v>112</v>
      </c>
      <c r="O1209" s="97" t="s">
        <v>113</v>
      </c>
      <c r="P1209" s="97" t="s">
        <v>118</v>
      </c>
      <c r="Q1209" s="97" t="s">
        <v>119</v>
      </c>
      <c r="R1209" s="97" t="s">
        <v>120</v>
      </c>
      <c r="S1209" s="97" t="s">
        <v>121</v>
      </c>
    </row>
    <row r="1210" spans="1:19" x14ac:dyDescent="0.25">
      <c r="A1210" s="98">
        <f>A1198+1</f>
        <v>43094</v>
      </c>
      <c r="B1210" s="99" t="s">
        <v>108</v>
      </c>
      <c r="C1210" s="100">
        <v>1</v>
      </c>
      <c r="D1210" s="103">
        <f>$C1210*VLOOKUP($B1210,FoodDB!$A$2:$I$1018,3,0)</f>
        <v>0</v>
      </c>
      <c r="E1210" s="103">
        <f>$C1210*VLOOKUP($B1210,FoodDB!$A$2:$I$1018,4,0)</f>
        <v>0</v>
      </c>
      <c r="F1210" s="103">
        <f>$C1210*VLOOKUP($B1210,FoodDB!$A$2:$I$1018,5,0)</f>
        <v>0</v>
      </c>
      <c r="G1210" s="103">
        <f>$C1210*VLOOKUP($B1210,FoodDB!$A$2:$I$1018,6,0)</f>
        <v>0</v>
      </c>
      <c r="H1210" s="103">
        <f>$C1210*VLOOKUP($B1210,FoodDB!$A$2:$I$1018,7,0)</f>
        <v>0</v>
      </c>
      <c r="I1210" s="103">
        <f>$C1210*VLOOKUP($B1210,FoodDB!$A$2:$I$1018,8,0)</f>
        <v>0</v>
      </c>
      <c r="J1210" s="103">
        <f>$C1210*VLOOKUP($B1210,FoodDB!$A$2:$I$1018,9,0)</f>
        <v>0</v>
      </c>
      <c r="K1210" s="103"/>
      <c r="L1210" s="103">
        <f>SUM(G1210:G1216)</f>
        <v>0</v>
      </c>
      <c r="M1210" s="103">
        <f>SUM(H1210:H1216)</f>
        <v>0</v>
      </c>
      <c r="N1210" s="103">
        <f>SUM(I1210:I1216)</f>
        <v>0</v>
      </c>
      <c r="O1210" s="103">
        <f>SUM(L1210:N1210)</f>
        <v>0</v>
      </c>
      <c r="P1210" s="103">
        <f>VLOOKUP($A1210,LossChart!$A$3:$AB$105,14,0)-L1210</f>
        <v>844.11797312247063</v>
      </c>
      <c r="Q1210" s="103">
        <f>VLOOKUP($A1210,LossChart!$A$3:$AB$105,15,0)-M1210</f>
        <v>116</v>
      </c>
      <c r="R1210" s="103">
        <f>VLOOKUP($A1210,LossChart!$A$3:$AB$105,16,0)-N1210</f>
        <v>477.30407413615825</v>
      </c>
      <c r="S1210" s="103">
        <f>VLOOKUP($A1210,LossChart!$A$3:$AB$105,17,0)-O1210</f>
        <v>1437.4220472586289</v>
      </c>
    </row>
    <row r="1211" spans="1:19" x14ac:dyDescent="0.25">
      <c r="B1211" s="99" t="s">
        <v>108</v>
      </c>
      <c r="C1211" s="100">
        <v>1</v>
      </c>
      <c r="D1211" s="103">
        <f>$C1211*VLOOKUP($B1211,FoodDB!$A$2:$I$1018,3,0)</f>
        <v>0</v>
      </c>
      <c r="E1211" s="103">
        <f>$C1211*VLOOKUP($B1211,FoodDB!$A$2:$I$1018,4,0)</f>
        <v>0</v>
      </c>
      <c r="F1211" s="103">
        <f>$C1211*VLOOKUP($B1211,FoodDB!$A$2:$I$1018,5,0)</f>
        <v>0</v>
      </c>
      <c r="G1211" s="103">
        <f>$C1211*VLOOKUP($B1211,FoodDB!$A$2:$I$1018,6,0)</f>
        <v>0</v>
      </c>
      <c r="H1211" s="103">
        <f>$C1211*VLOOKUP($B1211,FoodDB!$A$2:$I$1018,7,0)</f>
        <v>0</v>
      </c>
      <c r="I1211" s="103">
        <f>$C1211*VLOOKUP($B1211,FoodDB!$A$2:$I$1018,8,0)</f>
        <v>0</v>
      </c>
      <c r="J1211" s="103">
        <f>$C1211*VLOOKUP($B1211,FoodDB!$A$2:$I$1018,9,0)</f>
        <v>0</v>
      </c>
      <c r="K1211" s="103"/>
      <c r="L1211" s="103"/>
      <c r="M1211" s="103"/>
      <c r="N1211" s="103"/>
      <c r="O1211" s="103"/>
      <c r="P1211" s="103"/>
      <c r="Q1211" s="103"/>
      <c r="R1211" s="103"/>
      <c r="S1211" s="103"/>
    </row>
    <row r="1212" spans="1:19" x14ac:dyDescent="0.25">
      <c r="B1212" s="99" t="s">
        <v>108</v>
      </c>
      <c r="C1212" s="100">
        <v>1</v>
      </c>
      <c r="D1212" s="103">
        <f>$C1212*VLOOKUP($B1212,FoodDB!$A$2:$I$1018,3,0)</f>
        <v>0</v>
      </c>
      <c r="E1212" s="103">
        <f>$C1212*VLOOKUP($B1212,FoodDB!$A$2:$I$1018,4,0)</f>
        <v>0</v>
      </c>
      <c r="F1212" s="103">
        <f>$C1212*VLOOKUP($B1212,FoodDB!$A$2:$I$1018,5,0)</f>
        <v>0</v>
      </c>
      <c r="G1212" s="103">
        <f>$C1212*VLOOKUP($B1212,FoodDB!$A$2:$I$1018,6,0)</f>
        <v>0</v>
      </c>
      <c r="H1212" s="103">
        <f>$C1212*VLOOKUP($B1212,FoodDB!$A$2:$I$1018,7,0)</f>
        <v>0</v>
      </c>
      <c r="I1212" s="103">
        <f>$C1212*VLOOKUP($B1212,FoodDB!$A$2:$I$1018,8,0)</f>
        <v>0</v>
      </c>
      <c r="J1212" s="103">
        <f>$C1212*VLOOKUP($B1212,FoodDB!$A$2:$I$1018,9,0)</f>
        <v>0</v>
      </c>
      <c r="K1212" s="103"/>
      <c r="L1212" s="103"/>
      <c r="M1212" s="103"/>
      <c r="N1212" s="103"/>
      <c r="O1212" s="103"/>
      <c r="P1212" s="103"/>
      <c r="Q1212" s="103"/>
      <c r="R1212" s="103"/>
      <c r="S1212" s="103"/>
    </row>
    <row r="1213" spans="1:19" x14ac:dyDescent="0.25">
      <c r="B1213" s="99" t="s">
        <v>108</v>
      </c>
      <c r="C1213" s="100">
        <v>1</v>
      </c>
      <c r="D1213" s="103">
        <f>$C1213*VLOOKUP($B1213,FoodDB!$A$2:$I$1018,3,0)</f>
        <v>0</v>
      </c>
      <c r="E1213" s="103">
        <f>$C1213*VLOOKUP($B1213,FoodDB!$A$2:$I$1018,4,0)</f>
        <v>0</v>
      </c>
      <c r="F1213" s="103">
        <f>$C1213*VLOOKUP($B1213,FoodDB!$A$2:$I$1018,5,0)</f>
        <v>0</v>
      </c>
      <c r="G1213" s="103">
        <f>$C1213*VLOOKUP($B1213,FoodDB!$A$2:$I$1018,6,0)</f>
        <v>0</v>
      </c>
      <c r="H1213" s="103">
        <f>$C1213*VLOOKUP($B1213,FoodDB!$A$2:$I$1018,7,0)</f>
        <v>0</v>
      </c>
      <c r="I1213" s="103">
        <f>$C1213*VLOOKUP($B1213,FoodDB!$A$2:$I$1018,8,0)</f>
        <v>0</v>
      </c>
      <c r="J1213" s="103">
        <f>$C1213*VLOOKUP($B1213,FoodDB!$A$2:$I$1018,9,0)</f>
        <v>0</v>
      </c>
      <c r="K1213" s="103"/>
      <c r="L1213" s="103"/>
      <c r="M1213" s="103"/>
      <c r="N1213" s="103"/>
      <c r="O1213" s="103"/>
      <c r="P1213" s="103"/>
      <c r="Q1213" s="103"/>
      <c r="R1213" s="103"/>
      <c r="S1213" s="103"/>
    </row>
    <row r="1214" spans="1:19" x14ac:dyDescent="0.25">
      <c r="B1214" s="99" t="s">
        <v>108</v>
      </c>
      <c r="C1214" s="100">
        <v>1</v>
      </c>
      <c r="D1214" s="103">
        <f>$C1214*VLOOKUP($B1214,FoodDB!$A$2:$I$1018,3,0)</f>
        <v>0</v>
      </c>
      <c r="E1214" s="103">
        <f>$C1214*VLOOKUP($B1214,FoodDB!$A$2:$I$1018,4,0)</f>
        <v>0</v>
      </c>
      <c r="F1214" s="103">
        <f>$C1214*VLOOKUP($B1214,FoodDB!$A$2:$I$1018,5,0)</f>
        <v>0</v>
      </c>
      <c r="G1214" s="103">
        <f>$C1214*VLOOKUP($B1214,FoodDB!$A$2:$I$1018,6,0)</f>
        <v>0</v>
      </c>
      <c r="H1214" s="103">
        <f>$C1214*VLOOKUP($B1214,FoodDB!$A$2:$I$1018,7,0)</f>
        <v>0</v>
      </c>
      <c r="I1214" s="103">
        <f>$C1214*VLOOKUP($B1214,FoodDB!$A$2:$I$1018,8,0)</f>
        <v>0</v>
      </c>
      <c r="J1214" s="103">
        <f>$C1214*VLOOKUP($B1214,FoodDB!$A$2:$I$1018,9,0)</f>
        <v>0</v>
      </c>
      <c r="K1214" s="103"/>
      <c r="L1214" s="103"/>
      <c r="M1214" s="103"/>
      <c r="N1214" s="103"/>
      <c r="O1214" s="103"/>
      <c r="P1214" s="103"/>
      <c r="Q1214" s="103"/>
      <c r="R1214" s="103"/>
      <c r="S1214" s="103"/>
    </row>
    <row r="1215" spans="1:19" x14ac:dyDescent="0.25">
      <c r="B1215" s="99" t="s">
        <v>108</v>
      </c>
      <c r="C1215" s="100">
        <v>1</v>
      </c>
      <c r="D1215" s="103">
        <f>$C1215*VLOOKUP($B1215,FoodDB!$A$2:$I$1018,3,0)</f>
        <v>0</v>
      </c>
      <c r="E1215" s="103">
        <f>$C1215*VLOOKUP($B1215,FoodDB!$A$2:$I$1018,4,0)</f>
        <v>0</v>
      </c>
      <c r="F1215" s="103">
        <f>$C1215*VLOOKUP($B1215,FoodDB!$A$2:$I$1018,5,0)</f>
        <v>0</v>
      </c>
      <c r="G1215" s="103">
        <f>$C1215*VLOOKUP($B1215,FoodDB!$A$2:$I$1018,6,0)</f>
        <v>0</v>
      </c>
      <c r="H1215" s="103">
        <f>$C1215*VLOOKUP($B1215,FoodDB!$A$2:$I$1018,7,0)</f>
        <v>0</v>
      </c>
      <c r="I1215" s="103">
        <f>$C1215*VLOOKUP($B1215,FoodDB!$A$2:$I$1018,8,0)</f>
        <v>0</v>
      </c>
      <c r="J1215" s="103">
        <f>$C1215*VLOOKUP($B1215,FoodDB!$A$2:$I$1018,9,0)</f>
        <v>0</v>
      </c>
      <c r="K1215" s="103"/>
      <c r="L1215" s="103"/>
      <c r="M1215" s="103"/>
      <c r="N1215" s="103"/>
      <c r="O1215" s="103"/>
      <c r="P1215" s="103"/>
      <c r="Q1215" s="103"/>
      <c r="R1215" s="103"/>
      <c r="S1215" s="103"/>
    </row>
    <row r="1216" spans="1:19" x14ac:dyDescent="0.25">
      <c r="B1216" s="99" t="s">
        <v>108</v>
      </c>
      <c r="C1216" s="100">
        <v>1</v>
      </c>
      <c r="D1216" s="103">
        <f>$C1216*VLOOKUP($B1216,FoodDB!$A$2:$I$1018,3,0)</f>
        <v>0</v>
      </c>
      <c r="E1216" s="103">
        <f>$C1216*VLOOKUP($B1216,FoodDB!$A$2:$I$1018,4,0)</f>
        <v>0</v>
      </c>
      <c r="F1216" s="103">
        <f>$C1216*VLOOKUP($B1216,FoodDB!$A$2:$I$1018,5,0)</f>
        <v>0</v>
      </c>
      <c r="G1216" s="103">
        <f>$C1216*VLOOKUP($B1216,FoodDB!$A$2:$I$1018,6,0)</f>
        <v>0</v>
      </c>
      <c r="H1216" s="103">
        <f>$C1216*VLOOKUP($B1216,FoodDB!$A$2:$I$1018,7,0)</f>
        <v>0</v>
      </c>
      <c r="I1216" s="103">
        <f>$C1216*VLOOKUP($B1216,FoodDB!$A$2:$I$1018,8,0)</f>
        <v>0</v>
      </c>
      <c r="J1216" s="103">
        <f>$C1216*VLOOKUP($B1216,FoodDB!$A$2:$I$1018,9,0)</f>
        <v>0</v>
      </c>
      <c r="K1216" s="103"/>
      <c r="L1216" s="103"/>
      <c r="M1216" s="103"/>
      <c r="N1216" s="103"/>
      <c r="O1216" s="103"/>
      <c r="P1216" s="103"/>
      <c r="Q1216" s="103"/>
      <c r="R1216" s="103"/>
      <c r="S1216" s="103"/>
    </row>
    <row r="1217" spans="1:19" x14ac:dyDescent="0.25">
      <c r="A1217" t="s">
        <v>98</v>
      </c>
      <c r="D1217" s="103"/>
      <c r="E1217" s="103"/>
      <c r="F1217" s="103"/>
      <c r="G1217" s="103">
        <f>SUM(G1210:G1216)</f>
        <v>0</v>
      </c>
      <c r="H1217" s="103">
        <f>SUM(H1210:H1216)</f>
        <v>0</v>
      </c>
      <c r="I1217" s="103">
        <f>SUM(I1210:I1216)</f>
        <v>0</v>
      </c>
      <c r="J1217" s="103">
        <f>SUM(G1217:I1217)</f>
        <v>0</v>
      </c>
      <c r="K1217" s="103"/>
      <c r="L1217" s="103"/>
      <c r="M1217" s="103"/>
      <c r="N1217" s="103"/>
      <c r="O1217" s="103"/>
      <c r="P1217" s="103"/>
      <c r="Q1217" s="103"/>
      <c r="R1217" s="103"/>
      <c r="S1217" s="103"/>
    </row>
    <row r="1218" spans="1:19" x14ac:dyDescent="0.25">
      <c r="A1218" t="s">
        <v>102</v>
      </c>
      <c r="B1218" t="s">
        <v>103</v>
      </c>
      <c r="D1218" s="103"/>
      <c r="E1218" s="103"/>
      <c r="F1218" s="103"/>
      <c r="G1218" s="103">
        <f>VLOOKUP($A1210,LossChart!$A$3:$AB$105,14,0)</f>
        <v>844.11797312247063</v>
      </c>
      <c r="H1218" s="103">
        <f>VLOOKUP($A1210,LossChart!$A$3:$AB$105,15,0)</f>
        <v>116</v>
      </c>
      <c r="I1218" s="103">
        <f>VLOOKUP($A1210,LossChart!$A$3:$AB$105,16,0)</f>
        <v>477.30407413615825</v>
      </c>
      <c r="J1218" s="103">
        <f>VLOOKUP($A1210,LossChart!$A$3:$AB$105,17,0)</f>
        <v>1437.4220472586289</v>
      </c>
      <c r="K1218" s="103"/>
      <c r="L1218" s="103"/>
      <c r="M1218" s="103"/>
      <c r="N1218" s="103"/>
      <c r="O1218" s="103"/>
      <c r="P1218" s="103"/>
      <c r="Q1218" s="103"/>
      <c r="R1218" s="103"/>
      <c r="S1218" s="103"/>
    </row>
    <row r="1219" spans="1:19" x14ac:dyDescent="0.25">
      <c r="A1219" t="s">
        <v>104</v>
      </c>
      <c r="D1219" s="103"/>
      <c r="E1219" s="103"/>
      <c r="F1219" s="103"/>
      <c r="G1219" s="103">
        <f>G1218-G1217</f>
        <v>844.11797312247063</v>
      </c>
      <c r="H1219" s="103">
        <f>H1218-H1217</f>
        <v>116</v>
      </c>
      <c r="I1219" s="103">
        <f>I1218-I1217</f>
        <v>477.30407413615825</v>
      </c>
      <c r="J1219" s="103">
        <f>J1218-J1217</f>
        <v>1437.4220472586289</v>
      </c>
      <c r="K1219" s="103"/>
      <c r="L1219" s="103"/>
      <c r="M1219" s="103"/>
      <c r="N1219" s="103"/>
      <c r="O1219" s="103"/>
      <c r="P1219" s="103"/>
      <c r="Q1219" s="103"/>
      <c r="R1219" s="103"/>
      <c r="S1219" s="103"/>
    </row>
    <row r="1221" spans="1:19" ht="60" x14ac:dyDescent="0.25">
      <c r="A1221" s="26" t="s">
        <v>63</v>
      </c>
      <c r="B1221" s="26" t="s">
        <v>93</v>
      </c>
      <c r="C1221" s="26" t="s">
        <v>94</v>
      </c>
      <c r="D1221" s="97" t="str">
        <f>FoodDB!$C$1</f>
        <v>Fat
(g)</v>
      </c>
      <c r="E1221" s="97" t="str">
        <f>FoodDB!$D$1</f>
        <v xml:space="preserve"> Carbs
(g)</v>
      </c>
      <c r="F1221" s="97" t="str">
        <f>FoodDB!$E$1</f>
        <v>Protein
(g)</v>
      </c>
      <c r="G1221" s="97" t="str">
        <f>FoodDB!$F$1</f>
        <v>Fat
(Cal)</v>
      </c>
      <c r="H1221" s="97" t="str">
        <f>FoodDB!$G$1</f>
        <v>Carb
(Cal)</v>
      </c>
      <c r="I1221" s="97" t="str">
        <f>FoodDB!$H$1</f>
        <v>Protein
(Cal)</v>
      </c>
      <c r="J1221" s="97" t="str">
        <f>FoodDB!$I$1</f>
        <v>Total
Calories</v>
      </c>
      <c r="K1221" s="97"/>
      <c r="L1221" s="97" t="s">
        <v>110</v>
      </c>
      <c r="M1221" s="97" t="s">
        <v>111</v>
      </c>
      <c r="N1221" s="97" t="s">
        <v>112</v>
      </c>
      <c r="O1221" s="97" t="s">
        <v>113</v>
      </c>
      <c r="P1221" s="97" t="s">
        <v>118</v>
      </c>
      <c r="Q1221" s="97" t="s">
        <v>119</v>
      </c>
      <c r="R1221" s="97" t="s">
        <v>120</v>
      </c>
      <c r="S1221" s="97" t="s">
        <v>121</v>
      </c>
    </row>
    <row r="1222" spans="1:19" x14ac:dyDescent="0.25">
      <c r="A1222" s="98">
        <f>A1210+1</f>
        <v>43095</v>
      </c>
      <c r="B1222" s="99" t="s">
        <v>108</v>
      </c>
      <c r="C1222" s="100">
        <v>1</v>
      </c>
      <c r="D1222" s="103">
        <f>$C1222*VLOOKUP($B1222,FoodDB!$A$2:$I$1018,3,0)</f>
        <v>0</v>
      </c>
      <c r="E1222" s="103">
        <f>$C1222*VLOOKUP($B1222,FoodDB!$A$2:$I$1018,4,0)</f>
        <v>0</v>
      </c>
      <c r="F1222" s="103">
        <f>$C1222*VLOOKUP($B1222,FoodDB!$A$2:$I$1018,5,0)</f>
        <v>0</v>
      </c>
      <c r="G1222" s="103">
        <f>$C1222*VLOOKUP($B1222,FoodDB!$A$2:$I$1018,6,0)</f>
        <v>0</v>
      </c>
      <c r="H1222" s="103">
        <f>$C1222*VLOOKUP($B1222,FoodDB!$A$2:$I$1018,7,0)</f>
        <v>0</v>
      </c>
      <c r="I1222" s="103">
        <f>$C1222*VLOOKUP($B1222,FoodDB!$A$2:$I$1018,8,0)</f>
        <v>0</v>
      </c>
      <c r="J1222" s="103">
        <f>$C1222*VLOOKUP($B1222,FoodDB!$A$2:$I$1018,9,0)</f>
        <v>0</v>
      </c>
      <c r="K1222" s="103"/>
      <c r="L1222" s="103">
        <f>SUM(G1222:G1228)</f>
        <v>0</v>
      </c>
      <c r="M1222" s="103">
        <f>SUM(H1222:H1228)</f>
        <v>0</v>
      </c>
      <c r="N1222" s="103">
        <f>SUM(I1222:I1228)</f>
        <v>0</v>
      </c>
      <c r="O1222" s="103">
        <f>SUM(L1222:N1222)</f>
        <v>0</v>
      </c>
      <c r="P1222" s="103">
        <f>VLOOKUP($A1222,LossChart!$A$3:$AB$999,14,0)-L1222</f>
        <v>847.82508999831475</v>
      </c>
      <c r="Q1222" s="103">
        <f>VLOOKUP($A1222,LossChart!$A$3:$AB$999,15,0)-M1222</f>
        <v>116</v>
      </c>
      <c r="R1222" s="103">
        <f>VLOOKUP($A1222,LossChart!$A$3:$AB$999,16,0)-N1222</f>
        <v>477.30407413615825</v>
      </c>
      <c r="S1222" s="103">
        <f>VLOOKUP($A1222,LossChart!$A$3:$AB$999,17,0)-O1222</f>
        <v>1441.1291641344731</v>
      </c>
    </row>
    <row r="1223" spans="1:19" x14ac:dyDescent="0.25">
      <c r="B1223" s="99" t="s">
        <v>108</v>
      </c>
      <c r="C1223" s="100">
        <v>1</v>
      </c>
      <c r="D1223" s="103">
        <f>$C1223*VLOOKUP($B1223,FoodDB!$A$2:$I$1018,3,0)</f>
        <v>0</v>
      </c>
      <c r="E1223" s="103">
        <f>$C1223*VLOOKUP($B1223,FoodDB!$A$2:$I$1018,4,0)</f>
        <v>0</v>
      </c>
      <c r="F1223" s="103">
        <f>$C1223*VLOOKUP($B1223,FoodDB!$A$2:$I$1018,5,0)</f>
        <v>0</v>
      </c>
      <c r="G1223" s="103">
        <f>$C1223*VLOOKUP($B1223,FoodDB!$A$2:$I$1018,6,0)</f>
        <v>0</v>
      </c>
      <c r="H1223" s="103">
        <f>$C1223*VLOOKUP($B1223,FoodDB!$A$2:$I$1018,7,0)</f>
        <v>0</v>
      </c>
      <c r="I1223" s="103">
        <f>$C1223*VLOOKUP($B1223,FoodDB!$A$2:$I$1018,8,0)</f>
        <v>0</v>
      </c>
      <c r="J1223" s="103">
        <f>$C1223*VLOOKUP($B1223,FoodDB!$A$2:$I$1018,9,0)</f>
        <v>0</v>
      </c>
      <c r="K1223" s="103"/>
      <c r="L1223" s="103"/>
      <c r="M1223" s="103"/>
      <c r="N1223" s="103"/>
      <c r="O1223" s="103"/>
      <c r="P1223" s="103"/>
      <c r="Q1223" s="103"/>
      <c r="R1223" s="103"/>
      <c r="S1223" s="103"/>
    </row>
    <row r="1224" spans="1:19" x14ac:dyDescent="0.25">
      <c r="B1224" s="99" t="s">
        <v>108</v>
      </c>
      <c r="C1224" s="100">
        <v>1</v>
      </c>
      <c r="D1224" s="103">
        <f>$C1224*VLOOKUP($B1224,FoodDB!$A$2:$I$1018,3,0)</f>
        <v>0</v>
      </c>
      <c r="E1224" s="103">
        <f>$C1224*VLOOKUP($B1224,FoodDB!$A$2:$I$1018,4,0)</f>
        <v>0</v>
      </c>
      <c r="F1224" s="103">
        <f>$C1224*VLOOKUP($B1224,FoodDB!$A$2:$I$1018,5,0)</f>
        <v>0</v>
      </c>
      <c r="G1224" s="103">
        <f>$C1224*VLOOKUP($B1224,FoodDB!$A$2:$I$1018,6,0)</f>
        <v>0</v>
      </c>
      <c r="H1224" s="103">
        <f>$C1224*VLOOKUP($B1224,FoodDB!$A$2:$I$1018,7,0)</f>
        <v>0</v>
      </c>
      <c r="I1224" s="103">
        <f>$C1224*VLOOKUP($B1224,FoodDB!$A$2:$I$1018,8,0)</f>
        <v>0</v>
      </c>
      <c r="J1224" s="103">
        <f>$C1224*VLOOKUP($B1224,FoodDB!$A$2:$I$1018,9,0)</f>
        <v>0</v>
      </c>
      <c r="K1224" s="103"/>
      <c r="L1224" s="103"/>
      <c r="M1224" s="103"/>
      <c r="N1224" s="103"/>
      <c r="O1224" s="103"/>
      <c r="P1224" s="103"/>
      <c r="Q1224" s="103"/>
      <c r="R1224" s="103"/>
      <c r="S1224" s="103"/>
    </row>
    <row r="1225" spans="1:19" x14ac:dyDescent="0.25">
      <c r="B1225" s="99" t="s">
        <v>108</v>
      </c>
      <c r="C1225" s="100">
        <v>1</v>
      </c>
      <c r="D1225" s="103">
        <f>$C1225*VLOOKUP($B1225,FoodDB!$A$2:$I$1018,3,0)</f>
        <v>0</v>
      </c>
      <c r="E1225" s="103">
        <f>$C1225*VLOOKUP($B1225,FoodDB!$A$2:$I$1018,4,0)</f>
        <v>0</v>
      </c>
      <c r="F1225" s="103">
        <f>$C1225*VLOOKUP($B1225,FoodDB!$A$2:$I$1018,5,0)</f>
        <v>0</v>
      </c>
      <c r="G1225" s="103">
        <f>$C1225*VLOOKUP($B1225,FoodDB!$A$2:$I$1018,6,0)</f>
        <v>0</v>
      </c>
      <c r="H1225" s="103">
        <f>$C1225*VLOOKUP($B1225,FoodDB!$A$2:$I$1018,7,0)</f>
        <v>0</v>
      </c>
      <c r="I1225" s="103">
        <f>$C1225*VLOOKUP($B1225,FoodDB!$A$2:$I$1018,8,0)</f>
        <v>0</v>
      </c>
      <c r="J1225" s="103">
        <f>$C1225*VLOOKUP($B1225,FoodDB!$A$2:$I$1018,9,0)</f>
        <v>0</v>
      </c>
      <c r="K1225" s="103"/>
      <c r="L1225" s="103"/>
      <c r="M1225" s="103"/>
      <c r="N1225" s="103"/>
      <c r="O1225" s="103"/>
      <c r="P1225" s="103"/>
      <c r="Q1225" s="103"/>
      <c r="R1225" s="103"/>
      <c r="S1225" s="103"/>
    </row>
    <row r="1226" spans="1:19" x14ac:dyDescent="0.25">
      <c r="B1226" s="99" t="s">
        <v>108</v>
      </c>
      <c r="C1226" s="100">
        <v>1</v>
      </c>
      <c r="D1226" s="103">
        <f>$C1226*VLOOKUP($B1226,FoodDB!$A$2:$I$1018,3,0)</f>
        <v>0</v>
      </c>
      <c r="E1226" s="103">
        <f>$C1226*VLOOKUP($B1226,FoodDB!$A$2:$I$1018,4,0)</f>
        <v>0</v>
      </c>
      <c r="F1226" s="103">
        <f>$C1226*VLOOKUP($B1226,FoodDB!$A$2:$I$1018,5,0)</f>
        <v>0</v>
      </c>
      <c r="G1226" s="103">
        <f>$C1226*VLOOKUP($B1226,FoodDB!$A$2:$I$1018,6,0)</f>
        <v>0</v>
      </c>
      <c r="H1226" s="103">
        <f>$C1226*VLOOKUP($B1226,FoodDB!$A$2:$I$1018,7,0)</f>
        <v>0</v>
      </c>
      <c r="I1226" s="103">
        <f>$C1226*VLOOKUP($B1226,FoodDB!$A$2:$I$1018,8,0)</f>
        <v>0</v>
      </c>
      <c r="J1226" s="103">
        <f>$C1226*VLOOKUP($B1226,FoodDB!$A$2:$I$1018,9,0)</f>
        <v>0</v>
      </c>
      <c r="K1226" s="103"/>
      <c r="L1226" s="103"/>
      <c r="M1226" s="103"/>
      <c r="N1226" s="103"/>
      <c r="O1226" s="103"/>
      <c r="P1226" s="103"/>
      <c r="Q1226" s="103"/>
      <c r="R1226" s="103"/>
      <c r="S1226" s="103"/>
    </row>
    <row r="1227" spans="1:19" x14ac:dyDescent="0.25">
      <c r="B1227" s="99" t="s">
        <v>108</v>
      </c>
      <c r="C1227" s="100">
        <v>1</v>
      </c>
      <c r="D1227" s="103">
        <f>$C1227*VLOOKUP($B1227,FoodDB!$A$2:$I$1018,3,0)</f>
        <v>0</v>
      </c>
      <c r="E1227" s="103">
        <f>$C1227*VLOOKUP($B1227,FoodDB!$A$2:$I$1018,4,0)</f>
        <v>0</v>
      </c>
      <c r="F1227" s="103">
        <f>$C1227*VLOOKUP($B1227,FoodDB!$A$2:$I$1018,5,0)</f>
        <v>0</v>
      </c>
      <c r="G1227" s="103">
        <f>$C1227*VLOOKUP($B1227,FoodDB!$A$2:$I$1018,6,0)</f>
        <v>0</v>
      </c>
      <c r="H1227" s="103">
        <f>$C1227*VLOOKUP($B1227,FoodDB!$A$2:$I$1018,7,0)</f>
        <v>0</v>
      </c>
      <c r="I1227" s="103">
        <f>$C1227*VLOOKUP($B1227,FoodDB!$A$2:$I$1018,8,0)</f>
        <v>0</v>
      </c>
      <c r="J1227" s="103">
        <f>$C1227*VLOOKUP($B1227,FoodDB!$A$2:$I$1018,9,0)</f>
        <v>0</v>
      </c>
      <c r="K1227" s="103"/>
      <c r="L1227" s="103"/>
      <c r="M1227" s="103"/>
      <c r="N1227" s="103"/>
      <c r="O1227" s="103"/>
      <c r="P1227" s="103"/>
      <c r="Q1227" s="103"/>
      <c r="R1227" s="103"/>
      <c r="S1227" s="103"/>
    </row>
    <row r="1228" spans="1:19" x14ac:dyDescent="0.25">
      <c r="B1228" s="99" t="s">
        <v>108</v>
      </c>
      <c r="C1228" s="100">
        <v>1</v>
      </c>
      <c r="D1228" s="103">
        <f>$C1228*VLOOKUP($B1228,FoodDB!$A$2:$I$1018,3,0)</f>
        <v>0</v>
      </c>
      <c r="E1228" s="103">
        <f>$C1228*VLOOKUP($B1228,FoodDB!$A$2:$I$1018,4,0)</f>
        <v>0</v>
      </c>
      <c r="F1228" s="103">
        <f>$C1228*VLOOKUP($B1228,FoodDB!$A$2:$I$1018,5,0)</f>
        <v>0</v>
      </c>
      <c r="G1228" s="103">
        <f>$C1228*VLOOKUP($B1228,FoodDB!$A$2:$I$1018,6,0)</f>
        <v>0</v>
      </c>
      <c r="H1228" s="103">
        <f>$C1228*VLOOKUP($B1228,FoodDB!$A$2:$I$1018,7,0)</f>
        <v>0</v>
      </c>
      <c r="I1228" s="103">
        <f>$C1228*VLOOKUP($B1228,FoodDB!$A$2:$I$1018,8,0)</f>
        <v>0</v>
      </c>
      <c r="J1228" s="103">
        <f>$C1228*VLOOKUP($B1228,FoodDB!$A$2:$I$1018,9,0)</f>
        <v>0</v>
      </c>
      <c r="K1228" s="103"/>
      <c r="L1228" s="103"/>
      <c r="M1228" s="103"/>
      <c r="N1228" s="103"/>
      <c r="O1228" s="103"/>
      <c r="P1228" s="103"/>
      <c r="Q1228" s="103"/>
      <c r="R1228" s="103"/>
      <c r="S1228" s="103"/>
    </row>
    <row r="1229" spans="1:19" x14ac:dyDescent="0.25">
      <c r="A1229" t="s">
        <v>98</v>
      </c>
      <c r="D1229" s="103"/>
      <c r="E1229" s="103"/>
      <c r="F1229" s="103"/>
      <c r="G1229" s="103">
        <f>SUM(G1222:G1228)</f>
        <v>0</v>
      </c>
      <c r="H1229" s="103">
        <f>SUM(H1222:H1228)</f>
        <v>0</v>
      </c>
      <c r="I1229" s="103">
        <f>SUM(I1222:I1228)</f>
        <v>0</v>
      </c>
      <c r="J1229" s="103">
        <f>SUM(G1229:I1229)</f>
        <v>0</v>
      </c>
      <c r="K1229" s="103"/>
      <c r="L1229" s="103"/>
      <c r="M1229" s="103"/>
      <c r="N1229" s="103"/>
      <c r="O1229" s="103"/>
      <c r="P1229" s="103"/>
      <c r="Q1229" s="103"/>
      <c r="R1229" s="103"/>
      <c r="S1229" s="103"/>
    </row>
    <row r="1230" spans="1:19" x14ac:dyDescent="0.25">
      <c r="A1230" t="s">
        <v>102</v>
      </c>
      <c r="B1230" t="s">
        <v>103</v>
      </c>
      <c r="D1230" s="103"/>
      <c r="E1230" s="103"/>
      <c r="F1230" s="103"/>
      <c r="G1230" s="103" t="e">
        <f>VLOOKUP($A1222,LossChart!$A$3:$AB$105,14,0)</f>
        <v>#N/A</v>
      </c>
      <c r="H1230" s="103" t="e">
        <f>VLOOKUP($A1222,LossChart!$A$3:$AB$105,15,0)</f>
        <v>#N/A</v>
      </c>
      <c r="I1230" s="103" t="e">
        <f>VLOOKUP($A1222,LossChart!$A$3:$AB$105,16,0)</f>
        <v>#N/A</v>
      </c>
      <c r="J1230" s="103" t="e">
        <f>VLOOKUP($A1222,LossChart!$A$3:$AB$105,17,0)</f>
        <v>#N/A</v>
      </c>
      <c r="K1230" s="103"/>
      <c r="L1230" s="103"/>
      <c r="M1230" s="103"/>
      <c r="N1230" s="103"/>
      <c r="O1230" s="103"/>
      <c r="P1230" s="103"/>
      <c r="Q1230" s="103"/>
      <c r="R1230" s="103"/>
      <c r="S1230" s="103"/>
    </row>
    <row r="1231" spans="1:19" x14ac:dyDescent="0.25">
      <c r="A1231" t="s">
        <v>104</v>
      </c>
      <c r="D1231" s="103"/>
      <c r="E1231" s="103"/>
      <c r="F1231" s="103"/>
      <c r="G1231" s="103" t="e">
        <f>G1230-G1229</f>
        <v>#N/A</v>
      </c>
      <c r="H1231" s="103" t="e">
        <f>H1230-H1229</f>
        <v>#N/A</v>
      </c>
      <c r="I1231" s="103" t="e">
        <f>I1230-I1229</f>
        <v>#N/A</v>
      </c>
      <c r="J1231" s="103" t="e">
        <f>J1230-J1229</f>
        <v>#N/A</v>
      </c>
      <c r="K1231" s="103"/>
      <c r="L1231" s="103"/>
      <c r="M1231" s="103"/>
      <c r="N1231" s="103"/>
      <c r="O1231" s="103"/>
      <c r="P1231" s="103"/>
      <c r="Q1231" s="103"/>
      <c r="R1231" s="103"/>
      <c r="S1231" s="103"/>
    </row>
    <row r="1233" spans="1:19" ht="60" x14ac:dyDescent="0.25">
      <c r="A1233" s="26" t="s">
        <v>63</v>
      </c>
      <c r="B1233" s="26" t="s">
        <v>93</v>
      </c>
      <c r="C1233" s="26" t="s">
        <v>94</v>
      </c>
      <c r="D1233" s="97" t="str">
        <f>FoodDB!$C$1</f>
        <v>Fat
(g)</v>
      </c>
      <c r="E1233" s="97" t="str">
        <f>FoodDB!$D$1</f>
        <v xml:space="preserve"> Carbs
(g)</v>
      </c>
      <c r="F1233" s="97" t="str">
        <f>FoodDB!$E$1</f>
        <v>Protein
(g)</v>
      </c>
      <c r="G1233" s="97" t="str">
        <f>FoodDB!$F$1</f>
        <v>Fat
(Cal)</v>
      </c>
      <c r="H1233" s="97" t="str">
        <f>FoodDB!$G$1</f>
        <v>Carb
(Cal)</v>
      </c>
      <c r="I1233" s="97" t="str">
        <f>FoodDB!$H$1</f>
        <v>Protein
(Cal)</v>
      </c>
      <c r="J1233" s="97" t="str">
        <f>FoodDB!$I$1</f>
        <v>Total
Calories</v>
      </c>
      <c r="K1233" s="97"/>
      <c r="L1233" s="97" t="s">
        <v>110</v>
      </c>
      <c r="M1233" s="97" t="s">
        <v>111</v>
      </c>
      <c r="N1233" s="97" t="s">
        <v>112</v>
      </c>
      <c r="O1233" s="97" t="s">
        <v>113</v>
      </c>
      <c r="P1233" s="97" t="s">
        <v>118</v>
      </c>
      <c r="Q1233" s="97" t="s">
        <v>119</v>
      </c>
      <c r="R1233" s="97" t="s">
        <v>120</v>
      </c>
      <c r="S1233" s="97" t="s">
        <v>121</v>
      </c>
    </row>
    <row r="1234" spans="1:19" x14ac:dyDescent="0.25">
      <c r="A1234" s="98">
        <f>A1222+1</f>
        <v>43096</v>
      </c>
      <c r="B1234" s="99" t="s">
        <v>108</v>
      </c>
      <c r="C1234" s="100">
        <v>1</v>
      </c>
      <c r="D1234" s="103">
        <f>$C1234*VLOOKUP($B1234,FoodDB!$A$2:$I$1018,3,0)</f>
        <v>0</v>
      </c>
      <c r="E1234" s="103">
        <f>$C1234*VLOOKUP($B1234,FoodDB!$A$2:$I$1018,4,0)</f>
        <v>0</v>
      </c>
      <c r="F1234" s="103">
        <f>$C1234*VLOOKUP($B1234,FoodDB!$A$2:$I$1018,5,0)</f>
        <v>0</v>
      </c>
      <c r="G1234" s="103">
        <f>$C1234*VLOOKUP($B1234,FoodDB!$A$2:$I$1018,6,0)</f>
        <v>0</v>
      </c>
      <c r="H1234" s="103">
        <f>$C1234*VLOOKUP($B1234,FoodDB!$A$2:$I$1018,7,0)</f>
        <v>0</v>
      </c>
      <c r="I1234" s="103">
        <f>$C1234*VLOOKUP($B1234,FoodDB!$A$2:$I$1018,8,0)</f>
        <v>0</v>
      </c>
      <c r="J1234" s="103">
        <f>$C1234*VLOOKUP($B1234,FoodDB!$A$2:$I$1018,9,0)</f>
        <v>0</v>
      </c>
      <c r="K1234" s="103"/>
      <c r="L1234" s="103">
        <f>SUM(G1234:G1240)</f>
        <v>0</v>
      </c>
      <c r="M1234" s="103">
        <f>SUM(H1234:H1240)</f>
        <v>0</v>
      </c>
      <c r="N1234" s="103">
        <f>SUM(I1234:I1240)</f>
        <v>0</v>
      </c>
      <c r="O1234" s="103">
        <f>SUM(L1234:N1234)</f>
        <v>0</v>
      </c>
      <c r="P1234" s="103">
        <f>VLOOKUP($A1234,LossChart!$A$3:$AB$999,14,0)-L1234</f>
        <v>851.49937241040129</v>
      </c>
      <c r="Q1234" s="103">
        <f>VLOOKUP($A1234,LossChart!$A$3:$AB$999,15,0)-M1234</f>
        <v>116</v>
      </c>
      <c r="R1234" s="103">
        <f>VLOOKUP($A1234,LossChart!$A$3:$AB$999,16,0)-N1234</f>
        <v>477.30407413615825</v>
      </c>
      <c r="S1234" s="103">
        <f>VLOOKUP($A1234,LossChart!$A$3:$AB$999,17,0)-O1234</f>
        <v>1444.8034465465596</v>
      </c>
    </row>
    <row r="1235" spans="1:19" x14ac:dyDescent="0.25">
      <c r="B1235" s="99" t="s">
        <v>108</v>
      </c>
      <c r="C1235" s="100">
        <v>1</v>
      </c>
      <c r="D1235" s="103">
        <f>$C1235*VLOOKUP($B1235,FoodDB!$A$2:$I$1018,3,0)</f>
        <v>0</v>
      </c>
      <c r="E1235" s="103">
        <f>$C1235*VLOOKUP($B1235,FoodDB!$A$2:$I$1018,4,0)</f>
        <v>0</v>
      </c>
      <c r="F1235" s="103">
        <f>$C1235*VLOOKUP($B1235,FoodDB!$A$2:$I$1018,5,0)</f>
        <v>0</v>
      </c>
      <c r="G1235" s="103">
        <f>$C1235*VLOOKUP($B1235,FoodDB!$A$2:$I$1018,6,0)</f>
        <v>0</v>
      </c>
      <c r="H1235" s="103">
        <f>$C1235*VLOOKUP($B1235,FoodDB!$A$2:$I$1018,7,0)</f>
        <v>0</v>
      </c>
      <c r="I1235" s="103">
        <f>$C1235*VLOOKUP($B1235,FoodDB!$A$2:$I$1018,8,0)</f>
        <v>0</v>
      </c>
      <c r="J1235" s="103">
        <f>$C1235*VLOOKUP($B1235,FoodDB!$A$2:$I$1018,9,0)</f>
        <v>0</v>
      </c>
      <c r="K1235" s="103"/>
      <c r="L1235" s="103"/>
      <c r="M1235" s="103"/>
      <c r="N1235" s="103"/>
      <c r="O1235" s="103"/>
      <c r="P1235" s="103"/>
      <c r="Q1235" s="103"/>
      <c r="R1235" s="103"/>
      <c r="S1235" s="103"/>
    </row>
    <row r="1236" spans="1:19" x14ac:dyDescent="0.25">
      <c r="B1236" s="99" t="s">
        <v>108</v>
      </c>
      <c r="C1236" s="100">
        <v>1</v>
      </c>
      <c r="D1236" s="103">
        <f>$C1236*VLOOKUP($B1236,FoodDB!$A$2:$I$1018,3,0)</f>
        <v>0</v>
      </c>
      <c r="E1236" s="103">
        <f>$C1236*VLOOKUP($B1236,FoodDB!$A$2:$I$1018,4,0)</f>
        <v>0</v>
      </c>
      <c r="F1236" s="103">
        <f>$C1236*VLOOKUP($B1236,FoodDB!$A$2:$I$1018,5,0)</f>
        <v>0</v>
      </c>
      <c r="G1236" s="103">
        <f>$C1236*VLOOKUP($B1236,FoodDB!$A$2:$I$1018,6,0)</f>
        <v>0</v>
      </c>
      <c r="H1236" s="103">
        <f>$C1236*VLOOKUP($B1236,FoodDB!$A$2:$I$1018,7,0)</f>
        <v>0</v>
      </c>
      <c r="I1236" s="103">
        <f>$C1236*VLOOKUP($B1236,FoodDB!$A$2:$I$1018,8,0)</f>
        <v>0</v>
      </c>
      <c r="J1236" s="103">
        <f>$C1236*VLOOKUP($B1236,FoodDB!$A$2:$I$1018,9,0)</f>
        <v>0</v>
      </c>
      <c r="K1236" s="103"/>
      <c r="L1236" s="103"/>
      <c r="M1236" s="103"/>
      <c r="N1236" s="103"/>
      <c r="O1236" s="103"/>
      <c r="P1236" s="103"/>
      <c r="Q1236" s="103"/>
      <c r="R1236" s="103"/>
      <c r="S1236" s="103"/>
    </row>
    <row r="1237" spans="1:19" x14ac:dyDescent="0.25">
      <c r="B1237" s="99" t="s">
        <v>108</v>
      </c>
      <c r="C1237" s="100">
        <v>1</v>
      </c>
      <c r="D1237" s="103">
        <f>$C1237*VLOOKUP($B1237,FoodDB!$A$2:$I$1018,3,0)</f>
        <v>0</v>
      </c>
      <c r="E1237" s="103">
        <f>$C1237*VLOOKUP($B1237,FoodDB!$A$2:$I$1018,4,0)</f>
        <v>0</v>
      </c>
      <c r="F1237" s="103">
        <f>$C1237*VLOOKUP($B1237,FoodDB!$A$2:$I$1018,5,0)</f>
        <v>0</v>
      </c>
      <c r="G1237" s="103">
        <f>$C1237*VLOOKUP($B1237,FoodDB!$A$2:$I$1018,6,0)</f>
        <v>0</v>
      </c>
      <c r="H1237" s="103">
        <f>$C1237*VLOOKUP($B1237,FoodDB!$A$2:$I$1018,7,0)</f>
        <v>0</v>
      </c>
      <c r="I1237" s="103">
        <f>$C1237*VLOOKUP($B1237,FoodDB!$A$2:$I$1018,8,0)</f>
        <v>0</v>
      </c>
      <c r="J1237" s="103">
        <f>$C1237*VLOOKUP($B1237,FoodDB!$A$2:$I$1018,9,0)</f>
        <v>0</v>
      </c>
      <c r="K1237" s="103"/>
      <c r="L1237" s="103"/>
      <c r="M1237" s="103"/>
      <c r="N1237" s="103"/>
      <c r="O1237" s="103"/>
      <c r="P1237" s="103"/>
      <c r="Q1237" s="103"/>
      <c r="R1237" s="103"/>
      <c r="S1237" s="103"/>
    </row>
    <row r="1238" spans="1:19" x14ac:dyDescent="0.25">
      <c r="B1238" s="99" t="s">
        <v>108</v>
      </c>
      <c r="C1238" s="100">
        <v>1</v>
      </c>
      <c r="D1238" s="103">
        <f>$C1238*VLOOKUP($B1238,FoodDB!$A$2:$I$1018,3,0)</f>
        <v>0</v>
      </c>
      <c r="E1238" s="103">
        <f>$C1238*VLOOKUP($B1238,FoodDB!$A$2:$I$1018,4,0)</f>
        <v>0</v>
      </c>
      <c r="F1238" s="103">
        <f>$C1238*VLOOKUP($B1238,FoodDB!$A$2:$I$1018,5,0)</f>
        <v>0</v>
      </c>
      <c r="G1238" s="103">
        <f>$C1238*VLOOKUP($B1238,FoodDB!$A$2:$I$1018,6,0)</f>
        <v>0</v>
      </c>
      <c r="H1238" s="103">
        <f>$C1238*VLOOKUP($B1238,FoodDB!$A$2:$I$1018,7,0)</f>
        <v>0</v>
      </c>
      <c r="I1238" s="103">
        <f>$C1238*VLOOKUP($B1238,FoodDB!$A$2:$I$1018,8,0)</f>
        <v>0</v>
      </c>
      <c r="J1238" s="103">
        <f>$C1238*VLOOKUP($B1238,FoodDB!$A$2:$I$1018,9,0)</f>
        <v>0</v>
      </c>
      <c r="K1238" s="103"/>
      <c r="L1238" s="103"/>
      <c r="M1238" s="103"/>
      <c r="N1238" s="103"/>
      <c r="O1238" s="103"/>
      <c r="P1238" s="103"/>
      <c r="Q1238" s="103"/>
      <c r="R1238" s="103"/>
      <c r="S1238" s="103"/>
    </row>
    <row r="1239" spans="1:19" x14ac:dyDescent="0.25">
      <c r="B1239" s="99" t="s">
        <v>108</v>
      </c>
      <c r="C1239" s="100">
        <v>1</v>
      </c>
      <c r="D1239" s="103">
        <f>$C1239*VLOOKUP($B1239,FoodDB!$A$2:$I$1018,3,0)</f>
        <v>0</v>
      </c>
      <c r="E1239" s="103">
        <f>$C1239*VLOOKUP($B1239,FoodDB!$A$2:$I$1018,4,0)</f>
        <v>0</v>
      </c>
      <c r="F1239" s="103">
        <f>$C1239*VLOOKUP($B1239,FoodDB!$A$2:$I$1018,5,0)</f>
        <v>0</v>
      </c>
      <c r="G1239" s="103">
        <f>$C1239*VLOOKUP($B1239,FoodDB!$A$2:$I$1018,6,0)</f>
        <v>0</v>
      </c>
      <c r="H1239" s="103">
        <f>$C1239*VLOOKUP($B1239,FoodDB!$A$2:$I$1018,7,0)</f>
        <v>0</v>
      </c>
      <c r="I1239" s="103">
        <f>$C1239*VLOOKUP($B1239,FoodDB!$A$2:$I$1018,8,0)</f>
        <v>0</v>
      </c>
      <c r="J1239" s="103">
        <f>$C1239*VLOOKUP($B1239,FoodDB!$A$2:$I$1018,9,0)</f>
        <v>0</v>
      </c>
      <c r="K1239" s="103"/>
      <c r="L1239" s="103"/>
      <c r="M1239" s="103"/>
      <c r="N1239" s="103"/>
      <c r="O1239" s="103"/>
      <c r="P1239" s="103"/>
      <c r="Q1239" s="103"/>
      <c r="R1239" s="103"/>
      <c r="S1239" s="103"/>
    </row>
    <row r="1240" spans="1:19" x14ac:dyDescent="0.25">
      <c r="B1240" s="99" t="s">
        <v>108</v>
      </c>
      <c r="C1240" s="100">
        <v>1</v>
      </c>
      <c r="D1240" s="103">
        <f>$C1240*VLOOKUP($B1240,FoodDB!$A$2:$I$1018,3,0)</f>
        <v>0</v>
      </c>
      <c r="E1240" s="103">
        <f>$C1240*VLOOKUP($B1240,FoodDB!$A$2:$I$1018,4,0)</f>
        <v>0</v>
      </c>
      <c r="F1240" s="103">
        <f>$C1240*VLOOKUP($B1240,FoodDB!$A$2:$I$1018,5,0)</f>
        <v>0</v>
      </c>
      <c r="G1240" s="103">
        <f>$C1240*VLOOKUP($B1240,FoodDB!$A$2:$I$1018,6,0)</f>
        <v>0</v>
      </c>
      <c r="H1240" s="103">
        <f>$C1240*VLOOKUP($B1240,FoodDB!$A$2:$I$1018,7,0)</f>
        <v>0</v>
      </c>
      <c r="I1240" s="103">
        <f>$C1240*VLOOKUP($B1240,FoodDB!$A$2:$I$1018,8,0)</f>
        <v>0</v>
      </c>
      <c r="J1240" s="103">
        <f>$C1240*VLOOKUP($B1240,FoodDB!$A$2:$I$1018,9,0)</f>
        <v>0</v>
      </c>
      <c r="K1240" s="103"/>
      <c r="L1240" s="103"/>
      <c r="M1240" s="103"/>
      <c r="N1240" s="103"/>
      <c r="O1240" s="103"/>
      <c r="P1240" s="103"/>
      <c r="Q1240" s="103"/>
      <c r="R1240" s="103"/>
      <c r="S1240" s="103"/>
    </row>
    <row r="1241" spans="1:19" x14ac:dyDescent="0.25">
      <c r="A1241" t="s">
        <v>98</v>
      </c>
      <c r="D1241" s="103"/>
      <c r="E1241" s="103"/>
      <c r="F1241" s="103"/>
      <c r="G1241" s="103">
        <f>SUM(G1234:G1240)</f>
        <v>0</v>
      </c>
      <c r="H1241" s="103">
        <f>SUM(H1234:H1240)</f>
        <v>0</v>
      </c>
      <c r="I1241" s="103">
        <f>SUM(I1234:I1240)</f>
        <v>0</v>
      </c>
      <c r="J1241" s="103">
        <f>SUM(G1241:I1241)</f>
        <v>0</v>
      </c>
      <c r="K1241" s="103"/>
      <c r="L1241" s="103"/>
      <c r="M1241" s="103"/>
      <c r="N1241" s="103"/>
      <c r="O1241" s="103"/>
      <c r="P1241" s="103"/>
      <c r="Q1241" s="103"/>
      <c r="R1241" s="103"/>
      <c r="S1241" s="103"/>
    </row>
    <row r="1242" spans="1:19" x14ac:dyDescent="0.25">
      <c r="A1242" t="s">
        <v>102</v>
      </c>
      <c r="B1242" t="s">
        <v>103</v>
      </c>
      <c r="D1242" s="103"/>
      <c r="E1242" s="103"/>
      <c r="F1242" s="103"/>
      <c r="G1242" s="103" t="e">
        <f>VLOOKUP($A1234,LossChart!$A$3:$AB$105,14,0)</f>
        <v>#N/A</v>
      </c>
      <c r="H1242" s="103" t="e">
        <f>VLOOKUP($A1234,LossChart!$A$3:$AB$105,15,0)</f>
        <v>#N/A</v>
      </c>
      <c r="I1242" s="103" t="e">
        <f>VLOOKUP($A1234,LossChart!$A$3:$AB$105,16,0)</f>
        <v>#N/A</v>
      </c>
      <c r="J1242" s="103" t="e">
        <f>VLOOKUP($A1234,LossChart!$A$3:$AB$105,17,0)</f>
        <v>#N/A</v>
      </c>
      <c r="K1242" s="103"/>
      <c r="L1242" s="103"/>
      <c r="M1242" s="103"/>
      <c r="N1242" s="103"/>
      <c r="O1242" s="103"/>
      <c r="P1242" s="103"/>
      <c r="Q1242" s="103"/>
      <c r="R1242" s="103"/>
      <c r="S1242" s="103"/>
    </row>
    <row r="1243" spans="1:19" x14ac:dyDescent="0.25">
      <c r="A1243" t="s">
        <v>104</v>
      </c>
      <c r="D1243" s="103"/>
      <c r="E1243" s="103"/>
      <c r="F1243" s="103"/>
      <c r="G1243" s="103" t="e">
        <f>G1242-G1241</f>
        <v>#N/A</v>
      </c>
      <c r="H1243" s="103" t="e">
        <f>H1242-H1241</f>
        <v>#N/A</v>
      </c>
      <c r="I1243" s="103" t="e">
        <f>I1242-I1241</f>
        <v>#N/A</v>
      </c>
      <c r="J1243" s="103" t="e">
        <f>J1242-J1241</f>
        <v>#N/A</v>
      </c>
      <c r="K1243" s="103"/>
      <c r="L1243" s="103"/>
      <c r="M1243" s="103"/>
      <c r="N1243" s="103"/>
      <c r="O1243" s="103"/>
      <c r="P1243" s="103"/>
      <c r="Q1243" s="103"/>
      <c r="R1243" s="103"/>
      <c r="S1243" s="103"/>
    </row>
    <row r="1245" spans="1:19" ht="60" x14ac:dyDescent="0.25">
      <c r="A1245" s="26" t="s">
        <v>63</v>
      </c>
      <c r="B1245" s="26" t="s">
        <v>93</v>
      </c>
      <c r="C1245" s="26" t="s">
        <v>94</v>
      </c>
      <c r="D1245" s="97" t="str">
        <f>FoodDB!$C$1</f>
        <v>Fat
(g)</v>
      </c>
      <c r="E1245" s="97" t="str">
        <f>FoodDB!$D$1</f>
        <v xml:space="preserve"> Carbs
(g)</v>
      </c>
      <c r="F1245" s="97" t="str">
        <f>FoodDB!$E$1</f>
        <v>Protein
(g)</v>
      </c>
      <c r="G1245" s="97" t="str">
        <f>FoodDB!$F$1</f>
        <v>Fat
(Cal)</v>
      </c>
      <c r="H1245" s="97" t="str">
        <f>FoodDB!$G$1</f>
        <v>Carb
(Cal)</v>
      </c>
      <c r="I1245" s="97" t="str">
        <f>FoodDB!$H$1</f>
        <v>Protein
(Cal)</v>
      </c>
      <c r="J1245" s="97" t="str">
        <f>FoodDB!$I$1</f>
        <v>Total
Calories</v>
      </c>
      <c r="K1245" s="97"/>
      <c r="L1245" s="97" t="s">
        <v>110</v>
      </c>
      <c r="M1245" s="97" t="s">
        <v>111</v>
      </c>
      <c r="N1245" s="97" t="s">
        <v>112</v>
      </c>
      <c r="O1245" s="97" t="s">
        <v>113</v>
      </c>
      <c r="P1245" s="97" t="s">
        <v>118</v>
      </c>
      <c r="Q1245" s="97" t="s">
        <v>119</v>
      </c>
      <c r="R1245" s="97" t="s">
        <v>120</v>
      </c>
      <c r="S1245" s="97" t="s">
        <v>121</v>
      </c>
    </row>
    <row r="1246" spans="1:19" x14ac:dyDescent="0.25">
      <c r="A1246" s="98">
        <f>A1234+1</f>
        <v>43097</v>
      </c>
      <c r="B1246" s="99" t="s">
        <v>108</v>
      </c>
      <c r="C1246" s="100">
        <v>1</v>
      </c>
      <c r="D1246" s="103">
        <f>$C1246*VLOOKUP($B1246,FoodDB!$A$2:$I$1018,3,0)</f>
        <v>0</v>
      </c>
      <c r="E1246" s="103">
        <f>$C1246*VLOOKUP($B1246,FoodDB!$A$2:$I$1018,4,0)</f>
        <v>0</v>
      </c>
      <c r="F1246" s="103">
        <f>$C1246*VLOOKUP($B1246,FoodDB!$A$2:$I$1018,5,0)</f>
        <v>0</v>
      </c>
      <c r="G1246" s="103">
        <f>$C1246*VLOOKUP($B1246,FoodDB!$A$2:$I$1018,6,0)</f>
        <v>0</v>
      </c>
      <c r="H1246" s="103">
        <f>$C1246*VLOOKUP($B1246,FoodDB!$A$2:$I$1018,7,0)</f>
        <v>0</v>
      </c>
      <c r="I1246" s="103">
        <f>$C1246*VLOOKUP($B1246,FoodDB!$A$2:$I$1018,8,0)</f>
        <v>0</v>
      </c>
      <c r="J1246" s="103">
        <f>$C1246*VLOOKUP($B1246,FoodDB!$A$2:$I$1018,9,0)</f>
        <v>0</v>
      </c>
      <c r="K1246" s="103"/>
      <c r="L1246" s="103">
        <f>SUM(G1246:G1252)</f>
        <v>0</v>
      </c>
      <c r="M1246" s="103">
        <f>SUM(H1246:H1252)</f>
        <v>0</v>
      </c>
      <c r="N1246" s="103">
        <f>SUM(I1246:I1252)</f>
        <v>0</v>
      </c>
      <c r="O1246" s="103">
        <f>SUM(L1246:N1246)</f>
        <v>0</v>
      </c>
      <c r="P1246" s="103">
        <f>VLOOKUP($A1246,LossChart!$A$3:$AB$999,14,0)-L1246</f>
        <v>855.14111117826633</v>
      </c>
      <c r="Q1246" s="103">
        <f>VLOOKUP($A1246,LossChart!$A$3:$AB$999,15,0)-M1246</f>
        <v>116</v>
      </c>
      <c r="R1246" s="103">
        <f>VLOOKUP($A1246,LossChart!$A$3:$AB$999,16,0)-N1246</f>
        <v>477.30407413615825</v>
      </c>
      <c r="S1246" s="103">
        <f>VLOOKUP($A1246,LossChart!$A$3:$AB$999,17,0)-O1246</f>
        <v>1448.4451853144246</v>
      </c>
    </row>
    <row r="1247" spans="1:19" x14ac:dyDescent="0.25">
      <c r="B1247" s="99" t="s">
        <v>108</v>
      </c>
      <c r="C1247" s="100">
        <v>1</v>
      </c>
      <c r="D1247" s="103">
        <f>$C1247*VLOOKUP($B1247,FoodDB!$A$2:$I$1018,3,0)</f>
        <v>0</v>
      </c>
      <c r="E1247" s="103">
        <f>$C1247*VLOOKUP($B1247,FoodDB!$A$2:$I$1018,4,0)</f>
        <v>0</v>
      </c>
      <c r="F1247" s="103">
        <f>$C1247*VLOOKUP($B1247,FoodDB!$A$2:$I$1018,5,0)</f>
        <v>0</v>
      </c>
      <c r="G1247" s="103">
        <f>$C1247*VLOOKUP($B1247,FoodDB!$A$2:$I$1018,6,0)</f>
        <v>0</v>
      </c>
      <c r="H1247" s="103">
        <f>$C1247*VLOOKUP($B1247,FoodDB!$A$2:$I$1018,7,0)</f>
        <v>0</v>
      </c>
      <c r="I1247" s="103">
        <f>$C1247*VLOOKUP($B1247,FoodDB!$A$2:$I$1018,8,0)</f>
        <v>0</v>
      </c>
      <c r="J1247" s="103">
        <f>$C1247*VLOOKUP($B1247,FoodDB!$A$2:$I$1018,9,0)</f>
        <v>0</v>
      </c>
      <c r="K1247" s="103"/>
      <c r="L1247" s="103"/>
      <c r="M1247" s="103"/>
      <c r="N1247" s="103"/>
      <c r="O1247" s="103"/>
      <c r="P1247" s="103"/>
      <c r="Q1247" s="103"/>
      <c r="R1247" s="103"/>
      <c r="S1247" s="103"/>
    </row>
    <row r="1248" spans="1:19" x14ac:dyDescent="0.25">
      <c r="B1248" s="99" t="s">
        <v>108</v>
      </c>
      <c r="C1248" s="100">
        <v>1</v>
      </c>
      <c r="D1248" s="103">
        <f>$C1248*VLOOKUP($B1248,FoodDB!$A$2:$I$1018,3,0)</f>
        <v>0</v>
      </c>
      <c r="E1248" s="103">
        <f>$C1248*VLOOKUP($B1248,FoodDB!$A$2:$I$1018,4,0)</f>
        <v>0</v>
      </c>
      <c r="F1248" s="103">
        <f>$C1248*VLOOKUP($B1248,FoodDB!$A$2:$I$1018,5,0)</f>
        <v>0</v>
      </c>
      <c r="G1248" s="103">
        <f>$C1248*VLOOKUP($B1248,FoodDB!$A$2:$I$1018,6,0)</f>
        <v>0</v>
      </c>
      <c r="H1248" s="103">
        <f>$C1248*VLOOKUP($B1248,FoodDB!$A$2:$I$1018,7,0)</f>
        <v>0</v>
      </c>
      <c r="I1248" s="103">
        <f>$C1248*VLOOKUP($B1248,FoodDB!$A$2:$I$1018,8,0)</f>
        <v>0</v>
      </c>
      <c r="J1248" s="103">
        <f>$C1248*VLOOKUP($B1248,FoodDB!$A$2:$I$1018,9,0)</f>
        <v>0</v>
      </c>
      <c r="K1248" s="103"/>
      <c r="L1248" s="103"/>
      <c r="M1248" s="103"/>
      <c r="N1248" s="103"/>
      <c r="O1248" s="103"/>
      <c r="P1248" s="103"/>
      <c r="Q1248" s="103"/>
      <c r="R1248" s="103"/>
      <c r="S1248" s="103"/>
    </row>
    <row r="1249" spans="1:19" x14ac:dyDescent="0.25">
      <c r="B1249" s="99" t="s">
        <v>108</v>
      </c>
      <c r="C1249" s="100">
        <v>1</v>
      </c>
      <c r="D1249" s="103">
        <f>$C1249*VLOOKUP($B1249,FoodDB!$A$2:$I$1018,3,0)</f>
        <v>0</v>
      </c>
      <c r="E1249" s="103">
        <f>$C1249*VLOOKUP($B1249,FoodDB!$A$2:$I$1018,4,0)</f>
        <v>0</v>
      </c>
      <c r="F1249" s="103">
        <f>$C1249*VLOOKUP($B1249,FoodDB!$A$2:$I$1018,5,0)</f>
        <v>0</v>
      </c>
      <c r="G1249" s="103">
        <f>$C1249*VLOOKUP($B1249,FoodDB!$A$2:$I$1018,6,0)</f>
        <v>0</v>
      </c>
      <c r="H1249" s="103">
        <f>$C1249*VLOOKUP($B1249,FoodDB!$A$2:$I$1018,7,0)</f>
        <v>0</v>
      </c>
      <c r="I1249" s="103">
        <f>$C1249*VLOOKUP($B1249,FoodDB!$A$2:$I$1018,8,0)</f>
        <v>0</v>
      </c>
      <c r="J1249" s="103">
        <f>$C1249*VLOOKUP($B1249,FoodDB!$A$2:$I$1018,9,0)</f>
        <v>0</v>
      </c>
      <c r="K1249" s="103"/>
      <c r="L1249" s="103"/>
      <c r="M1249" s="103"/>
      <c r="N1249" s="103"/>
      <c r="O1249" s="103"/>
      <c r="P1249" s="103"/>
      <c r="Q1249" s="103"/>
      <c r="R1249" s="103"/>
      <c r="S1249" s="103"/>
    </row>
    <row r="1250" spans="1:19" x14ac:dyDescent="0.25">
      <c r="B1250" s="99" t="s">
        <v>108</v>
      </c>
      <c r="C1250" s="100">
        <v>1</v>
      </c>
      <c r="D1250" s="103">
        <f>$C1250*VLOOKUP($B1250,FoodDB!$A$2:$I$1018,3,0)</f>
        <v>0</v>
      </c>
      <c r="E1250" s="103">
        <f>$C1250*VLOOKUP($B1250,FoodDB!$A$2:$I$1018,4,0)</f>
        <v>0</v>
      </c>
      <c r="F1250" s="103">
        <f>$C1250*VLOOKUP($B1250,FoodDB!$A$2:$I$1018,5,0)</f>
        <v>0</v>
      </c>
      <c r="G1250" s="103">
        <f>$C1250*VLOOKUP($B1250,FoodDB!$A$2:$I$1018,6,0)</f>
        <v>0</v>
      </c>
      <c r="H1250" s="103">
        <f>$C1250*VLOOKUP($B1250,FoodDB!$A$2:$I$1018,7,0)</f>
        <v>0</v>
      </c>
      <c r="I1250" s="103">
        <f>$C1250*VLOOKUP($B1250,FoodDB!$A$2:$I$1018,8,0)</f>
        <v>0</v>
      </c>
      <c r="J1250" s="103">
        <f>$C1250*VLOOKUP($B1250,FoodDB!$A$2:$I$1018,9,0)</f>
        <v>0</v>
      </c>
      <c r="K1250" s="103"/>
      <c r="L1250" s="103"/>
      <c r="M1250" s="103"/>
      <c r="N1250" s="103"/>
      <c r="O1250" s="103"/>
      <c r="P1250" s="103"/>
      <c r="Q1250" s="103"/>
      <c r="R1250" s="103"/>
      <c r="S1250" s="103"/>
    </row>
    <row r="1251" spans="1:19" x14ac:dyDescent="0.25">
      <c r="B1251" s="99" t="s">
        <v>108</v>
      </c>
      <c r="C1251" s="100">
        <v>1</v>
      </c>
      <c r="D1251" s="103">
        <f>$C1251*VLOOKUP($B1251,FoodDB!$A$2:$I$1018,3,0)</f>
        <v>0</v>
      </c>
      <c r="E1251" s="103">
        <f>$C1251*VLOOKUP($B1251,FoodDB!$A$2:$I$1018,4,0)</f>
        <v>0</v>
      </c>
      <c r="F1251" s="103">
        <f>$C1251*VLOOKUP($B1251,FoodDB!$A$2:$I$1018,5,0)</f>
        <v>0</v>
      </c>
      <c r="G1251" s="103">
        <f>$C1251*VLOOKUP($B1251,FoodDB!$A$2:$I$1018,6,0)</f>
        <v>0</v>
      </c>
      <c r="H1251" s="103">
        <f>$C1251*VLOOKUP($B1251,FoodDB!$A$2:$I$1018,7,0)</f>
        <v>0</v>
      </c>
      <c r="I1251" s="103">
        <f>$C1251*VLOOKUP($B1251,FoodDB!$A$2:$I$1018,8,0)</f>
        <v>0</v>
      </c>
      <c r="J1251" s="103">
        <f>$C1251*VLOOKUP($B1251,FoodDB!$A$2:$I$1018,9,0)</f>
        <v>0</v>
      </c>
      <c r="K1251" s="103"/>
      <c r="L1251" s="103"/>
      <c r="M1251" s="103"/>
      <c r="N1251" s="103"/>
      <c r="O1251" s="103"/>
      <c r="P1251" s="103"/>
      <c r="Q1251" s="103"/>
      <c r="R1251" s="103"/>
      <c r="S1251" s="103"/>
    </row>
    <row r="1252" spans="1:19" x14ac:dyDescent="0.25">
      <c r="B1252" s="99" t="s">
        <v>108</v>
      </c>
      <c r="C1252" s="100">
        <v>1</v>
      </c>
      <c r="D1252" s="103">
        <f>$C1252*VLOOKUP($B1252,FoodDB!$A$2:$I$1018,3,0)</f>
        <v>0</v>
      </c>
      <c r="E1252" s="103">
        <f>$C1252*VLOOKUP($B1252,FoodDB!$A$2:$I$1018,4,0)</f>
        <v>0</v>
      </c>
      <c r="F1252" s="103">
        <f>$C1252*VLOOKUP($B1252,FoodDB!$A$2:$I$1018,5,0)</f>
        <v>0</v>
      </c>
      <c r="G1252" s="103">
        <f>$C1252*VLOOKUP($B1252,FoodDB!$A$2:$I$1018,6,0)</f>
        <v>0</v>
      </c>
      <c r="H1252" s="103">
        <f>$C1252*VLOOKUP($B1252,FoodDB!$A$2:$I$1018,7,0)</f>
        <v>0</v>
      </c>
      <c r="I1252" s="103">
        <f>$C1252*VLOOKUP($B1252,FoodDB!$A$2:$I$1018,8,0)</f>
        <v>0</v>
      </c>
      <c r="J1252" s="103">
        <f>$C1252*VLOOKUP($B1252,FoodDB!$A$2:$I$1018,9,0)</f>
        <v>0</v>
      </c>
      <c r="K1252" s="103"/>
      <c r="L1252" s="103"/>
      <c r="M1252" s="103"/>
      <c r="N1252" s="103"/>
      <c r="O1252" s="103"/>
      <c r="P1252" s="103"/>
      <c r="Q1252" s="103"/>
      <c r="R1252" s="103"/>
      <c r="S1252" s="103"/>
    </row>
    <row r="1253" spans="1:19" x14ac:dyDescent="0.25">
      <c r="A1253" t="s">
        <v>98</v>
      </c>
      <c r="D1253" s="103"/>
      <c r="E1253" s="103"/>
      <c r="F1253" s="103"/>
      <c r="G1253" s="103">
        <f>SUM(G1246:G1252)</f>
        <v>0</v>
      </c>
      <c r="H1253" s="103">
        <f>SUM(H1246:H1252)</f>
        <v>0</v>
      </c>
      <c r="I1253" s="103">
        <f>SUM(I1246:I1252)</f>
        <v>0</v>
      </c>
      <c r="J1253" s="103">
        <f>SUM(G1253:I1253)</f>
        <v>0</v>
      </c>
      <c r="K1253" s="103"/>
      <c r="L1253" s="103"/>
      <c r="M1253" s="103"/>
      <c r="N1253" s="103"/>
      <c r="O1253" s="103"/>
      <c r="P1253" s="103"/>
      <c r="Q1253" s="103"/>
      <c r="R1253" s="103"/>
      <c r="S1253" s="103"/>
    </row>
    <row r="1254" spans="1:19" x14ac:dyDescent="0.25">
      <c r="A1254" t="s">
        <v>102</v>
      </c>
      <c r="B1254" t="s">
        <v>103</v>
      </c>
      <c r="D1254" s="103"/>
      <c r="E1254" s="103"/>
      <c r="F1254" s="103"/>
      <c r="G1254" s="103" t="e">
        <f>VLOOKUP($A1246,LossChart!$A$3:$AB$105,14,0)</f>
        <v>#N/A</v>
      </c>
      <c r="H1254" s="103" t="e">
        <f>VLOOKUP($A1246,LossChart!$A$3:$AB$105,15,0)</f>
        <v>#N/A</v>
      </c>
      <c r="I1254" s="103" t="e">
        <f>VLOOKUP($A1246,LossChart!$A$3:$AB$105,16,0)</f>
        <v>#N/A</v>
      </c>
      <c r="J1254" s="103" t="e">
        <f>VLOOKUP($A1246,LossChart!$A$3:$AB$105,17,0)</f>
        <v>#N/A</v>
      </c>
      <c r="K1254" s="103"/>
      <c r="L1254" s="103"/>
      <c r="M1254" s="103"/>
      <c r="N1254" s="103"/>
      <c r="O1254" s="103"/>
      <c r="P1254" s="103"/>
      <c r="Q1254" s="103"/>
      <c r="R1254" s="103"/>
      <c r="S1254" s="103"/>
    </row>
    <row r="1255" spans="1:19" x14ac:dyDescent="0.25">
      <c r="A1255" t="s">
        <v>104</v>
      </c>
      <c r="D1255" s="103"/>
      <c r="E1255" s="103"/>
      <c r="F1255" s="103"/>
      <c r="G1255" s="103" t="e">
        <f>G1254-G1253</f>
        <v>#N/A</v>
      </c>
      <c r="H1255" s="103" t="e">
        <f>H1254-H1253</f>
        <v>#N/A</v>
      </c>
      <c r="I1255" s="103" t="e">
        <f>I1254-I1253</f>
        <v>#N/A</v>
      </c>
      <c r="J1255" s="103" t="e">
        <f>J1254-J1253</f>
        <v>#N/A</v>
      </c>
      <c r="K1255" s="103"/>
      <c r="L1255" s="103"/>
      <c r="M1255" s="103"/>
      <c r="N1255" s="103"/>
      <c r="O1255" s="103"/>
      <c r="P1255" s="103"/>
      <c r="Q1255" s="103"/>
      <c r="R1255" s="103"/>
      <c r="S1255" s="103"/>
    </row>
    <row r="1257" spans="1:19" ht="60" x14ac:dyDescent="0.25">
      <c r="A1257" s="26" t="s">
        <v>63</v>
      </c>
      <c r="B1257" s="26" t="s">
        <v>93</v>
      </c>
      <c r="C1257" s="26" t="s">
        <v>94</v>
      </c>
      <c r="D1257" s="97" t="str">
        <f>FoodDB!$C$1</f>
        <v>Fat
(g)</v>
      </c>
      <c r="E1257" s="97" t="str">
        <f>FoodDB!$D$1</f>
        <v xml:space="preserve"> Carbs
(g)</v>
      </c>
      <c r="F1257" s="97" t="str">
        <f>FoodDB!$E$1</f>
        <v>Protein
(g)</v>
      </c>
      <c r="G1257" s="97" t="str">
        <f>FoodDB!$F$1</f>
        <v>Fat
(Cal)</v>
      </c>
      <c r="H1257" s="97" t="str">
        <f>FoodDB!$G$1</f>
        <v>Carb
(Cal)</v>
      </c>
      <c r="I1257" s="97" t="str">
        <f>FoodDB!$H$1</f>
        <v>Protein
(Cal)</v>
      </c>
      <c r="J1257" s="97" t="str">
        <f>FoodDB!$I$1</f>
        <v>Total
Calories</v>
      </c>
      <c r="K1257" s="97"/>
      <c r="L1257" s="97" t="s">
        <v>110</v>
      </c>
      <c r="M1257" s="97" t="s">
        <v>111</v>
      </c>
      <c r="N1257" s="97" t="s">
        <v>112</v>
      </c>
      <c r="O1257" s="97" t="s">
        <v>113</v>
      </c>
      <c r="P1257" s="97" t="s">
        <v>118</v>
      </c>
      <c r="Q1257" s="97" t="s">
        <v>119</v>
      </c>
      <c r="R1257" s="97" t="s">
        <v>120</v>
      </c>
      <c r="S1257" s="97" t="s">
        <v>121</v>
      </c>
    </row>
    <row r="1258" spans="1:19" x14ac:dyDescent="0.25">
      <c r="A1258" s="98">
        <f>A1246+1</f>
        <v>43098</v>
      </c>
      <c r="B1258" s="99" t="s">
        <v>108</v>
      </c>
      <c r="C1258" s="100">
        <v>1</v>
      </c>
      <c r="D1258" s="103">
        <f>$C1258*VLOOKUP($B1258,FoodDB!$A$2:$I$1018,3,0)</f>
        <v>0</v>
      </c>
      <c r="E1258" s="103">
        <f>$C1258*VLOOKUP($B1258,FoodDB!$A$2:$I$1018,4,0)</f>
        <v>0</v>
      </c>
      <c r="F1258" s="103">
        <f>$C1258*VLOOKUP($B1258,FoodDB!$A$2:$I$1018,5,0)</f>
        <v>0</v>
      </c>
      <c r="G1258" s="103">
        <f>$C1258*VLOOKUP($B1258,FoodDB!$A$2:$I$1018,6,0)</f>
        <v>0</v>
      </c>
      <c r="H1258" s="103">
        <f>$C1258*VLOOKUP($B1258,FoodDB!$A$2:$I$1018,7,0)</f>
        <v>0</v>
      </c>
      <c r="I1258" s="103">
        <f>$C1258*VLOOKUP($B1258,FoodDB!$A$2:$I$1018,8,0)</f>
        <v>0</v>
      </c>
      <c r="J1258" s="103">
        <f>$C1258*VLOOKUP($B1258,FoodDB!$A$2:$I$1018,9,0)</f>
        <v>0</v>
      </c>
      <c r="K1258" s="103"/>
      <c r="L1258" s="103">
        <f>SUM(G1258:G1264)</f>
        <v>0</v>
      </c>
      <c r="M1258" s="103">
        <f>SUM(H1258:H1264)</f>
        <v>0</v>
      </c>
      <c r="N1258" s="103">
        <f>SUM(I1258:I1264)</f>
        <v>0</v>
      </c>
      <c r="O1258" s="103">
        <f>SUM(L1258:N1258)</f>
        <v>0</v>
      </c>
      <c r="P1258" s="103">
        <f>VLOOKUP($A1258,LossChart!$A$3:$AB$999,14,0)-L1258</f>
        <v>858.75059454561642</v>
      </c>
      <c r="Q1258" s="103">
        <f>VLOOKUP($A1258,LossChart!$A$3:$AB$999,15,0)-M1258</f>
        <v>116</v>
      </c>
      <c r="R1258" s="103">
        <f>VLOOKUP($A1258,LossChart!$A$3:$AB$999,16,0)-N1258</f>
        <v>477.30407413615825</v>
      </c>
      <c r="S1258" s="103">
        <f>VLOOKUP($A1258,LossChart!$A$3:$AB$999,17,0)-O1258</f>
        <v>1452.0546686817747</v>
      </c>
    </row>
    <row r="1259" spans="1:19" x14ac:dyDescent="0.25">
      <c r="B1259" s="99" t="s">
        <v>108</v>
      </c>
      <c r="C1259" s="100">
        <v>1</v>
      </c>
      <c r="D1259" s="103">
        <f>$C1259*VLOOKUP($B1259,FoodDB!$A$2:$I$1018,3,0)</f>
        <v>0</v>
      </c>
      <c r="E1259" s="103">
        <f>$C1259*VLOOKUP($B1259,FoodDB!$A$2:$I$1018,4,0)</f>
        <v>0</v>
      </c>
      <c r="F1259" s="103">
        <f>$C1259*VLOOKUP($B1259,FoodDB!$A$2:$I$1018,5,0)</f>
        <v>0</v>
      </c>
      <c r="G1259" s="103">
        <f>$C1259*VLOOKUP($B1259,FoodDB!$A$2:$I$1018,6,0)</f>
        <v>0</v>
      </c>
      <c r="H1259" s="103">
        <f>$C1259*VLOOKUP($B1259,FoodDB!$A$2:$I$1018,7,0)</f>
        <v>0</v>
      </c>
      <c r="I1259" s="103">
        <f>$C1259*VLOOKUP($B1259,FoodDB!$A$2:$I$1018,8,0)</f>
        <v>0</v>
      </c>
      <c r="J1259" s="103">
        <f>$C1259*VLOOKUP($B1259,FoodDB!$A$2:$I$1018,9,0)</f>
        <v>0</v>
      </c>
      <c r="K1259" s="103"/>
      <c r="L1259" s="103"/>
      <c r="M1259" s="103"/>
      <c r="N1259" s="103"/>
      <c r="O1259" s="103"/>
      <c r="P1259" s="103"/>
      <c r="Q1259" s="103"/>
      <c r="R1259" s="103"/>
      <c r="S1259" s="103"/>
    </row>
    <row r="1260" spans="1:19" x14ac:dyDescent="0.25">
      <c r="B1260" s="99" t="s">
        <v>108</v>
      </c>
      <c r="C1260" s="100">
        <v>1</v>
      </c>
      <c r="D1260" s="103">
        <f>$C1260*VLOOKUP($B1260,FoodDB!$A$2:$I$1018,3,0)</f>
        <v>0</v>
      </c>
      <c r="E1260" s="103">
        <f>$C1260*VLOOKUP($B1260,FoodDB!$A$2:$I$1018,4,0)</f>
        <v>0</v>
      </c>
      <c r="F1260" s="103">
        <f>$C1260*VLOOKUP($B1260,FoodDB!$A$2:$I$1018,5,0)</f>
        <v>0</v>
      </c>
      <c r="G1260" s="103">
        <f>$C1260*VLOOKUP($B1260,FoodDB!$A$2:$I$1018,6,0)</f>
        <v>0</v>
      </c>
      <c r="H1260" s="103">
        <f>$C1260*VLOOKUP($B1260,FoodDB!$A$2:$I$1018,7,0)</f>
        <v>0</v>
      </c>
      <c r="I1260" s="103">
        <f>$C1260*VLOOKUP($B1260,FoodDB!$A$2:$I$1018,8,0)</f>
        <v>0</v>
      </c>
      <c r="J1260" s="103">
        <f>$C1260*VLOOKUP($B1260,FoodDB!$A$2:$I$1018,9,0)</f>
        <v>0</v>
      </c>
      <c r="K1260" s="103"/>
      <c r="L1260" s="103"/>
      <c r="M1260" s="103"/>
      <c r="N1260" s="103"/>
      <c r="O1260" s="103"/>
      <c r="P1260" s="103"/>
      <c r="Q1260" s="103"/>
      <c r="R1260" s="103"/>
      <c r="S1260" s="103"/>
    </row>
    <row r="1261" spans="1:19" x14ac:dyDescent="0.25">
      <c r="B1261" s="99" t="s">
        <v>108</v>
      </c>
      <c r="C1261" s="100">
        <v>1</v>
      </c>
      <c r="D1261" s="103">
        <f>$C1261*VLOOKUP($B1261,FoodDB!$A$2:$I$1018,3,0)</f>
        <v>0</v>
      </c>
      <c r="E1261" s="103">
        <f>$C1261*VLOOKUP($B1261,FoodDB!$A$2:$I$1018,4,0)</f>
        <v>0</v>
      </c>
      <c r="F1261" s="103">
        <f>$C1261*VLOOKUP($B1261,FoodDB!$A$2:$I$1018,5,0)</f>
        <v>0</v>
      </c>
      <c r="G1261" s="103">
        <f>$C1261*VLOOKUP($B1261,FoodDB!$A$2:$I$1018,6,0)</f>
        <v>0</v>
      </c>
      <c r="H1261" s="103">
        <f>$C1261*VLOOKUP($B1261,FoodDB!$A$2:$I$1018,7,0)</f>
        <v>0</v>
      </c>
      <c r="I1261" s="103">
        <f>$C1261*VLOOKUP($B1261,FoodDB!$A$2:$I$1018,8,0)</f>
        <v>0</v>
      </c>
      <c r="J1261" s="103">
        <f>$C1261*VLOOKUP($B1261,FoodDB!$A$2:$I$1018,9,0)</f>
        <v>0</v>
      </c>
      <c r="K1261" s="103"/>
      <c r="L1261" s="103"/>
      <c r="M1261" s="103"/>
      <c r="N1261" s="103"/>
      <c r="O1261" s="103"/>
      <c r="P1261" s="103"/>
      <c r="Q1261" s="103"/>
      <c r="R1261" s="103"/>
      <c r="S1261" s="103"/>
    </row>
    <row r="1262" spans="1:19" x14ac:dyDescent="0.25">
      <c r="B1262" s="99" t="s">
        <v>108</v>
      </c>
      <c r="C1262" s="100">
        <v>1</v>
      </c>
      <c r="D1262" s="103">
        <f>$C1262*VLOOKUP($B1262,FoodDB!$A$2:$I$1018,3,0)</f>
        <v>0</v>
      </c>
      <c r="E1262" s="103">
        <f>$C1262*VLOOKUP($B1262,FoodDB!$A$2:$I$1018,4,0)</f>
        <v>0</v>
      </c>
      <c r="F1262" s="103">
        <f>$C1262*VLOOKUP($B1262,FoodDB!$A$2:$I$1018,5,0)</f>
        <v>0</v>
      </c>
      <c r="G1262" s="103">
        <f>$C1262*VLOOKUP($B1262,FoodDB!$A$2:$I$1018,6,0)</f>
        <v>0</v>
      </c>
      <c r="H1262" s="103">
        <f>$C1262*VLOOKUP($B1262,FoodDB!$A$2:$I$1018,7,0)</f>
        <v>0</v>
      </c>
      <c r="I1262" s="103">
        <f>$C1262*VLOOKUP($B1262,FoodDB!$A$2:$I$1018,8,0)</f>
        <v>0</v>
      </c>
      <c r="J1262" s="103">
        <f>$C1262*VLOOKUP($B1262,FoodDB!$A$2:$I$1018,9,0)</f>
        <v>0</v>
      </c>
      <c r="K1262" s="103"/>
      <c r="L1262" s="103"/>
      <c r="M1262" s="103"/>
      <c r="N1262" s="103"/>
      <c r="O1262" s="103"/>
      <c r="P1262" s="103"/>
      <c r="Q1262" s="103"/>
      <c r="R1262" s="103"/>
      <c r="S1262" s="103"/>
    </row>
    <row r="1263" spans="1:19" x14ac:dyDescent="0.25">
      <c r="B1263" s="99" t="s">
        <v>108</v>
      </c>
      <c r="C1263" s="100">
        <v>1</v>
      </c>
      <c r="D1263" s="103">
        <f>$C1263*VLOOKUP($B1263,FoodDB!$A$2:$I$1018,3,0)</f>
        <v>0</v>
      </c>
      <c r="E1263" s="103">
        <f>$C1263*VLOOKUP($B1263,FoodDB!$A$2:$I$1018,4,0)</f>
        <v>0</v>
      </c>
      <c r="F1263" s="103">
        <f>$C1263*VLOOKUP($B1263,FoodDB!$A$2:$I$1018,5,0)</f>
        <v>0</v>
      </c>
      <c r="G1263" s="103">
        <f>$C1263*VLOOKUP($B1263,FoodDB!$A$2:$I$1018,6,0)</f>
        <v>0</v>
      </c>
      <c r="H1263" s="103">
        <f>$C1263*VLOOKUP($B1263,FoodDB!$A$2:$I$1018,7,0)</f>
        <v>0</v>
      </c>
      <c r="I1263" s="103">
        <f>$C1263*VLOOKUP($B1263,FoodDB!$A$2:$I$1018,8,0)</f>
        <v>0</v>
      </c>
      <c r="J1263" s="103">
        <f>$C1263*VLOOKUP($B1263,FoodDB!$A$2:$I$1018,9,0)</f>
        <v>0</v>
      </c>
      <c r="K1263" s="103"/>
      <c r="L1263" s="103"/>
      <c r="M1263" s="103"/>
      <c r="N1263" s="103"/>
      <c r="O1263" s="103"/>
      <c r="P1263" s="103"/>
      <c r="Q1263" s="103"/>
      <c r="R1263" s="103"/>
      <c r="S1263" s="103"/>
    </row>
    <row r="1264" spans="1:19" x14ac:dyDescent="0.25">
      <c r="B1264" s="99" t="s">
        <v>108</v>
      </c>
      <c r="C1264" s="100">
        <v>1</v>
      </c>
      <c r="D1264" s="103">
        <f>$C1264*VLOOKUP($B1264,FoodDB!$A$2:$I$1018,3,0)</f>
        <v>0</v>
      </c>
      <c r="E1264" s="103">
        <f>$C1264*VLOOKUP($B1264,FoodDB!$A$2:$I$1018,4,0)</f>
        <v>0</v>
      </c>
      <c r="F1264" s="103">
        <f>$C1264*VLOOKUP($B1264,FoodDB!$A$2:$I$1018,5,0)</f>
        <v>0</v>
      </c>
      <c r="G1264" s="103">
        <f>$C1264*VLOOKUP($B1264,FoodDB!$A$2:$I$1018,6,0)</f>
        <v>0</v>
      </c>
      <c r="H1264" s="103">
        <f>$C1264*VLOOKUP($B1264,FoodDB!$A$2:$I$1018,7,0)</f>
        <v>0</v>
      </c>
      <c r="I1264" s="103">
        <f>$C1264*VLOOKUP($B1264,FoodDB!$A$2:$I$1018,8,0)</f>
        <v>0</v>
      </c>
      <c r="J1264" s="103">
        <f>$C1264*VLOOKUP($B1264,FoodDB!$A$2:$I$1018,9,0)</f>
        <v>0</v>
      </c>
      <c r="K1264" s="103"/>
      <c r="L1264" s="103"/>
      <c r="M1264" s="103"/>
      <c r="N1264" s="103"/>
      <c r="O1264" s="103"/>
      <c r="P1264" s="103"/>
      <c r="Q1264" s="103"/>
      <c r="R1264" s="103"/>
      <c r="S1264" s="103"/>
    </row>
    <row r="1265" spans="1:19" x14ac:dyDescent="0.25">
      <c r="A1265" t="s">
        <v>98</v>
      </c>
      <c r="D1265" s="103"/>
      <c r="E1265" s="103"/>
      <c r="F1265" s="103"/>
      <c r="G1265" s="103">
        <f>SUM(G1258:G1264)</f>
        <v>0</v>
      </c>
      <c r="H1265" s="103">
        <f>SUM(H1258:H1264)</f>
        <v>0</v>
      </c>
      <c r="I1265" s="103">
        <f>SUM(I1258:I1264)</f>
        <v>0</v>
      </c>
      <c r="J1265" s="103">
        <f>SUM(G1265:I1265)</f>
        <v>0</v>
      </c>
      <c r="K1265" s="103"/>
      <c r="L1265" s="103"/>
      <c r="M1265" s="103"/>
      <c r="N1265" s="103"/>
      <c r="O1265" s="103"/>
      <c r="P1265" s="103"/>
      <c r="Q1265" s="103"/>
      <c r="R1265" s="103"/>
      <c r="S1265" s="103"/>
    </row>
    <row r="1266" spans="1:19" x14ac:dyDescent="0.25">
      <c r="A1266" t="s">
        <v>102</v>
      </c>
      <c r="B1266" t="s">
        <v>103</v>
      </c>
      <c r="D1266" s="103"/>
      <c r="E1266" s="103"/>
      <c r="F1266" s="103"/>
      <c r="G1266" s="103" t="e">
        <f>VLOOKUP($A1258,LossChart!$A$3:$AB$105,14,0)</f>
        <v>#N/A</v>
      </c>
      <c r="H1266" s="103" t="e">
        <f>VLOOKUP($A1258,LossChart!$A$3:$AB$105,15,0)</f>
        <v>#N/A</v>
      </c>
      <c r="I1266" s="103" t="e">
        <f>VLOOKUP($A1258,LossChart!$A$3:$AB$105,16,0)</f>
        <v>#N/A</v>
      </c>
      <c r="J1266" s="103" t="e">
        <f>VLOOKUP($A1258,LossChart!$A$3:$AB$105,17,0)</f>
        <v>#N/A</v>
      </c>
      <c r="K1266" s="103"/>
      <c r="L1266" s="103"/>
      <c r="M1266" s="103"/>
      <c r="N1266" s="103"/>
      <c r="O1266" s="103"/>
      <c r="P1266" s="103"/>
      <c r="Q1266" s="103"/>
      <c r="R1266" s="103"/>
      <c r="S1266" s="103"/>
    </row>
    <row r="1267" spans="1:19" x14ac:dyDescent="0.25">
      <c r="A1267" t="s">
        <v>104</v>
      </c>
      <c r="D1267" s="103"/>
      <c r="E1267" s="103"/>
      <c r="F1267" s="103"/>
      <c r="G1267" s="103" t="e">
        <f>G1266-G1265</f>
        <v>#N/A</v>
      </c>
      <c r="H1267" s="103" t="e">
        <f>H1266-H1265</f>
        <v>#N/A</v>
      </c>
      <c r="I1267" s="103" t="e">
        <f>I1266-I1265</f>
        <v>#N/A</v>
      </c>
      <c r="J1267" s="103" t="e">
        <f>J1266-J1265</f>
        <v>#N/A</v>
      </c>
      <c r="K1267" s="103"/>
      <c r="L1267" s="103"/>
      <c r="M1267" s="103"/>
      <c r="N1267" s="103"/>
      <c r="O1267" s="103"/>
      <c r="P1267" s="103"/>
      <c r="Q1267" s="103"/>
      <c r="R1267" s="103"/>
      <c r="S1267" s="103"/>
    </row>
    <row r="1269" spans="1:19" ht="60" x14ac:dyDescent="0.25">
      <c r="A1269" s="26" t="s">
        <v>63</v>
      </c>
      <c r="B1269" s="26" t="s">
        <v>93</v>
      </c>
      <c r="C1269" s="26" t="s">
        <v>94</v>
      </c>
      <c r="D1269" s="97" t="str">
        <f>FoodDB!$C$1</f>
        <v>Fat
(g)</v>
      </c>
      <c r="E1269" s="97" t="str">
        <f>FoodDB!$D$1</f>
        <v xml:space="preserve"> Carbs
(g)</v>
      </c>
      <c r="F1269" s="97" t="str">
        <f>FoodDB!$E$1</f>
        <v>Protein
(g)</v>
      </c>
      <c r="G1269" s="97" t="str">
        <f>FoodDB!$F$1</f>
        <v>Fat
(Cal)</v>
      </c>
      <c r="H1269" s="97" t="str">
        <f>FoodDB!$G$1</f>
        <v>Carb
(Cal)</v>
      </c>
      <c r="I1269" s="97" t="str">
        <f>FoodDB!$H$1</f>
        <v>Protein
(Cal)</v>
      </c>
      <c r="J1269" s="97" t="str">
        <f>FoodDB!$I$1</f>
        <v>Total
Calories</v>
      </c>
      <c r="K1269" s="97"/>
      <c r="L1269" s="97" t="s">
        <v>110</v>
      </c>
      <c r="M1269" s="97" t="s">
        <v>111</v>
      </c>
      <c r="N1269" s="97" t="s">
        <v>112</v>
      </c>
      <c r="O1269" s="97" t="s">
        <v>113</v>
      </c>
      <c r="P1269" s="97" t="s">
        <v>118</v>
      </c>
      <c r="Q1269" s="97" t="s">
        <v>119</v>
      </c>
      <c r="R1269" s="97" t="s">
        <v>120</v>
      </c>
      <c r="S1269" s="97" t="s">
        <v>121</v>
      </c>
    </row>
    <row r="1270" spans="1:19" x14ac:dyDescent="0.25">
      <c r="A1270" s="98">
        <f>A1258+1</f>
        <v>43099</v>
      </c>
      <c r="B1270" s="99" t="s">
        <v>108</v>
      </c>
      <c r="C1270" s="100">
        <v>1</v>
      </c>
      <c r="D1270" s="103">
        <f>$C1270*VLOOKUP($B1270,FoodDB!$A$2:$I$1018,3,0)</f>
        <v>0</v>
      </c>
      <c r="E1270" s="103">
        <f>$C1270*VLOOKUP($B1270,FoodDB!$A$2:$I$1018,4,0)</f>
        <v>0</v>
      </c>
      <c r="F1270" s="103">
        <f>$C1270*VLOOKUP($B1270,FoodDB!$A$2:$I$1018,5,0)</f>
        <v>0</v>
      </c>
      <c r="G1270" s="103">
        <f>$C1270*VLOOKUP($B1270,FoodDB!$A$2:$I$1018,6,0)</f>
        <v>0</v>
      </c>
      <c r="H1270" s="103">
        <f>$C1270*VLOOKUP($B1270,FoodDB!$A$2:$I$1018,7,0)</f>
        <v>0</v>
      </c>
      <c r="I1270" s="103">
        <f>$C1270*VLOOKUP($B1270,FoodDB!$A$2:$I$1018,8,0)</f>
        <v>0</v>
      </c>
      <c r="J1270" s="103">
        <f>$C1270*VLOOKUP($B1270,FoodDB!$A$2:$I$1018,9,0)</f>
        <v>0</v>
      </c>
      <c r="K1270" s="103"/>
      <c r="L1270" s="103">
        <f>SUM(G1270:G1276)</f>
        <v>0</v>
      </c>
      <c r="M1270" s="103">
        <f>SUM(H1270:H1276)</f>
        <v>0</v>
      </c>
      <c r="N1270" s="103">
        <f>SUM(I1270:I1276)</f>
        <v>0</v>
      </c>
      <c r="O1270" s="103">
        <f>SUM(L1270:N1270)</f>
        <v>0</v>
      </c>
      <c r="P1270" s="103">
        <f>VLOOKUP($A1270,LossChart!$A$3:$AB$999,14,0)-L1270</f>
        <v>862.32810820314103</v>
      </c>
      <c r="Q1270" s="103">
        <f>VLOOKUP($A1270,LossChart!$A$3:$AB$999,15,0)-M1270</f>
        <v>116</v>
      </c>
      <c r="R1270" s="103">
        <f>VLOOKUP($A1270,LossChart!$A$3:$AB$999,16,0)-N1270</f>
        <v>477.30407413615825</v>
      </c>
      <c r="S1270" s="103">
        <f>VLOOKUP($A1270,LossChart!$A$3:$AB$999,17,0)-O1270</f>
        <v>1455.6321823392993</v>
      </c>
    </row>
    <row r="1271" spans="1:19" x14ac:dyDescent="0.25">
      <c r="B1271" s="99" t="s">
        <v>108</v>
      </c>
      <c r="C1271" s="100">
        <v>1</v>
      </c>
      <c r="D1271" s="103">
        <f>$C1271*VLOOKUP($B1271,FoodDB!$A$2:$I$1018,3,0)</f>
        <v>0</v>
      </c>
      <c r="E1271" s="103">
        <f>$C1271*VLOOKUP($B1271,FoodDB!$A$2:$I$1018,4,0)</f>
        <v>0</v>
      </c>
      <c r="F1271" s="103">
        <f>$C1271*VLOOKUP($B1271,FoodDB!$A$2:$I$1018,5,0)</f>
        <v>0</v>
      </c>
      <c r="G1271" s="103">
        <f>$C1271*VLOOKUP($B1271,FoodDB!$A$2:$I$1018,6,0)</f>
        <v>0</v>
      </c>
      <c r="H1271" s="103">
        <f>$C1271*VLOOKUP($B1271,FoodDB!$A$2:$I$1018,7,0)</f>
        <v>0</v>
      </c>
      <c r="I1271" s="103">
        <f>$C1271*VLOOKUP($B1271,FoodDB!$A$2:$I$1018,8,0)</f>
        <v>0</v>
      </c>
      <c r="J1271" s="103">
        <f>$C1271*VLOOKUP($B1271,FoodDB!$A$2:$I$1018,9,0)</f>
        <v>0</v>
      </c>
      <c r="K1271" s="103"/>
      <c r="L1271" s="103"/>
      <c r="M1271" s="103"/>
      <c r="N1271" s="103"/>
      <c r="O1271" s="103"/>
      <c r="P1271" s="103"/>
      <c r="Q1271" s="103"/>
      <c r="R1271" s="103"/>
      <c r="S1271" s="103"/>
    </row>
    <row r="1272" spans="1:19" x14ac:dyDescent="0.25">
      <c r="B1272" s="99" t="s">
        <v>108</v>
      </c>
      <c r="C1272" s="100">
        <v>1</v>
      </c>
      <c r="D1272" s="103">
        <f>$C1272*VLOOKUP($B1272,FoodDB!$A$2:$I$1018,3,0)</f>
        <v>0</v>
      </c>
      <c r="E1272" s="103">
        <f>$C1272*VLOOKUP($B1272,FoodDB!$A$2:$I$1018,4,0)</f>
        <v>0</v>
      </c>
      <c r="F1272" s="103">
        <f>$C1272*VLOOKUP($B1272,FoodDB!$A$2:$I$1018,5,0)</f>
        <v>0</v>
      </c>
      <c r="G1272" s="103">
        <f>$C1272*VLOOKUP($B1272,FoodDB!$A$2:$I$1018,6,0)</f>
        <v>0</v>
      </c>
      <c r="H1272" s="103">
        <f>$C1272*VLOOKUP($B1272,FoodDB!$A$2:$I$1018,7,0)</f>
        <v>0</v>
      </c>
      <c r="I1272" s="103">
        <f>$C1272*VLOOKUP($B1272,FoodDB!$A$2:$I$1018,8,0)</f>
        <v>0</v>
      </c>
      <c r="J1272" s="103">
        <f>$C1272*VLOOKUP($B1272,FoodDB!$A$2:$I$1018,9,0)</f>
        <v>0</v>
      </c>
      <c r="K1272" s="103"/>
      <c r="L1272" s="103"/>
      <c r="M1272" s="103"/>
      <c r="N1272" s="103"/>
      <c r="O1272" s="103"/>
      <c r="P1272" s="103"/>
      <c r="Q1272" s="103"/>
      <c r="R1272" s="103"/>
      <c r="S1272" s="103"/>
    </row>
    <row r="1273" spans="1:19" x14ac:dyDescent="0.25">
      <c r="B1273" s="99" t="s">
        <v>108</v>
      </c>
      <c r="C1273" s="100">
        <v>1</v>
      </c>
      <c r="D1273" s="103">
        <f>$C1273*VLOOKUP($B1273,FoodDB!$A$2:$I$1018,3,0)</f>
        <v>0</v>
      </c>
      <c r="E1273" s="103">
        <f>$C1273*VLOOKUP($B1273,FoodDB!$A$2:$I$1018,4,0)</f>
        <v>0</v>
      </c>
      <c r="F1273" s="103">
        <f>$C1273*VLOOKUP($B1273,FoodDB!$A$2:$I$1018,5,0)</f>
        <v>0</v>
      </c>
      <c r="G1273" s="103">
        <f>$C1273*VLOOKUP($B1273,FoodDB!$A$2:$I$1018,6,0)</f>
        <v>0</v>
      </c>
      <c r="H1273" s="103">
        <f>$C1273*VLOOKUP($B1273,FoodDB!$A$2:$I$1018,7,0)</f>
        <v>0</v>
      </c>
      <c r="I1273" s="103">
        <f>$C1273*VLOOKUP($B1273,FoodDB!$A$2:$I$1018,8,0)</f>
        <v>0</v>
      </c>
      <c r="J1273" s="103">
        <f>$C1273*VLOOKUP($B1273,FoodDB!$A$2:$I$1018,9,0)</f>
        <v>0</v>
      </c>
      <c r="K1273" s="103"/>
      <c r="L1273" s="103"/>
      <c r="M1273" s="103"/>
      <c r="N1273" s="103"/>
      <c r="O1273" s="103"/>
      <c r="P1273" s="103"/>
      <c r="Q1273" s="103"/>
      <c r="R1273" s="103"/>
      <c r="S1273" s="103"/>
    </row>
    <row r="1274" spans="1:19" x14ac:dyDescent="0.25">
      <c r="B1274" s="99" t="s">
        <v>108</v>
      </c>
      <c r="C1274" s="100">
        <v>1</v>
      </c>
      <c r="D1274" s="103">
        <f>$C1274*VLOOKUP($B1274,FoodDB!$A$2:$I$1018,3,0)</f>
        <v>0</v>
      </c>
      <c r="E1274" s="103">
        <f>$C1274*VLOOKUP($B1274,FoodDB!$A$2:$I$1018,4,0)</f>
        <v>0</v>
      </c>
      <c r="F1274" s="103">
        <f>$C1274*VLOOKUP($B1274,FoodDB!$A$2:$I$1018,5,0)</f>
        <v>0</v>
      </c>
      <c r="G1274" s="103">
        <f>$C1274*VLOOKUP($B1274,FoodDB!$A$2:$I$1018,6,0)</f>
        <v>0</v>
      </c>
      <c r="H1274" s="103">
        <f>$C1274*VLOOKUP($B1274,FoodDB!$A$2:$I$1018,7,0)</f>
        <v>0</v>
      </c>
      <c r="I1274" s="103">
        <f>$C1274*VLOOKUP($B1274,FoodDB!$A$2:$I$1018,8,0)</f>
        <v>0</v>
      </c>
      <c r="J1274" s="103">
        <f>$C1274*VLOOKUP($B1274,FoodDB!$A$2:$I$1018,9,0)</f>
        <v>0</v>
      </c>
      <c r="K1274" s="103"/>
      <c r="L1274" s="103"/>
      <c r="M1274" s="103"/>
      <c r="N1274" s="103"/>
      <c r="O1274" s="103"/>
      <c r="P1274" s="103"/>
      <c r="Q1274" s="103"/>
      <c r="R1274" s="103"/>
      <c r="S1274" s="103"/>
    </row>
    <row r="1275" spans="1:19" x14ac:dyDescent="0.25">
      <c r="B1275" s="99" t="s">
        <v>108</v>
      </c>
      <c r="C1275" s="100">
        <v>1</v>
      </c>
      <c r="D1275" s="103">
        <f>$C1275*VLOOKUP($B1275,FoodDB!$A$2:$I$1018,3,0)</f>
        <v>0</v>
      </c>
      <c r="E1275" s="103">
        <f>$C1275*VLOOKUP($B1275,FoodDB!$A$2:$I$1018,4,0)</f>
        <v>0</v>
      </c>
      <c r="F1275" s="103">
        <f>$C1275*VLOOKUP($B1275,FoodDB!$A$2:$I$1018,5,0)</f>
        <v>0</v>
      </c>
      <c r="G1275" s="103">
        <f>$C1275*VLOOKUP($B1275,FoodDB!$A$2:$I$1018,6,0)</f>
        <v>0</v>
      </c>
      <c r="H1275" s="103">
        <f>$C1275*VLOOKUP($B1275,FoodDB!$A$2:$I$1018,7,0)</f>
        <v>0</v>
      </c>
      <c r="I1275" s="103">
        <f>$C1275*VLOOKUP($B1275,FoodDB!$A$2:$I$1018,8,0)</f>
        <v>0</v>
      </c>
      <c r="J1275" s="103">
        <f>$C1275*VLOOKUP($B1275,FoodDB!$A$2:$I$1018,9,0)</f>
        <v>0</v>
      </c>
      <c r="K1275" s="103"/>
      <c r="L1275" s="103"/>
      <c r="M1275" s="103"/>
      <c r="N1275" s="103"/>
      <c r="O1275" s="103"/>
      <c r="P1275" s="103"/>
      <c r="Q1275" s="103"/>
      <c r="R1275" s="103"/>
      <c r="S1275" s="103"/>
    </row>
    <row r="1276" spans="1:19" x14ac:dyDescent="0.25">
      <c r="B1276" s="99" t="s">
        <v>108</v>
      </c>
      <c r="C1276" s="100">
        <v>1</v>
      </c>
      <c r="D1276" s="103">
        <f>$C1276*VLOOKUP($B1276,FoodDB!$A$2:$I$1018,3,0)</f>
        <v>0</v>
      </c>
      <c r="E1276" s="103">
        <f>$C1276*VLOOKUP($B1276,FoodDB!$A$2:$I$1018,4,0)</f>
        <v>0</v>
      </c>
      <c r="F1276" s="103">
        <f>$C1276*VLOOKUP($B1276,FoodDB!$A$2:$I$1018,5,0)</f>
        <v>0</v>
      </c>
      <c r="G1276" s="103">
        <f>$C1276*VLOOKUP($B1276,FoodDB!$A$2:$I$1018,6,0)</f>
        <v>0</v>
      </c>
      <c r="H1276" s="103">
        <f>$C1276*VLOOKUP($B1276,FoodDB!$A$2:$I$1018,7,0)</f>
        <v>0</v>
      </c>
      <c r="I1276" s="103">
        <f>$C1276*VLOOKUP($B1276,FoodDB!$A$2:$I$1018,8,0)</f>
        <v>0</v>
      </c>
      <c r="J1276" s="103">
        <f>$C1276*VLOOKUP($B1276,FoodDB!$A$2:$I$1018,9,0)</f>
        <v>0</v>
      </c>
      <c r="K1276" s="103"/>
      <c r="L1276" s="103"/>
      <c r="M1276" s="103"/>
      <c r="N1276" s="103"/>
      <c r="O1276" s="103"/>
      <c r="P1276" s="103"/>
      <c r="Q1276" s="103"/>
      <c r="R1276" s="103"/>
      <c r="S1276" s="103"/>
    </row>
    <row r="1277" spans="1:19" x14ac:dyDescent="0.25">
      <c r="A1277" t="s">
        <v>98</v>
      </c>
      <c r="D1277" s="103"/>
      <c r="E1277" s="103"/>
      <c r="F1277" s="103"/>
      <c r="G1277" s="103">
        <f>SUM(G1270:G1276)</f>
        <v>0</v>
      </c>
      <c r="H1277" s="103">
        <f>SUM(H1270:H1276)</f>
        <v>0</v>
      </c>
      <c r="I1277" s="103">
        <f>SUM(I1270:I1276)</f>
        <v>0</v>
      </c>
      <c r="J1277" s="103">
        <f>SUM(G1277:I1277)</f>
        <v>0</v>
      </c>
      <c r="K1277" s="103"/>
      <c r="L1277" s="103"/>
      <c r="M1277" s="103"/>
      <c r="N1277" s="103"/>
      <c r="O1277" s="103"/>
      <c r="P1277" s="103"/>
      <c r="Q1277" s="103"/>
      <c r="R1277" s="103"/>
      <c r="S1277" s="103"/>
    </row>
    <row r="1278" spans="1:19" x14ac:dyDescent="0.25">
      <c r="A1278" t="s">
        <v>102</v>
      </c>
      <c r="B1278" t="s">
        <v>103</v>
      </c>
      <c r="D1278" s="103"/>
      <c r="E1278" s="103"/>
      <c r="F1278" s="103"/>
      <c r="G1278" s="103" t="e">
        <f>VLOOKUP($A1270,LossChart!$A$3:$AB$105,14,0)</f>
        <v>#N/A</v>
      </c>
      <c r="H1278" s="103" t="e">
        <f>VLOOKUP($A1270,LossChart!$A$3:$AB$105,15,0)</f>
        <v>#N/A</v>
      </c>
      <c r="I1278" s="103" t="e">
        <f>VLOOKUP($A1270,LossChart!$A$3:$AB$105,16,0)</f>
        <v>#N/A</v>
      </c>
      <c r="J1278" s="103" t="e">
        <f>VLOOKUP($A1270,LossChart!$A$3:$AB$105,17,0)</f>
        <v>#N/A</v>
      </c>
      <c r="K1278" s="103"/>
      <c r="L1278" s="103"/>
      <c r="M1278" s="103"/>
      <c r="N1278" s="103"/>
      <c r="O1278" s="103"/>
      <c r="P1278" s="103"/>
      <c r="Q1278" s="103"/>
      <c r="R1278" s="103"/>
      <c r="S1278" s="103"/>
    </row>
    <row r="1279" spans="1:19" x14ac:dyDescent="0.25">
      <c r="A1279" t="s">
        <v>104</v>
      </c>
      <c r="D1279" s="103"/>
      <c r="E1279" s="103"/>
      <c r="F1279" s="103"/>
      <c r="G1279" s="103" t="e">
        <f>G1278-G1277</f>
        <v>#N/A</v>
      </c>
      <c r="H1279" s="103" t="e">
        <f>H1278-H1277</f>
        <v>#N/A</v>
      </c>
      <c r="I1279" s="103" t="e">
        <f>I1278-I1277</f>
        <v>#N/A</v>
      </c>
      <c r="J1279" s="103" t="e">
        <f>J1278-J1277</f>
        <v>#N/A</v>
      </c>
      <c r="K1279" s="103"/>
      <c r="L1279" s="103"/>
      <c r="M1279" s="103"/>
      <c r="N1279" s="103"/>
      <c r="O1279" s="103"/>
      <c r="P1279" s="103"/>
      <c r="Q1279" s="103"/>
      <c r="R1279" s="103"/>
      <c r="S1279" s="103"/>
    </row>
    <row r="1281" spans="1:19" ht="60" x14ac:dyDescent="0.25">
      <c r="A1281" s="26" t="s">
        <v>63</v>
      </c>
      <c r="B1281" s="26" t="s">
        <v>93</v>
      </c>
      <c r="C1281" s="26" t="s">
        <v>94</v>
      </c>
      <c r="D1281" s="97" t="str">
        <f>FoodDB!$C$1</f>
        <v>Fat
(g)</v>
      </c>
      <c r="E1281" s="97" t="str">
        <f>FoodDB!$D$1</f>
        <v xml:space="preserve"> Carbs
(g)</v>
      </c>
      <c r="F1281" s="97" t="str">
        <f>FoodDB!$E$1</f>
        <v>Protein
(g)</v>
      </c>
      <c r="G1281" s="97" t="str">
        <f>FoodDB!$F$1</f>
        <v>Fat
(Cal)</v>
      </c>
      <c r="H1281" s="97" t="str">
        <f>FoodDB!$G$1</f>
        <v>Carb
(Cal)</v>
      </c>
      <c r="I1281" s="97" t="str">
        <f>FoodDB!$H$1</f>
        <v>Protein
(Cal)</v>
      </c>
      <c r="J1281" s="97" t="str">
        <f>FoodDB!$I$1</f>
        <v>Total
Calories</v>
      </c>
      <c r="K1281" s="97"/>
      <c r="L1281" s="97" t="s">
        <v>110</v>
      </c>
      <c r="M1281" s="97" t="s">
        <v>111</v>
      </c>
      <c r="N1281" s="97" t="s">
        <v>112</v>
      </c>
      <c r="O1281" s="97" t="s">
        <v>113</v>
      </c>
      <c r="P1281" s="97" t="s">
        <v>118</v>
      </c>
      <c r="Q1281" s="97" t="s">
        <v>119</v>
      </c>
      <c r="R1281" s="97" t="s">
        <v>120</v>
      </c>
      <c r="S1281" s="97" t="s">
        <v>121</v>
      </c>
    </row>
    <row r="1282" spans="1:19" x14ac:dyDescent="0.25">
      <c r="A1282" s="98">
        <f>A1270+1</f>
        <v>43100</v>
      </c>
      <c r="B1282" s="99" t="s">
        <v>108</v>
      </c>
      <c r="C1282" s="100">
        <v>1</v>
      </c>
      <c r="D1282" s="103">
        <f>$C1282*VLOOKUP($B1282,FoodDB!$A$2:$I$1018,3,0)</f>
        <v>0</v>
      </c>
      <c r="E1282" s="103">
        <f>$C1282*VLOOKUP($B1282,FoodDB!$A$2:$I$1018,4,0)</f>
        <v>0</v>
      </c>
      <c r="F1282" s="103">
        <f>$C1282*VLOOKUP($B1282,FoodDB!$A$2:$I$1018,5,0)</f>
        <v>0</v>
      </c>
      <c r="G1282" s="103">
        <f>$C1282*VLOOKUP($B1282,FoodDB!$A$2:$I$1018,6,0)</f>
        <v>0</v>
      </c>
      <c r="H1282" s="103">
        <f>$C1282*VLOOKUP($B1282,FoodDB!$A$2:$I$1018,7,0)</f>
        <v>0</v>
      </c>
      <c r="I1282" s="103">
        <f>$C1282*VLOOKUP($B1282,FoodDB!$A$2:$I$1018,8,0)</f>
        <v>0</v>
      </c>
      <c r="J1282" s="103">
        <f>$C1282*VLOOKUP($B1282,FoodDB!$A$2:$I$1018,9,0)</f>
        <v>0</v>
      </c>
      <c r="K1282" s="103"/>
      <c r="L1282" s="103">
        <f>SUM(G1282:G1288)</f>
        <v>0</v>
      </c>
      <c r="M1282" s="103">
        <f>SUM(H1282:H1288)</f>
        <v>0</v>
      </c>
      <c r="N1282" s="103">
        <f>SUM(I1282:I1288)</f>
        <v>0</v>
      </c>
      <c r="O1282" s="103">
        <f>SUM(L1282:N1282)</f>
        <v>0</v>
      </c>
      <c r="P1282" s="103">
        <f>VLOOKUP($A1282,LossChart!$A$3:$AB$999,14,0)-L1282</f>
        <v>865.8739353111273</v>
      </c>
      <c r="Q1282" s="103">
        <f>VLOOKUP($A1282,LossChart!$A$3:$AB$999,15,0)-M1282</f>
        <v>116</v>
      </c>
      <c r="R1282" s="103">
        <f>VLOOKUP($A1282,LossChart!$A$3:$AB$999,16,0)-N1282</f>
        <v>477.30407413615825</v>
      </c>
      <c r="S1282" s="103">
        <f>VLOOKUP($A1282,LossChart!$A$3:$AB$999,17,0)-O1282</f>
        <v>1459.1780094472856</v>
      </c>
    </row>
    <row r="1283" spans="1:19" x14ac:dyDescent="0.25">
      <c r="B1283" s="99" t="s">
        <v>108</v>
      </c>
      <c r="C1283" s="100">
        <v>1</v>
      </c>
      <c r="D1283" s="103">
        <f>$C1283*VLOOKUP($B1283,FoodDB!$A$2:$I$1018,3,0)</f>
        <v>0</v>
      </c>
      <c r="E1283" s="103">
        <f>$C1283*VLOOKUP($B1283,FoodDB!$A$2:$I$1018,4,0)</f>
        <v>0</v>
      </c>
      <c r="F1283" s="103">
        <f>$C1283*VLOOKUP($B1283,FoodDB!$A$2:$I$1018,5,0)</f>
        <v>0</v>
      </c>
      <c r="G1283" s="103">
        <f>$C1283*VLOOKUP($B1283,FoodDB!$A$2:$I$1018,6,0)</f>
        <v>0</v>
      </c>
      <c r="H1283" s="103">
        <f>$C1283*VLOOKUP($B1283,FoodDB!$A$2:$I$1018,7,0)</f>
        <v>0</v>
      </c>
      <c r="I1283" s="103">
        <f>$C1283*VLOOKUP($B1283,FoodDB!$A$2:$I$1018,8,0)</f>
        <v>0</v>
      </c>
      <c r="J1283" s="103">
        <f>$C1283*VLOOKUP($B1283,FoodDB!$A$2:$I$1018,9,0)</f>
        <v>0</v>
      </c>
      <c r="K1283" s="103"/>
      <c r="L1283" s="103"/>
      <c r="M1283" s="103"/>
      <c r="N1283" s="103"/>
      <c r="O1283" s="103"/>
      <c r="P1283" s="103"/>
      <c r="Q1283" s="103"/>
      <c r="R1283" s="103"/>
      <c r="S1283" s="103"/>
    </row>
    <row r="1284" spans="1:19" x14ac:dyDescent="0.25">
      <c r="B1284" s="99" t="s">
        <v>108</v>
      </c>
      <c r="C1284" s="100">
        <v>1</v>
      </c>
      <c r="D1284" s="103">
        <f>$C1284*VLOOKUP($B1284,FoodDB!$A$2:$I$1018,3,0)</f>
        <v>0</v>
      </c>
      <c r="E1284" s="103">
        <f>$C1284*VLOOKUP($B1284,FoodDB!$A$2:$I$1018,4,0)</f>
        <v>0</v>
      </c>
      <c r="F1284" s="103">
        <f>$C1284*VLOOKUP($B1284,FoodDB!$A$2:$I$1018,5,0)</f>
        <v>0</v>
      </c>
      <c r="G1284" s="103">
        <f>$C1284*VLOOKUP($B1284,FoodDB!$A$2:$I$1018,6,0)</f>
        <v>0</v>
      </c>
      <c r="H1284" s="103">
        <f>$C1284*VLOOKUP($B1284,FoodDB!$A$2:$I$1018,7,0)</f>
        <v>0</v>
      </c>
      <c r="I1284" s="103">
        <f>$C1284*VLOOKUP($B1284,FoodDB!$A$2:$I$1018,8,0)</f>
        <v>0</v>
      </c>
      <c r="J1284" s="103">
        <f>$C1284*VLOOKUP($B1284,FoodDB!$A$2:$I$1018,9,0)</f>
        <v>0</v>
      </c>
      <c r="K1284" s="103"/>
      <c r="L1284" s="103"/>
      <c r="M1284" s="103"/>
      <c r="N1284" s="103"/>
      <c r="O1284" s="103"/>
      <c r="P1284" s="103"/>
      <c r="Q1284" s="103"/>
      <c r="R1284" s="103"/>
      <c r="S1284" s="103"/>
    </row>
    <row r="1285" spans="1:19" x14ac:dyDescent="0.25">
      <c r="B1285" s="99" t="s">
        <v>108</v>
      </c>
      <c r="C1285" s="100">
        <v>1</v>
      </c>
      <c r="D1285" s="103">
        <f>$C1285*VLOOKUP($B1285,FoodDB!$A$2:$I$1018,3,0)</f>
        <v>0</v>
      </c>
      <c r="E1285" s="103">
        <f>$C1285*VLOOKUP($B1285,FoodDB!$A$2:$I$1018,4,0)</f>
        <v>0</v>
      </c>
      <c r="F1285" s="103">
        <f>$C1285*VLOOKUP($B1285,FoodDB!$A$2:$I$1018,5,0)</f>
        <v>0</v>
      </c>
      <c r="G1285" s="103">
        <f>$C1285*VLOOKUP($B1285,FoodDB!$A$2:$I$1018,6,0)</f>
        <v>0</v>
      </c>
      <c r="H1285" s="103">
        <f>$C1285*VLOOKUP($B1285,FoodDB!$A$2:$I$1018,7,0)</f>
        <v>0</v>
      </c>
      <c r="I1285" s="103">
        <f>$C1285*VLOOKUP($B1285,FoodDB!$A$2:$I$1018,8,0)</f>
        <v>0</v>
      </c>
      <c r="J1285" s="103">
        <f>$C1285*VLOOKUP($B1285,FoodDB!$A$2:$I$1018,9,0)</f>
        <v>0</v>
      </c>
      <c r="K1285" s="103"/>
      <c r="L1285" s="103"/>
      <c r="M1285" s="103"/>
      <c r="N1285" s="103"/>
      <c r="O1285" s="103"/>
      <c r="P1285" s="103"/>
      <c r="Q1285" s="103"/>
      <c r="R1285" s="103"/>
      <c r="S1285" s="103"/>
    </row>
    <row r="1286" spans="1:19" x14ac:dyDescent="0.25">
      <c r="B1286" s="99" t="s">
        <v>108</v>
      </c>
      <c r="C1286" s="100">
        <v>1</v>
      </c>
      <c r="D1286" s="103">
        <f>$C1286*VLOOKUP($B1286,FoodDB!$A$2:$I$1018,3,0)</f>
        <v>0</v>
      </c>
      <c r="E1286" s="103">
        <f>$C1286*VLOOKUP($B1286,FoodDB!$A$2:$I$1018,4,0)</f>
        <v>0</v>
      </c>
      <c r="F1286" s="103">
        <f>$C1286*VLOOKUP($B1286,FoodDB!$A$2:$I$1018,5,0)</f>
        <v>0</v>
      </c>
      <c r="G1286" s="103">
        <f>$C1286*VLOOKUP($B1286,FoodDB!$A$2:$I$1018,6,0)</f>
        <v>0</v>
      </c>
      <c r="H1286" s="103">
        <f>$C1286*VLOOKUP($B1286,FoodDB!$A$2:$I$1018,7,0)</f>
        <v>0</v>
      </c>
      <c r="I1286" s="103">
        <f>$C1286*VLOOKUP($B1286,FoodDB!$A$2:$I$1018,8,0)</f>
        <v>0</v>
      </c>
      <c r="J1286" s="103">
        <f>$C1286*VLOOKUP($B1286,FoodDB!$A$2:$I$1018,9,0)</f>
        <v>0</v>
      </c>
      <c r="K1286" s="103"/>
      <c r="L1286" s="103"/>
      <c r="M1286" s="103"/>
      <c r="N1286" s="103"/>
      <c r="O1286" s="103"/>
      <c r="P1286" s="103"/>
      <c r="Q1286" s="103"/>
      <c r="R1286" s="103"/>
      <c r="S1286" s="103"/>
    </row>
    <row r="1287" spans="1:19" x14ac:dyDescent="0.25">
      <c r="B1287" s="99" t="s">
        <v>108</v>
      </c>
      <c r="C1287" s="100">
        <v>1</v>
      </c>
      <c r="D1287" s="103">
        <f>$C1287*VLOOKUP($B1287,FoodDB!$A$2:$I$1018,3,0)</f>
        <v>0</v>
      </c>
      <c r="E1287" s="103">
        <f>$C1287*VLOOKUP($B1287,FoodDB!$A$2:$I$1018,4,0)</f>
        <v>0</v>
      </c>
      <c r="F1287" s="103">
        <f>$C1287*VLOOKUP($B1287,FoodDB!$A$2:$I$1018,5,0)</f>
        <v>0</v>
      </c>
      <c r="G1287" s="103">
        <f>$C1287*VLOOKUP($B1287,FoodDB!$A$2:$I$1018,6,0)</f>
        <v>0</v>
      </c>
      <c r="H1287" s="103">
        <f>$C1287*VLOOKUP($B1287,FoodDB!$A$2:$I$1018,7,0)</f>
        <v>0</v>
      </c>
      <c r="I1287" s="103">
        <f>$C1287*VLOOKUP($B1287,FoodDB!$A$2:$I$1018,8,0)</f>
        <v>0</v>
      </c>
      <c r="J1287" s="103">
        <f>$C1287*VLOOKUP($B1287,FoodDB!$A$2:$I$1018,9,0)</f>
        <v>0</v>
      </c>
      <c r="K1287" s="103"/>
      <c r="L1287" s="103"/>
      <c r="M1287" s="103"/>
      <c r="N1287" s="103"/>
      <c r="O1287" s="103"/>
      <c r="P1287" s="103"/>
      <c r="Q1287" s="103"/>
      <c r="R1287" s="103"/>
      <c r="S1287" s="103"/>
    </row>
    <row r="1288" spans="1:19" x14ac:dyDescent="0.25">
      <c r="B1288" s="99" t="s">
        <v>108</v>
      </c>
      <c r="C1288" s="100">
        <v>1</v>
      </c>
      <c r="D1288" s="103">
        <f>$C1288*VLOOKUP($B1288,FoodDB!$A$2:$I$1018,3,0)</f>
        <v>0</v>
      </c>
      <c r="E1288" s="103">
        <f>$C1288*VLOOKUP($B1288,FoodDB!$A$2:$I$1018,4,0)</f>
        <v>0</v>
      </c>
      <c r="F1288" s="103">
        <f>$C1288*VLOOKUP($B1288,FoodDB!$A$2:$I$1018,5,0)</f>
        <v>0</v>
      </c>
      <c r="G1288" s="103">
        <f>$C1288*VLOOKUP($B1288,FoodDB!$A$2:$I$1018,6,0)</f>
        <v>0</v>
      </c>
      <c r="H1288" s="103">
        <f>$C1288*VLOOKUP($B1288,FoodDB!$A$2:$I$1018,7,0)</f>
        <v>0</v>
      </c>
      <c r="I1288" s="103">
        <f>$C1288*VLOOKUP($B1288,FoodDB!$A$2:$I$1018,8,0)</f>
        <v>0</v>
      </c>
      <c r="J1288" s="103">
        <f>$C1288*VLOOKUP($B1288,FoodDB!$A$2:$I$1018,9,0)</f>
        <v>0</v>
      </c>
      <c r="K1288" s="103"/>
      <c r="L1288" s="103"/>
      <c r="M1288" s="103"/>
      <c r="N1288" s="103"/>
      <c r="O1288" s="103"/>
      <c r="P1288" s="103"/>
      <c r="Q1288" s="103"/>
      <c r="R1288" s="103"/>
      <c r="S1288" s="103"/>
    </row>
    <row r="1289" spans="1:19" x14ac:dyDescent="0.25">
      <c r="A1289" t="s">
        <v>98</v>
      </c>
      <c r="D1289" s="103"/>
      <c r="E1289" s="103"/>
      <c r="F1289" s="103"/>
      <c r="G1289" s="103">
        <f>SUM(G1282:G1288)</f>
        <v>0</v>
      </c>
      <c r="H1289" s="103">
        <f>SUM(H1282:H1288)</f>
        <v>0</v>
      </c>
      <c r="I1289" s="103">
        <f>SUM(I1282:I1288)</f>
        <v>0</v>
      </c>
      <c r="J1289" s="103">
        <f>SUM(G1289:I1289)</f>
        <v>0</v>
      </c>
      <c r="K1289" s="103"/>
      <c r="L1289" s="103"/>
      <c r="M1289" s="103"/>
      <c r="N1289" s="103"/>
      <c r="O1289" s="103"/>
      <c r="P1289" s="103"/>
      <c r="Q1289" s="103"/>
      <c r="R1289" s="103"/>
      <c r="S1289" s="103"/>
    </row>
    <row r="1290" spans="1:19" x14ac:dyDescent="0.25">
      <c r="A1290" t="s">
        <v>102</v>
      </c>
      <c r="B1290" t="s">
        <v>103</v>
      </c>
      <c r="D1290" s="103"/>
      <c r="E1290" s="103"/>
      <c r="F1290" s="103"/>
      <c r="G1290" s="103" t="e">
        <f>VLOOKUP($A1282,LossChart!$A$3:$AB$105,14,0)</f>
        <v>#N/A</v>
      </c>
      <c r="H1290" s="103" t="e">
        <f>VLOOKUP($A1282,LossChart!$A$3:$AB$105,15,0)</f>
        <v>#N/A</v>
      </c>
      <c r="I1290" s="103" t="e">
        <f>VLOOKUP($A1282,LossChart!$A$3:$AB$105,16,0)</f>
        <v>#N/A</v>
      </c>
      <c r="J1290" s="103" t="e">
        <f>VLOOKUP($A1282,LossChart!$A$3:$AB$105,17,0)</f>
        <v>#N/A</v>
      </c>
      <c r="K1290" s="103"/>
      <c r="L1290" s="103"/>
      <c r="M1290" s="103"/>
      <c r="N1290" s="103"/>
      <c r="O1290" s="103"/>
      <c r="P1290" s="103"/>
      <c r="Q1290" s="103"/>
      <c r="R1290" s="103"/>
      <c r="S1290" s="103"/>
    </row>
    <row r="1291" spans="1:19" x14ac:dyDescent="0.25">
      <c r="A1291" t="s">
        <v>104</v>
      </c>
      <c r="D1291" s="103"/>
      <c r="E1291" s="103"/>
      <c r="F1291" s="103"/>
      <c r="G1291" s="103" t="e">
        <f>G1290-G1289</f>
        <v>#N/A</v>
      </c>
      <c r="H1291" s="103" t="e">
        <f>H1290-H1289</f>
        <v>#N/A</v>
      </c>
      <c r="I1291" s="103" t="e">
        <f>I1290-I1289</f>
        <v>#N/A</v>
      </c>
      <c r="J1291" s="103" t="e">
        <f>J1290-J1289</f>
        <v>#N/A</v>
      </c>
      <c r="K1291" s="103"/>
      <c r="L1291" s="103"/>
      <c r="M1291" s="103"/>
      <c r="N1291" s="103"/>
      <c r="O1291" s="103"/>
      <c r="P1291" s="103"/>
      <c r="Q1291" s="103"/>
      <c r="R1291" s="103"/>
      <c r="S1291" s="103"/>
    </row>
    <row r="1293" spans="1:19" ht="60" x14ac:dyDescent="0.25">
      <c r="A1293" s="26" t="s">
        <v>63</v>
      </c>
      <c r="B1293" s="26" t="s">
        <v>93</v>
      </c>
      <c r="C1293" s="26" t="s">
        <v>94</v>
      </c>
      <c r="D1293" s="97" t="str">
        <f>FoodDB!$C$1</f>
        <v>Fat
(g)</v>
      </c>
      <c r="E1293" s="97" t="str">
        <f>FoodDB!$D$1</f>
        <v xml:space="preserve"> Carbs
(g)</v>
      </c>
      <c r="F1293" s="97" t="str">
        <f>FoodDB!$E$1</f>
        <v>Protein
(g)</v>
      </c>
      <c r="G1293" s="97" t="str">
        <f>FoodDB!$F$1</f>
        <v>Fat
(Cal)</v>
      </c>
      <c r="H1293" s="97" t="str">
        <f>FoodDB!$G$1</f>
        <v>Carb
(Cal)</v>
      </c>
      <c r="I1293" s="97" t="str">
        <f>FoodDB!$H$1</f>
        <v>Protein
(Cal)</v>
      </c>
      <c r="J1293" s="97" t="str">
        <f>FoodDB!$I$1</f>
        <v>Total
Calories</v>
      </c>
      <c r="K1293" s="97"/>
      <c r="L1293" s="97" t="s">
        <v>110</v>
      </c>
      <c r="M1293" s="97" t="s">
        <v>111</v>
      </c>
      <c r="N1293" s="97" t="s">
        <v>112</v>
      </c>
      <c r="O1293" s="97" t="s">
        <v>113</v>
      </c>
      <c r="P1293" s="97" t="s">
        <v>118</v>
      </c>
      <c r="Q1293" s="97" t="s">
        <v>119</v>
      </c>
      <c r="R1293" s="97" t="s">
        <v>120</v>
      </c>
      <c r="S1293" s="97" t="s">
        <v>121</v>
      </c>
    </row>
    <row r="1294" spans="1:19" x14ac:dyDescent="0.25">
      <c r="A1294" s="98">
        <f>A1282+1</f>
        <v>43101</v>
      </c>
      <c r="B1294" s="99" t="s">
        <v>108</v>
      </c>
      <c r="C1294" s="100">
        <v>1</v>
      </c>
      <c r="D1294" s="103">
        <f>$C1294*VLOOKUP($B1294,FoodDB!$A$2:$I$1018,3,0)</f>
        <v>0</v>
      </c>
      <c r="E1294" s="103">
        <f>$C1294*VLOOKUP($B1294,FoodDB!$A$2:$I$1018,4,0)</f>
        <v>0</v>
      </c>
      <c r="F1294" s="103">
        <f>$C1294*VLOOKUP($B1294,FoodDB!$A$2:$I$1018,5,0)</f>
        <v>0</v>
      </c>
      <c r="G1294" s="103">
        <f>$C1294*VLOOKUP($B1294,FoodDB!$A$2:$I$1018,6,0)</f>
        <v>0</v>
      </c>
      <c r="H1294" s="103">
        <f>$C1294*VLOOKUP($B1294,FoodDB!$A$2:$I$1018,7,0)</f>
        <v>0</v>
      </c>
      <c r="I1294" s="103">
        <f>$C1294*VLOOKUP($B1294,FoodDB!$A$2:$I$1018,8,0)</f>
        <v>0</v>
      </c>
      <c r="J1294" s="103">
        <f>$C1294*VLOOKUP($B1294,FoodDB!$A$2:$I$1018,9,0)</f>
        <v>0</v>
      </c>
      <c r="K1294" s="103"/>
      <c r="L1294" s="103">
        <f>SUM(G1294:G1300)</f>
        <v>0</v>
      </c>
      <c r="M1294" s="103">
        <f>SUM(H1294:H1300)</f>
        <v>0</v>
      </c>
      <c r="N1294" s="103">
        <f>SUM(I1294:I1300)</f>
        <v>0</v>
      </c>
      <c r="O1294" s="103">
        <f>SUM(L1294:N1294)</f>
        <v>0</v>
      </c>
      <c r="P1294" s="103" t="e">
        <f>VLOOKUP($A1294,LossChart!$A$3:$AB$999,14,0)-L1294</f>
        <v>#N/A</v>
      </c>
      <c r="Q1294" s="103" t="e">
        <f>VLOOKUP($A1294,LossChart!$A$3:$AB$999,15,0)-M1294</f>
        <v>#N/A</v>
      </c>
      <c r="R1294" s="103" t="e">
        <f>VLOOKUP($A1294,LossChart!$A$3:$AB$999,16,0)-N1294</f>
        <v>#N/A</v>
      </c>
      <c r="S1294" s="103" t="e">
        <f>VLOOKUP($A1294,LossChart!$A$3:$AB$999,17,0)-O1294</f>
        <v>#N/A</v>
      </c>
    </row>
    <row r="1295" spans="1:19" x14ac:dyDescent="0.25">
      <c r="B1295" s="99" t="s">
        <v>108</v>
      </c>
      <c r="C1295" s="100">
        <v>1</v>
      </c>
      <c r="D1295" s="103">
        <f>$C1295*VLOOKUP($B1295,FoodDB!$A$2:$I$1018,3,0)</f>
        <v>0</v>
      </c>
      <c r="E1295" s="103">
        <f>$C1295*VLOOKUP($B1295,FoodDB!$A$2:$I$1018,4,0)</f>
        <v>0</v>
      </c>
      <c r="F1295" s="103">
        <f>$C1295*VLOOKUP($B1295,FoodDB!$A$2:$I$1018,5,0)</f>
        <v>0</v>
      </c>
      <c r="G1295" s="103">
        <f>$C1295*VLOOKUP($B1295,FoodDB!$A$2:$I$1018,6,0)</f>
        <v>0</v>
      </c>
      <c r="H1295" s="103">
        <f>$C1295*VLOOKUP($B1295,FoodDB!$A$2:$I$1018,7,0)</f>
        <v>0</v>
      </c>
      <c r="I1295" s="103">
        <f>$C1295*VLOOKUP($B1295,FoodDB!$A$2:$I$1018,8,0)</f>
        <v>0</v>
      </c>
      <c r="J1295" s="103">
        <f>$C1295*VLOOKUP($B1295,FoodDB!$A$2:$I$1018,9,0)</f>
        <v>0</v>
      </c>
      <c r="K1295" s="103"/>
      <c r="L1295" s="103"/>
      <c r="M1295" s="103"/>
      <c r="N1295" s="103"/>
      <c r="O1295" s="103"/>
      <c r="P1295" s="103"/>
      <c r="Q1295" s="103"/>
      <c r="R1295" s="103"/>
      <c r="S1295" s="103"/>
    </row>
    <row r="1296" spans="1:19" x14ac:dyDescent="0.25">
      <c r="B1296" s="99" t="s">
        <v>108</v>
      </c>
      <c r="C1296" s="100">
        <v>1</v>
      </c>
      <c r="D1296" s="103">
        <f>$C1296*VLOOKUP($B1296,FoodDB!$A$2:$I$1018,3,0)</f>
        <v>0</v>
      </c>
      <c r="E1296" s="103">
        <f>$C1296*VLOOKUP($B1296,FoodDB!$A$2:$I$1018,4,0)</f>
        <v>0</v>
      </c>
      <c r="F1296" s="103">
        <f>$C1296*VLOOKUP($B1296,FoodDB!$A$2:$I$1018,5,0)</f>
        <v>0</v>
      </c>
      <c r="G1296" s="103">
        <f>$C1296*VLOOKUP($B1296,FoodDB!$A$2:$I$1018,6,0)</f>
        <v>0</v>
      </c>
      <c r="H1296" s="103">
        <f>$C1296*VLOOKUP($B1296,FoodDB!$A$2:$I$1018,7,0)</f>
        <v>0</v>
      </c>
      <c r="I1296" s="103">
        <f>$C1296*VLOOKUP($B1296,FoodDB!$A$2:$I$1018,8,0)</f>
        <v>0</v>
      </c>
      <c r="J1296" s="103">
        <f>$C1296*VLOOKUP($B1296,FoodDB!$A$2:$I$1018,9,0)</f>
        <v>0</v>
      </c>
      <c r="K1296" s="103"/>
      <c r="L1296" s="103"/>
      <c r="M1296" s="103"/>
      <c r="N1296" s="103"/>
      <c r="O1296" s="103"/>
      <c r="P1296" s="103"/>
      <c r="Q1296" s="103"/>
      <c r="R1296" s="103"/>
      <c r="S1296" s="103"/>
    </row>
    <row r="1297" spans="1:19" x14ac:dyDescent="0.25">
      <c r="B1297" s="99" t="s">
        <v>108</v>
      </c>
      <c r="C1297" s="100">
        <v>1</v>
      </c>
      <c r="D1297" s="103">
        <f>$C1297*VLOOKUP($B1297,FoodDB!$A$2:$I$1018,3,0)</f>
        <v>0</v>
      </c>
      <c r="E1297" s="103">
        <f>$C1297*VLOOKUP($B1297,FoodDB!$A$2:$I$1018,4,0)</f>
        <v>0</v>
      </c>
      <c r="F1297" s="103">
        <f>$C1297*VLOOKUP($B1297,FoodDB!$A$2:$I$1018,5,0)</f>
        <v>0</v>
      </c>
      <c r="G1297" s="103">
        <f>$C1297*VLOOKUP($B1297,FoodDB!$A$2:$I$1018,6,0)</f>
        <v>0</v>
      </c>
      <c r="H1297" s="103">
        <f>$C1297*VLOOKUP($B1297,FoodDB!$A$2:$I$1018,7,0)</f>
        <v>0</v>
      </c>
      <c r="I1297" s="103">
        <f>$C1297*VLOOKUP($B1297,FoodDB!$A$2:$I$1018,8,0)</f>
        <v>0</v>
      </c>
      <c r="J1297" s="103">
        <f>$C1297*VLOOKUP($B1297,FoodDB!$A$2:$I$1018,9,0)</f>
        <v>0</v>
      </c>
      <c r="K1297" s="103"/>
      <c r="L1297" s="103"/>
      <c r="M1297" s="103"/>
      <c r="N1297" s="103"/>
      <c r="O1297" s="103"/>
      <c r="P1297" s="103"/>
      <c r="Q1297" s="103"/>
      <c r="R1297" s="103"/>
      <c r="S1297" s="103"/>
    </row>
    <row r="1298" spans="1:19" x14ac:dyDescent="0.25">
      <c r="B1298" s="99" t="s">
        <v>108</v>
      </c>
      <c r="C1298" s="100">
        <v>1</v>
      </c>
      <c r="D1298" s="103">
        <f>$C1298*VLOOKUP($B1298,FoodDB!$A$2:$I$1018,3,0)</f>
        <v>0</v>
      </c>
      <c r="E1298" s="103">
        <f>$C1298*VLOOKUP($B1298,FoodDB!$A$2:$I$1018,4,0)</f>
        <v>0</v>
      </c>
      <c r="F1298" s="103">
        <f>$C1298*VLOOKUP($B1298,FoodDB!$A$2:$I$1018,5,0)</f>
        <v>0</v>
      </c>
      <c r="G1298" s="103">
        <f>$C1298*VLOOKUP($B1298,FoodDB!$A$2:$I$1018,6,0)</f>
        <v>0</v>
      </c>
      <c r="H1298" s="103">
        <f>$C1298*VLOOKUP($B1298,FoodDB!$A$2:$I$1018,7,0)</f>
        <v>0</v>
      </c>
      <c r="I1298" s="103">
        <f>$C1298*VLOOKUP($B1298,FoodDB!$A$2:$I$1018,8,0)</f>
        <v>0</v>
      </c>
      <c r="J1298" s="103">
        <f>$C1298*VLOOKUP($B1298,FoodDB!$A$2:$I$1018,9,0)</f>
        <v>0</v>
      </c>
      <c r="K1298" s="103"/>
      <c r="L1298" s="103"/>
      <c r="M1298" s="103"/>
      <c r="N1298" s="103"/>
      <c r="O1298" s="103"/>
      <c r="P1298" s="103"/>
      <c r="Q1298" s="103"/>
      <c r="R1298" s="103"/>
      <c r="S1298" s="103"/>
    </row>
    <row r="1299" spans="1:19" x14ac:dyDescent="0.25">
      <c r="B1299" s="99" t="s">
        <v>108</v>
      </c>
      <c r="C1299" s="100">
        <v>1</v>
      </c>
      <c r="D1299" s="103">
        <f>$C1299*VLOOKUP($B1299,FoodDB!$A$2:$I$1018,3,0)</f>
        <v>0</v>
      </c>
      <c r="E1299" s="103">
        <f>$C1299*VLOOKUP($B1299,FoodDB!$A$2:$I$1018,4,0)</f>
        <v>0</v>
      </c>
      <c r="F1299" s="103">
        <f>$C1299*VLOOKUP($B1299,FoodDB!$A$2:$I$1018,5,0)</f>
        <v>0</v>
      </c>
      <c r="G1299" s="103">
        <f>$C1299*VLOOKUP($B1299,FoodDB!$A$2:$I$1018,6,0)</f>
        <v>0</v>
      </c>
      <c r="H1299" s="103">
        <f>$C1299*VLOOKUP($B1299,FoodDB!$A$2:$I$1018,7,0)</f>
        <v>0</v>
      </c>
      <c r="I1299" s="103">
        <f>$C1299*VLOOKUP($B1299,FoodDB!$A$2:$I$1018,8,0)</f>
        <v>0</v>
      </c>
      <c r="J1299" s="103">
        <f>$C1299*VLOOKUP($B1299,FoodDB!$A$2:$I$1018,9,0)</f>
        <v>0</v>
      </c>
      <c r="K1299" s="103"/>
      <c r="L1299" s="103"/>
      <c r="M1299" s="103"/>
      <c r="N1299" s="103"/>
      <c r="O1299" s="103"/>
      <c r="P1299" s="103"/>
      <c r="Q1299" s="103"/>
      <c r="R1299" s="103"/>
      <c r="S1299" s="103"/>
    </row>
    <row r="1300" spans="1:19" x14ac:dyDescent="0.25">
      <c r="B1300" s="99" t="s">
        <v>108</v>
      </c>
      <c r="C1300" s="100">
        <v>1</v>
      </c>
      <c r="D1300" s="103">
        <f>$C1300*VLOOKUP($B1300,FoodDB!$A$2:$I$1018,3,0)</f>
        <v>0</v>
      </c>
      <c r="E1300" s="103">
        <f>$C1300*VLOOKUP($B1300,FoodDB!$A$2:$I$1018,4,0)</f>
        <v>0</v>
      </c>
      <c r="F1300" s="103">
        <f>$C1300*VLOOKUP($B1300,FoodDB!$A$2:$I$1018,5,0)</f>
        <v>0</v>
      </c>
      <c r="G1300" s="103">
        <f>$C1300*VLOOKUP($B1300,FoodDB!$A$2:$I$1018,6,0)</f>
        <v>0</v>
      </c>
      <c r="H1300" s="103">
        <f>$C1300*VLOOKUP($B1300,FoodDB!$A$2:$I$1018,7,0)</f>
        <v>0</v>
      </c>
      <c r="I1300" s="103">
        <f>$C1300*VLOOKUP($B1300,FoodDB!$A$2:$I$1018,8,0)</f>
        <v>0</v>
      </c>
      <c r="J1300" s="103">
        <f>$C1300*VLOOKUP($B1300,FoodDB!$A$2:$I$1018,9,0)</f>
        <v>0</v>
      </c>
      <c r="K1300" s="103"/>
      <c r="L1300" s="103"/>
      <c r="M1300" s="103"/>
      <c r="N1300" s="103"/>
      <c r="O1300" s="103"/>
      <c r="P1300" s="103"/>
      <c r="Q1300" s="103"/>
      <c r="R1300" s="103"/>
      <c r="S1300" s="103"/>
    </row>
    <row r="1301" spans="1:19" x14ac:dyDescent="0.25">
      <c r="A1301" t="s">
        <v>98</v>
      </c>
      <c r="D1301" s="103"/>
      <c r="E1301" s="103"/>
      <c r="F1301" s="103"/>
      <c r="G1301" s="103">
        <f>SUM(G1294:G1300)</f>
        <v>0</v>
      </c>
      <c r="H1301" s="103">
        <f>SUM(H1294:H1300)</f>
        <v>0</v>
      </c>
      <c r="I1301" s="103">
        <f>SUM(I1294:I1300)</f>
        <v>0</v>
      </c>
      <c r="J1301" s="103">
        <f>SUM(G1301:I1301)</f>
        <v>0</v>
      </c>
      <c r="K1301" s="103"/>
      <c r="L1301" s="103"/>
      <c r="M1301" s="103"/>
      <c r="N1301" s="103"/>
      <c r="O1301" s="103"/>
      <c r="P1301" s="103"/>
      <c r="Q1301" s="103"/>
      <c r="R1301" s="103"/>
      <c r="S1301" s="103"/>
    </row>
    <row r="1302" spans="1:19" x14ac:dyDescent="0.25">
      <c r="A1302" t="s">
        <v>102</v>
      </c>
      <c r="B1302" t="s">
        <v>103</v>
      </c>
      <c r="D1302" s="103"/>
      <c r="E1302" s="103"/>
      <c r="F1302" s="103"/>
      <c r="G1302" s="103" t="e">
        <f>VLOOKUP($A1294,LossChart!$A$3:$AB$105,14,0)</f>
        <v>#N/A</v>
      </c>
      <c r="H1302" s="103" t="e">
        <f>VLOOKUP($A1294,LossChart!$A$3:$AB$105,15,0)</f>
        <v>#N/A</v>
      </c>
      <c r="I1302" s="103" t="e">
        <f>VLOOKUP($A1294,LossChart!$A$3:$AB$105,16,0)</f>
        <v>#N/A</v>
      </c>
      <c r="J1302" s="103" t="e">
        <f>VLOOKUP($A1294,LossChart!$A$3:$AB$105,17,0)</f>
        <v>#N/A</v>
      </c>
      <c r="K1302" s="103"/>
      <c r="L1302" s="103"/>
      <c r="M1302" s="103"/>
      <c r="N1302" s="103"/>
      <c r="O1302" s="103"/>
      <c r="P1302" s="103"/>
      <c r="Q1302" s="103"/>
      <c r="R1302" s="103"/>
      <c r="S1302" s="103"/>
    </row>
    <row r="1303" spans="1:19" x14ac:dyDescent="0.25">
      <c r="A1303" t="s">
        <v>104</v>
      </c>
      <c r="D1303" s="103"/>
      <c r="E1303" s="103"/>
      <c r="F1303" s="103"/>
      <c r="G1303" s="103" t="e">
        <f>G1302-G1301</f>
        <v>#N/A</v>
      </c>
      <c r="H1303" s="103" t="e">
        <f>H1302-H1301</f>
        <v>#N/A</v>
      </c>
      <c r="I1303" s="103" t="e">
        <f>I1302-I1301</f>
        <v>#N/A</v>
      </c>
      <c r="J1303" s="103" t="e">
        <f>J1302-J1301</f>
        <v>#N/A</v>
      </c>
      <c r="K1303" s="103"/>
      <c r="L1303" s="103"/>
      <c r="M1303" s="103"/>
      <c r="N1303" s="103"/>
      <c r="O1303" s="103"/>
      <c r="P1303" s="103"/>
      <c r="Q1303" s="103"/>
      <c r="R1303" s="103"/>
      <c r="S1303" s="103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FoodDB!$A$2:$A$48</xm:f>
          </x14:formula1>
          <x14:formula2>
            <xm:f>0</xm:f>
          </x14:formula2>
          <xm:sqref>B2:B5 B9:B10 B14:B16 B20:B23 B29:B33 B39:B43 B49:B55 B61:B67 B73:B79 B85:B91 B97:B103 B109:B115 B121:B127 B130:B136 B142:B148 B154:B161 B167:B174 B180:B186 B192:B198 B204:B213 B219:B228 B234:B240 B246:B252 B258:B264 B270:B276 B282:B288 B294:B300 B306:B314 B320:B327 B333:B339 B345:B351 B357:B364 B370:B376 B382:B388 B394:B400 B406:B412 B418:B424 B430:B436 B442:B448 B454:B460 B466:B472 B478:B484 B490:B496 B502:B508 B514:B520 B526:B532 B538:B544 B550:B556 B562:B568 B574:B580 B586:B592 B598:B604 B610:B616 B622:B628 B634:B640 B646:B652 B658:B664 B670:B676 B682:B688 B694:B700 B706:B712 B718:B724 B730:B736 B742:B748 B754:B760 B766:B772 B778:B784 B790:B796 B802:B808 B814:B820 B826:B832 B838:B844 B850:B856 B862:B868 B874:B880 B886:B892 B898:B904 B910:B916 B922:B928 B934:B940 B946:B952 B958:B964 B970:B976 B982:B988 B994:B1000 B1006:B1012 B1018:B1024 B1030:B1036 B1042:B1048 B1054:B1060 B1066:B1072 B1078:B1084 B1090:B1096 B1102:B1108 B1114:B1120 B1126:B1132 B1138:B1144 B1150:B1156 B1162:B1168 B1174:B1180 B1186:B1192 B1198:B1204 B1210:B1216 B1222:B1228 B1234:B1240 B1246:B1252 B1258:B1264 B1270:B1276 B1282:B1288 B1294:B1300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"/>
  <sheetViews>
    <sheetView zoomScale="150" zoomScaleNormal="150" workbookViewId="0">
      <pane ySplit="1" topLeftCell="A2" activePane="bottomLeft" state="frozen"/>
      <selection pane="bottomLeft" activeCell="E33" sqref="E33"/>
    </sheetView>
  </sheetViews>
  <sheetFormatPr defaultRowHeight="15" x14ac:dyDescent="0.25"/>
  <cols>
    <col min="1" max="1" width="20.85546875" style="38" customWidth="1"/>
    <col min="2" max="2" width="11" style="104" customWidth="1"/>
    <col min="3" max="3" width="5.140625" style="38" customWidth="1"/>
    <col min="4" max="4" width="5.85546875" style="38" customWidth="1"/>
    <col min="5" max="5" width="12.140625" style="38" customWidth="1"/>
    <col min="6" max="6" width="6.28515625" style="38" customWidth="1"/>
    <col min="7" max="7" width="5.140625" style="38" customWidth="1"/>
    <col min="8" max="8" width="7.42578125" style="38" customWidth="1"/>
    <col min="9" max="9" width="8.85546875" style="38" customWidth="1"/>
    <col min="10" max="1025" width="11.5703125" style="38" customWidth="1"/>
  </cols>
  <sheetData>
    <row r="1" spans="1:9" ht="45" x14ac:dyDescent="0.25">
      <c r="A1" s="105" t="s">
        <v>93</v>
      </c>
      <c r="B1" s="106" t="s">
        <v>138</v>
      </c>
      <c r="C1" s="107" t="s">
        <v>71</v>
      </c>
      <c r="D1" s="107" t="s">
        <v>139</v>
      </c>
      <c r="E1" s="107" t="s">
        <v>73</v>
      </c>
      <c r="F1" s="107" t="s">
        <v>140</v>
      </c>
      <c r="G1" s="107" t="s">
        <v>141</v>
      </c>
      <c r="H1" s="107" t="s">
        <v>142</v>
      </c>
      <c r="I1" s="108" t="s">
        <v>143</v>
      </c>
    </row>
    <row r="2" spans="1:9" x14ac:dyDescent="0.25">
      <c r="A2" s="38" t="s">
        <v>108</v>
      </c>
      <c r="B2" s="104">
        <v>1</v>
      </c>
      <c r="C2" s="109">
        <v>0</v>
      </c>
      <c r="D2" s="109">
        <v>0</v>
      </c>
      <c r="E2" s="109">
        <v>0</v>
      </c>
      <c r="F2" s="109">
        <f t="shared" ref="F2:F37" si="0">9*C2</f>
        <v>0</v>
      </c>
      <c r="G2" s="109">
        <f t="shared" ref="G2:G37" si="1">4*D2</f>
        <v>0</v>
      </c>
      <c r="H2" s="109">
        <f t="shared" ref="H2:H37" si="2">4*E2</f>
        <v>0</v>
      </c>
      <c r="I2" s="109">
        <f t="shared" ref="I2:I20" si="3">SUM(F2:H2)</f>
        <v>0</v>
      </c>
    </row>
    <row r="3" spans="1:9" x14ac:dyDescent="0.25">
      <c r="A3" s="38" t="s">
        <v>127</v>
      </c>
      <c r="B3" s="104" t="s">
        <v>144</v>
      </c>
      <c r="C3" s="109">
        <v>15</v>
      </c>
      <c r="D3" s="109">
        <v>2</v>
      </c>
      <c r="E3" s="109">
        <v>7</v>
      </c>
      <c r="F3" s="109">
        <f t="shared" si="0"/>
        <v>135</v>
      </c>
      <c r="G3" s="109">
        <f t="shared" si="1"/>
        <v>8</v>
      </c>
      <c r="H3" s="109">
        <f t="shared" si="2"/>
        <v>28</v>
      </c>
      <c r="I3" s="109">
        <f t="shared" si="3"/>
        <v>171</v>
      </c>
    </row>
    <row r="4" spans="1:9" x14ac:dyDescent="0.25">
      <c r="A4" s="38" t="s">
        <v>106</v>
      </c>
      <c r="B4" s="104" t="s">
        <v>145</v>
      </c>
      <c r="C4" s="38">
        <v>0.1</v>
      </c>
      <c r="D4" s="38">
        <v>1.8</v>
      </c>
      <c r="E4" s="38">
        <v>2.2000000000000002</v>
      </c>
      <c r="F4" s="109">
        <f t="shared" si="0"/>
        <v>0.9</v>
      </c>
      <c r="G4" s="109">
        <f t="shared" si="1"/>
        <v>7.2</v>
      </c>
      <c r="H4" s="109">
        <f t="shared" si="2"/>
        <v>8.8000000000000007</v>
      </c>
      <c r="I4" s="109">
        <f t="shared" si="3"/>
        <v>16.899999999999999</v>
      </c>
    </row>
    <row r="5" spans="1:9" x14ac:dyDescent="0.25">
      <c r="A5" s="38" t="s">
        <v>130</v>
      </c>
      <c r="B5" s="104" t="s">
        <v>145</v>
      </c>
      <c r="C5" s="38">
        <v>0</v>
      </c>
      <c r="D5" s="38">
        <v>5.35</v>
      </c>
      <c r="E5" s="38">
        <v>0</v>
      </c>
      <c r="F5" s="109">
        <f t="shared" si="0"/>
        <v>0</v>
      </c>
      <c r="G5" s="109">
        <f t="shared" si="1"/>
        <v>21.4</v>
      </c>
      <c r="H5" s="109">
        <f t="shared" si="2"/>
        <v>0</v>
      </c>
      <c r="I5" s="109">
        <f t="shared" si="3"/>
        <v>21.4</v>
      </c>
    </row>
    <row r="6" spans="1:9" x14ac:dyDescent="0.25">
      <c r="A6" s="38" t="s">
        <v>96</v>
      </c>
      <c r="B6" s="104" t="s">
        <v>146</v>
      </c>
      <c r="C6" s="109">
        <f>4.5*0/14</f>
        <v>0</v>
      </c>
      <c r="D6" s="109">
        <f>4.5*2/14</f>
        <v>0.6428571428571429</v>
      </c>
      <c r="E6" s="109">
        <f>4.5*1/14</f>
        <v>0.32142857142857145</v>
      </c>
      <c r="F6" s="109">
        <f t="shared" si="0"/>
        <v>0</v>
      </c>
      <c r="G6" s="109">
        <f t="shared" si="1"/>
        <v>2.5714285714285716</v>
      </c>
      <c r="H6" s="109">
        <f t="shared" si="2"/>
        <v>1.2857142857142858</v>
      </c>
      <c r="I6" s="109">
        <f t="shared" si="3"/>
        <v>3.8571428571428577</v>
      </c>
    </row>
    <row r="7" spans="1:9" x14ac:dyDescent="0.25">
      <c r="A7" s="38" t="s">
        <v>109</v>
      </c>
      <c r="B7" s="104" t="s">
        <v>147</v>
      </c>
      <c r="C7" s="109">
        <v>12</v>
      </c>
      <c r="D7" s="109">
        <v>0</v>
      </c>
      <c r="E7" s="109">
        <v>0</v>
      </c>
      <c r="F7" s="109">
        <f t="shared" si="0"/>
        <v>108</v>
      </c>
      <c r="G7" s="109">
        <f t="shared" si="1"/>
        <v>0</v>
      </c>
      <c r="H7" s="109">
        <f t="shared" si="2"/>
        <v>0</v>
      </c>
      <c r="I7" s="109">
        <f t="shared" si="3"/>
        <v>108</v>
      </c>
    </row>
    <row r="8" spans="1:9" x14ac:dyDescent="0.25">
      <c r="A8" s="38" t="s">
        <v>135</v>
      </c>
      <c r="B8" s="104" t="s">
        <v>148</v>
      </c>
      <c r="C8" s="109">
        <v>1.6</v>
      </c>
      <c r="D8" s="109">
        <f>29-12</f>
        <v>17</v>
      </c>
      <c r="E8" s="109">
        <v>11</v>
      </c>
      <c r="F8" s="109">
        <f t="shared" si="0"/>
        <v>14.4</v>
      </c>
      <c r="G8" s="109">
        <f t="shared" si="1"/>
        <v>68</v>
      </c>
      <c r="H8" s="109">
        <f t="shared" si="2"/>
        <v>44</v>
      </c>
      <c r="I8" s="109">
        <f t="shared" si="3"/>
        <v>126.4</v>
      </c>
    </row>
    <row r="9" spans="1:9" x14ac:dyDescent="0.25">
      <c r="A9" s="110" t="s">
        <v>97</v>
      </c>
      <c r="B9" s="111" t="s">
        <v>147</v>
      </c>
      <c r="C9" s="109">
        <v>9</v>
      </c>
      <c r="D9" s="109">
        <v>2</v>
      </c>
      <c r="E9" s="112">
        <v>4.7</v>
      </c>
      <c r="F9" s="109">
        <f t="shared" si="0"/>
        <v>81</v>
      </c>
      <c r="G9" s="109">
        <f t="shared" si="1"/>
        <v>8</v>
      </c>
      <c r="H9" s="109">
        <f t="shared" si="2"/>
        <v>18.8</v>
      </c>
      <c r="I9" s="109">
        <f t="shared" si="3"/>
        <v>107.8</v>
      </c>
    </row>
    <row r="10" spans="1:9" x14ac:dyDescent="0.25">
      <c r="A10" s="38" t="s">
        <v>126</v>
      </c>
      <c r="B10" s="104" t="s">
        <v>145</v>
      </c>
      <c r="C10" s="109">
        <v>3.6</v>
      </c>
      <c r="D10" s="109">
        <v>0</v>
      </c>
      <c r="E10" s="109">
        <v>31</v>
      </c>
      <c r="F10" s="109">
        <f t="shared" si="0"/>
        <v>32.4</v>
      </c>
      <c r="G10" s="109">
        <f t="shared" si="1"/>
        <v>0</v>
      </c>
      <c r="H10" s="109">
        <f t="shared" si="2"/>
        <v>124</v>
      </c>
      <c r="I10" s="109">
        <f t="shared" si="3"/>
        <v>156.4</v>
      </c>
    </row>
    <row r="11" spans="1:9" x14ac:dyDescent="0.25">
      <c r="A11" s="38" t="s">
        <v>149</v>
      </c>
      <c r="B11" s="104" t="s">
        <v>150</v>
      </c>
      <c r="C11" s="109">
        <v>10</v>
      </c>
      <c r="D11" s="109">
        <v>0</v>
      </c>
      <c r="E11" s="109">
        <v>28</v>
      </c>
      <c r="F11" s="109">
        <f t="shared" si="0"/>
        <v>90</v>
      </c>
      <c r="G11" s="109">
        <f t="shared" si="1"/>
        <v>0</v>
      </c>
      <c r="H11" s="109">
        <f t="shared" si="2"/>
        <v>112</v>
      </c>
      <c r="I11" s="109">
        <f t="shared" si="3"/>
        <v>202</v>
      </c>
    </row>
    <row r="12" spans="1:9" x14ac:dyDescent="0.25">
      <c r="A12" s="38" t="s">
        <v>151</v>
      </c>
      <c r="B12" s="104">
        <v>1</v>
      </c>
      <c r="C12" s="109">
        <v>8.3000000000000007</v>
      </c>
      <c r="D12" s="109">
        <v>0</v>
      </c>
      <c r="E12" s="109">
        <v>11.46</v>
      </c>
      <c r="F12" s="109">
        <f t="shared" si="0"/>
        <v>74.7</v>
      </c>
      <c r="G12" s="109">
        <f t="shared" si="1"/>
        <v>0</v>
      </c>
      <c r="H12" s="109">
        <f t="shared" si="2"/>
        <v>45.84</v>
      </c>
      <c r="I12" s="109">
        <f t="shared" si="3"/>
        <v>120.54</v>
      </c>
    </row>
    <row r="13" spans="1:9" x14ac:dyDescent="0.25">
      <c r="A13" s="38" t="s">
        <v>99</v>
      </c>
      <c r="B13" s="104">
        <v>1</v>
      </c>
      <c r="C13" s="109">
        <v>6.18</v>
      </c>
      <c r="D13" s="109">
        <v>0</v>
      </c>
      <c r="E13" s="109">
        <v>8.52</v>
      </c>
      <c r="F13" s="109">
        <f t="shared" si="0"/>
        <v>55.62</v>
      </c>
      <c r="G13" s="109">
        <f t="shared" si="1"/>
        <v>0</v>
      </c>
      <c r="H13" s="109">
        <f t="shared" si="2"/>
        <v>34.08</v>
      </c>
      <c r="I13" s="109">
        <f t="shared" si="3"/>
        <v>89.699999999999989</v>
      </c>
    </row>
    <row r="14" spans="1:9" x14ac:dyDescent="0.25">
      <c r="A14" s="38" t="s">
        <v>152</v>
      </c>
      <c r="B14" s="104">
        <v>1</v>
      </c>
      <c r="C14" s="109">
        <v>5.4</v>
      </c>
      <c r="D14" s="109">
        <v>0</v>
      </c>
      <c r="E14" s="109">
        <v>7.46</v>
      </c>
      <c r="F14" s="109">
        <f t="shared" si="0"/>
        <v>48.6</v>
      </c>
      <c r="G14" s="109">
        <f t="shared" si="1"/>
        <v>0</v>
      </c>
      <c r="H14" s="109">
        <f t="shared" si="2"/>
        <v>29.84</v>
      </c>
      <c r="I14" s="109">
        <f t="shared" si="3"/>
        <v>78.44</v>
      </c>
    </row>
    <row r="15" spans="1:9" x14ac:dyDescent="0.25">
      <c r="A15" s="38" t="s">
        <v>133</v>
      </c>
      <c r="B15" s="104" t="s">
        <v>153</v>
      </c>
      <c r="C15" s="109">
        <v>0</v>
      </c>
      <c r="D15" s="109">
        <v>0</v>
      </c>
      <c r="E15" s="109">
        <v>0</v>
      </c>
      <c r="F15" s="109">
        <f t="shared" si="0"/>
        <v>0</v>
      </c>
      <c r="G15" s="109">
        <f t="shared" si="1"/>
        <v>0</v>
      </c>
      <c r="H15" s="109">
        <f t="shared" si="2"/>
        <v>0</v>
      </c>
      <c r="I15" s="109">
        <f t="shared" si="3"/>
        <v>0</v>
      </c>
    </row>
    <row r="16" spans="1:9" x14ac:dyDescent="0.25">
      <c r="A16" s="38" t="s">
        <v>125</v>
      </c>
      <c r="B16" s="104" t="s">
        <v>153</v>
      </c>
      <c r="C16" s="38">
        <v>1.5</v>
      </c>
      <c r="D16" s="38">
        <v>3</v>
      </c>
      <c r="E16" s="38">
        <v>25</v>
      </c>
      <c r="F16" s="109">
        <f t="shared" si="0"/>
        <v>13.5</v>
      </c>
      <c r="G16" s="109">
        <f t="shared" si="1"/>
        <v>12</v>
      </c>
      <c r="H16" s="109">
        <f t="shared" si="2"/>
        <v>100</v>
      </c>
      <c r="I16" s="109">
        <f t="shared" si="3"/>
        <v>125.5</v>
      </c>
    </row>
    <row r="17" spans="1:9" x14ac:dyDescent="0.25">
      <c r="A17" s="38" t="s">
        <v>101</v>
      </c>
      <c r="B17" s="104">
        <v>1</v>
      </c>
      <c r="C17" s="109">
        <v>5</v>
      </c>
      <c r="D17" s="109">
        <v>0</v>
      </c>
      <c r="E17" s="109">
        <v>6</v>
      </c>
      <c r="F17" s="109">
        <f t="shared" si="0"/>
        <v>45</v>
      </c>
      <c r="G17" s="109">
        <f t="shared" si="1"/>
        <v>0</v>
      </c>
      <c r="H17" s="109">
        <f t="shared" si="2"/>
        <v>24</v>
      </c>
      <c r="I17" s="109">
        <f t="shared" si="3"/>
        <v>69</v>
      </c>
    </row>
    <row r="18" spans="1:9" x14ac:dyDescent="0.25">
      <c r="A18" s="38" t="s">
        <v>107</v>
      </c>
      <c r="B18" s="104">
        <v>1</v>
      </c>
      <c r="C18" s="38">
        <v>0.5</v>
      </c>
      <c r="D18" s="38">
        <v>0</v>
      </c>
      <c r="E18" s="38">
        <v>0</v>
      </c>
      <c r="F18" s="109">
        <f t="shared" si="0"/>
        <v>4.5</v>
      </c>
      <c r="G18" s="109">
        <f t="shared" si="1"/>
        <v>0</v>
      </c>
      <c r="H18" s="109">
        <f t="shared" si="2"/>
        <v>0</v>
      </c>
      <c r="I18" s="109">
        <f t="shared" si="3"/>
        <v>4.5</v>
      </c>
    </row>
    <row r="19" spans="1:9" x14ac:dyDescent="0.25">
      <c r="A19" s="38" t="s">
        <v>122</v>
      </c>
      <c r="B19" s="104" t="s">
        <v>145</v>
      </c>
      <c r="C19" s="38">
        <v>18</v>
      </c>
      <c r="D19" s="38">
        <v>0</v>
      </c>
      <c r="E19" s="38">
        <v>26</v>
      </c>
      <c r="F19" s="109">
        <f t="shared" si="0"/>
        <v>162</v>
      </c>
      <c r="G19" s="109">
        <f t="shared" si="1"/>
        <v>0</v>
      </c>
      <c r="H19" s="109">
        <f t="shared" si="2"/>
        <v>104</v>
      </c>
      <c r="I19" s="109">
        <f t="shared" si="3"/>
        <v>266</v>
      </c>
    </row>
    <row r="20" spans="1:9" x14ac:dyDescent="0.25">
      <c r="A20" s="38" t="s">
        <v>95</v>
      </c>
      <c r="B20" s="104" t="s">
        <v>154</v>
      </c>
      <c r="C20" s="109">
        <v>0.5</v>
      </c>
      <c r="D20" s="109">
        <v>0</v>
      </c>
      <c r="E20" s="109">
        <v>50</v>
      </c>
      <c r="F20" s="109">
        <f t="shared" si="0"/>
        <v>4.5</v>
      </c>
      <c r="G20" s="109">
        <f t="shared" si="1"/>
        <v>0</v>
      </c>
      <c r="H20" s="109">
        <f t="shared" si="2"/>
        <v>200</v>
      </c>
      <c r="I20" s="109">
        <f t="shared" si="3"/>
        <v>204.5</v>
      </c>
    </row>
    <row r="21" spans="1:9" x14ac:dyDescent="0.25">
      <c r="A21" s="38" t="s">
        <v>155</v>
      </c>
      <c r="B21" s="104" t="s">
        <v>156</v>
      </c>
      <c r="C21" s="109">
        <v>0</v>
      </c>
      <c r="D21" s="109">
        <v>0</v>
      </c>
      <c r="E21" s="109">
        <v>0</v>
      </c>
      <c r="F21" s="109">
        <f t="shared" si="0"/>
        <v>0</v>
      </c>
      <c r="G21" s="109">
        <f t="shared" si="1"/>
        <v>0</v>
      </c>
      <c r="H21" s="109">
        <f t="shared" si="2"/>
        <v>0</v>
      </c>
      <c r="I21" s="109">
        <v>98</v>
      </c>
    </row>
    <row r="22" spans="1:9" x14ac:dyDescent="0.25">
      <c r="A22" s="38" t="s">
        <v>100</v>
      </c>
      <c r="B22" s="104" t="s">
        <v>157</v>
      </c>
      <c r="C22" s="109">
        <v>0</v>
      </c>
      <c r="D22" s="109">
        <v>1</v>
      </c>
      <c r="E22" s="109">
        <v>1</v>
      </c>
      <c r="F22" s="109">
        <f t="shared" si="0"/>
        <v>0</v>
      </c>
      <c r="G22" s="109">
        <f t="shared" si="1"/>
        <v>4</v>
      </c>
      <c r="H22" s="109">
        <f t="shared" si="2"/>
        <v>4</v>
      </c>
      <c r="I22" s="109">
        <f t="shared" ref="I22:I37" si="4">SUM(F22:H22)</f>
        <v>8</v>
      </c>
    </row>
    <row r="23" spans="1:9" x14ac:dyDescent="0.25">
      <c r="A23" s="38" t="s">
        <v>158</v>
      </c>
      <c r="B23" s="104" t="s">
        <v>147</v>
      </c>
      <c r="C23" s="109">
        <v>14</v>
      </c>
      <c r="D23" s="109">
        <v>0</v>
      </c>
      <c r="E23" s="109">
        <v>0</v>
      </c>
      <c r="F23" s="109">
        <f t="shared" si="0"/>
        <v>126</v>
      </c>
      <c r="G23" s="109">
        <f t="shared" si="1"/>
        <v>0</v>
      </c>
      <c r="H23" s="109">
        <f t="shared" si="2"/>
        <v>0</v>
      </c>
      <c r="I23" s="109">
        <f t="shared" si="4"/>
        <v>126</v>
      </c>
    </row>
    <row r="24" spans="1:9" x14ac:dyDescent="0.25">
      <c r="A24" s="38" t="s">
        <v>134</v>
      </c>
      <c r="B24" s="104" t="s">
        <v>146</v>
      </c>
      <c r="C24" s="109">
        <v>14</v>
      </c>
      <c r="D24" s="109">
        <v>3</v>
      </c>
      <c r="E24" s="109">
        <v>7</v>
      </c>
      <c r="F24" s="109">
        <f t="shared" si="0"/>
        <v>126</v>
      </c>
      <c r="G24" s="109">
        <f t="shared" si="1"/>
        <v>12</v>
      </c>
      <c r="H24" s="109">
        <f t="shared" si="2"/>
        <v>28</v>
      </c>
      <c r="I24" s="109">
        <f t="shared" si="4"/>
        <v>166</v>
      </c>
    </row>
    <row r="25" spans="1:9" x14ac:dyDescent="0.25">
      <c r="A25" s="38" t="s">
        <v>123</v>
      </c>
      <c r="B25" s="104" t="s">
        <v>159</v>
      </c>
      <c r="C25" s="109">
        <v>6</v>
      </c>
      <c r="D25" s="109">
        <v>0</v>
      </c>
      <c r="E25" s="109">
        <v>7</v>
      </c>
      <c r="F25" s="109">
        <f t="shared" si="0"/>
        <v>54</v>
      </c>
      <c r="G25" s="109">
        <f t="shared" si="1"/>
        <v>0</v>
      </c>
      <c r="H25" s="109">
        <f t="shared" si="2"/>
        <v>28</v>
      </c>
      <c r="I25" s="109">
        <f t="shared" si="4"/>
        <v>82</v>
      </c>
    </row>
    <row r="26" spans="1:9" x14ac:dyDescent="0.25">
      <c r="A26" s="38" t="s">
        <v>131</v>
      </c>
      <c r="B26" s="104" t="s">
        <v>160</v>
      </c>
      <c r="C26" s="109">
        <v>7</v>
      </c>
      <c r="D26" s="109">
        <v>3</v>
      </c>
      <c r="E26" s="109">
        <v>1</v>
      </c>
      <c r="F26" s="109">
        <f t="shared" si="0"/>
        <v>63</v>
      </c>
      <c r="G26" s="109">
        <f t="shared" si="1"/>
        <v>12</v>
      </c>
      <c r="H26" s="109">
        <f t="shared" si="2"/>
        <v>4</v>
      </c>
      <c r="I26" s="109">
        <f t="shared" si="4"/>
        <v>79</v>
      </c>
    </row>
    <row r="27" spans="1:9" x14ac:dyDescent="0.25">
      <c r="A27" s="38" t="s">
        <v>161</v>
      </c>
      <c r="B27" s="104" t="s">
        <v>162</v>
      </c>
      <c r="C27" s="109">
        <v>11</v>
      </c>
      <c r="D27" s="109">
        <v>0</v>
      </c>
      <c r="E27" s="109">
        <v>23</v>
      </c>
      <c r="F27" s="109">
        <f t="shared" si="0"/>
        <v>99</v>
      </c>
      <c r="G27" s="109">
        <f t="shared" si="1"/>
        <v>0</v>
      </c>
      <c r="H27" s="109">
        <f t="shared" si="2"/>
        <v>92</v>
      </c>
      <c r="I27" s="109">
        <f t="shared" si="4"/>
        <v>191</v>
      </c>
    </row>
    <row r="28" spans="1:9" x14ac:dyDescent="0.25">
      <c r="A28" s="38" t="s">
        <v>136</v>
      </c>
      <c r="B28" s="104" t="s">
        <v>162</v>
      </c>
      <c r="C28" s="109">
        <v>5</v>
      </c>
      <c r="D28" s="109">
        <v>7</v>
      </c>
      <c r="E28" s="109">
        <v>16</v>
      </c>
      <c r="F28" s="109">
        <f t="shared" si="0"/>
        <v>45</v>
      </c>
      <c r="G28" s="109">
        <f t="shared" si="1"/>
        <v>28</v>
      </c>
      <c r="H28" s="109">
        <f t="shared" si="2"/>
        <v>64</v>
      </c>
      <c r="I28" s="109">
        <f t="shared" si="4"/>
        <v>137</v>
      </c>
    </row>
    <row r="29" spans="1:9" x14ac:dyDescent="0.25">
      <c r="A29" s="38" t="s">
        <v>128</v>
      </c>
      <c r="B29" s="104" t="s">
        <v>163</v>
      </c>
      <c r="C29" s="109">
        <v>0.2</v>
      </c>
      <c r="D29" s="109">
        <v>2.4</v>
      </c>
      <c r="E29" s="109">
        <v>0.8</v>
      </c>
      <c r="F29" s="109">
        <f t="shared" si="0"/>
        <v>1.8</v>
      </c>
      <c r="G29" s="109">
        <f t="shared" si="1"/>
        <v>9.6</v>
      </c>
      <c r="H29" s="109">
        <f t="shared" si="2"/>
        <v>3.2</v>
      </c>
      <c r="I29" s="109">
        <f t="shared" si="4"/>
        <v>14.600000000000001</v>
      </c>
    </row>
    <row r="30" spans="1:9" x14ac:dyDescent="0.25">
      <c r="A30" s="38" t="s">
        <v>164</v>
      </c>
      <c r="B30" s="104" t="s">
        <v>165</v>
      </c>
      <c r="C30" s="109">
        <v>0.2</v>
      </c>
      <c r="D30" s="109">
        <v>3.3</v>
      </c>
      <c r="E30" s="109">
        <v>1.1000000000000001</v>
      </c>
      <c r="F30" s="109">
        <f t="shared" si="0"/>
        <v>1.8</v>
      </c>
      <c r="G30" s="109">
        <f t="shared" si="1"/>
        <v>13.2</v>
      </c>
      <c r="H30" s="109">
        <f t="shared" si="2"/>
        <v>4.4000000000000004</v>
      </c>
      <c r="I30" s="109">
        <f t="shared" si="4"/>
        <v>19.399999999999999</v>
      </c>
    </row>
    <row r="31" spans="1:9" x14ac:dyDescent="0.25">
      <c r="A31" s="38" t="s">
        <v>166</v>
      </c>
      <c r="B31" s="104" t="s">
        <v>167</v>
      </c>
      <c r="C31" s="109">
        <v>0.4</v>
      </c>
      <c r="D31" s="109">
        <v>4.8</v>
      </c>
      <c r="E31" s="109">
        <v>1.6</v>
      </c>
      <c r="F31" s="109">
        <f t="shared" si="0"/>
        <v>3.6</v>
      </c>
      <c r="G31" s="109">
        <f t="shared" si="1"/>
        <v>19.2</v>
      </c>
      <c r="H31" s="109">
        <f t="shared" si="2"/>
        <v>6.4</v>
      </c>
      <c r="I31" s="109">
        <f t="shared" si="4"/>
        <v>29.200000000000003</v>
      </c>
    </row>
    <row r="32" spans="1:9" x14ac:dyDescent="0.25">
      <c r="A32" s="38" t="s">
        <v>132</v>
      </c>
      <c r="B32" s="104" t="s">
        <v>168</v>
      </c>
      <c r="C32" s="38">
        <v>0.5</v>
      </c>
      <c r="D32" s="38">
        <v>1</v>
      </c>
      <c r="E32" s="38">
        <v>12</v>
      </c>
      <c r="F32" s="38">
        <f t="shared" si="0"/>
        <v>4.5</v>
      </c>
      <c r="G32" s="38">
        <f t="shared" si="1"/>
        <v>4</v>
      </c>
      <c r="H32" s="38">
        <f t="shared" si="2"/>
        <v>48</v>
      </c>
      <c r="I32" s="38">
        <f t="shared" si="4"/>
        <v>56.5</v>
      </c>
    </row>
    <row r="33" spans="1:9" x14ac:dyDescent="0.25">
      <c r="A33" s="38" t="s">
        <v>137</v>
      </c>
      <c r="B33" s="104" t="s">
        <v>169</v>
      </c>
      <c r="C33" s="38">
        <v>2</v>
      </c>
      <c r="D33" s="38">
        <v>0</v>
      </c>
      <c r="E33" s="38">
        <v>22</v>
      </c>
      <c r="F33" s="38">
        <f t="shared" si="0"/>
        <v>18</v>
      </c>
      <c r="G33" s="38">
        <f t="shared" si="1"/>
        <v>0</v>
      </c>
      <c r="H33" s="38">
        <f t="shared" si="2"/>
        <v>88</v>
      </c>
      <c r="I33" s="38">
        <f t="shared" si="4"/>
        <v>106</v>
      </c>
    </row>
    <row r="34" spans="1:9" x14ac:dyDescent="0.25">
      <c r="A34" s="38" t="s">
        <v>170</v>
      </c>
      <c r="B34" s="104" t="s">
        <v>171</v>
      </c>
      <c r="C34" s="38">
        <v>5</v>
      </c>
      <c r="D34" s="38">
        <v>0</v>
      </c>
      <c r="E34" s="38">
        <v>25</v>
      </c>
      <c r="F34" s="38">
        <f t="shared" si="0"/>
        <v>45</v>
      </c>
      <c r="G34" s="38">
        <f t="shared" si="1"/>
        <v>0</v>
      </c>
      <c r="H34" s="38">
        <f t="shared" si="2"/>
        <v>100</v>
      </c>
      <c r="I34" s="38">
        <f t="shared" si="4"/>
        <v>145</v>
      </c>
    </row>
    <row r="35" spans="1:9" x14ac:dyDescent="0.25">
      <c r="A35" s="38" t="s">
        <v>105</v>
      </c>
      <c r="B35" s="104" t="s">
        <v>172</v>
      </c>
      <c r="C35" s="109">
        <v>0.8</v>
      </c>
      <c r="D35" s="109">
        <v>0</v>
      </c>
      <c r="E35" s="109">
        <v>34</v>
      </c>
      <c r="F35" s="109">
        <f t="shared" si="0"/>
        <v>7.2</v>
      </c>
      <c r="G35" s="109">
        <f t="shared" si="1"/>
        <v>0</v>
      </c>
      <c r="H35" s="109">
        <f t="shared" si="2"/>
        <v>136</v>
      </c>
      <c r="I35" s="109">
        <f t="shared" si="4"/>
        <v>143.19999999999999</v>
      </c>
    </row>
    <row r="36" spans="1:9" x14ac:dyDescent="0.25">
      <c r="A36" s="38" t="s">
        <v>124</v>
      </c>
      <c r="B36" s="104" t="s">
        <v>173</v>
      </c>
      <c r="C36" s="109">
        <v>0.5</v>
      </c>
      <c r="D36" s="109">
        <v>2</v>
      </c>
      <c r="E36" s="109">
        <v>10</v>
      </c>
      <c r="F36" s="109">
        <f t="shared" si="0"/>
        <v>4.5</v>
      </c>
      <c r="G36" s="109">
        <f t="shared" si="1"/>
        <v>8</v>
      </c>
      <c r="H36" s="109">
        <f t="shared" si="2"/>
        <v>40</v>
      </c>
      <c r="I36" s="109">
        <f t="shared" si="4"/>
        <v>52.5</v>
      </c>
    </row>
    <row r="37" spans="1:9" x14ac:dyDescent="0.25">
      <c r="A37" s="38" t="s">
        <v>129</v>
      </c>
      <c r="B37" s="104" t="s">
        <v>174</v>
      </c>
      <c r="C37" s="38">
        <v>0.6</v>
      </c>
      <c r="D37" s="38">
        <v>4.9000000000000004</v>
      </c>
      <c r="E37" s="38">
        <v>2.4</v>
      </c>
      <c r="F37" s="38">
        <f t="shared" si="0"/>
        <v>5.3999999999999995</v>
      </c>
      <c r="G37" s="38">
        <f t="shared" si="1"/>
        <v>19.600000000000001</v>
      </c>
      <c r="H37" s="38">
        <f t="shared" si="2"/>
        <v>9.6</v>
      </c>
      <c r="I37" s="38">
        <f t="shared" si="4"/>
        <v>34.6</v>
      </c>
    </row>
  </sheetData>
  <autoFilter ref="A1:I20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10090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15</vt:i4>
      </vt:variant>
    </vt:vector>
  </HeadingPairs>
  <TitlesOfParts>
    <vt:vector size="25" baseType="lpstr">
      <vt:lpstr>Measured</vt:lpstr>
      <vt:lpstr>TDEE</vt:lpstr>
      <vt:lpstr>BF_DoD</vt:lpstr>
      <vt:lpstr>Protein_Amt</vt:lpstr>
      <vt:lpstr>Max_LBM</vt:lpstr>
      <vt:lpstr>LossChart</vt:lpstr>
      <vt:lpstr>Scale</vt:lpstr>
      <vt:lpstr>FoodLog</vt:lpstr>
      <vt:lpstr>FoodDB</vt:lpstr>
      <vt:lpstr>H2O_Fasting</vt:lpstr>
      <vt:lpstr>FoodDB!__xlnm._FilterDatabase</vt:lpstr>
      <vt:lpstr>FoodDB!_FilterDatabase</vt:lpstr>
      <vt:lpstr>FoodDB!_FilterDatabase_0</vt:lpstr>
      <vt:lpstr>FoodDB!_FilterDatabase_0_0</vt:lpstr>
      <vt:lpstr>FoodDB!_FilterDatabase_0_0_0</vt:lpstr>
      <vt:lpstr>FoodDB!_FilterDatabase_0_0_0_0</vt:lpstr>
      <vt:lpstr>FoodDB!_FilterDatabase_0_0_0_0_0</vt:lpstr>
      <vt:lpstr>FoodDB!df</vt:lpstr>
      <vt:lpstr>FoodDB!filter2</vt:lpstr>
      <vt:lpstr>FoodDB!filter5</vt:lpstr>
      <vt:lpstr>FoodDB!sad</vt:lpstr>
      <vt:lpstr>FoodDB!sdfsdf</vt:lpstr>
      <vt:lpstr>FoodDB!that</vt:lpstr>
      <vt:lpstr>FoodDB!this</vt:lpstr>
      <vt:lpstr>FoodDB!wer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160</cp:revision>
  <cp:lastPrinted>1601-01-01T00:00:00Z</cp:lastPrinted>
  <dcterms:created xsi:type="dcterms:W3CDTF">2017-09-14T17:05:16Z</dcterms:created>
  <dcterms:modified xsi:type="dcterms:W3CDTF">2017-10-16T15:49:20Z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