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1045" windowHeight="8190" tabRatio="665" activeTab="8"/>
  </bookViews>
  <sheets>
    <sheet name="Measured" sheetId="1" r:id="rId1"/>
    <sheet name="TDEE" sheetId="2" r:id="rId2"/>
    <sheet name="BF_DoD" sheetId="3" r:id="rId3"/>
    <sheet name="Protein_Amt" sheetId="4" r:id="rId4"/>
    <sheet name="Max_LBM" sheetId="5" r:id="rId5"/>
    <sheet name="LossChart" sheetId="6" r:id="rId6"/>
    <sheet name="Scale" sheetId="7" r:id="rId7"/>
    <sheet name="FoodLog" sheetId="8" r:id="rId8"/>
    <sheet name="FoodDB" sheetId="9" r:id="rId9"/>
    <sheet name="H2O_Fasting" sheetId="10" r:id="rId10"/>
  </sheets>
  <definedNames>
    <definedName name="__xlnm._FilterDatabase" localSheetId="8">FoodDB!$A$1:$I$19</definedName>
    <definedName name="_xlnm._FilterDatabase" localSheetId="8">FoodDB!$A$1:$I$19</definedName>
    <definedName name="_FilterDatabase_0" localSheetId="8">FoodDB!$A$1:$I$19</definedName>
    <definedName name="_FilterDatabase_0_0" localSheetId="8">FoodDB!$A$1:$I$19</definedName>
    <definedName name="_FilterDatabase_0_0_0" localSheetId="8">FoodDB!$A$1:$I$19</definedName>
    <definedName name="_FilterDatabase_0_0_0_0" localSheetId="8">FoodDB!$A$1:$I$19</definedName>
    <definedName name="_FilterDatabase_0_0_0_0_0" localSheetId="8">FoodDB!$A$1:$I$19</definedName>
    <definedName name="filter2" localSheetId="8">FoodDB!$A$1:$I$19</definedName>
    <definedName name="filter5" localSheetId="8">FoodDB!$A$1:$I$19</definedName>
    <definedName name="that" localSheetId="8">FoodDB!$A$1:$I$19</definedName>
    <definedName name="this" localSheetId="8">FoodDB!$A$1:$I$19</definedName>
  </definedNames>
  <calcPr calcId="14562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14" i="9" l="1"/>
  <c r="G14" i="9"/>
  <c r="F14" i="9"/>
  <c r="I14" i="9" l="1"/>
  <c r="B7" i="10"/>
  <c r="B8" i="10" s="1"/>
  <c r="B9" i="10" s="1"/>
  <c r="B10" i="10" s="1"/>
  <c r="B11" i="10" s="1"/>
  <c r="B12" i="10" s="1"/>
  <c r="B13" i="10" s="1"/>
  <c r="B14" i="10" s="1"/>
  <c r="B15" i="10" s="1"/>
  <c r="B16" i="10" s="1"/>
  <c r="B17" i="10" s="1"/>
  <c r="B18" i="10" s="1"/>
  <c r="B19" i="10" s="1"/>
  <c r="B20" i="10" s="1"/>
  <c r="B21" i="10" s="1"/>
  <c r="B22" i="10" s="1"/>
  <c r="B23" i="10" s="1"/>
  <c r="B24" i="10" s="1"/>
  <c r="B25" i="10" s="1"/>
  <c r="B26" i="10" s="1"/>
  <c r="B27" i="10" s="1"/>
  <c r="B28" i="10" s="1"/>
  <c r="B29" i="10" s="1"/>
  <c r="B30" i="10" s="1"/>
  <c r="B31" i="10" s="1"/>
  <c r="B32" i="10" s="1"/>
  <c r="B33" i="10" s="1"/>
  <c r="B34" i="10" s="1"/>
  <c r="B35" i="10" s="1"/>
  <c r="B36" i="10" s="1"/>
  <c r="B37" i="10" s="1"/>
  <c r="B38" i="10" s="1"/>
  <c r="B39" i="10" s="1"/>
  <c r="B40" i="10" s="1"/>
  <c r="B41" i="10" s="1"/>
  <c r="B42" i="10" s="1"/>
  <c r="B43" i="10" s="1"/>
  <c r="B44" i="10" s="1"/>
  <c r="B45" i="10" s="1"/>
  <c r="B46" i="10" s="1"/>
  <c r="B47" i="10" s="1"/>
  <c r="B48" i="10" s="1"/>
  <c r="B49" i="10" s="1"/>
  <c r="B50" i="10" s="1"/>
  <c r="B51" i="10" s="1"/>
  <c r="B52" i="10" s="1"/>
  <c r="B53" i="10" s="1"/>
  <c r="B54" i="10" s="1"/>
  <c r="B55" i="10" s="1"/>
  <c r="B56" i="10" s="1"/>
  <c r="B57" i="10" s="1"/>
  <c r="B58" i="10" s="1"/>
  <c r="B59" i="10" s="1"/>
  <c r="B60" i="10" s="1"/>
  <c r="B61" i="10" s="1"/>
  <c r="B62" i="10" s="1"/>
  <c r="B63" i="10" s="1"/>
  <c r="B64" i="10" s="1"/>
  <c r="B65" i="10" s="1"/>
  <c r="B66" i="10" s="1"/>
  <c r="B67" i="10" s="1"/>
  <c r="B68" i="10" s="1"/>
  <c r="B69" i="10" s="1"/>
  <c r="B70" i="10" s="1"/>
  <c r="B71" i="10" s="1"/>
  <c r="B72" i="10" s="1"/>
  <c r="B73" i="10" s="1"/>
  <c r="B74" i="10" s="1"/>
  <c r="B75" i="10" s="1"/>
  <c r="B76" i="10" s="1"/>
  <c r="B77" i="10" s="1"/>
  <c r="B78" i="10" s="1"/>
  <c r="B79" i="10" s="1"/>
  <c r="B80" i="10" s="1"/>
  <c r="B81" i="10" s="1"/>
  <c r="B82" i="10" s="1"/>
  <c r="B83" i="10" s="1"/>
  <c r="B84" i="10" s="1"/>
  <c r="B85" i="10" s="1"/>
  <c r="B86" i="10" s="1"/>
  <c r="B87" i="10" s="1"/>
  <c r="B88" i="10" s="1"/>
  <c r="B89" i="10" s="1"/>
  <c r="B90" i="10" s="1"/>
  <c r="B91" i="10" s="1"/>
  <c r="B92" i="10" s="1"/>
  <c r="B93" i="10" s="1"/>
  <c r="B94" i="10" s="1"/>
  <c r="B95" i="10" s="1"/>
  <c r="B96" i="10" s="1"/>
  <c r="B97" i="10" s="1"/>
  <c r="B98" i="10" s="1"/>
  <c r="B99" i="10" s="1"/>
  <c r="B100" i="10" s="1"/>
  <c r="B101" i="10" s="1"/>
  <c r="B102" i="10" s="1"/>
  <c r="B103" i="10" s="1"/>
  <c r="B104" i="10" s="1"/>
  <c r="B105" i="10" s="1"/>
  <c r="B106" i="10" s="1"/>
  <c r="B107" i="10" s="1"/>
  <c r="B108" i="10" s="1"/>
  <c r="B109" i="10" s="1"/>
  <c r="B110" i="10" s="1"/>
  <c r="B111" i="10" s="1"/>
  <c r="B112" i="10" s="1"/>
  <c r="B113" i="10" s="1"/>
  <c r="B114" i="10" s="1"/>
  <c r="B115" i="10" s="1"/>
  <c r="B116" i="10" s="1"/>
  <c r="B117" i="10" s="1"/>
  <c r="B118" i="10" s="1"/>
  <c r="B119" i="10" s="1"/>
  <c r="B120" i="10" s="1"/>
  <c r="B121" i="10" s="1"/>
  <c r="B122" i="10" s="1"/>
  <c r="B123" i="10" s="1"/>
  <c r="B124" i="10" s="1"/>
  <c r="B125" i="10" s="1"/>
  <c r="B126" i="10" s="1"/>
  <c r="B127" i="10" s="1"/>
  <c r="B128" i="10" s="1"/>
  <c r="B129" i="10" s="1"/>
  <c r="B130" i="10" s="1"/>
  <c r="B131" i="10" s="1"/>
  <c r="B132" i="10" s="1"/>
  <c r="B133" i="10" s="1"/>
  <c r="B134" i="10" s="1"/>
  <c r="B135" i="10" s="1"/>
  <c r="B136" i="10" s="1"/>
  <c r="B137" i="10" s="1"/>
  <c r="B138" i="10" s="1"/>
  <c r="B139" i="10" s="1"/>
  <c r="B140" i="10" s="1"/>
  <c r="B141" i="10" s="1"/>
  <c r="B142" i="10" s="1"/>
  <c r="B143" i="10" s="1"/>
  <c r="B144" i="10" s="1"/>
  <c r="B145" i="10" s="1"/>
  <c r="B146" i="10" s="1"/>
  <c r="B147" i="10" s="1"/>
  <c r="B148" i="10" s="1"/>
  <c r="B149" i="10" s="1"/>
  <c r="B150" i="10" s="1"/>
  <c r="B151" i="10" s="1"/>
  <c r="B152" i="10" s="1"/>
  <c r="B153" i="10" s="1"/>
  <c r="B154" i="10" s="1"/>
  <c r="B155" i="10" s="1"/>
  <c r="B156" i="10" s="1"/>
  <c r="B157" i="10" s="1"/>
  <c r="B158" i="10" s="1"/>
  <c r="B159" i="10" s="1"/>
  <c r="B160" i="10" s="1"/>
  <c r="B161" i="10" s="1"/>
  <c r="B162" i="10" s="1"/>
  <c r="B163" i="10" s="1"/>
  <c r="B164" i="10" s="1"/>
  <c r="B165" i="10" s="1"/>
  <c r="B166" i="10" s="1"/>
  <c r="B167" i="10" s="1"/>
  <c r="B168" i="10" s="1"/>
  <c r="B169" i="10" s="1"/>
  <c r="B170" i="10" s="1"/>
  <c r="B171" i="10" s="1"/>
  <c r="B172" i="10" s="1"/>
  <c r="B173" i="10" s="1"/>
  <c r="B174" i="10" s="1"/>
  <c r="B175" i="10" s="1"/>
  <c r="B176" i="10" s="1"/>
  <c r="B177" i="10" s="1"/>
  <c r="B178" i="10" s="1"/>
  <c r="B179" i="10" s="1"/>
  <c r="B180" i="10" s="1"/>
  <c r="B181" i="10" s="1"/>
  <c r="B182" i="10" s="1"/>
  <c r="B183" i="10" s="1"/>
  <c r="B184" i="10" s="1"/>
  <c r="B185" i="10" s="1"/>
  <c r="B186" i="10" s="1"/>
  <c r="B187" i="10" s="1"/>
  <c r="B188" i="10" s="1"/>
  <c r="B189" i="10" s="1"/>
  <c r="B190" i="10" s="1"/>
  <c r="B191" i="10" s="1"/>
  <c r="B192" i="10" s="1"/>
  <c r="B193" i="10" s="1"/>
  <c r="B194" i="10" s="1"/>
  <c r="B195" i="10" s="1"/>
  <c r="B196" i="10" s="1"/>
  <c r="B197" i="10" s="1"/>
  <c r="B198" i="10" s="1"/>
  <c r="B199" i="10" s="1"/>
  <c r="B200" i="10" s="1"/>
  <c r="B201" i="10" s="1"/>
  <c r="B202" i="10" s="1"/>
  <c r="B203" i="10" s="1"/>
  <c r="B204" i="10" s="1"/>
  <c r="B205" i="10" s="1"/>
  <c r="B206" i="10" s="1"/>
  <c r="B207" i="10" s="1"/>
  <c r="B208" i="10" s="1"/>
  <c r="B209" i="10" s="1"/>
  <c r="B210" i="10" s="1"/>
  <c r="B211" i="10" s="1"/>
  <c r="B212" i="10" s="1"/>
  <c r="B213" i="10" s="1"/>
  <c r="B214" i="10" s="1"/>
  <c r="B215" i="10" s="1"/>
  <c r="B216" i="10" s="1"/>
  <c r="B217" i="10" s="1"/>
  <c r="B218" i="10" s="1"/>
  <c r="B219" i="10" s="1"/>
  <c r="B220" i="10" s="1"/>
  <c r="B221" i="10" s="1"/>
  <c r="B222" i="10" s="1"/>
  <c r="B223" i="10" s="1"/>
  <c r="B224" i="10" s="1"/>
  <c r="B225" i="10" s="1"/>
  <c r="B226" i="10" s="1"/>
  <c r="B227" i="10" s="1"/>
  <c r="B228" i="10" s="1"/>
  <c r="B229" i="10" s="1"/>
  <c r="B230" i="10" s="1"/>
  <c r="B231" i="10" s="1"/>
  <c r="B232" i="10" s="1"/>
  <c r="B233" i="10" s="1"/>
  <c r="B234" i="10" s="1"/>
  <c r="B235" i="10" s="1"/>
  <c r="B236" i="10" s="1"/>
  <c r="B237" i="10" s="1"/>
  <c r="B238" i="10" s="1"/>
  <c r="B239" i="10" s="1"/>
  <c r="B240" i="10" s="1"/>
  <c r="B241" i="10" s="1"/>
  <c r="B242" i="10" s="1"/>
  <c r="B243" i="10" s="1"/>
  <c r="B244" i="10" s="1"/>
  <c r="B245" i="10" s="1"/>
  <c r="B246" i="10" s="1"/>
  <c r="B247" i="10" s="1"/>
  <c r="B248" i="10" s="1"/>
  <c r="B249" i="10" s="1"/>
  <c r="B250" i="10" s="1"/>
  <c r="B251" i="10" s="1"/>
  <c r="B252" i="10" s="1"/>
  <c r="B253" i="10" s="1"/>
  <c r="B254" i="10" s="1"/>
  <c r="B255" i="10" s="1"/>
  <c r="B256" i="10" s="1"/>
  <c r="B257" i="10" s="1"/>
  <c r="B258" i="10" s="1"/>
  <c r="B259" i="10" s="1"/>
  <c r="B260" i="10" s="1"/>
  <c r="B261" i="10" s="1"/>
  <c r="B262" i="10" s="1"/>
  <c r="B263" i="10" s="1"/>
  <c r="B264" i="10" s="1"/>
  <c r="B265" i="10" s="1"/>
  <c r="B266" i="10" s="1"/>
  <c r="B267" i="10" s="1"/>
  <c r="B268" i="10" s="1"/>
  <c r="B269" i="10" s="1"/>
  <c r="B270" i="10" s="1"/>
  <c r="B271" i="10" s="1"/>
  <c r="B272" i="10" s="1"/>
  <c r="B273" i="10" s="1"/>
  <c r="B274" i="10" s="1"/>
  <c r="B275" i="10" s="1"/>
  <c r="B276" i="10" s="1"/>
  <c r="B277" i="10" s="1"/>
  <c r="B278" i="10" s="1"/>
  <c r="B279" i="10" s="1"/>
  <c r="B280" i="10" s="1"/>
  <c r="B281" i="10" s="1"/>
  <c r="B282" i="10" s="1"/>
  <c r="B283" i="10" s="1"/>
  <c r="B284" i="10" s="1"/>
  <c r="B285" i="10" s="1"/>
  <c r="B286" i="10" s="1"/>
  <c r="B287" i="10" s="1"/>
  <c r="B288" i="10" s="1"/>
  <c r="B289" i="10" s="1"/>
  <c r="B290" i="10" s="1"/>
  <c r="B291" i="10" s="1"/>
  <c r="B292" i="10" s="1"/>
  <c r="B293" i="10" s="1"/>
  <c r="B294" i="10" s="1"/>
  <c r="B295" i="10" s="1"/>
  <c r="B296" i="10" s="1"/>
  <c r="B297" i="10" s="1"/>
  <c r="B298" i="10" s="1"/>
  <c r="B299" i="10" s="1"/>
  <c r="B300" i="10" s="1"/>
  <c r="B301" i="10" s="1"/>
  <c r="B302" i="10" s="1"/>
  <c r="B303" i="10" s="1"/>
  <c r="B304" i="10" s="1"/>
  <c r="B305" i="10" s="1"/>
  <c r="B306" i="10" s="1"/>
  <c r="B307" i="10" s="1"/>
  <c r="B308" i="10" s="1"/>
  <c r="B309" i="10" s="1"/>
  <c r="B310" i="10" s="1"/>
  <c r="B311" i="10" s="1"/>
  <c r="B312" i="10" s="1"/>
  <c r="B313" i="10" s="1"/>
  <c r="B314" i="10" s="1"/>
  <c r="B315" i="10" s="1"/>
  <c r="B316" i="10" s="1"/>
  <c r="B317" i="10" s="1"/>
  <c r="B318" i="10" s="1"/>
  <c r="B319" i="10" s="1"/>
  <c r="B320" i="10" s="1"/>
  <c r="B321" i="10" s="1"/>
  <c r="B322" i="10" s="1"/>
  <c r="B323" i="10" s="1"/>
  <c r="B324" i="10" s="1"/>
  <c r="B325" i="10" s="1"/>
  <c r="B326" i="10" s="1"/>
  <c r="B327" i="10" s="1"/>
  <c r="B328" i="10" s="1"/>
  <c r="B329" i="10" s="1"/>
  <c r="B330" i="10" s="1"/>
  <c r="B331" i="10" s="1"/>
  <c r="B332" i="10" s="1"/>
  <c r="B333" i="10" s="1"/>
  <c r="B334" i="10" s="1"/>
  <c r="B335" i="10" s="1"/>
  <c r="B336" i="10" s="1"/>
  <c r="B337" i="10" s="1"/>
  <c r="B338" i="10" s="1"/>
  <c r="B339" i="10" s="1"/>
  <c r="B340" i="10" s="1"/>
  <c r="B341" i="10" s="1"/>
  <c r="B342" i="10" s="1"/>
  <c r="B343" i="10" s="1"/>
  <c r="B344" i="10" s="1"/>
  <c r="B345" i="10" s="1"/>
  <c r="B346" i="10" s="1"/>
  <c r="B347" i="10" s="1"/>
  <c r="B348" i="10" s="1"/>
  <c r="B349" i="10" s="1"/>
  <c r="B350" i="10" s="1"/>
  <c r="B351" i="10" s="1"/>
  <c r="B352" i="10" s="1"/>
  <c r="B353" i="10" s="1"/>
  <c r="B354" i="10" s="1"/>
  <c r="B355" i="10" s="1"/>
  <c r="B356" i="10" s="1"/>
  <c r="B357" i="10" s="1"/>
  <c r="B358" i="10" s="1"/>
  <c r="B359" i="10" s="1"/>
  <c r="B360" i="10" s="1"/>
  <c r="B361" i="10" s="1"/>
  <c r="B362" i="10" s="1"/>
  <c r="B363" i="10" s="1"/>
  <c r="B364" i="10" s="1"/>
  <c r="B365" i="10" s="1"/>
  <c r="B366" i="10" s="1"/>
  <c r="B367" i="10" s="1"/>
  <c r="B368" i="10" s="1"/>
  <c r="B369" i="10" s="1"/>
  <c r="B370" i="10" s="1"/>
  <c r="B371" i="10" s="1"/>
  <c r="B372" i="10" s="1"/>
  <c r="B373" i="10" s="1"/>
  <c r="B374" i="10" s="1"/>
  <c r="B375" i="10" s="1"/>
  <c r="B376" i="10" s="1"/>
  <c r="B377" i="10" s="1"/>
  <c r="B378" i="10" s="1"/>
  <c r="B379" i="10" s="1"/>
  <c r="B380" i="10" s="1"/>
  <c r="B381" i="10" s="1"/>
  <c r="B382" i="10" s="1"/>
  <c r="B383" i="10" s="1"/>
  <c r="B384" i="10" s="1"/>
  <c r="B385" i="10" s="1"/>
  <c r="B386" i="10" s="1"/>
  <c r="B387" i="10" s="1"/>
  <c r="B388" i="10" s="1"/>
  <c r="B5" i="10"/>
  <c r="B6" i="10" s="1"/>
  <c r="B4" i="10"/>
  <c r="C3" i="10"/>
  <c r="H30" i="9"/>
  <c r="G30" i="9"/>
  <c r="F30" i="9"/>
  <c r="I30" i="9" s="1"/>
  <c r="H29" i="9"/>
  <c r="G29" i="9"/>
  <c r="F29" i="9"/>
  <c r="I29" i="9" s="1"/>
  <c r="H28" i="9"/>
  <c r="G28" i="9"/>
  <c r="F28" i="9"/>
  <c r="I28" i="9" s="1"/>
  <c r="H27" i="9"/>
  <c r="G27" i="9"/>
  <c r="F27" i="9"/>
  <c r="I27" i="9" s="1"/>
  <c r="H26" i="9"/>
  <c r="G26" i="9"/>
  <c r="F26" i="9"/>
  <c r="I26" i="9" s="1"/>
  <c r="H25" i="9"/>
  <c r="G25" i="9"/>
  <c r="F25" i="9"/>
  <c r="I25" i="9" s="1"/>
  <c r="H24" i="9"/>
  <c r="G24" i="9"/>
  <c r="F24" i="9"/>
  <c r="I24" i="9" s="1"/>
  <c r="H23" i="9"/>
  <c r="G23" i="9"/>
  <c r="F23" i="9"/>
  <c r="I23" i="9" s="1"/>
  <c r="H22" i="9"/>
  <c r="G22" i="9"/>
  <c r="F22" i="9"/>
  <c r="I22" i="9" s="1"/>
  <c r="H21" i="9"/>
  <c r="G21" i="9"/>
  <c r="F21" i="9"/>
  <c r="I21" i="9" s="1"/>
  <c r="H20" i="9"/>
  <c r="G20" i="9"/>
  <c r="F20" i="9"/>
  <c r="I20" i="9" s="1"/>
  <c r="H19" i="9"/>
  <c r="G19" i="9"/>
  <c r="F19" i="9"/>
  <c r="I19" i="9" s="1"/>
  <c r="H18" i="9"/>
  <c r="G18" i="9"/>
  <c r="F18" i="9"/>
  <c r="I18" i="9" s="1"/>
  <c r="H17" i="9"/>
  <c r="G17" i="9"/>
  <c r="F17" i="9"/>
  <c r="I17" i="9" s="1"/>
  <c r="H16" i="9"/>
  <c r="G16" i="9"/>
  <c r="F16" i="9"/>
  <c r="I16" i="9" s="1"/>
  <c r="H15" i="9"/>
  <c r="G15" i="9"/>
  <c r="F15" i="9"/>
  <c r="I15" i="9" s="1"/>
  <c r="H13" i="9"/>
  <c r="G13" i="9"/>
  <c r="F13" i="9"/>
  <c r="I13" i="9" s="1"/>
  <c r="H12" i="9"/>
  <c r="G12" i="9"/>
  <c r="F12" i="9"/>
  <c r="H11" i="9"/>
  <c r="G11" i="9"/>
  <c r="F11" i="9"/>
  <c r="I11" i="9" s="1"/>
  <c r="H10" i="9"/>
  <c r="G10" i="9"/>
  <c r="F10" i="9"/>
  <c r="I10" i="9" s="1"/>
  <c r="H9" i="9"/>
  <c r="G9" i="9"/>
  <c r="F9" i="9"/>
  <c r="I9" i="9" s="1"/>
  <c r="H8" i="9"/>
  <c r="G8" i="9"/>
  <c r="F8" i="9"/>
  <c r="H7" i="9"/>
  <c r="F7" i="9"/>
  <c r="D7" i="9"/>
  <c r="G7" i="9" s="1"/>
  <c r="I7" i="9" s="1"/>
  <c r="H6" i="9"/>
  <c r="G6" i="9"/>
  <c r="F6" i="9"/>
  <c r="I6" i="9" s="1"/>
  <c r="G5" i="9"/>
  <c r="E5" i="9"/>
  <c r="H5" i="9" s="1"/>
  <c r="D5" i="9"/>
  <c r="C5" i="9"/>
  <c r="F5" i="9" s="1"/>
  <c r="I5" i="9" s="1"/>
  <c r="H4" i="9"/>
  <c r="G4" i="9"/>
  <c r="F4" i="9"/>
  <c r="I4" i="9" s="1"/>
  <c r="H3" i="9"/>
  <c r="G3" i="9"/>
  <c r="F3" i="9"/>
  <c r="H2" i="9"/>
  <c r="G2" i="9"/>
  <c r="F2" i="9"/>
  <c r="I1290" i="8"/>
  <c r="H1290" i="8"/>
  <c r="F1290" i="8"/>
  <c r="E1290" i="8"/>
  <c r="D1290" i="8"/>
  <c r="I1289" i="8"/>
  <c r="H1289" i="8"/>
  <c r="F1289" i="8"/>
  <c r="E1289" i="8"/>
  <c r="D1289" i="8"/>
  <c r="I1288" i="8"/>
  <c r="H1288" i="8"/>
  <c r="G1288" i="8"/>
  <c r="F1288" i="8"/>
  <c r="E1288" i="8"/>
  <c r="D1288" i="8"/>
  <c r="I1287" i="8"/>
  <c r="H1287" i="8"/>
  <c r="F1287" i="8"/>
  <c r="E1287" i="8"/>
  <c r="D1287" i="8"/>
  <c r="I1286" i="8"/>
  <c r="H1286" i="8"/>
  <c r="F1286" i="8"/>
  <c r="E1286" i="8"/>
  <c r="D1286" i="8"/>
  <c r="I1285" i="8"/>
  <c r="H1285" i="8"/>
  <c r="F1285" i="8"/>
  <c r="E1285" i="8"/>
  <c r="D1285" i="8"/>
  <c r="I1284" i="8"/>
  <c r="H1284" i="8"/>
  <c r="G1284" i="8"/>
  <c r="F1284" i="8"/>
  <c r="E1284" i="8"/>
  <c r="D1284" i="8"/>
  <c r="J1283" i="8"/>
  <c r="I1283" i="8"/>
  <c r="H1283" i="8"/>
  <c r="G1283" i="8"/>
  <c r="F1283" i="8"/>
  <c r="E1283" i="8"/>
  <c r="D1283" i="8"/>
  <c r="I1278" i="8"/>
  <c r="H1278" i="8"/>
  <c r="F1278" i="8"/>
  <c r="E1278" i="8"/>
  <c r="D1278" i="8"/>
  <c r="I1277" i="8"/>
  <c r="H1277" i="8"/>
  <c r="G1277" i="8"/>
  <c r="F1277" i="8"/>
  <c r="E1277" i="8"/>
  <c r="D1277" i="8"/>
  <c r="I1276" i="8"/>
  <c r="H1276" i="8"/>
  <c r="F1276" i="8"/>
  <c r="E1276" i="8"/>
  <c r="D1276" i="8"/>
  <c r="I1275" i="8"/>
  <c r="H1275" i="8"/>
  <c r="G1275" i="8"/>
  <c r="F1275" i="8"/>
  <c r="E1275" i="8"/>
  <c r="D1275" i="8"/>
  <c r="I1274" i="8"/>
  <c r="H1274" i="8"/>
  <c r="F1274" i="8"/>
  <c r="E1274" i="8"/>
  <c r="D1274" i="8"/>
  <c r="I1273" i="8"/>
  <c r="H1273" i="8"/>
  <c r="G1273" i="8"/>
  <c r="F1273" i="8"/>
  <c r="E1273" i="8"/>
  <c r="D1273" i="8"/>
  <c r="I1272" i="8"/>
  <c r="H1272" i="8"/>
  <c r="F1272" i="8"/>
  <c r="E1272" i="8"/>
  <c r="D1272" i="8"/>
  <c r="J1271" i="8"/>
  <c r="I1271" i="8"/>
  <c r="H1271" i="8"/>
  <c r="G1271" i="8"/>
  <c r="F1271" i="8"/>
  <c r="E1271" i="8"/>
  <c r="D1271" i="8"/>
  <c r="I1266" i="8"/>
  <c r="H1266" i="8"/>
  <c r="G1266" i="8"/>
  <c r="F1266" i="8"/>
  <c r="E1266" i="8"/>
  <c r="D1266" i="8"/>
  <c r="I1265" i="8"/>
  <c r="H1265" i="8"/>
  <c r="F1265" i="8"/>
  <c r="E1265" i="8"/>
  <c r="D1265" i="8"/>
  <c r="I1264" i="8"/>
  <c r="H1264" i="8"/>
  <c r="G1264" i="8"/>
  <c r="F1264" i="8"/>
  <c r="E1264" i="8"/>
  <c r="D1264" i="8"/>
  <c r="I1263" i="8"/>
  <c r="H1263" i="8"/>
  <c r="F1263" i="8"/>
  <c r="E1263" i="8"/>
  <c r="D1263" i="8"/>
  <c r="I1262" i="8"/>
  <c r="H1262" i="8"/>
  <c r="G1262" i="8"/>
  <c r="F1262" i="8"/>
  <c r="E1262" i="8"/>
  <c r="D1262" i="8"/>
  <c r="I1261" i="8"/>
  <c r="H1261" i="8"/>
  <c r="F1261" i="8"/>
  <c r="E1261" i="8"/>
  <c r="D1261" i="8"/>
  <c r="I1260" i="8"/>
  <c r="H1260" i="8"/>
  <c r="G1260" i="8"/>
  <c r="F1260" i="8"/>
  <c r="E1260" i="8"/>
  <c r="D1260" i="8"/>
  <c r="J1259" i="8"/>
  <c r="I1259" i="8"/>
  <c r="H1259" i="8"/>
  <c r="G1259" i="8"/>
  <c r="F1259" i="8"/>
  <c r="E1259" i="8"/>
  <c r="D1259" i="8"/>
  <c r="I1254" i="8"/>
  <c r="H1254" i="8"/>
  <c r="F1254" i="8"/>
  <c r="E1254" i="8"/>
  <c r="D1254" i="8"/>
  <c r="I1253" i="8"/>
  <c r="H1253" i="8"/>
  <c r="G1253" i="8"/>
  <c r="F1253" i="8"/>
  <c r="E1253" i="8"/>
  <c r="D1253" i="8"/>
  <c r="I1252" i="8"/>
  <c r="H1252" i="8"/>
  <c r="F1252" i="8"/>
  <c r="E1252" i="8"/>
  <c r="D1252" i="8"/>
  <c r="I1251" i="8"/>
  <c r="H1251" i="8"/>
  <c r="G1251" i="8"/>
  <c r="F1251" i="8"/>
  <c r="E1251" i="8"/>
  <c r="D1251" i="8"/>
  <c r="I1250" i="8"/>
  <c r="H1250" i="8"/>
  <c r="F1250" i="8"/>
  <c r="E1250" i="8"/>
  <c r="D1250" i="8"/>
  <c r="I1249" i="8"/>
  <c r="H1249" i="8"/>
  <c r="G1249" i="8"/>
  <c r="F1249" i="8"/>
  <c r="E1249" i="8"/>
  <c r="D1249" i="8"/>
  <c r="I1248" i="8"/>
  <c r="H1248" i="8"/>
  <c r="F1248" i="8"/>
  <c r="E1248" i="8"/>
  <c r="D1248" i="8"/>
  <c r="J1247" i="8"/>
  <c r="I1247" i="8"/>
  <c r="H1247" i="8"/>
  <c r="G1247" i="8"/>
  <c r="F1247" i="8"/>
  <c r="E1247" i="8"/>
  <c r="D1247" i="8"/>
  <c r="I1242" i="8"/>
  <c r="H1242" i="8"/>
  <c r="G1242" i="8"/>
  <c r="F1242" i="8"/>
  <c r="E1242" i="8"/>
  <c r="D1242" i="8"/>
  <c r="I1241" i="8"/>
  <c r="H1241" i="8"/>
  <c r="F1241" i="8"/>
  <c r="E1241" i="8"/>
  <c r="D1241" i="8"/>
  <c r="I1240" i="8"/>
  <c r="H1240" i="8"/>
  <c r="G1240" i="8"/>
  <c r="F1240" i="8"/>
  <c r="E1240" i="8"/>
  <c r="D1240" i="8"/>
  <c r="I1239" i="8"/>
  <c r="H1239" i="8"/>
  <c r="F1239" i="8"/>
  <c r="E1239" i="8"/>
  <c r="D1239" i="8"/>
  <c r="I1238" i="8"/>
  <c r="H1238" i="8"/>
  <c r="G1238" i="8"/>
  <c r="F1238" i="8"/>
  <c r="E1238" i="8"/>
  <c r="D1238" i="8"/>
  <c r="I1237" i="8"/>
  <c r="H1237" i="8"/>
  <c r="F1237" i="8"/>
  <c r="E1237" i="8"/>
  <c r="D1237" i="8"/>
  <c r="I1236" i="8"/>
  <c r="H1236" i="8"/>
  <c r="G1236" i="8"/>
  <c r="F1236" i="8"/>
  <c r="E1236" i="8"/>
  <c r="D1236" i="8"/>
  <c r="J1235" i="8"/>
  <c r="I1235" i="8"/>
  <c r="H1235" i="8"/>
  <c r="G1235" i="8"/>
  <c r="F1235" i="8"/>
  <c r="E1235" i="8"/>
  <c r="D1235" i="8"/>
  <c r="I1230" i="8"/>
  <c r="H1230" i="8"/>
  <c r="F1230" i="8"/>
  <c r="E1230" i="8"/>
  <c r="D1230" i="8"/>
  <c r="I1229" i="8"/>
  <c r="H1229" i="8"/>
  <c r="G1229" i="8"/>
  <c r="F1229" i="8"/>
  <c r="E1229" i="8"/>
  <c r="D1229" i="8"/>
  <c r="I1228" i="8"/>
  <c r="H1228" i="8"/>
  <c r="F1228" i="8"/>
  <c r="E1228" i="8"/>
  <c r="D1228" i="8"/>
  <c r="I1227" i="8"/>
  <c r="H1227" i="8"/>
  <c r="G1227" i="8"/>
  <c r="F1227" i="8"/>
  <c r="E1227" i="8"/>
  <c r="D1227" i="8"/>
  <c r="I1226" i="8"/>
  <c r="H1226" i="8"/>
  <c r="F1226" i="8"/>
  <c r="E1226" i="8"/>
  <c r="D1226" i="8"/>
  <c r="I1225" i="8"/>
  <c r="H1225" i="8"/>
  <c r="G1225" i="8"/>
  <c r="F1225" i="8"/>
  <c r="E1225" i="8"/>
  <c r="D1225" i="8"/>
  <c r="I1224" i="8"/>
  <c r="H1224" i="8"/>
  <c r="F1224" i="8"/>
  <c r="E1224" i="8"/>
  <c r="D1224" i="8"/>
  <c r="J1223" i="8"/>
  <c r="I1223" i="8"/>
  <c r="H1223" i="8"/>
  <c r="G1223" i="8"/>
  <c r="F1223" i="8"/>
  <c r="E1223" i="8"/>
  <c r="D1223" i="8"/>
  <c r="I1218" i="8"/>
  <c r="H1218" i="8"/>
  <c r="G1218" i="8"/>
  <c r="F1218" i="8"/>
  <c r="E1218" i="8"/>
  <c r="D1218" i="8"/>
  <c r="I1217" i="8"/>
  <c r="H1217" i="8"/>
  <c r="F1217" i="8"/>
  <c r="E1217" i="8"/>
  <c r="D1217" i="8"/>
  <c r="I1216" i="8"/>
  <c r="H1216" i="8"/>
  <c r="G1216" i="8"/>
  <c r="F1216" i="8"/>
  <c r="E1216" i="8"/>
  <c r="D1216" i="8"/>
  <c r="I1215" i="8"/>
  <c r="H1215" i="8"/>
  <c r="F1215" i="8"/>
  <c r="E1215" i="8"/>
  <c r="D1215" i="8"/>
  <c r="I1214" i="8"/>
  <c r="H1214" i="8"/>
  <c r="G1214" i="8"/>
  <c r="F1214" i="8"/>
  <c r="E1214" i="8"/>
  <c r="D1214" i="8"/>
  <c r="I1213" i="8"/>
  <c r="H1213" i="8"/>
  <c r="F1213" i="8"/>
  <c r="E1213" i="8"/>
  <c r="D1213" i="8"/>
  <c r="I1212" i="8"/>
  <c r="H1212" i="8"/>
  <c r="G1212" i="8"/>
  <c r="F1212" i="8"/>
  <c r="E1212" i="8"/>
  <c r="D1212" i="8"/>
  <c r="J1211" i="8"/>
  <c r="I1211" i="8"/>
  <c r="H1211" i="8"/>
  <c r="G1211" i="8"/>
  <c r="F1211" i="8"/>
  <c r="E1211" i="8"/>
  <c r="D1211" i="8"/>
  <c r="I1206" i="8"/>
  <c r="H1206" i="8"/>
  <c r="F1206" i="8"/>
  <c r="E1206" i="8"/>
  <c r="D1206" i="8"/>
  <c r="I1205" i="8"/>
  <c r="H1205" i="8"/>
  <c r="G1205" i="8"/>
  <c r="F1205" i="8"/>
  <c r="E1205" i="8"/>
  <c r="D1205" i="8"/>
  <c r="I1204" i="8"/>
  <c r="H1204" i="8"/>
  <c r="F1204" i="8"/>
  <c r="E1204" i="8"/>
  <c r="D1204" i="8"/>
  <c r="I1203" i="8"/>
  <c r="H1203" i="8"/>
  <c r="G1203" i="8"/>
  <c r="F1203" i="8"/>
  <c r="E1203" i="8"/>
  <c r="D1203" i="8"/>
  <c r="I1202" i="8"/>
  <c r="H1202" i="8"/>
  <c r="F1202" i="8"/>
  <c r="E1202" i="8"/>
  <c r="D1202" i="8"/>
  <c r="I1201" i="8"/>
  <c r="H1201" i="8"/>
  <c r="G1201" i="8"/>
  <c r="F1201" i="8"/>
  <c r="E1201" i="8"/>
  <c r="D1201" i="8"/>
  <c r="I1200" i="8"/>
  <c r="H1200" i="8"/>
  <c r="F1200" i="8"/>
  <c r="E1200" i="8"/>
  <c r="D1200" i="8"/>
  <c r="J1199" i="8"/>
  <c r="I1199" i="8"/>
  <c r="H1199" i="8"/>
  <c r="G1199" i="8"/>
  <c r="F1199" i="8"/>
  <c r="E1199" i="8"/>
  <c r="D1199" i="8"/>
  <c r="I1194" i="8"/>
  <c r="H1194" i="8"/>
  <c r="G1194" i="8"/>
  <c r="F1194" i="8"/>
  <c r="E1194" i="8"/>
  <c r="D1194" i="8"/>
  <c r="I1193" i="8"/>
  <c r="H1193" i="8"/>
  <c r="F1193" i="8"/>
  <c r="E1193" i="8"/>
  <c r="D1193" i="8"/>
  <c r="I1192" i="8"/>
  <c r="H1192" i="8"/>
  <c r="G1192" i="8"/>
  <c r="F1192" i="8"/>
  <c r="E1192" i="8"/>
  <c r="D1192" i="8"/>
  <c r="I1191" i="8"/>
  <c r="H1191" i="8"/>
  <c r="F1191" i="8"/>
  <c r="E1191" i="8"/>
  <c r="D1191" i="8"/>
  <c r="I1190" i="8"/>
  <c r="H1190" i="8"/>
  <c r="G1190" i="8"/>
  <c r="F1190" i="8"/>
  <c r="E1190" i="8"/>
  <c r="D1190" i="8"/>
  <c r="I1189" i="8"/>
  <c r="H1189" i="8"/>
  <c r="F1189" i="8"/>
  <c r="E1189" i="8"/>
  <c r="D1189" i="8"/>
  <c r="I1188" i="8"/>
  <c r="H1188" i="8"/>
  <c r="G1188" i="8"/>
  <c r="F1188" i="8"/>
  <c r="E1188" i="8"/>
  <c r="D1188" i="8"/>
  <c r="J1187" i="8"/>
  <c r="I1187" i="8"/>
  <c r="H1187" i="8"/>
  <c r="G1187" i="8"/>
  <c r="F1187" i="8"/>
  <c r="E1187" i="8"/>
  <c r="D1187" i="8"/>
  <c r="I1182" i="8"/>
  <c r="H1182" i="8"/>
  <c r="F1182" i="8"/>
  <c r="E1182" i="8"/>
  <c r="D1182" i="8"/>
  <c r="I1181" i="8"/>
  <c r="H1181" i="8"/>
  <c r="G1181" i="8"/>
  <c r="F1181" i="8"/>
  <c r="E1181" i="8"/>
  <c r="D1181" i="8"/>
  <c r="I1180" i="8"/>
  <c r="H1180" i="8"/>
  <c r="F1180" i="8"/>
  <c r="E1180" i="8"/>
  <c r="D1180" i="8"/>
  <c r="I1179" i="8"/>
  <c r="H1179" i="8"/>
  <c r="G1179" i="8"/>
  <c r="F1179" i="8"/>
  <c r="E1179" i="8"/>
  <c r="D1179" i="8"/>
  <c r="I1178" i="8"/>
  <c r="H1178" i="8"/>
  <c r="F1178" i="8"/>
  <c r="E1178" i="8"/>
  <c r="D1178" i="8"/>
  <c r="I1177" i="8"/>
  <c r="H1177" i="8"/>
  <c r="G1177" i="8"/>
  <c r="F1177" i="8"/>
  <c r="E1177" i="8"/>
  <c r="D1177" i="8"/>
  <c r="I1176" i="8"/>
  <c r="H1176" i="8"/>
  <c r="F1176" i="8"/>
  <c r="E1176" i="8"/>
  <c r="D1176" i="8"/>
  <c r="J1175" i="8"/>
  <c r="I1175" i="8"/>
  <c r="H1175" i="8"/>
  <c r="G1175" i="8"/>
  <c r="F1175" i="8"/>
  <c r="E1175" i="8"/>
  <c r="D1175" i="8"/>
  <c r="I1170" i="8"/>
  <c r="H1170" i="8"/>
  <c r="G1170" i="8"/>
  <c r="F1170" i="8"/>
  <c r="E1170" i="8"/>
  <c r="D1170" i="8"/>
  <c r="I1169" i="8"/>
  <c r="H1169" i="8"/>
  <c r="F1169" i="8"/>
  <c r="E1169" i="8"/>
  <c r="D1169" i="8"/>
  <c r="I1168" i="8"/>
  <c r="H1168" i="8"/>
  <c r="G1168" i="8"/>
  <c r="F1168" i="8"/>
  <c r="E1168" i="8"/>
  <c r="D1168" i="8"/>
  <c r="I1167" i="8"/>
  <c r="H1167" i="8"/>
  <c r="F1167" i="8"/>
  <c r="E1167" i="8"/>
  <c r="D1167" i="8"/>
  <c r="I1166" i="8"/>
  <c r="H1166" i="8"/>
  <c r="G1166" i="8"/>
  <c r="F1166" i="8"/>
  <c r="E1166" i="8"/>
  <c r="D1166" i="8"/>
  <c r="I1165" i="8"/>
  <c r="H1165" i="8"/>
  <c r="F1165" i="8"/>
  <c r="E1165" i="8"/>
  <c r="D1165" i="8"/>
  <c r="I1164" i="8"/>
  <c r="H1164" i="8"/>
  <c r="G1164" i="8"/>
  <c r="F1164" i="8"/>
  <c r="E1164" i="8"/>
  <c r="D1164" i="8"/>
  <c r="J1163" i="8"/>
  <c r="I1163" i="8"/>
  <c r="H1163" i="8"/>
  <c r="G1163" i="8"/>
  <c r="F1163" i="8"/>
  <c r="E1163" i="8"/>
  <c r="D1163" i="8"/>
  <c r="I1158" i="8"/>
  <c r="H1158" i="8"/>
  <c r="F1158" i="8"/>
  <c r="E1158" i="8"/>
  <c r="D1158" i="8"/>
  <c r="I1157" i="8"/>
  <c r="H1157" i="8"/>
  <c r="G1157" i="8"/>
  <c r="F1157" i="8"/>
  <c r="E1157" i="8"/>
  <c r="D1157" i="8"/>
  <c r="I1156" i="8"/>
  <c r="H1156" i="8"/>
  <c r="F1156" i="8"/>
  <c r="E1156" i="8"/>
  <c r="D1156" i="8"/>
  <c r="I1155" i="8"/>
  <c r="H1155" i="8"/>
  <c r="G1155" i="8"/>
  <c r="F1155" i="8"/>
  <c r="E1155" i="8"/>
  <c r="D1155" i="8"/>
  <c r="I1154" i="8"/>
  <c r="H1154" i="8"/>
  <c r="F1154" i="8"/>
  <c r="E1154" i="8"/>
  <c r="D1154" i="8"/>
  <c r="I1153" i="8"/>
  <c r="H1153" i="8"/>
  <c r="G1153" i="8"/>
  <c r="F1153" i="8"/>
  <c r="E1153" i="8"/>
  <c r="D1153" i="8"/>
  <c r="I1152" i="8"/>
  <c r="H1152" i="8"/>
  <c r="F1152" i="8"/>
  <c r="E1152" i="8"/>
  <c r="D1152" i="8"/>
  <c r="J1151" i="8"/>
  <c r="I1151" i="8"/>
  <c r="H1151" i="8"/>
  <c r="G1151" i="8"/>
  <c r="F1151" i="8"/>
  <c r="E1151" i="8"/>
  <c r="D1151" i="8"/>
  <c r="I1146" i="8"/>
  <c r="H1146" i="8"/>
  <c r="G1146" i="8"/>
  <c r="F1146" i="8"/>
  <c r="E1146" i="8"/>
  <c r="D1146" i="8"/>
  <c r="I1145" i="8"/>
  <c r="H1145" i="8"/>
  <c r="F1145" i="8"/>
  <c r="E1145" i="8"/>
  <c r="D1145" i="8"/>
  <c r="I1144" i="8"/>
  <c r="H1144" i="8"/>
  <c r="G1144" i="8"/>
  <c r="F1144" i="8"/>
  <c r="E1144" i="8"/>
  <c r="D1144" i="8"/>
  <c r="I1143" i="8"/>
  <c r="H1143" i="8"/>
  <c r="F1143" i="8"/>
  <c r="E1143" i="8"/>
  <c r="D1143" i="8"/>
  <c r="I1142" i="8"/>
  <c r="H1142" i="8"/>
  <c r="G1142" i="8"/>
  <c r="F1142" i="8"/>
  <c r="E1142" i="8"/>
  <c r="D1142" i="8"/>
  <c r="I1141" i="8"/>
  <c r="H1141" i="8"/>
  <c r="F1141" i="8"/>
  <c r="E1141" i="8"/>
  <c r="D1141" i="8"/>
  <c r="I1140" i="8"/>
  <c r="H1140" i="8"/>
  <c r="G1140" i="8"/>
  <c r="F1140" i="8"/>
  <c r="E1140" i="8"/>
  <c r="D1140" i="8"/>
  <c r="J1139" i="8"/>
  <c r="I1139" i="8"/>
  <c r="H1139" i="8"/>
  <c r="G1139" i="8"/>
  <c r="F1139" i="8"/>
  <c r="E1139" i="8"/>
  <c r="D1139" i="8"/>
  <c r="I1134" i="8"/>
  <c r="H1134" i="8"/>
  <c r="F1134" i="8"/>
  <c r="E1134" i="8"/>
  <c r="D1134" i="8"/>
  <c r="I1133" i="8"/>
  <c r="H1133" i="8"/>
  <c r="G1133" i="8"/>
  <c r="F1133" i="8"/>
  <c r="E1133" i="8"/>
  <c r="D1133" i="8"/>
  <c r="I1132" i="8"/>
  <c r="H1132" i="8"/>
  <c r="G1132" i="8"/>
  <c r="F1132" i="8"/>
  <c r="E1132" i="8"/>
  <c r="D1132" i="8"/>
  <c r="I1131" i="8"/>
  <c r="H1131" i="8"/>
  <c r="G1131" i="8"/>
  <c r="F1131" i="8"/>
  <c r="E1131" i="8"/>
  <c r="D1131" i="8"/>
  <c r="I1130" i="8"/>
  <c r="H1130" i="8"/>
  <c r="F1130" i="8"/>
  <c r="E1130" i="8"/>
  <c r="D1130" i="8"/>
  <c r="I1129" i="8"/>
  <c r="H1129" i="8"/>
  <c r="G1129" i="8"/>
  <c r="F1129" i="8"/>
  <c r="E1129" i="8"/>
  <c r="D1129" i="8"/>
  <c r="I1128" i="8"/>
  <c r="H1128" i="8"/>
  <c r="G1128" i="8"/>
  <c r="F1128" i="8"/>
  <c r="E1128" i="8"/>
  <c r="D1128" i="8"/>
  <c r="J1127" i="8"/>
  <c r="I1127" i="8"/>
  <c r="H1127" i="8"/>
  <c r="G1127" i="8"/>
  <c r="F1127" i="8"/>
  <c r="E1127" i="8"/>
  <c r="D1127" i="8"/>
  <c r="I1122" i="8"/>
  <c r="H1122" i="8"/>
  <c r="G1122" i="8"/>
  <c r="F1122" i="8"/>
  <c r="E1122" i="8"/>
  <c r="D1122" i="8"/>
  <c r="I1121" i="8"/>
  <c r="H1121" i="8"/>
  <c r="F1121" i="8"/>
  <c r="E1121" i="8"/>
  <c r="D1121" i="8"/>
  <c r="I1120" i="8"/>
  <c r="H1120" i="8"/>
  <c r="G1120" i="8"/>
  <c r="F1120" i="8"/>
  <c r="E1120" i="8"/>
  <c r="D1120" i="8"/>
  <c r="I1119" i="8"/>
  <c r="H1119" i="8"/>
  <c r="G1119" i="8"/>
  <c r="F1119" i="8"/>
  <c r="E1119" i="8"/>
  <c r="D1119" i="8"/>
  <c r="I1118" i="8"/>
  <c r="H1118" i="8"/>
  <c r="G1118" i="8"/>
  <c r="F1118" i="8"/>
  <c r="E1118" i="8"/>
  <c r="D1118" i="8"/>
  <c r="I1117" i="8"/>
  <c r="H1117" i="8"/>
  <c r="F1117" i="8"/>
  <c r="E1117" i="8"/>
  <c r="D1117" i="8"/>
  <c r="I1116" i="8"/>
  <c r="H1116" i="8"/>
  <c r="G1116" i="8"/>
  <c r="F1116" i="8"/>
  <c r="E1116" i="8"/>
  <c r="D1116" i="8"/>
  <c r="J1115" i="8"/>
  <c r="I1115" i="8"/>
  <c r="H1115" i="8"/>
  <c r="G1115" i="8"/>
  <c r="F1115" i="8"/>
  <c r="E1115" i="8"/>
  <c r="D1115" i="8"/>
  <c r="I1110" i="8"/>
  <c r="H1110" i="8"/>
  <c r="G1110" i="8"/>
  <c r="F1110" i="8"/>
  <c r="E1110" i="8"/>
  <c r="D1110" i="8"/>
  <c r="I1109" i="8"/>
  <c r="H1109" i="8"/>
  <c r="G1109" i="8"/>
  <c r="F1109" i="8"/>
  <c r="E1109" i="8"/>
  <c r="D1109" i="8"/>
  <c r="I1108" i="8"/>
  <c r="H1108" i="8"/>
  <c r="F1108" i="8"/>
  <c r="E1108" i="8"/>
  <c r="D1108" i="8"/>
  <c r="I1107" i="8"/>
  <c r="H1107" i="8"/>
  <c r="G1107" i="8"/>
  <c r="F1107" i="8"/>
  <c r="E1107" i="8"/>
  <c r="D1107" i="8"/>
  <c r="I1106" i="8"/>
  <c r="H1106" i="8"/>
  <c r="G1106" i="8"/>
  <c r="F1106" i="8"/>
  <c r="E1106" i="8"/>
  <c r="D1106" i="8"/>
  <c r="I1105" i="8"/>
  <c r="H1105" i="8"/>
  <c r="G1105" i="8"/>
  <c r="F1105" i="8"/>
  <c r="E1105" i="8"/>
  <c r="D1105" i="8"/>
  <c r="I1104" i="8"/>
  <c r="H1104" i="8"/>
  <c r="G1104" i="8"/>
  <c r="F1104" i="8"/>
  <c r="E1104" i="8"/>
  <c r="D1104" i="8"/>
  <c r="J1103" i="8"/>
  <c r="I1103" i="8"/>
  <c r="H1103" i="8"/>
  <c r="G1103" i="8"/>
  <c r="F1103" i="8"/>
  <c r="E1103" i="8"/>
  <c r="D1103" i="8"/>
  <c r="I1098" i="8"/>
  <c r="H1098" i="8"/>
  <c r="G1098" i="8"/>
  <c r="F1098" i="8"/>
  <c r="E1098" i="8"/>
  <c r="D1098" i="8"/>
  <c r="I1097" i="8"/>
  <c r="H1097" i="8"/>
  <c r="G1097" i="8"/>
  <c r="F1097" i="8"/>
  <c r="E1097" i="8"/>
  <c r="D1097" i="8"/>
  <c r="I1096" i="8"/>
  <c r="H1096" i="8"/>
  <c r="G1096" i="8"/>
  <c r="F1096" i="8"/>
  <c r="E1096" i="8"/>
  <c r="D1096" i="8"/>
  <c r="I1095" i="8"/>
  <c r="H1095" i="8"/>
  <c r="G1095" i="8"/>
  <c r="F1095" i="8"/>
  <c r="E1095" i="8"/>
  <c r="D1095" i="8"/>
  <c r="I1094" i="8"/>
  <c r="H1094" i="8"/>
  <c r="G1094" i="8"/>
  <c r="F1094" i="8"/>
  <c r="E1094" i="8"/>
  <c r="D1094" i="8"/>
  <c r="I1093" i="8"/>
  <c r="H1093" i="8"/>
  <c r="G1093" i="8"/>
  <c r="F1093" i="8"/>
  <c r="E1093" i="8"/>
  <c r="D1093" i="8"/>
  <c r="I1092" i="8"/>
  <c r="H1092" i="8"/>
  <c r="G1092" i="8"/>
  <c r="F1092" i="8"/>
  <c r="E1092" i="8"/>
  <c r="D1092" i="8"/>
  <c r="J1091" i="8"/>
  <c r="I1091" i="8"/>
  <c r="H1091" i="8"/>
  <c r="G1091" i="8"/>
  <c r="F1091" i="8"/>
  <c r="E1091" i="8"/>
  <c r="D1091" i="8"/>
  <c r="I1086" i="8"/>
  <c r="H1086" i="8"/>
  <c r="G1086" i="8"/>
  <c r="F1086" i="8"/>
  <c r="E1086" i="8"/>
  <c r="D1086" i="8"/>
  <c r="I1085" i="8"/>
  <c r="H1085" i="8"/>
  <c r="G1085" i="8"/>
  <c r="F1085" i="8"/>
  <c r="E1085" i="8"/>
  <c r="D1085" i="8"/>
  <c r="I1084" i="8"/>
  <c r="H1084" i="8"/>
  <c r="G1084" i="8"/>
  <c r="F1084" i="8"/>
  <c r="E1084" i="8"/>
  <c r="D1084" i="8"/>
  <c r="I1083" i="8"/>
  <c r="H1083" i="8"/>
  <c r="G1083" i="8"/>
  <c r="F1083" i="8"/>
  <c r="E1083" i="8"/>
  <c r="D1083" i="8"/>
  <c r="I1082" i="8"/>
  <c r="H1082" i="8"/>
  <c r="G1082" i="8"/>
  <c r="F1082" i="8"/>
  <c r="E1082" i="8"/>
  <c r="D1082" i="8"/>
  <c r="I1081" i="8"/>
  <c r="H1081" i="8"/>
  <c r="G1081" i="8"/>
  <c r="F1081" i="8"/>
  <c r="E1081" i="8"/>
  <c r="D1081" i="8"/>
  <c r="I1080" i="8"/>
  <c r="H1080" i="8"/>
  <c r="G1080" i="8"/>
  <c r="F1080" i="8"/>
  <c r="E1080" i="8"/>
  <c r="D1080" i="8"/>
  <c r="J1079" i="8"/>
  <c r="I1079" i="8"/>
  <c r="H1079" i="8"/>
  <c r="G1079" i="8"/>
  <c r="F1079" i="8"/>
  <c r="E1079" i="8"/>
  <c r="D1079" i="8"/>
  <c r="I1074" i="8"/>
  <c r="H1074" i="8"/>
  <c r="G1074" i="8"/>
  <c r="F1074" i="8"/>
  <c r="E1074" i="8"/>
  <c r="D1074" i="8"/>
  <c r="I1073" i="8"/>
  <c r="H1073" i="8"/>
  <c r="G1073" i="8"/>
  <c r="F1073" i="8"/>
  <c r="E1073" i="8"/>
  <c r="D1073" i="8"/>
  <c r="I1072" i="8"/>
  <c r="H1072" i="8"/>
  <c r="G1072" i="8"/>
  <c r="F1072" i="8"/>
  <c r="E1072" i="8"/>
  <c r="D1072" i="8"/>
  <c r="I1071" i="8"/>
  <c r="H1071" i="8"/>
  <c r="G1071" i="8"/>
  <c r="F1071" i="8"/>
  <c r="E1071" i="8"/>
  <c r="D1071" i="8"/>
  <c r="I1070" i="8"/>
  <c r="H1070" i="8"/>
  <c r="G1070" i="8"/>
  <c r="F1070" i="8"/>
  <c r="E1070" i="8"/>
  <c r="D1070" i="8"/>
  <c r="I1069" i="8"/>
  <c r="H1069" i="8"/>
  <c r="G1069" i="8"/>
  <c r="F1069" i="8"/>
  <c r="E1069" i="8"/>
  <c r="D1069" i="8"/>
  <c r="I1068" i="8"/>
  <c r="H1068" i="8"/>
  <c r="G1068" i="8"/>
  <c r="F1068" i="8"/>
  <c r="E1068" i="8"/>
  <c r="D1068" i="8"/>
  <c r="J1067" i="8"/>
  <c r="I1067" i="8"/>
  <c r="H1067" i="8"/>
  <c r="G1067" i="8"/>
  <c r="F1067" i="8"/>
  <c r="E1067" i="8"/>
  <c r="D1067" i="8"/>
  <c r="I1062" i="8"/>
  <c r="H1062" i="8"/>
  <c r="G1062" i="8"/>
  <c r="F1062" i="8"/>
  <c r="E1062" i="8"/>
  <c r="D1062" i="8"/>
  <c r="I1061" i="8"/>
  <c r="H1061" i="8"/>
  <c r="G1061" i="8"/>
  <c r="F1061" i="8"/>
  <c r="E1061" i="8"/>
  <c r="D1061" i="8"/>
  <c r="I1060" i="8"/>
  <c r="H1060" i="8"/>
  <c r="G1060" i="8"/>
  <c r="F1060" i="8"/>
  <c r="E1060" i="8"/>
  <c r="D1060" i="8"/>
  <c r="I1059" i="8"/>
  <c r="H1059" i="8"/>
  <c r="G1059" i="8"/>
  <c r="F1059" i="8"/>
  <c r="E1059" i="8"/>
  <c r="D1059" i="8"/>
  <c r="I1058" i="8"/>
  <c r="H1058" i="8"/>
  <c r="G1058" i="8"/>
  <c r="F1058" i="8"/>
  <c r="E1058" i="8"/>
  <c r="D1058" i="8"/>
  <c r="I1057" i="8"/>
  <c r="H1057" i="8"/>
  <c r="G1057" i="8"/>
  <c r="F1057" i="8"/>
  <c r="E1057" i="8"/>
  <c r="D1057" i="8"/>
  <c r="I1056" i="8"/>
  <c r="H1056" i="8"/>
  <c r="G1056" i="8"/>
  <c r="F1056" i="8"/>
  <c r="E1056" i="8"/>
  <c r="D1056" i="8"/>
  <c r="J1055" i="8"/>
  <c r="I1055" i="8"/>
  <c r="H1055" i="8"/>
  <c r="G1055" i="8"/>
  <c r="F1055" i="8"/>
  <c r="E1055" i="8"/>
  <c r="D1055" i="8"/>
  <c r="I1050" i="8"/>
  <c r="H1050" i="8"/>
  <c r="G1050" i="8"/>
  <c r="F1050" i="8"/>
  <c r="E1050" i="8"/>
  <c r="D1050" i="8"/>
  <c r="I1049" i="8"/>
  <c r="H1049" i="8"/>
  <c r="G1049" i="8"/>
  <c r="F1049" i="8"/>
  <c r="E1049" i="8"/>
  <c r="D1049" i="8"/>
  <c r="I1048" i="8"/>
  <c r="H1048" i="8"/>
  <c r="G1048" i="8"/>
  <c r="F1048" i="8"/>
  <c r="E1048" i="8"/>
  <c r="D1048" i="8"/>
  <c r="I1047" i="8"/>
  <c r="H1047" i="8"/>
  <c r="G1047" i="8"/>
  <c r="F1047" i="8"/>
  <c r="E1047" i="8"/>
  <c r="D1047" i="8"/>
  <c r="I1046" i="8"/>
  <c r="H1046" i="8"/>
  <c r="G1046" i="8"/>
  <c r="F1046" i="8"/>
  <c r="E1046" i="8"/>
  <c r="D1046" i="8"/>
  <c r="I1045" i="8"/>
  <c r="H1045" i="8"/>
  <c r="G1045" i="8"/>
  <c r="F1045" i="8"/>
  <c r="E1045" i="8"/>
  <c r="D1045" i="8"/>
  <c r="I1044" i="8"/>
  <c r="H1044" i="8"/>
  <c r="G1044" i="8"/>
  <c r="F1044" i="8"/>
  <c r="E1044" i="8"/>
  <c r="D1044" i="8"/>
  <c r="J1043" i="8"/>
  <c r="I1043" i="8"/>
  <c r="H1043" i="8"/>
  <c r="G1043" i="8"/>
  <c r="F1043" i="8"/>
  <c r="E1043" i="8"/>
  <c r="D1043" i="8"/>
  <c r="I1038" i="8"/>
  <c r="H1038" i="8"/>
  <c r="G1038" i="8"/>
  <c r="F1038" i="8"/>
  <c r="E1038" i="8"/>
  <c r="D1038" i="8"/>
  <c r="I1037" i="8"/>
  <c r="H1037" i="8"/>
  <c r="G1037" i="8"/>
  <c r="F1037" i="8"/>
  <c r="E1037" i="8"/>
  <c r="D1037" i="8"/>
  <c r="I1036" i="8"/>
  <c r="H1036" i="8"/>
  <c r="G1036" i="8"/>
  <c r="F1036" i="8"/>
  <c r="E1036" i="8"/>
  <c r="D1036" i="8"/>
  <c r="I1035" i="8"/>
  <c r="H1035" i="8"/>
  <c r="G1035" i="8"/>
  <c r="F1035" i="8"/>
  <c r="E1035" i="8"/>
  <c r="D1035" i="8"/>
  <c r="I1034" i="8"/>
  <c r="H1034" i="8"/>
  <c r="G1034" i="8"/>
  <c r="F1034" i="8"/>
  <c r="E1034" i="8"/>
  <c r="D1034" i="8"/>
  <c r="I1033" i="8"/>
  <c r="H1033" i="8"/>
  <c r="G1033" i="8"/>
  <c r="F1033" i="8"/>
  <c r="E1033" i="8"/>
  <c r="D1033" i="8"/>
  <c r="I1032" i="8"/>
  <c r="H1032" i="8"/>
  <c r="G1032" i="8"/>
  <c r="F1032" i="8"/>
  <c r="E1032" i="8"/>
  <c r="D1032" i="8"/>
  <c r="J1031" i="8"/>
  <c r="I1031" i="8"/>
  <c r="H1031" i="8"/>
  <c r="G1031" i="8"/>
  <c r="F1031" i="8"/>
  <c r="E1031" i="8"/>
  <c r="D1031" i="8"/>
  <c r="I1026" i="8"/>
  <c r="H1026" i="8"/>
  <c r="G1026" i="8"/>
  <c r="F1026" i="8"/>
  <c r="E1026" i="8"/>
  <c r="D1026" i="8"/>
  <c r="I1025" i="8"/>
  <c r="H1025" i="8"/>
  <c r="G1025" i="8"/>
  <c r="F1025" i="8"/>
  <c r="E1025" i="8"/>
  <c r="D1025" i="8"/>
  <c r="I1024" i="8"/>
  <c r="H1024" i="8"/>
  <c r="G1024" i="8"/>
  <c r="F1024" i="8"/>
  <c r="E1024" i="8"/>
  <c r="D1024" i="8"/>
  <c r="I1023" i="8"/>
  <c r="H1023" i="8"/>
  <c r="G1023" i="8"/>
  <c r="F1023" i="8"/>
  <c r="E1023" i="8"/>
  <c r="D1023" i="8"/>
  <c r="I1022" i="8"/>
  <c r="H1022" i="8"/>
  <c r="G1022" i="8"/>
  <c r="F1022" i="8"/>
  <c r="E1022" i="8"/>
  <c r="D1022" i="8"/>
  <c r="I1021" i="8"/>
  <c r="H1021" i="8"/>
  <c r="G1021" i="8"/>
  <c r="F1021" i="8"/>
  <c r="E1021" i="8"/>
  <c r="D1021" i="8"/>
  <c r="I1020" i="8"/>
  <c r="H1020" i="8"/>
  <c r="G1020" i="8"/>
  <c r="F1020" i="8"/>
  <c r="E1020" i="8"/>
  <c r="D1020" i="8"/>
  <c r="J1019" i="8"/>
  <c r="I1019" i="8"/>
  <c r="H1019" i="8"/>
  <c r="G1019" i="8"/>
  <c r="F1019" i="8"/>
  <c r="E1019" i="8"/>
  <c r="D1019" i="8"/>
  <c r="I1014" i="8"/>
  <c r="H1014" i="8"/>
  <c r="G1014" i="8"/>
  <c r="F1014" i="8"/>
  <c r="E1014" i="8"/>
  <c r="D1014" i="8"/>
  <c r="I1013" i="8"/>
  <c r="H1013" i="8"/>
  <c r="G1013" i="8"/>
  <c r="F1013" i="8"/>
  <c r="E1013" i="8"/>
  <c r="D1013" i="8"/>
  <c r="I1012" i="8"/>
  <c r="H1012" i="8"/>
  <c r="G1012" i="8"/>
  <c r="F1012" i="8"/>
  <c r="E1012" i="8"/>
  <c r="D1012" i="8"/>
  <c r="I1011" i="8"/>
  <c r="H1011" i="8"/>
  <c r="G1011" i="8"/>
  <c r="F1011" i="8"/>
  <c r="E1011" i="8"/>
  <c r="D1011" i="8"/>
  <c r="I1010" i="8"/>
  <c r="H1010" i="8"/>
  <c r="G1010" i="8"/>
  <c r="F1010" i="8"/>
  <c r="E1010" i="8"/>
  <c r="D1010" i="8"/>
  <c r="I1009" i="8"/>
  <c r="H1009" i="8"/>
  <c r="G1009" i="8"/>
  <c r="F1009" i="8"/>
  <c r="E1009" i="8"/>
  <c r="D1009" i="8"/>
  <c r="I1008" i="8"/>
  <c r="H1008" i="8"/>
  <c r="G1008" i="8"/>
  <c r="F1008" i="8"/>
  <c r="E1008" i="8"/>
  <c r="D1008" i="8"/>
  <c r="J1007" i="8"/>
  <c r="I1007" i="8"/>
  <c r="H1007" i="8"/>
  <c r="G1007" i="8"/>
  <c r="F1007" i="8"/>
  <c r="E1007" i="8"/>
  <c r="D1007" i="8"/>
  <c r="I1002" i="8"/>
  <c r="H1002" i="8"/>
  <c r="G1002" i="8"/>
  <c r="F1002" i="8"/>
  <c r="E1002" i="8"/>
  <c r="D1002" i="8"/>
  <c r="I1001" i="8"/>
  <c r="H1001" i="8"/>
  <c r="G1001" i="8"/>
  <c r="F1001" i="8"/>
  <c r="E1001" i="8"/>
  <c r="D1001" i="8"/>
  <c r="I1000" i="8"/>
  <c r="H1000" i="8"/>
  <c r="G1000" i="8"/>
  <c r="F1000" i="8"/>
  <c r="E1000" i="8"/>
  <c r="D1000" i="8"/>
  <c r="I999" i="8"/>
  <c r="H999" i="8"/>
  <c r="G999" i="8"/>
  <c r="F999" i="8"/>
  <c r="E999" i="8"/>
  <c r="D999" i="8"/>
  <c r="I998" i="8"/>
  <c r="H998" i="8"/>
  <c r="G998" i="8"/>
  <c r="F998" i="8"/>
  <c r="E998" i="8"/>
  <c r="D998" i="8"/>
  <c r="I997" i="8"/>
  <c r="H997" i="8"/>
  <c r="G997" i="8"/>
  <c r="F997" i="8"/>
  <c r="E997" i="8"/>
  <c r="D997" i="8"/>
  <c r="I996" i="8"/>
  <c r="H996" i="8"/>
  <c r="G996" i="8"/>
  <c r="F996" i="8"/>
  <c r="E996" i="8"/>
  <c r="D996" i="8"/>
  <c r="J995" i="8"/>
  <c r="I995" i="8"/>
  <c r="H995" i="8"/>
  <c r="G995" i="8"/>
  <c r="F995" i="8"/>
  <c r="E995" i="8"/>
  <c r="D995" i="8"/>
  <c r="I990" i="8"/>
  <c r="H990" i="8"/>
  <c r="G990" i="8"/>
  <c r="F990" i="8"/>
  <c r="E990" i="8"/>
  <c r="D990" i="8"/>
  <c r="I989" i="8"/>
  <c r="H989" i="8"/>
  <c r="G989" i="8"/>
  <c r="F989" i="8"/>
  <c r="E989" i="8"/>
  <c r="D989" i="8"/>
  <c r="I988" i="8"/>
  <c r="H988" i="8"/>
  <c r="G988" i="8"/>
  <c r="F988" i="8"/>
  <c r="E988" i="8"/>
  <c r="D988" i="8"/>
  <c r="I987" i="8"/>
  <c r="H987" i="8"/>
  <c r="G987" i="8"/>
  <c r="F987" i="8"/>
  <c r="E987" i="8"/>
  <c r="D987" i="8"/>
  <c r="I986" i="8"/>
  <c r="H986" i="8"/>
  <c r="G986" i="8"/>
  <c r="F986" i="8"/>
  <c r="E986" i="8"/>
  <c r="D986" i="8"/>
  <c r="I985" i="8"/>
  <c r="H985" i="8"/>
  <c r="G985" i="8"/>
  <c r="F985" i="8"/>
  <c r="E985" i="8"/>
  <c r="D985" i="8"/>
  <c r="I984" i="8"/>
  <c r="H984" i="8"/>
  <c r="G984" i="8"/>
  <c r="F984" i="8"/>
  <c r="E984" i="8"/>
  <c r="D984" i="8"/>
  <c r="J983" i="8"/>
  <c r="I983" i="8"/>
  <c r="H983" i="8"/>
  <c r="G983" i="8"/>
  <c r="F983" i="8"/>
  <c r="E983" i="8"/>
  <c r="D983" i="8"/>
  <c r="I978" i="8"/>
  <c r="H978" i="8"/>
  <c r="G978" i="8"/>
  <c r="F978" i="8"/>
  <c r="E978" i="8"/>
  <c r="D978" i="8"/>
  <c r="I977" i="8"/>
  <c r="H977" i="8"/>
  <c r="G977" i="8"/>
  <c r="F977" i="8"/>
  <c r="E977" i="8"/>
  <c r="D977" i="8"/>
  <c r="I976" i="8"/>
  <c r="H976" i="8"/>
  <c r="G976" i="8"/>
  <c r="F976" i="8"/>
  <c r="E976" i="8"/>
  <c r="D976" i="8"/>
  <c r="I975" i="8"/>
  <c r="H975" i="8"/>
  <c r="G975" i="8"/>
  <c r="F975" i="8"/>
  <c r="E975" i="8"/>
  <c r="D975" i="8"/>
  <c r="I974" i="8"/>
  <c r="H974" i="8"/>
  <c r="G974" i="8"/>
  <c r="F974" i="8"/>
  <c r="E974" i="8"/>
  <c r="D974" i="8"/>
  <c r="I973" i="8"/>
  <c r="H973" i="8"/>
  <c r="G973" i="8"/>
  <c r="F973" i="8"/>
  <c r="E973" i="8"/>
  <c r="D973" i="8"/>
  <c r="I972" i="8"/>
  <c r="H972" i="8"/>
  <c r="G972" i="8"/>
  <c r="F972" i="8"/>
  <c r="E972" i="8"/>
  <c r="D972" i="8"/>
  <c r="J971" i="8"/>
  <c r="I971" i="8"/>
  <c r="H971" i="8"/>
  <c r="G971" i="8"/>
  <c r="F971" i="8"/>
  <c r="E971" i="8"/>
  <c r="D971" i="8"/>
  <c r="I966" i="8"/>
  <c r="H966" i="8"/>
  <c r="G966" i="8"/>
  <c r="F966" i="8"/>
  <c r="E966" i="8"/>
  <c r="D966" i="8"/>
  <c r="I965" i="8"/>
  <c r="H965" i="8"/>
  <c r="G965" i="8"/>
  <c r="F965" i="8"/>
  <c r="E965" i="8"/>
  <c r="D965" i="8"/>
  <c r="I964" i="8"/>
  <c r="H964" i="8"/>
  <c r="G964" i="8"/>
  <c r="F964" i="8"/>
  <c r="E964" i="8"/>
  <c r="D964" i="8"/>
  <c r="I963" i="8"/>
  <c r="H963" i="8"/>
  <c r="G963" i="8"/>
  <c r="F963" i="8"/>
  <c r="E963" i="8"/>
  <c r="D963" i="8"/>
  <c r="I962" i="8"/>
  <c r="H962" i="8"/>
  <c r="G962" i="8"/>
  <c r="F962" i="8"/>
  <c r="E962" i="8"/>
  <c r="D962" i="8"/>
  <c r="I961" i="8"/>
  <c r="H961" i="8"/>
  <c r="G961" i="8"/>
  <c r="F961" i="8"/>
  <c r="E961" i="8"/>
  <c r="D961" i="8"/>
  <c r="I960" i="8"/>
  <c r="H960" i="8"/>
  <c r="G960" i="8"/>
  <c r="F960" i="8"/>
  <c r="E960" i="8"/>
  <c r="D960" i="8"/>
  <c r="J959" i="8"/>
  <c r="I959" i="8"/>
  <c r="H959" i="8"/>
  <c r="G959" i="8"/>
  <c r="F959" i="8"/>
  <c r="E959" i="8"/>
  <c r="D959" i="8"/>
  <c r="I954" i="8"/>
  <c r="H954" i="8"/>
  <c r="G954" i="8"/>
  <c r="F954" i="8"/>
  <c r="E954" i="8"/>
  <c r="D954" i="8"/>
  <c r="I953" i="8"/>
  <c r="H953" i="8"/>
  <c r="G953" i="8"/>
  <c r="F953" i="8"/>
  <c r="E953" i="8"/>
  <c r="D953" i="8"/>
  <c r="I952" i="8"/>
  <c r="H952" i="8"/>
  <c r="G952" i="8"/>
  <c r="F952" i="8"/>
  <c r="E952" i="8"/>
  <c r="D952" i="8"/>
  <c r="I951" i="8"/>
  <c r="H951" i="8"/>
  <c r="G951" i="8"/>
  <c r="F951" i="8"/>
  <c r="E951" i="8"/>
  <c r="D951" i="8"/>
  <c r="I950" i="8"/>
  <c r="H950" i="8"/>
  <c r="G950" i="8"/>
  <c r="F950" i="8"/>
  <c r="E950" i="8"/>
  <c r="D950" i="8"/>
  <c r="I949" i="8"/>
  <c r="H949" i="8"/>
  <c r="G949" i="8"/>
  <c r="F949" i="8"/>
  <c r="E949" i="8"/>
  <c r="D949" i="8"/>
  <c r="I948" i="8"/>
  <c r="H948" i="8"/>
  <c r="G948" i="8"/>
  <c r="F948" i="8"/>
  <c r="E948" i="8"/>
  <c r="D948" i="8"/>
  <c r="J947" i="8"/>
  <c r="I947" i="8"/>
  <c r="H947" i="8"/>
  <c r="G947" i="8"/>
  <c r="F947" i="8"/>
  <c r="E947" i="8"/>
  <c r="D947" i="8"/>
  <c r="I942" i="8"/>
  <c r="H942" i="8"/>
  <c r="G942" i="8"/>
  <c r="F942" i="8"/>
  <c r="E942" i="8"/>
  <c r="D942" i="8"/>
  <c r="I941" i="8"/>
  <c r="H941" i="8"/>
  <c r="G941" i="8"/>
  <c r="F941" i="8"/>
  <c r="E941" i="8"/>
  <c r="D941" i="8"/>
  <c r="I940" i="8"/>
  <c r="H940" i="8"/>
  <c r="G940" i="8"/>
  <c r="F940" i="8"/>
  <c r="E940" i="8"/>
  <c r="D940" i="8"/>
  <c r="I939" i="8"/>
  <c r="H939" i="8"/>
  <c r="G939" i="8"/>
  <c r="F939" i="8"/>
  <c r="E939" i="8"/>
  <c r="D939" i="8"/>
  <c r="I938" i="8"/>
  <c r="H938" i="8"/>
  <c r="G938" i="8"/>
  <c r="F938" i="8"/>
  <c r="E938" i="8"/>
  <c r="D938" i="8"/>
  <c r="I937" i="8"/>
  <c r="H937" i="8"/>
  <c r="G937" i="8"/>
  <c r="F937" i="8"/>
  <c r="E937" i="8"/>
  <c r="D937" i="8"/>
  <c r="I936" i="8"/>
  <c r="H936" i="8"/>
  <c r="G936" i="8"/>
  <c r="F936" i="8"/>
  <c r="E936" i="8"/>
  <c r="D936" i="8"/>
  <c r="J935" i="8"/>
  <c r="I935" i="8"/>
  <c r="H935" i="8"/>
  <c r="G935" i="8"/>
  <c r="F935" i="8"/>
  <c r="E935" i="8"/>
  <c r="D935" i="8"/>
  <c r="I930" i="8"/>
  <c r="H930" i="8"/>
  <c r="G930" i="8"/>
  <c r="F930" i="8"/>
  <c r="E930" i="8"/>
  <c r="D930" i="8"/>
  <c r="I929" i="8"/>
  <c r="H929" i="8"/>
  <c r="G929" i="8"/>
  <c r="F929" i="8"/>
  <c r="E929" i="8"/>
  <c r="D929" i="8"/>
  <c r="I928" i="8"/>
  <c r="H928" i="8"/>
  <c r="G928" i="8"/>
  <c r="F928" i="8"/>
  <c r="E928" i="8"/>
  <c r="D928" i="8"/>
  <c r="I927" i="8"/>
  <c r="H927" i="8"/>
  <c r="G927" i="8"/>
  <c r="F927" i="8"/>
  <c r="E927" i="8"/>
  <c r="D927" i="8"/>
  <c r="I926" i="8"/>
  <c r="H926" i="8"/>
  <c r="G926" i="8"/>
  <c r="F926" i="8"/>
  <c r="E926" i="8"/>
  <c r="D926" i="8"/>
  <c r="I925" i="8"/>
  <c r="H925" i="8"/>
  <c r="G925" i="8"/>
  <c r="F925" i="8"/>
  <c r="E925" i="8"/>
  <c r="D925" i="8"/>
  <c r="I924" i="8"/>
  <c r="H924" i="8"/>
  <c r="G924" i="8"/>
  <c r="F924" i="8"/>
  <c r="E924" i="8"/>
  <c r="D924" i="8"/>
  <c r="J923" i="8"/>
  <c r="I923" i="8"/>
  <c r="H923" i="8"/>
  <c r="G923" i="8"/>
  <c r="F923" i="8"/>
  <c r="E923" i="8"/>
  <c r="D923" i="8"/>
  <c r="I918" i="8"/>
  <c r="H918" i="8"/>
  <c r="G918" i="8"/>
  <c r="F918" i="8"/>
  <c r="E918" i="8"/>
  <c r="D918" i="8"/>
  <c r="I917" i="8"/>
  <c r="H917" i="8"/>
  <c r="G917" i="8"/>
  <c r="F917" i="8"/>
  <c r="E917" i="8"/>
  <c r="D917" i="8"/>
  <c r="I916" i="8"/>
  <c r="H916" i="8"/>
  <c r="G916" i="8"/>
  <c r="F916" i="8"/>
  <c r="E916" i="8"/>
  <c r="D916" i="8"/>
  <c r="I915" i="8"/>
  <c r="H915" i="8"/>
  <c r="G915" i="8"/>
  <c r="F915" i="8"/>
  <c r="E915" i="8"/>
  <c r="D915" i="8"/>
  <c r="I914" i="8"/>
  <c r="H914" i="8"/>
  <c r="G914" i="8"/>
  <c r="F914" i="8"/>
  <c r="E914" i="8"/>
  <c r="D914" i="8"/>
  <c r="I913" i="8"/>
  <c r="H913" i="8"/>
  <c r="G913" i="8"/>
  <c r="F913" i="8"/>
  <c r="E913" i="8"/>
  <c r="D913" i="8"/>
  <c r="I912" i="8"/>
  <c r="H912" i="8"/>
  <c r="G912" i="8"/>
  <c r="F912" i="8"/>
  <c r="E912" i="8"/>
  <c r="D912" i="8"/>
  <c r="J911" i="8"/>
  <c r="I911" i="8"/>
  <c r="H911" i="8"/>
  <c r="G911" i="8"/>
  <c r="F911" i="8"/>
  <c r="E911" i="8"/>
  <c r="D911" i="8"/>
  <c r="I906" i="8"/>
  <c r="H906" i="8"/>
  <c r="G906" i="8"/>
  <c r="F906" i="8"/>
  <c r="E906" i="8"/>
  <c r="D906" i="8"/>
  <c r="I905" i="8"/>
  <c r="H905" i="8"/>
  <c r="G905" i="8"/>
  <c r="F905" i="8"/>
  <c r="E905" i="8"/>
  <c r="D905" i="8"/>
  <c r="I904" i="8"/>
  <c r="H904" i="8"/>
  <c r="G904" i="8"/>
  <c r="F904" i="8"/>
  <c r="E904" i="8"/>
  <c r="D904" i="8"/>
  <c r="I903" i="8"/>
  <c r="H903" i="8"/>
  <c r="G903" i="8"/>
  <c r="F903" i="8"/>
  <c r="E903" i="8"/>
  <c r="D903" i="8"/>
  <c r="I902" i="8"/>
  <c r="H902" i="8"/>
  <c r="G902" i="8"/>
  <c r="F902" i="8"/>
  <c r="E902" i="8"/>
  <c r="D902" i="8"/>
  <c r="I901" i="8"/>
  <c r="H901" i="8"/>
  <c r="G901" i="8"/>
  <c r="F901" i="8"/>
  <c r="E901" i="8"/>
  <c r="D901" i="8"/>
  <c r="I900" i="8"/>
  <c r="H900" i="8"/>
  <c r="G900" i="8"/>
  <c r="F900" i="8"/>
  <c r="E900" i="8"/>
  <c r="D900" i="8"/>
  <c r="J899" i="8"/>
  <c r="I899" i="8"/>
  <c r="H899" i="8"/>
  <c r="G899" i="8"/>
  <c r="F899" i="8"/>
  <c r="E899" i="8"/>
  <c r="D899" i="8"/>
  <c r="I894" i="8"/>
  <c r="H894" i="8"/>
  <c r="G894" i="8"/>
  <c r="F894" i="8"/>
  <c r="E894" i="8"/>
  <c r="D894" i="8"/>
  <c r="I893" i="8"/>
  <c r="H893" i="8"/>
  <c r="G893" i="8"/>
  <c r="F893" i="8"/>
  <c r="E893" i="8"/>
  <c r="D893" i="8"/>
  <c r="I892" i="8"/>
  <c r="H892" i="8"/>
  <c r="G892" i="8"/>
  <c r="F892" i="8"/>
  <c r="E892" i="8"/>
  <c r="D892" i="8"/>
  <c r="I891" i="8"/>
  <c r="H891" i="8"/>
  <c r="G891" i="8"/>
  <c r="F891" i="8"/>
  <c r="E891" i="8"/>
  <c r="D891" i="8"/>
  <c r="I890" i="8"/>
  <c r="H890" i="8"/>
  <c r="G890" i="8"/>
  <c r="F890" i="8"/>
  <c r="E890" i="8"/>
  <c r="D890" i="8"/>
  <c r="I889" i="8"/>
  <c r="H889" i="8"/>
  <c r="G889" i="8"/>
  <c r="F889" i="8"/>
  <c r="E889" i="8"/>
  <c r="D889" i="8"/>
  <c r="I888" i="8"/>
  <c r="H888" i="8"/>
  <c r="G888" i="8"/>
  <c r="F888" i="8"/>
  <c r="E888" i="8"/>
  <c r="D888" i="8"/>
  <c r="J887" i="8"/>
  <c r="I887" i="8"/>
  <c r="H887" i="8"/>
  <c r="G887" i="8"/>
  <c r="F887" i="8"/>
  <c r="E887" i="8"/>
  <c r="D887" i="8"/>
  <c r="I882" i="8"/>
  <c r="H882" i="8"/>
  <c r="G882" i="8"/>
  <c r="F882" i="8"/>
  <c r="E882" i="8"/>
  <c r="D882" i="8"/>
  <c r="I881" i="8"/>
  <c r="H881" i="8"/>
  <c r="G881" i="8"/>
  <c r="F881" i="8"/>
  <c r="E881" i="8"/>
  <c r="D881" i="8"/>
  <c r="I880" i="8"/>
  <c r="H880" i="8"/>
  <c r="G880" i="8"/>
  <c r="F880" i="8"/>
  <c r="E880" i="8"/>
  <c r="D880" i="8"/>
  <c r="I879" i="8"/>
  <c r="H879" i="8"/>
  <c r="G879" i="8"/>
  <c r="F879" i="8"/>
  <c r="E879" i="8"/>
  <c r="D879" i="8"/>
  <c r="I878" i="8"/>
  <c r="H878" i="8"/>
  <c r="G878" i="8"/>
  <c r="F878" i="8"/>
  <c r="E878" i="8"/>
  <c r="D878" i="8"/>
  <c r="I877" i="8"/>
  <c r="H877" i="8"/>
  <c r="G877" i="8"/>
  <c r="F877" i="8"/>
  <c r="E877" i="8"/>
  <c r="D877" i="8"/>
  <c r="I876" i="8"/>
  <c r="H876" i="8"/>
  <c r="G876" i="8"/>
  <c r="F876" i="8"/>
  <c r="E876" i="8"/>
  <c r="D876" i="8"/>
  <c r="J875" i="8"/>
  <c r="I875" i="8"/>
  <c r="H875" i="8"/>
  <c r="G875" i="8"/>
  <c r="F875" i="8"/>
  <c r="E875" i="8"/>
  <c r="D875" i="8"/>
  <c r="I870" i="8"/>
  <c r="H870" i="8"/>
  <c r="G870" i="8"/>
  <c r="F870" i="8"/>
  <c r="E870" i="8"/>
  <c r="D870" i="8"/>
  <c r="I869" i="8"/>
  <c r="H869" i="8"/>
  <c r="G869" i="8"/>
  <c r="F869" i="8"/>
  <c r="E869" i="8"/>
  <c r="D869" i="8"/>
  <c r="I868" i="8"/>
  <c r="H868" i="8"/>
  <c r="G868" i="8"/>
  <c r="F868" i="8"/>
  <c r="E868" i="8"/>
  <c r="D868" i="8"/>
  <c r="I867" i="8"/>
  <c r="H867" i="8"/>
  <c r="G867" i="8"/>
  <c r="F867" i="8"/>
  <c r="E867" i="8"/>
  <c r="D867" i="8"/>
  <c r="I866" i="8"/>
  <c r="H866" i="8"/>
  <c r="G866" i="8"/>
  <c r="F866" i="8"/>
  <c r="E866" i="8"/>
  <c r="D866" i="8"/>
  <c r="I865" i="8"/>
  <c r="H865" i="8"/>
  <c r="G865" i="8"/>
  <c r="F865" i="8"/>
  <c r="E865" i="8"/>
  <c r="D865" i="8"/>
  <c r="I864" i="8"/>
  <c r="H864" i="8"/>
  <c r="G864" i="8"/>
  <c r="F864" i="8"/>
  <c r="E864" i="8"/>
  <c r="D864" i="8"/>
  <c r="J863" i="8"/>
  <c r="I863" i="8"/>
  <c r="H863" i="8"/>
  <c r="G863" i="8"/>
  <c r="F863" i="8"/>
  <c r="E863" i="8"/>
  <c r="D863" i="8"/>
  <c r="I858" i="8"/>
  <c r="H858" i="8"/>
  <c r="G858" i="8"/>
  <c r="F858" i="8"/>
  <c r="E858" i="8"/>
  <c r="D858" i="8"/>
  <c r="I857" i="8"/>
  <c r="H857" i="8"/>
  <c r="G857" i="8"/>
  <c r="F857" i="8"/>
  <c r="E857" i="8"/>
  <c r="D857" i="8"/>
  <c r="I856" i="8"/>
  <c r="H856" i="8"/>
  <c r="G856" i="8"/>
  <c r="F856" i="8"/>
  <c r="E856" i="8"/>
  <c r="D856" i="8"/>
  <c r="I855" i="8"/>
  <c r="H855" i="8"/>
  <c r="G855" i="8"/>
  <c r="F855" i="8"/>
  <c r="E855" i="8"/>
  <c r="D855" i="8"/>
  <c r="I854" i="8"/>
  <c r="H854" i="8"/>
  <c r="G854" i="8"/>
  <c r="F854" i="8"/>
  <c r="E854" i="8"/>
  <c r="D854" i="8"/>
  <c r="I853" i="8"/>
  <c r="H853" i="8"/>
  <c r="G853" i="8"/>
  <c r="F853" i="8"/>
  <c r="E853" i="8"/>
  <c r="D853" i="8"/>
  <c r="I852" i="8"/>
  <c r="H852" i="8"/>
  <c r="G852" i="8"/>
  <c r="F852" i="8"/>
  <c r="E852" i="8"/>
  <c r="D852" i="8"/>
  <c r="J851" i="8"/>
  <c r="I851" i="8"/>
  <c r="H851" i="8"/>
  <c r="G851" i="8"/>
  <c r="F851" i="8"/>
  <c r="E851" i="8"/>
  <c r="D851" i="8"/>
  <c r="I846" i="8"/>
  <c r="H846" i="8"/>
  <c r="G846" i="8"/>
  <c r="F846" i="8"/>
  <c r="E846" i="8"/>
  <c r="D846" i="8"/>
  <c r="I845" i="8"/>
  <c r="H845" i="8"/>
  <c r="G845" i="8"/>
  <c r="F845" i="8"/>
  <c r="E845" i="8"/>
  <c r="D845" i="8"/>
  <c r="I844" i="8"/>
  <c r="H844" i="8"/>
  <c r="G844" i="8"/>
  <c r="F844" i="8"/>
  <c r="E844" i="8"/>
  <c r="D844" i="8"/>
  <c r="I843" i="8"/>
  <c r="H843" i="8"/>
  <c r="G843" i="8"/>
  <c r="F843" i="8"/>
  <c r="E843" i="8"/>
  <c r="D843" i="8"/>
  <c r="I842" i="8"/>
  <c r="H842" i="8"/>
  <c r="G842" i="8"/>
  <c r="F842" i="8"/>
  <c r="E842" i="8"/>
  <c r="D842" i="8"/>
  <c r="I841" i="8"/>
  <c r="H841" i="8"/>
  <c r="G841" i="8"/>
  <c r="F841" i="8"/>
  <c r="E841" i="8"/>
  <c r="D841" i="8"/>
  <c r="I840" i="8"/>
  <c r="H840" i="8"/>
  <c r="G840" i="8"/>
  <c r="F840" i="8"/>
  <c r="E840" i="8"/>
  <c r="D840" i="8"/>
  <c r="J839" i="8"/>
  <c r="I839" i="8"/>
  <c r="H839" i="8"/>
  <c r="G839" i="8"/>
  <c r="F839" i="8"/>
  <c r="E839" i="8"/>
  <c r="D839" i="8"/>
  <c r="I834" i="8"/>
  <c r="H834" i="8"/>
  <c r="G834" i="8"/>
  <c r="F834" i="8"/>
  <c r="E834" i="8"/>
  <c r="D834" i="8"/>
  <c r="I833" i="8"/>
  <c r="H833" i="8"/>
  <c r="G833" i="8"/>
  <c r="F833" i="8"/>
  <c r="E833" i="8"/>
  <c r="D833" i="8"/>
  <c r="I832" i="8"/>
  <c r="H832" i="8"/>
  <c r="G832" i="8"/>
  <c r="F832" i="8"/>
  <c r="E832" i="8"/>
  <c r="D832" i="8"/>
  <c r="I831" i="8"/>
  <c r="H831" i="8"/>
  <c r="G831" i="8"/>
  <c r="F831" i="8"/>
  <c r="E831" i="8"/>
  <c r="D831" i="8"/>
  <c r="I830" i="8"/>
  <c r="H830" i="8"/>
  <c r="G830" i="8"/>
  <c r="F830" i="8"/>
  <c r="E830" i="8"/>
  <c r="D830" i="8"/>
  <c r="I829" i="8"/>
  <c r="H829" i="8"/>
  <c r="G829" i="8"/>
  <c r="F829" i="8"/>
  <c r="E829" i="8"/>
  <c r="D829" i="8"/>
  <c r="I828" i="8"/>
  <c r="H828" i="8"/>
  <c r="G828" i="8"/>
  <c r="F828" i="8"/>
  <c r="E828" i="8"/>
  <c r="D828" i="8"/>
  <c r="J827" i="8"/>
  <c r="I827" i="8"/>
  <c r="H827" i="8"/>
  <c r="G827" i="8"/>
  <c r="F827" i="8"/>
  <c r="E827" i="8"/>
  <c r="D827" i="8"/>
  <c r="I822" i="8"/>
  <c r="H822" i="8"/>
  <c r="G822" i="8"/>
  <c r="F822" i="8"/>
  <c r="E822" i="8"/>
  <c r="D822" i="8"/>
  <c r="I821" i="8"/>
  <c r="H821" i="8"/>
  <c r="G821" i="8"/>
  <c r="F821" i="8"/>
  <c r="E821" i="8"/>
  <c r="D821" i="8"/>
  <c r="I820" i="8"/>
  <c r="H820" i="8"/>
  <c r="G820" i="8"/>
  <c r="F820" i="8"/>
  <c r="E820" i="8"/>
  <c r="D820" i="8"/>
  <c r="I819" i="8"/>
  <c r="H819" i="8"/>
  <c r="G819" i="8"/>
  <c r="F819" i="8"/>
  <c r="E819" i="8"/>
  <c r="D819" i="8"/>
  <c r="I818" i="8"/>
  <c r="H818" i="8"/>
  <c r="G818" i="8"/>
  <c r="F818" i="8"/>
  <c r="E818" i="8"/>
  <c r="D818" i="8"/>
  <c r="I817" i="8"/>
  <c r="H817" i="8"/>
  <c r="G817" i="8"/>
  <c r="F817" i="8"/>
  <c r="E817" i="8"/>
  <c r="D817" i="8"/>
  <c r="I816" i="8"/>
  <c r="H816" i="8"/>
  <c r="G816" i="8"/>
  <c r="F816" i="8"/>
  <c r="E816" i="8"/>
  <c r="D816" i="8"/>
  <c r="J815" i="8"/>
  <c r="I815" i="8"/>
  <c r="H815" i="8"/>
  <c r="G815" i="8"/>
  <c r="F815" i="8"/>
  <c r="E815" i="8"/>
  <c r="D815" i="8"/>
  <c r="I810" i="8"/>
  <c r="H810" i="8"/>
  <c r="G810" i="8"/>
  <c r="F810" i="8"/>
  <c r="E810" i="8"/>
  <c r="D810" i="8"/>
  <c r="I809" i="8"/>
  <c r="H809" i="8"/>
  <c r="G809" i="8"/>
  <c r="F809" i="8"/>
  <c r="E809" i="8"/>
  <c r="D809" i="8"/>
  <c r="I808" i="8"/>
  <c r="H808" i="8"/>
  <c r="G808" i="8"/>
  <c r="F808" i="8"/>
  <c r="E808" i="8"/>
  <c r="D808" i="8"/>
  <c r="I807" i="8"/>
  <c r="H807" i="8"/>
  <c r="G807" i="8"/>
  <c r="F807" i="8"/>
  <c r="E807" i="8"/>
  <c r="D807" i="8"/>
  <c r="I806" i="8"/>
  <c r="H806" i="8"/>
  <c r="G806" i="8"/>
  <c r="F806" i="8"/>
  <c r="E806" i="8"/>
  <c r="D806" i="8"/>
  <c r="I805" i="8"/>
  <c r="H805" i="8"/>
  <c r="G805" i="8"/>
  <c r="F805" i="8"/>
  <c r="E805" i="8"/>
  <c r="D805" i="8"/>
  <c r="I804" i="8"/>
  <c r="H804" i="8"/>
  <c r="G804" i="8"/>
  <c r="F804" i="8"/>
  <c r="E804" i="8"/>
  <c r="D804" i="8"/>
  <c r="J803" i="8"/>
  <c r="I803" i="8"/>
  <c r="H803" i="8"/>
  <c r="G803" i="8"/>
  <c r="F803" i="8"/>
  <c r="E803" i="8"/>
  <c r="D803" i="8"/>
  <c r="I798" i="8"/>
  <c r="H798" i="8"/>
  <c r="G798" i="8"/>
  <c r="F798" i="8"/>
  <c r="E798" i="8"/>
  <c r="D798" i="8"/>
  <c r="I797" i="8"/>
  <c r="H797" i="8"/>
  <c r="G797" i="8"/>
  <c r="F797" i="8"/>
  <c r="E797" i="8"/>
  <c r="D797" i="8"/>
  <c r="I796" i="8"/>
  <c r="H796" i="8"/>
  <c r="G796" i="8"/>
  <c r="F796" i="8"/>
  <c r="E796" i="8"/>
  <c r="D796" i="8"/>
  <c r="I795" i="8"/>
  <c r="H795" i="8"/>
  <c r="G795" i="8"/>
  <c r="F795" i="8"/>
  <c r="E795" i="8"/>
  <c r="D795" i="8"/>
  <c r="I794" i="8"/>
  <c r="H794" i="8"/>
  <c r="G794" i="8"/>
  <c r="F794" i="8"/>
  <c r="E794" i="8"/>
  <c r="D794" i="8"/>
  <c r="I793" i="8"/>
  <c r="H793" i="8"/>
  <c r="G793" i="8"/>
  <c r="F793" i="8"/>
  <c r="E793" i="8"/>
  <c r="D793" i="8"/>
  <c r="I792" i="8"/>
  <c r="H792" i="8"/>
  <c r="G792" i="8"/>
  <c r="F792" i="8"/>
  <c r="E792" i="8"/>
  <c r="D792" i="8"/>
  <c r="J791" i="8"/>
  <c r="I791" i="8"/>
  <c r="H791" i="8"/>
  <c r="G791" i="8"/>
  <c r="F791" i="8"/>
  <c r="E791" i="8"/>
  <c r="D791" i="8"/>
  <c r="I786" i="8"/>
  <c r="H786" i="8"/>
  <c r="G786" i="8"/>
  <c r="F786" i="8"/>
  <c r="E786" i="8"/>
  <c r="D786" i="8"/>
  <c r="I785" i="8"/>
  <c r="H785" i="8"/>
  <c r="G785" i="8"/>
  <c r="F785" i="8"/>
  <c r="E785" i="8"/>
  <c r="D785" i="8"/>
  <c r="I784" i="8"/>
  <c r="H784" i="8"/>
  <c r="G784" i="8"/>
  <c r="F784" i="8"/>
  <c r="E784" i="8"/>
  <c r="D784" i="8"/>
  <c r="I783" i="8"/>
  <c r="H783" i="8"/>
  <c r="G783" i="8"/>
  <c r="F783" i="8"/>
  <c r="E783" i="8"/>
  <c r="D783" i="8"/>
  <c r="I782" i="8"/>
  <c r="H782" i="8"/>
  <c r="G782" i="8"/>
  <c r="F782" i="8"/>
  <c r="E782" i="8"/>
  <c r="D782" i="8"/>
  <c r="I781" i="8"/>
  <c r="H781" i="8"/>
  <c r="G781" i="8"/>
  <c r="F781" i="8"/>
  <c r="E781" i="8"/>
  <c r="D781" i="8"/>
  <c r="I780" i="8"/>
  <c r="H780" i="8"/>
  <c r="G780" i="8"/>
  <c r="F780" i="8"/>
  <c r="E780" i="8"/>
  <c r="D780" i="8"/>
  <c r="J779" i="8"/>
  <c r="I779" i="8"/>
  <c r="H779" i="8"/>
  <c r="G779" i="8"/>
  <c r="F779" i="8"/>
  <c r="E779" i="8"/>
  <c r="D779" i="8"/>
  <c r="I774" i="8"/>
  <c r="H774" i="8"/>
  <c r="G774" i="8"/>
  <c r="F774" i="8"/>
  <c r="E774" i="8"/>
  <c r="D774" i="8"/>
  <c r="I773" i="8"/>
  <c r="H773" i="8"/>
  <c r="G773" i="8"/>
  <c r="F773" i="8"/>
  <c r="E773" i="8"/>
  <c r="D773" i="8"/>
  <c r="I772" i="8"/>
  <c r="H772" i="8"/>
  <c r="G772" i="8"/>
  <c r="F772" i="8"/>
  <c r="E772" i="8"/>
  <c r="D772" i="8"/>
  <c r="I771" i="8"/>
  <c r="H771" i="8"/>
  <c r="G771" i="8"/>
  <c r="F771" i="8"/>
  <c r="E771" i="8"/>
  <c r="D771" i="8"/>
  <c r="I770" i="8"/>
  <c r="H770" i="8"/>
  <c r="G770" i="8"/>
  <c r="F770" i="8"/>
  <c r="E770" i="8"/>
  <c r="D770" i="8"/>
  <c r="I769" i="8"/>
  <c r="H769" i="8"/>
  <c r="G769" i="8"/>
  <c r="F769" i="8"/>
  <c r="E769" i="8"/>
  <c r="D769" i="8"/>
  <c r="I768" i="8"/>
  <c r="H768" i="8"/>
  <c r="G768" i="8"/>
  <c r="F768" i="8"/>
  <c r="E768" i="8"/>
  <c r="D768" i="8"/>
  <c r="J767" i="8"/>
  <c r="I767" i="8"/>
  <c r="H767" i="8"/>
  <c r="G767" i="8"/>
  <c r="F767" i="8"/>
  <c r="E767" i="8"/>
  <c r="D767" i="8"/>
  <c r="I762" i="8"/>
  <c r="H762" i="8"/>
  <c r="G762" i="8"/>
  <c r="F762" i="8"/>
  <c r="E762" i="8"/>
  <c r="D762" i="8"/>
  <c r="I761" i="8"/>
  <c r="H761" i="8"/>
  <c r="G761" i="8"/>
  <c r="F761" i="8"/>
  <c r="E761" i="8"/>
  <c r="D761" i="8"/>
  <c r="I760" i="8"/>
  <c r="H760" i="8"/>
  <c r="G760" i="8"/>
  <c r="F760" i="8"/>
  <c r="E760" i="8"/>
  <c r="D760" i="8"/>
  <c r="I759" i="8"/>
  <c r="H759" i="8"/>
  <c r="G759" i="8"/>
  <c r="F759" i="8"/>
  <c r="E759" i="8"/>
  <c r="D759" i="8"/>
  <c r="I758" i="8"/>
  <c r="H758" i="8"/>
  <c r="G758" i="8"/>
  <c r="F758" i="8"/>
  <c r="E758" i="8"/>
  <c r="D758" i="8"/>
  <c r="I757" i="8"/>
  <c r="H757" i="8"/>
  <c r="G757" i="8"/>
  <c r="F757" i="8"/>
  <c r="E757" i="8"/>
  <c r="D757" i="8"/>
  <c r="I756" i="8"/>
  <c r="H756" i="8"/>
  <c r="G756" i="8"/>
  <c r="F756" i="8"/>
  <c r="E756" i="8"/>
  <c r="D756" i="8"/>
  <c r="J755" i="8"/>
  <c r="I755" i="8"/>
  <c r="H755" i="8"/>
  <c r="G755" i="8"/>
  <c r="F755" i="8"/>
  <c r="E755" i="8"/>
  <c r="D755" i="8"/>
  <c r="I750" i="8"/>
  <c r="H750" i="8"/>
  <c r="G750" i="8"/>
  <c r="F750" i="8"/>
  <c r="E750" i="8"/>
  <c r="D750" i="8"/>
  <c r="I749" i="8"/>
  <c r="H749" i="8"/>
  <c r="G749" i="8"/>
  <c r="F749" i="8"/>
  <c r="E749" i="8"/>
  <c r="D749" i="8"/>
  <c r="I748" i="8"/>
  <c r="H748" i="8"/>
  <c r="G748" i="8"/>
  <c r="F748" i="8"/>
  <c r="E748" i="8"/>
  <c r="D748" i="8"/>
  <c r="I747" i="8"/>
  <c r="H747" i="8"/>
  <c r="G747" i="8"/>
  <c r="F747" i="8"/>
  <c r="E747" i="8"/>
  <c r="D747" i="8"/>
  <c r="I746" i="8"/>
  <c r="H746" i="8"/>
  <c r="G746" i="8"/>
  <c r="F746" i="8"/>
  <c r="E746" i="8"/>
  <c r="D746" i="8"/>
  <c r="I745" i="8"/>
  <c r="H745" i="8"/>
  <c r="G745" i="8"/>
  <c r="F745" i="8"/>
  <c r="E745" i="8"/>
  <c r="D745" i="8"/>
  <c r="I744" i="8"/>
  <c r="H744" i="8"/>
  <c r="G744" i="8"/>
  <c r="F744" i="8"/>
  <c r="E744" i="8"/>
  <c r="D744" i="8"/>
  <c r="J743" i="8"/>
  <c r="I743" i="8"/>
  <c r="H743" i="8"/>
  <c r="G743" i="8"/>
  <c r="F743" i="8"/>
  <c r="E743" i="8"/>
  <c r="D743" i="8"/>
  <c r="I738" i="8"/>
  <c r="H738" i="8"/>
  <c r="G738" i="8"/>
  <c r="F738" i="8"/>
  <c r="E738" i="8"/>
  <c r="D738" i="8"/>
  <c r="I737" i="8"/>
  <c r="H737" i="8"/>
  <c r="G737" i="8"/>
  <c r="F737" i="8"/>
  <c r="E737" i="8"/>
  <c r="D737" i="8"/>
  <c r="I736" i="8"/>
  <c r="H736" i="8"/>
  <c r="G736" i="8"/>
  <c r="F736" i="8"/>
  <c r="E736" i="8"/>
  <c r="D736" i="8"/>
  <c r="I735" i="8"/>
  <c r="H735" i="8"/>
  <c r="G735" i="8"/>
  <c r="F735" i="8"/>
  <c r="E735" i="8"/>
  <c r="D735" i="8"/>
  <c r="I734" i="8"/>
  <c r="H734" i="8"/>
  <c r="G734" i="8"/>
  <c r="F734" i="8"/>
  <c r="E734" i="8"/>
  <c r="D734" i="8"/>
  <c r="I733" i="8"/>
  <c r="H733" i="8"/>
  <c r="G733" i="8"/>
  <c r="F733" i="8"/>
  <c r="E733" i="8"/>
  <c r="D733" i="8"/>
  <c r="I732" i="8"/>
  <c r="H732" i="8"/>
  <c r="G732" i="8"/>
  <c r="F732" i="8"/>
  <c r="E732" i="8"/>
  <c r="D732" i="8"/>
  <c r="J731" i="8"/>
  <c r="I731" i="8"/>
  <c r="H731" i="8"/>
  <c r="G731" i="8"/>
  <c r="F731" i="8"/>
  <c r="E731" i="8"/>
  <c r="D731" i="8"/>
  <c r="I726" i="8"/>
  <c r="H726" i="8"/>
  <c r="G726" i="8"/>
  <c r="F726" i="8"/>
  <c r="E726" i="8"/>
  <c r="D726" i="8"/>
  <c r="I725" i="8"/>
  <c r="H725" i="8"/>
  <c r="G725" i="8"/>
  <c r="F725" i="8"/>
  <c r="E725" i="8"/>
  <c r="D725" i="8"/>
  <c r="I724" i="8"/>
  <c r="H724" i="8"/>
  <c r="G724" i="8"/>
  <c r="F724" i="8"/>
  <c r="E724" i="8"/>
  <c r="D724" i="8"/>
  <c r="I723" i="8"/>
  <c r="H723" i="8"/>
  <c r="G723" i="8"/>
  <c r="F723" i="8"/>
  <c r="E723" i="8"/>
  <c r="D723" i="8"/>
  <c r="I722" i="8"/>
  <c r="H722" i="8"/>
  <c r="G722" i="8"/>
  <c r="F722" i="8"/>
  <c r="E722" i="8"/>
  <c r="D722" i="8"/>
  <c r="I721" i="8"/>
  <c r="H721" i="8"/>
  <c r="G721" i="8"/>
  <c r="F721" i="8"/>
  <c r="E721" i="8"/>
  <c r="D721" i="8"/>
  <c r="I720" i="8"/>
  <c r="H720" i="8"/>
  <c r="G720" i="8"/>
  <c r="F720" i="8"/>
  <c r="E720" i="8"/>
  <c r="D720" i="8"/>
  <c r="J719" i="8"/>
  <c r="I719" i="8"/>
  <c r="H719" i="8"/>
  <c r="G719" i="8"/>
  <c r="F719" i="8"/>
  <c r="E719" i="8"/>
  <c r="D719" i="8"/>
  <c r="I714" i="8"/>
  <c r="H714" i="8"/>
  <c r="G714" i="8"/>
  <c r="F714" i="8"/>
  <c r="E714" i="8"/>
  <c r="D714" i="8"/>
  <c r="I713" i="8"/>
  <c r="H713" i="8"/>
  <c r="G713" i="8"/>
  <c r="F713" i="8"/>
  <c r="E713" i="8"/>
  <c r="D713" i="8"/>
  <c r="I712" i="8"/>
  <c r="H712" i="8"/>
  <c r="G712" i="8"/>
  <c r="F712" i="8"/>
  <c r="E712" i="8"/>
  <c r="D712" i="8"/>
  <c r="I711" i="8"/>
  <c r="H711" i="8"/>
  <c r="G711" i="8"/>
  <c r="F711" i="8"/>
  <c r="E711" i="8"/>
  <c r="D711" i="8"/>
  <c r="I710" i="8"/>
  <c r="H710" i="8"/>
  <c r="G710" i="8"/>
  <c r="F710" i="8"/>
  <c r="E710" i="8"/>
  <c r="D710" i="8"/>
  <c r="I709" i="8"/>
  <c r="H709" i="8"/>
  <c r="G709" i="8"/>
  <c r="F709" i="8"/>
  <c r="E709" i="8"/>
  <c r="D709" i="8"/>
  <c r="I708" i="8"/>
  <c r="H708" i="8"/>
  <c r="G708" i="8"/>
  <c r="F708" i="8"/>
  <c r="E708" i="8"/>
  <c r="D708" i="8"/>
  <c r="J707" i="8"/>
  <c r="I707" i="8"/>
  <c r="H707" i="8"/>
  <c r="G707" i="8"/>
  <c r="F707" i="8"/>
  <c r="E707" i="8"/>
  <c r="D707" i="8"/>
  <c r="I702" i="8"/>
  <c r="H702" i="8"/>
  <c r="G702" i="8"/>
  <c r="F702" i="8"/>
  <c r="E702" i="8"/>
  <c r="D702" i="8"/>
  <c r="I701" i="8"/>
  <c r="H701" i="8"/>
  <c r="G701" i="8"/>
  <c r="F701" i="8"/>
  <c r="E701" i="8"/>
  <c r="D701" i="8"/>
  <c r="I700" i="8"/>
  <c r="H700" i="8"/>
  <c r="G700" i="8"/>
  <c r="F700" i="8"/>
  <c r="E700" i="8"/>
  <c r="D700" i="8"/>
  <c r="I699" i="8"/>
  <c r="H699" i="8"/>
  <c r="G699" i="8"/>
  <c r="F699" i="8"/>
  <c r="E699" i="8"/>
  <c r="D699" i="8"/>
  <c r="I698" i="8"/>
  <c r="H698" i="8"/>
  <c r="G698" i="8"/>
  <c r="F698" i="8"/>
  <c r="E698" i="8"/>
  <c r="D698" i="8"/>
  <c r="I697" i="8"/>
  <c r="H697" i="8"/>
  <c r="G697" i="8"/>
  <c r="F697" i="8"/>
  <c r="E697" i="8"/>
  <c r="D697" i="8"/>
  <c r="I696" i="8"/>
  <c r="H696" i="8"/>
  <c r="G696" i="8"/>
  <c r="F696" i="8"/>
  <c r="E696" i="8"/>
  <c r="D696" i="8"/>
  <c r="J695" i="8"/>
  <c r="I695" i="8"/>
  <c r="H695" i="8"/>
  <c r="G695" i="8"/>
  <c r="F695" i="8"/>
  <c r="E695" i="8"/>
  <c r="D695" i="8"/>
  <c r="I690" i="8"/>
  <c r="H690" i="8"/>
  <c r="G690" i="8"/>
  <c r="F690" i="8"/>
  <c r="E690" i="8"/>
  <c r="D690" i="8"/>
  <c r="I689" i="8"/>
  <c r="H689" i="8"/>
  <c r="G689" i="8"/>
  <c r="F689" i="8"/>
  <c r="E689" i="8"/>
  <c r="D689" i="8"/>
  <c r="I688" i="8"/>
  <c r="H688" i="8"/>
  <c r="G688" i="8"/>
  <c r="F688" i="8"/>
  <c r="E688" i="8"/>
  <c r="D688" i="8"/>
  <c r="I687" i="8"/>
  <c r="H687" i="8"/>
  <c r="G687" i="8"/>
  <c r="F687" i="8"/>
  <c r="E687" i="8"/>
  <c r="D687" i="8"/>
  <c r="I686" i="8"/>
  <c r="H686" i="8"/>
  <c r="G686" i="8"/>
  <c r="F686" i="8"/>
  <c r="E686" i="8"/>
  <c r="D686" i="8"/>
  <c r="I685" i="8"/>
  <c r="H685" i="8"/>
  <c r="G685" i="8"/>
  <c r="F685" i="8"/>
  <c r="E685" i="8"/>
  <c r="D685" i="8"/>
  <c r="I684" i="8"/>
  <c r="H684" i="8"/>
  <c r="G684" i="8"/>
  <c r="F684" i="8"/>
  <c r="E684" i="8"/>
  <c r="D684" i="8"/>
  <c r="J683" i="8"/>
  <c r="I683" i="8"/>
  <c r="H683" i="8"/>
  <c r="G683" i="8"/>
  <c r="F683" i="8"/>
  <c r="E683" i="8"/>
  <c r="D683" i="8"/>
  <c r="I678" i="8"/>
  <c r="H678" i="8"/>
  <c r="G678" i="8"/>
  <c r="F678" i="8"/>
  <c r="E678" i="8"/>
  <c r="D678" i="8"/>
  <c r="I677" i="8"/>
  <c r="H677" i="8"/>
  <c r="G677" i="8"/>
  <c r="F677" i="8"/>
  <c r="E677" i="8"/>
  <c r="D677" i="8"/>
  <c r="I676" i="8"/>
  <c r="H676" i="8"/>
  <c r="G676" i="8"/>
  <c r="F676" i="8"/>
  <c r="E676" i="8"/>
  <c r="D676" i="8"/>
  <c r="I675" i="8"/>
  <c r="H675" i="8"/>
  <c r="G675" i="8"/>
  <c r="F675" i="8"/>
  <c r="E675" i="8"/>
  <c r="D675" i="8"/>
  <c r="I674" i="8"/>
  <c r="H674" i="8"/>
  <c r="G674" i="8"/>
  <c r="F674" i="8"/>
  <c r="E674" i="8"/>
  <c r="D674" i="8"/>
  <c r="I673" i="8"/>
  <c r="H673" i="8"/>
  <c r="G673" i="8"/>
  <c r="F673" i="8"/>
  <c r="E673" i="8"/>
  <c r="D673" i="8"/>
  <c r="I672" i="8"/>
  <c r="H672" i="8"/>
  <c r="G672" i="8"/>
  <c r="F672" i="8"/>
  <c r="E672" i="8"/>
  <c r="D672" i="8"/>
  <c r="J671" i="8"/>
  <c r="I671" i="8"/>
  <c r="H671" i="8"/>
  <c r="G671" i="8"/>
  <c r="F671" i="8"/>
  <c r="E671" i="8"/>
  <c r="D671" i="8"/>
  <c r="I666" i="8"/>
  <c r="H666" i="8"/>
  <c r="G666" i="8"/>
  <c r="F666" i="8"/>
  <c r="E666" i="8"/>
  <c r="D666" i="8"/>
  <c r="I665" i="8"/>
  <c r="H665" i="8"/>
  <c r="G665" i="8"/>
  <c r="F665" i="8"/>
  <c r="E665" i="8"/>
  <c r="D665" i="8"/>
  <c r="I664" i="8"/>
  <c r="H664" i="8"/>
  <c r="G664" i="8"/>
  <c r="F664" i="8"/>
  <c r="E664" i="8"/>
  <c r="D664" i="8"/>
  <c r="I663" i="8"/>
  <c r="H663" i="8"/>
  <c r="G663" i="8"/>
  <c r="F663" i="8"/>
  <c r="E663" i="8"/>
  <c r="D663" i="8"/>
  <c r="I662" i="8"/>
  <c r="H662" i="8"/>
  <c r="G662" i="8"/>
  <c r="F662" i="8"/>
  <c r="E662" i="8"/>
  <c r="D662" i="8"/>
  <c r="I661" i="8"/>
  <c r="H661" i="8"/>
  <c r="G661" i="8"/>
  <c r="F661" i="8"/>
  <c r="E661" i="8"/>
  <c r="D661" i="8"/>
  <c r="I660" i="8"/>
  <c r="H660" i="8"/>
  <c r="G660" i="8"/>
  <c r="F660" i="8"/>
  <c r="E660" i="8"/>
  <c r="D660" i="8"/>
  <c r="J659" i="8"/>
  <c r="I659" i="8"/>
  <c r="H659" i="8"/>
  <c r="G659" i="8"/>
  <c r="F659" i="8"/>
  <c r="E659" i="8"/>
  <c r="D659" i="8"/>
  <c r="I654" i="8"/>
  <c r="H654" i="8"/>
  <c r="G654" i="8"/>
  <c r="F654" i="8"/>
  <c r="E654" i="8"/>
  <c r="D654" i="8"/>
  <c r="I653" i="8"/>
  <c r="H653" i="8"/>
  <c r="G653" i="8"/>
  <c r="F653" i="8"/>
  <c r="E653" i="8"/>
  <c r="D653" i="8"/>
  <c r="I652" i="8"/>
  <c r="H652" i="8"/>
  <c r="G652" i="8"/>
  <c r="F652" i="8"/>
  <c r="E652" i="8"/>
  <c r="D652" i="8"/>
  <c r="I651" i="8"/>
  <c r="H651" i="8"/>
  <c r="G651" i="8"/>
  <c r="F651" i="8"/>
  <c r="E651" i="8"/>
  <c r="D651" i="8"/>
  <c r="I650" i="8"/>
  <c r="H650" i="8"/>
  <c r="G650" i="8"/>
  <c r="F650" i="8"/>
  <c r="E650" i="8"/>
  <c r="D650" i="8"/>
  <c r="I649" i="8"/>
  <c r="H649" i="8"/>
  <c r="G649" i="8"/>
  <c r="F649" i="8"/>
  <c r="E649" i="8"/>
  <c r="D649" i="8"/>
  <c r="I648" i="8"/>
  <c r="H648" i="8"/>
  <c r="G648" i="8"/>
  <c r="F648" i="8"/>
  <c r="E648" i="8"/>
  <c r="D648" i="8"/>
  <c r="J647" i="8"/>
  <c r="I647" i="8"/>
  <c r="H647" i="8"/>
  <c r="G647" i="8"/>
  <c r="F647" i="8"/>
  <c r="E647" i="8"/>
  <c r="D647" i="8"/>
  <c r="I642" i="8"/>
  <c r="H642" i="8"/>
  <c r="G642" i="8"/>
  <c r="F642" i="8"/>
  <c r="E642" i="8"/>
  <c r="D642" i="8"/>
  <c r="I641" i="8"/>
  <c r="H641" i="8"/>
  <c r="G641" i="8"/>
  <c r="F641" i="8"/>
  <c r="E641" i="8"/>
  <c r="D641" i="8"/>
  <c r="I640" i="8"/>
  <c r="H640" i="8"/>
  <c r="G640" i="8"/>
  <c r="F640" i="8"/>
  <c r="E640" i="8"/>
  <c r="D640" i="8"/>
  <c r="I639" i="8"/>
  <c r="H639" i="8"/>
  <c r="G639" i="8"/>
  <c r="F639" i="8"/>
  <c r="E639" i="8"/>
  <c r="D639" i="8"/>
  <c r="I638" i="8"/>
  <c r="H638" i="8"/>
  <c r="G638" i="8"/>
  <c r="F638" i="8"/>
  <c r="E638" i="8"/>
  <c r="D638" i="8"/>
  <c r="I637" i="8"/>
  <c r="H637" i="8"/>
  <c r="G637" i="8"/>
  <c r="F637" i="8"/>
  <c r="E637" i="8"/>
  <c r="D637" i="8"/>
  <c r="I636" i="8"/>
  <c r="H636" i="8"/>
  <c r="G636" i="8"/>
  <c r="F636" i="8"/>
  <c r="E636" i="8"/>
  <c r="D636" i="8"/>
  <c r="J635" i="8"/>
  <c r="I635" i="8"/>
  <c r="H635" i="8"/>
  <c r="G635" i="8"/>
  <c r="F635" i="8"/>
  <c r="E635" i="8"/>
  <c r="D635" i="8"/>
  <c r="I630" i="8"/>
  <c r="H630" i="8"/>
  <c r="G630" i="8"/>
  <c r="F630" i="8"/>
  <c r="E630" i="8"/>
  <c r="D630" i="8"/>
  <c r="I629" i="8"/>
  <c r="H629" i="8"/>
  <c r="G629" i="8"/>
  <c r="F629" i="8"/>
  <c r="E629" i="8"/>
  <c r="D629" i="8"/>
  <c r="I628" i="8"/>
  <c r="H628" i="8"/>
  <c r="G628" i="8"/>
  <c r="F628" i="8"/>
  <c r="E628" i="8"/>
  <c r="D628" i="8"/>
  <c r="I627" i="8"/>
  <c r="H627" i="8"/>
  <c r="G627" i="8"/>
  <c r="F627" i="8"/>
  <c r="E627" i="8"/>
  <c r="D627" i="8"/>
  <c r="I626" i="8"/>
  <c r="H626" i="8"/>
  <c r="G626" i="8"/>
  <c r="F626" i="8"/>
  <c r="E626" i="8"/>
  <c r="D626" i="8"/>
  <c r="I625" i="8"/>
  <c r="H625" i="8"/>
  <c r="G625" i="8"/>
  <c r="F625" i="8"/>
  <c r="E625" i="8"/>
  <c r="D625" i="8"/>
  <c r="I624" i="8"/>
  <c r="H624" i="8"/>
  <c r="G624" i="8"/>
  <c r="F624" i="8"/>
  <c r="E624" i="8"/>
  <c r="D624" i="8"/>
  <c r="J623" i="8"/>
  <c r="I623" i="8"/>
  <c r="H623" i="8"/>
  <c r="G623" i="8"/>
  <c r="F623" i="8"/>
  <c r="E623" i="8"/>
  <c r="D623" i="8"/>
  <c r="I618" i="8"/>
  <c r="H618" i="8"/>
  <c r="G618" i="8"/>
  <c r="F618" i="8"/>
  <c r="E618" i="8"/>
  <c r="D618" i="8"/>
  <c r="I617" i="8"/>
  <c r="H617" i="8"/>
  <c r="G617" i="8"/>
  <c r="F617" i="8"/>
  <c r="E617" i="8"/>
  <c r="D617" i="8"/>
  <c r="I616" i="8"/>
  <c r="H616" i="8"/>
  <c r="G616" i="8"/>
  <c r="F616" i="8"/>
  <c r="E616" i="8"/>
  <c r="D616" i="8"/>
  <c r="I615" i="8"/>
  <c r="H615" i="8"/>
  <c r="G615" i="8"/>
  <c r="F615" i="8"/>
  <c r="E615" i="8"/>
  <c r="D615" i="8"/>
  <c r="I614" i="8"/>
  <c r="H614" i="8"/>
  <c r="G614" i="8"/>
  <c r="F614" i="8"/>
  <c r="E614" i="8"/>
  <c r="D614" i="8"/>
  <c r="I613" i="8"/>
  <c r="H613" i="8"/>
  <c r="G613" i="8"/>
  <c r="F613" i="8"/>
  <c r="E613" i="8"/>
  <c r="D613" i="8"/>
  <c r="I612" i="8"/>
  <c r="H612" i="8"/>
  <c r="G612" i="8"/>
  <c r="F612" i="8"/>
  <c r="E612" i="8"/>
  <c r="D612" i="8"/>
  <c r="J611" i="8"/>
  <c r="I611" i="8"/>
  <c r="H611" i="8"/>
  <c r="G611" i="8"/>
  <c r="F611" i="8"/>
  <c r="E611" i="8"/>
  <c r="D611" i="8"/>
  <c r="I606" i="8"/>
  <c r="H606" i="8"/>
  <c r="G606" i="8"/>
  <c r="F606" i="8"/>
  <c r="E606" i="8"/>
  <c r="D606" i="8"/>
  <c r="I605" i="8"/>
  <c r="H605" i="8"/>
  <c r="G605" i="8"/>
  <c r="F605" i="8"/>
  <c r="E605" i="8"/>
  <c r="D605" i="8"/>
  <c r="I604" i="8"/>
  <c r="H604" i="8"/>
  <c r="G604" i="8"/>
  <c r="F604" i="8"/>
  <c r="E604" i="8"/>
  <c r="D604" i="8"/>
  <c r="I603" i="8"/>
  <c r="H603" i="8"/>
  <c r="G603" i="8"/>
  <c r="F603" i="8"/>
  <c r="E603" i="8"/>
  <c r="D603" i="8"/>
  <c r="I602" i="8"/>
  <c r="H602" i="8"/>
  <c r="G602" i="8"/>
  <c r="F602" i="8"/>
  <c r="E602" i="8"/>
  <c r="D602" i="8"/>
  <c r="I601" i="8"/>
  <c r="H601" i="8"/>
  <c r="G601" i="8"/>
  <c r="F601" i="8"/>
  <c r="E601" i="8"/>
  <c r="D601" i="8"/>
  <c r="I600" i="8"/>
  <c r="H600" i="8"/>
  <c r="G600" i="8"/>
  <c r="F600" i="8"/>
  <c r="E600" i="8"/>
  <c r="D600" i="8"/>
  <c r="J599" i="8"/>
  <c r="I599" i="8"/>
  <c r="H599" i="8"/>
  <c r="G599" i="8"/>
  <c r="F599" i="8"/>
  <c r="E599" i="8"/>
  <c r="D599" i="8"/>
  <c r="I594" i="8"/>
  <c r="H594" i="8"/>
  <c r="G594" i="8"/>
  <c r="F594" i="8"/>
  <c r="E594" i="8"/>
  <c r="D594" i="8"/>
  <c r="I593" i="8"/>
  <c r="H593" i="8"/>
  <c r="G593" i="8"/>
  <c r="F593" i="8"/>
  <c r="E593" i="8"/>
  <c r="D593" i="8"/>
  <c r="I592" i="8"/>
  <c r="H592" i="8"/>
  <c r="G592" i="8"/>
  <c r="F592" i="8"/>
  <c r="E592" i="8"/>
  <c r="D592" i="8"/>
  <c r="I591" i="8"/>
  <c r="H591" i="8"/>
  <c r="G591" i="8"/>
  <c r="F591" i="8"/>
  <c r="E591" i="8"/>
  <c r="D591" i="8"/>
  <c r="I590" i="8"/>
  <c r="H590" i="8"/>
  <c r="G590" i="8"/>
  <c r="F590" i="8"/>
  <c r="E590" i="8"/>
  <c r="D590" i="8"/>
  <c r="I589" i="8"/>
  <c r="H589" i="8"/>
  <c r="G589" i="8"/>
  <c r="F589" i="8"/>
  <c r="E589" i="8"/>
  <c r="D589" i="8"/>
  <c r="I588" i="8"/>
  <c r="H588" i="8"/>
  <c r="G588" i="8"/>
  <c r="F588" i="8"/>
  <c r="E588" i="8"/>
  <c r="D588" i="8"/>
  <c r="J587" i="8"/>
  <c r="I587" i="8"/>
  <c r="H587" i="8"/>
  <c r="G587" i="8"/>
  <c r="F587" i="8"/>
  <c r="E587" i="8"/>
  <c r="D587" i="8"/>
  <c r="I582" i="8"/>
  <c r="H582" i="8"/>
  <c r="G582" i="8"/>
  <c r="F582" i="8"/>
  <c r="E582" i="8"/>
  <c r="D582" i="8"/>
  <c r="I581" i="8"/>
  <c r="H581" i="8"/>
  <c r="G581" i="8"/>
  <c r="F581" i="8"/>
  <c r="E581" i="8"/>
  <c r="D581" i="8"/>
  <c r="I580" i="8"/>
  <c r="H580" i="8"/>
  <c r="G580" i="8"/>
  <c r="F580" i="8"/>
  <c r="E580" i="8"/>
  <c r="D580" i="8"/>
  <c r="I579" i="8"/>
  <c r="H579" i="8"/>
  <c r="G579" i="8"/>
  <c r="F579" i="8"/>
  <c r="E579" i="8"/>
  <c r="D579" i="8"/>
  <c r="I578" i="8"/>
  <c r="H578" i="8"/>
  <c r="G578" i="8"/>
  <c r="F578" i="8"/>
  <c r="E578" i="8"/>
  <c r="D578" i="8"/>
  <c r="I577" i="8"/>
  <c r="H577" i="8"/>
  <c r="G577" i="8"/>
  <c r="F577" i="8"/>
  <c r="E577" i="8"/>
  <c r="D577" i="8"/>
  <c r="I576" i="8"/>
  <c r="H576" i="8"/>
  <c r="G576" i="8"/>
  <c r="F576" i="8"/>
  <c r="E576" i="8"/>
  <c r="D576" i="8"/>
  <c r="J575" i="8"/>
  <c r="I575" i="8"/>
  <c r="H575" i="8"/>
  <c r="G575" i="8"/>
  <c r="F575" i="8"/>
  <c r="E575" i="8"/>
  <c r="D575" i="8"/>
  <c r="I570" i="8"/>
  <c r="H570" i="8"/>
  <c r="G570" i="8"/>
  <c r="F570" i="8"/>
  <c r="E570" i="8"/>
  <c r="D570" i="8"/>
  <c r="I569" i="8"/>
  <c r="H569" i="8"/>
  <c r="G569" i="8"/>
  <c r="F569" i="8"/>
  <c r="E569" i="8"/>
  <c r="D569" i="8"/>
  <c r="I568" i="8"/>
  <c r="H568" i="8"/>
  <c r="G568" i="8"/>
  <c r="F568" i="8"/>
  <c r="E568" i="8"/>
  <c r="D568" i="8"/>
  <c r="I567" i="8"/>
  <c r="H567" i="8"/>
  <c r="G567" i="8"/>
  <c r="F567" i="8"/>
  <c r="E567" i="8"/>
  <c r="D567" i="8"/>
  <c r="I566" i="8"/>
  <c r="H566" i="8"/>
  <c r="G566" i="8"/>
  <c r="F566" i="8"/>
  <c r="E566" i="8"/>
  <c r="D566" i="8"/>
  <c r="I565" i="8"/>
  <c r="H565" i="8"/>
  <c r="G565" i="8"/>
  <c r="F565" i="8"/>
  <c r="E565" i="8"/>
  <c r="D565" i="8"/>
  <c r="I564" i="8"/>
  <c r="H564" i="8"/>
  <c r="G564" i="8"/>
  <c r="F564" i="8"/>
  <c r="E564" i="8"/>
  <c r="D564" i="8"/>
  <c r="J563" i="8"/>
  <c r="I563" i="8"/>
  <c r="H563" i="8"/>
  <c r="G563" i="8"/>
  <c r="F563" i="8"/>
  <c r="E563" i="8"/>
  <c r="D563" i="8"/>
  <c r="I558" i="8"/>
  <c r="H558" i="8"/>
  <c r="G558" i="8"/>
  <c r="F558" i="8"/>
  <c r="E558" i="8"/>
  <c r="D558" i="8"/>
  <c r="I557" i="8"/>
  <c r="H557" i="8"/>
  <c r="G557" i="8"/>
  <c r="F557" i="8"/>
  <c r="E557" i="8"/>
  <c r="D557" i="8"/>
  <c r="I556" i="8"/>
  <c r="H556" i="8"/>
  <c r="G556" i="8"/>
  <c r="F556" i="8"/>
  <c r="E556" i="8"/>
  <c r="D556" i="8"/>
  <c r="I555" i="8"/>
  <c r="H555" i="8"/>
  <c r="G555" i="8"/>
  <c r="F555" i="8"/>
  <c r="E555" i="8"/>
  <c r="D555" i="8"/>
  <c r="I554" i="8"/>
  <c r="H554" i="8"/>
  <c r="G554" i="8"/>
  <c r="F554" i="8"/>
  <c r="E554" i="8"/>
  <c r="D554" i="8"/>
  <c r="I553" i="8"/>
  <c r="H553" i="8"/>
  <c r="G553" i="8"/>
  <c r="F553" i="8"/>
  <c r="E553" i="8"/>
  <c r="D553" i="8"/>
  <c r="I552" i="8"/>
  <c r="H552" i="8"/>
  <c r="G552" i="8"/>
  <c r="F552" i="8"/>
  <c r="E552" i="8"/>
  <c r="D552" i="8"/>
  <c r="J551" i="8"/>
  <c r="I551" i="8"/>
  <c r="H551" i="8"/>
  <c r="G551" i="8"/>
  <c r="F551" i="8"/>
  <c r="E551" i="8"/>
  <c r="D551" i="8"/>
  <c r="I546" i="8"/>
  <c r="H546" i="8"/>
  <c r="G546" i="8"/>
  <c r="F546" i="8"/>
  <c r="E546" i="8"/>
  <c r="D546" i="8"/>
  <c r="I545" i="8"/>
  <c r="H545" i="8"/>
  <c r="G545" i="8"/>
  <c r="F545" i="8"/>
  <c r="E545" i="8"/>
  <c r="D545" i="8"/>
  <c r="I544" i="8"/>
  <c r="H544" i="8"/>
  <c r="G544" i="8"/>
  <c r="F544" i="8"/>
  <c r="E544" i="8"/>
  <c r="D544" i="8"/>
  <c r="I543" i="8"/>
  <c r="H543" i="8"/>
  <c r="G543" i="8"/>
  <c r="F543" i="8"/>
  <c r="E543" i="8"/>
  <c r="D543" i="8"/>
  <c r="I542" i="8"/>
  <c r="H542" i="8"/>
  <c r="G542" i="8"/>
  <c r="F542" i="8"/>
  <c r="E542" i="8"/>
  <c r="D542" i="8"/>
  <c r="I541" i="8"/>
  <c r="H541" i="8"/>
  <c r="G541" i="8"/>
  <c r="F541" i="8"/>
  <c r="E541" i="8"/>
  <c r="D541" i="8"/>
  <c r="I540" i="8"/>
  <c r="H540" i="8"/>
  <c r="G540" i="8"/>
  <c r="F540" i="8"/>
  <c r="E540" i="8"/>
  <c r="D540" i="8"/>
  <c r="J539" i="8"/>
  <c r="I539" i="8"/>
  <c r="H539" i="8"/>
  <c r="G539" i="8"/>
  <c r="F539" i="8"/>
  <c r="E539" i="8"/>
  <c r="D539" i="8"/>
  <c r="I534" i="8"/>
  <c r="H534" i="8"/>
  <c r="G534" i="8"/>
  <c r="F534" i="8"/>
  <c r="E534" i="8"/>
  <c r="D534" i="8"/>
  <c r="I533" i="8"/>
  <c r="H533" i="8"/>
  <c r="G533" i="8"/>
  <c r="F533" i="8"/>
  <c r="E533" i="8"/>
  <c r="D533" i="8"/>
  <c r="I532" i="8"/>
  <c r="H532" i="8"/>
  <c r="G532" i="8"/>
  <c r="F532" i="8"/>
  <c r="E532" i="8"/>
  <c r="D532" i="8"/>
  <c r="I531" i="8"/>
  <c r="H531" i="8"/>
  <c r="G531" i="8"/>
  <c r="F531" i="8"/>
  <c r="E531" i="8"/>
  <c r="D531" i="8"/>
  <c r="I530" i="8"/>
  <c r="H530" i="8"/>
  <c r="G530" i="8"/>
  <c r="F530" i="8"/>
  <c r="E530" i="8"/>
  <c r="D530" i="8"/>
  <c r="I529" i="8"/>
  <c r="H529" i="8"/>
  <c r="G529" i="8"/>
  <c r="F529" i="8"/>
  <c r="E529" i="8"/>
  <c r="D529" i="8"/>
  <c r="I528" i="8"/>
  <c r="H528" i="8"/>
  <c r="G528" i="8"/>
  <c r="F528" i="8"/>
  <c r="E528" i="8"/>
  <c r="D528" i="8"/>
  <c r="J527" i="8"/>
  <c r="I527" i="8"/>
  <c r="H527" i="8"/>
  <c r="G527" i="8"/>
  <c r="F527" i="8"/>
  <c r="E527" i="8"/>
  <c r="D527" i="8"/>
  <c r="I522" i="8"/>
  <c r="H522" i="8"/>
  <c r="G522" i="8"/>
  <c r="F522" i="8"/>
  <c r="E522" i="8"/>
  <c r="D522" i="8"/>
  <c r="I521" i="8"/>
  <c r="H521" i="8"/>
  <c r="G521" i="8"/>
  <c r="F521" i="8"/>
  <c r="E521" i="8"/>
  <c r="D521" i="8"/>
  <c r="I520" i="8"/>
  <c r="H520" i="8"/>
  <c r="G520" i="8"/>
  <c r="F520" i="8"/>
  <c r="E520" i="8"/>
  <c r="D520" i="8"/>
  <c r="I519" i="8"/>
  <c r="H519" i="8"/>
  <c r="G519" i="8"/>
  <c r="F519" i="8"/>
  <c r="E519" i="8"/>
  <c r="D519" i="8"/>
  <c r="I518" i="8"/>
  <c r="H518" i="8"/>
  <c r="G518" i="8"/>
  <c r="F518" i="8"/>
  <c r="E518" i="8"/>
  <c r="D518" i="8"/>
  <c r="I517" i="8"/>
  <c r="H517" i="8"/>
  <c r="G517" i="8"/>
  <c r="F517" i="8"/>
  <c r="E517" i="8"/>
  <c r="D517" i="8"/>
  <c r="I516" i="8"/>
  <c r="H516" i="8"/>
  <c r="G516" i="8"/>
  <c r="F516" i="8"/>
  <c r="E516" i="8"/>
  <c r="D516" i="8"/>
  <c r="J515" i="8"/>
  <c r="I515" i="8"/>
  <c r="H515" i="8"/>
  <c r="G515" i="8"/>
  <c r="F515" i="8"/>
  <c r="E515" i="8"/>
  <c r="D515" i="8"/>
  <c r="I510" i="8"/>
  <c r="H510" i="8"/>
  <c r="G510" i="8"/>
  <c r="F510" i="8"/>
  <c r="E510" i="8"/>
  <c r="D510" i="8"/>
  <c r="I509" i="8"/>
  <c r="H509" i="8"/>
  <c r="G509" i="8"/>
  <c r="F509" i="8"/>
  <c r="E509" i="8"/>
  <c r="D509" i="8"/>
  <c r="I508" i="8"/>
  <c r="H508" i="8"/>
  <c r="G508" i="8"/>
  <c r="F508" i="8"/>
  <c r="E508" i="8"/>
  <c r="D508" i="8"/>
  <c r="I507" i="8"/>
  <c r="H507" i="8"/>
  <c r="G507" i="8"/>
  <c r="F507" i="8"/>
  <c r="E507" i="8"/>
  <c r="D507" i="8"/>
  <c r="I506" i="8"/>
  <c r="H506" i="8"/>
  <c r="G506" i="8"/>
  <c r="F506" i="8"/>
  <c r="E506" i="8"/>
  <c r="D506" i="8"/>
  <c r="I505" i="8"/>
  <c r="H505" i="8"/>
  <c r="G505" i="8"/>
  <c r="F505" i="8"/>
  <c r="E505" i="8"/>
  <c r="D505" i="8"/>
  <c r="I504" i="8"/>
  <c r="H504" i="8"/>
  <c r="G504" i="8"/>
  <c r="F504" i="8"/>
  <c r="E504" i="8"/>
  <c r="D504" i="8"/>
  <c r="J503" i="8"/>
  <c r="I503" i="8"/>
  <c r="H503" i="8"/>
  <c r="G503" i="8"/>
  <c r="F503" i="8"/>
  <c r="E503" i="8"/>
  <c r="D503" i="8"/>
  <c r="I498" i="8"/>
  <c r="H498" i="8"/>
  <c r="G498" i="8"/>
  <c r="F498" i="8"/>
  <c r="E498" i="8"/>
  <c r="D498" i="8"/>
  <c r="I497" i="8"/>
  <c r="H497" i="8"/>
  <c r="G497" i="8"/>
  <c r="F497" i="8"/>
  <c r="E497" i="8"/>
  <c r="D497" i="8"/>
  <c r="I496" i="8"/>
  <c r="H496" i="8"/>
  <c r="G496" i="8"/>
  <c r="F496" i="8"/>
  <c r="E496" i="8"/>
  <c r="D496" i="8"/>
  <c r="I495" i="8"/>
  <c r="H495" i="8"/>
  <c r="G495" i="8"/>
  <c r="F495" i="8"/>
  <c r="E495" i="8"/>
  <c r="D495" i="8"/>
  <c r="I494" i="8"/>
  <c r="H494" i="8"/>
  <c r="G494" i="8"/>
  <c r="F494" i="8"/>
  <c r="E494" i="8"/>
  <c r="D494" i="8"/>
  <c r="I493" i="8"/>
  <c r="H493" i="8"/>
  <c r="G493" i="8"/>
  <c r="F493" i="8"/>
  <c r="E493" i="8"/>
  <c r="D493" i="8"/>
  <c r="I492" i="8"/>
  <c r="H492" i="8"/>
  <c r="G492" i="8"/>
  <c r="F492" i="8"/>
  <c r="E492" i="8"/>
  <c r="D492" i="8"/>
  <c r="J491" i="8"/>
  <c r="I491" i="8"/>
  <c r="H491" i="8"/>
  <c r="G491" i="8"/>
  <c r="F491" i="8"/>
  <c r="E491" i="8"/>
  <c r="D491" i="8"/>
  <c r="I486" i="8"/>
  <c r="H486" i="8"/>
  <c r="G486" i="8"/>
  <c r="F486" i="8"/>
  <c r="E486" i="8"/>
  <c r="D486" i="8"/>
  <c r="I485" i="8"/>
  <c r="H485" i="8"/>
  <c r="G485" i="8"/>
  <c r="F485" i="8"/>
  <c r="E485" i="8"/>
  <c r="D485" i="8"/>
  <c r="I484" i="8"/>
  <c r="H484" i="8"/>
  <c r="G484" i="8"/>
  <c r="F484" i="8"/>
  <c r="E484" i="8"/>
  <c r="D484" i="8"/>
  <c r="I483" i="8"/>
  <c r="H483" i="8"/>
  <c r="G483" i="8"/>
  <c r="F483" i="8"/>
  <c r="E483" i="8"/>
  <c r="D483" i="8"/>
  <c r="I482" i="8"/>
  <c r="H482" i="8"/>
  <c r="G482" i="8"/>
  <c r="F482" i="8"/>
  <c r="E482" i="8"/>
  <c r="D482" i="8"/>
  <c r="I481" i="8"/>
  <c r="H481" i="8"/>
  <c r="G481" i="8"/>
  <c r="F481" i="8"/>
  <c r="E481" i="8"/>
  <c r="D481" i="8"/>
  <c r="I480" i="8"/>
  <c r="H480" i="8"/>
  <c r="G480" i="8"/>
  <c r="F480" i="8"/>
  <c r="E480" i="8"/>
  <c r="D480" i="8"/>
  <c r="J479" i="8"/>
  <c r="I479" i="8"/>
  <c r="H479" i="8"/>
  <c r="G479" i="8"/>
  <c r="F479" i="8"/>
  <c r="E479" i="8"/>
  <c r="D479" i="8"/>
  <c r="I474" i="8"/>
  <c r="H474" i="8"/>
  <c r="G474" i="8"/>
  <c r="F474" i="8"/>
  <c r="E474" i="8"/>
  <c r="D474" i="8"/>
  <c r="I473" i="8"/>
  <c r="H473" i="8"/>
  <c r="G473" i="8"/>
  <c r="F473" i="8"/>
  <c r="E473" i="8"/>
  <c r="D473" i="8"/>
  <c r="I472" i="8"/>
  <c r="H472" i="8"/>
  <c r="G472" i="8"/>
  <c r="F472" i="8"/>
  <c r="E472" i="8"/>
  <c r="D472" i="8"/>
  <c r="I471" i="8"/>
  <c r="H471" i="8"/>
  <c r="G471" i="8"/>
  <c r="F471" i="8"/>
  <c r="E471" i="8"/>
  <c r="D471" i="8"/>
  <c r="I470" i="8"/>
  <c r="H470" i="8"/>
  <c r="G470" i="8"/>
  <c r="F470" i="8"/>
  <c r="E470" i="8"/>
  <c r="D470" i="8"/>
  <c r="I469" i="8"/>
  <c r="H469" i="8"/>
  <c r="G469" i="8"/>
  <c r="F469" i="8"/>
  <c r="E469" i="8"/>
  <c r="D469" i="8"/>
  <c r="I468" i="8"/>
  <c r="H468" i="8"/>
  <c r="G468" i="8"/>
  <c r="F468" i="8"/>
  <c r="E468" i="8"/>
  <c r="D468" i="8"/>
  <c r="J467" i="8"/>
  <c r="I467" i="8"/>
  <c r="H467" i="8"/>
  <c r="G467" i="8"/>
  <c r="F467" i="8"/>
  <c r="E467" i="8"/>
  <c r="D467" i="8"/>
  <c r="I462" i="8"/>
  <c r="H462" i="8"/>
  <c r="G462" i="8"/>
  <c r="F462" i="8"/>
  <c r="E462" i="8"/>
  <c r="D462" i="8"/>
  <c r="I461" i="8"/>
  <c r="H461" i="8"/>
  <c r="G461" i="8"/>
  <c r="F461" i="8"/>
  <c r="E461" i="8"/>
  <c r="D461" i="8"/>
  <c r="I460" i="8"/>
  <c r="H460" i="8"/>
  <c r="G460" i="8"/>
  <c r="F460" i="8"/>
  <c r="E460" i="8"/>
  <c r="D460" i="8"/>
  <c r="I459" i="8"/>
  <c r="H459" i="8"/>
  <c r="G459" i="8"/>
  <c r="F459" i="8"/>
  <c r="E459" i="8"/>
  <c r="D459" i="8"/>
  <c r="I458" i="8"/>
  <c r="H458" i="8"/>
  <c r="G458" i="8"/>
  <c r="F458" i="8"/>
  <c r="E458" i="8"/>
  <c r="D458" i="8"/>
  <c r="I457" i="8"/>
  <c r="H457" i="8"/>
  <c r="G457" i="8"/>
  <c r="F457" i="8"/>
  <c r="E457" i="8"/>
  <c r="D457" i="8"/>
  <c r="I456" i="8"/>
  <c r="H456" i="8"/>
  <c r="G456" i="8"/>
  <c r="F456" i="8"/>
  <c r="E456" i="8"/>
  <c r="D456" i="8"/>
  <c r="J455" i="8"/>
  <c r="I455" i="8"/>
  <c r="H455" i="8"/>
  <c r="G455" i="8"/>
  <c r="F455" i="8"/>
  <c r="E455" i="8"/>
  <c r="D455" i="8"/>
  <c r="I450" i="8"/>
  <c r="H450" i="8"/>
  <c r="G450" i="8"/>
  <c r="F450" i="8"/>
  <c r="E450" i="8"/>
  <c r="D450" i="8"/>
  <c r="I449" i="8"/>
  <c r="H449" i="8"/>
  <c r="G449" i="8"/>
  <c r="F449" i="8"/>
  <c r="E449" i="8"/>
  <c r="D449" i="8"/>
  <c r="I448" i="8"/>
  <c r="H448" i="8"/>
  <c r="G448" i="8"/>
  <c r="F448" i="8"/>
  <c r="E448" i="8"/>
  <c r="D448" i="8"/>
  <c r="I447" i="8"/>
  <c r="H447" i="8"/>
  <c r="G447" i="8"/>
  <c r="F447" i="8"/>
  <c r="E447" i="8"/>
  <c r="D447" i="8"/>
  <c r="I446" i="8"/>
  <c r="H446" i="8"/>
  <c r="G446" i="8"/>
  <c r="F446" i="8"/>
  <c r="E446" i="8"/>
  <c r="D446" i="8"/>
  <c r="I445" i="8"/>
  <c r="H445" i="8"/>
  <c r="G445" i="8"/>
  <c r="F445" i="8"/>
  <c r="E445" i="8"/>
  <c r="D445" i="8"/>
  <c r="I444" i="8"/>
  <c r="H444" i="8"/>
  <c r="G444" i="8"/>
  <c r="F444" i="8"/>
  <c r="E444" i="8"/>
  <c r="D444" i="8"/>
  <c r="J443" i="8"/>
  <c r="I443" i="8"/>
  <c r="H443" i="8"/>
  <c r="G443" i="8"/>
  <c r="F443" i="8"/>
  <c r="E443" i="8"/>
  <c r="D443" i="8"/>
  <c r="I438" i="8"/>
  <c r="H438" i="8"/>
  <c r="G438" i="8"/>
  <c r="F438" i="8"/>
  <c r="E438" i="8"/>
  <c r="D438" i="8"/>
  <c r="I437" i="8"/>
  <c r="H437" i="8"/>
  <c r="G437" i="8"/>
  <c r="F437" i="8"/>
  <c r="E437" i="8"/>
  <c r="D437" i="8"/>
  <c r="I436" i="8"/>
  <c r="H436" i="8"/>
  <c r="G436" i="8"/>
  <c r="F436" i="8"/>
  <c r="E436" i="8"/>
  <c r="D436" i="8"/>
  <c r="I435" i="8"/>
  <c r="H435" i="8"/>
  <c r="G435" i="8"/>
  <c r="F435" i="8"/>
  <c r="E435" i="8"/>
  <c r="D435" i="8"/>
  <c r="I434" i="8"/>
  <c r="H434" i="8"/>
  <c r="G434" i="8"/>
  <c r="F434" i="8"/>
  <c r="E434" i="8"/>
  <c r="D434" i="8"/>
  <c r="I433" i="8"/>
  <c r="H433" i="8"/>
  <c r="G433" i="8"/>
  <c r="F433" i="8"/>
  <c r="E433" i="8"/>
  <c r="D433" i="8"/>
  <c r="I432" i="8"/>
  <c r="H432" i="8"/>
  <c r="G432" i="8"/>
  <c r="F432" i="8"/>
  <c r="E432" i="8"/>
  <c r="D432" i="8"/>
  <c r="J431" i="8"/>
  <c r="I431" i="8"/>
  <c r="H431" i="8"/>
  <c r="G431" i="8"/>
  <c r="F431" i="8"/>
  <c r="E431" i="8"/>
  <c r="D431" i="8"/>
  <c r="I426" i="8"/>
  <c r="H426" i="8"/>
  <c r="G426" i="8"/>
  <c r="F426" i="8"/>
  <c r="E426" i="8"/>
  <c r="D426" i="8"/>
  <c r="I425" i="8"/>
  <c r="H425" i="8"/>
  <c r="G425" i="8"/>
  <c r="F425" i="8"/>
  <c r="E425" i="8"/>
  <c r="D425" i="8"/>
  <c r="I424" i="8"/>
  <c r="H424" i="8"/>
  <c r="G424" i="8"/>
  <c r="F424" i="8"/>
  <c r="E424" i="8"/>
  <c r="D424" i="8"/>
  <c r="I423" i="8"/>
  <c r="H423" i="8"/>
  <c r="G423" i="8"/>
  <c r="F423" i="8"/>
  <c r="E423" i="8"/>
  <c r="D423" i="8"/>
  <c r="I422" i="8"/>
  <c r="H422" i="8"/>
  <c r="G422" i="8"/>
  <c r="F422" i="8"/>
  <c r="E422" i="8"/>
  <c r="D422" i="8"/>
  <c r="I421" i="8"/>
  <c r="H421" i="8"/>
  <c r="G421" i="8"/>
  <c r="F421" i="8"/>
  <c r="E421" i="8"/>
  <c r="D421" i="8"/>
  <c r="I420" i="8"/>
  <c r="H420" i="8"/>
  <c r="G420" i="8"/>
  <c r="F420" i="8"/>
  <c r="E420" i="8"/>
  <c r="D420" i="8"/>
  <c r="J419" i="8"/>
  <c r="I419" i="8"/>
  <c r="H419" i="8"/>
  <c r="G419" i="8"/>
  <c r="F419" i="8"/>
  <c r="E419" i="8"/>
  <c r="D419" i="8"/>
  <c r="I414" i="8"/>
  <c r="H414" i="8"/>
  <c r="G414" i="8"/>
  <c r="F414" i="8"/>
  <c r="E414" i="8"/>
  <c r="D414" i="8"/>
  <c r="I413" i="8"/>
  <c r="H413" i="8"/>
  <c r="G413" i="8"/>
  <c r="F413" i="8"/>
  <c r="E413" i="8"/>
  <c r="D413" i="8"/>
  <c r="I412" i="8"/>
  <c r="H412" i="8"/>
  <c r="G412" i="8"/>
  <c r="F412" i="8"/>
  <c r="E412" i="8"/>
  <c r="D412" i="8"/>
  <c r="I411" i="8"/>
  <c r="H411" i="8"/>
  <c r="G411" i="8"/>
  <c r="F411" i="8"/>
  <c r="E411" i="8"/>
  <c r="D411" i="8"/>
  <c r="I410" i="8"/>
  <c r="H410" i="8"/>
  <c r="G410" i="8"/>
  <c r="F410" i="8"/>
  <c r="E410" i="8"/>
  <c r="D410" i="8"/>
  <c r="I409" i="8"/>
  <c r="H409" i="8"/>
  <c r="G409" i="8"/>
  <c r="F409" i="8"/>
  <c r="E409" i="8"/>
  <c r="D409" i="8"/>
  <c r="I408" i="8"/>
  <c r="H408" i="8"/>
  <c r="G408" i="8"/>
  <c r="F408" i="8"/>
  <c r="E408" i="8"/>
  <c r="D408" i="8"/>
  <c r="J407" i="8"/>
  <c r="I407" i="8"/>
  <c r="H407" i="8"/>
  <c r="G407" i="8"/>
  <c r="F407" i="8"/>
  <c r="E407" i="8"/>
  <c r="D407" i="8"/>
  <c r="I402" i="8"/>
  <c r="H402" i="8"/>
  <c r="G402" i="8"/>
  <c r="F402" i="8"/>
  <c r="E402" i="8"/>
  <c r="D402" i="8"/>
  <c r="I401" i="8"/>
  <c r="H401" i="8"/>
  <c r="G401" i="8"/>
  <c r="F401" i="8"/>
  <c r="E401" i="8"/>
  <c r="D401" i="8"/>
  <c r="I400" i="8"/>
  <c r="H400" i="8"/>
  <c r="G400" i="8"/>
  <c r="F400" i="8"/>
  <c r="E400" i="8"/>
  <c r="D400" i="8"/>
  <c r="I399" i="8"/>
  <c r="H399" i="8"/>
  <c r="G399" i="8"/>
  <c r="F399" i="8"/>
  <c r="E399" i="8"/>
  <c r="D399" i="8"/>
  <c r="I398" i="8"/>
  <c r="H398" i="8"/>
  <c r="G398" i="8"/>
  <c r="F398" i="8"/>
  <c r="E398" i="8"/>
  <c r="D398" i="8"/>
  <c r="I397" i="8"/>
  <c r="H397" i="8"/>
  <c r="G397" i="8"/>
  <c r="F397" i="8"/>
  <c r="E397" i="8"/>
  <c r="D397" i="8"/>
  <c r="I396" i="8"/>
  <c r="H396" i="8"/>
  <c r="G396" i="8"/>
  <c r="F396" i="8"/>
  <c r="E396" i="8"/>
  <c r="D396" i="8"/>
  <c r="J395" i="8"/>
  <c r="I395" i="8"/>
  <c r="H395" i="8"/>
  <c r="G395" i="8"/>
  <c r="F395" i="8"/>
  <c r="E395" i="8"/>
  <c r="D395" i="8"/>
  <c r="I390" i="8"/>
  <c r="H390" i="8"/>
  <c r="G390" i="8"/>
  <c r="F390" i="8"/>
  <c r="E390" i="8"/>
  <c r="D390" i="8"/>
  <c r="I389" i="8"/>
  <c r="H389" i="8"/>
  <c r="G389" i="8"/>
  <c r="F389" i="8"/>
  <c r="E389" i="8"/>
  <c r="D389" i="8"/>
  <c r="I388" i="8"/>
  <c r="H388" i="8"/>
  <c r="G388" i="8"/>
  <c r="F388" i="8"/>
  <c r="E388" i="8"/>
  <c r="D388" i="8"/>
  <c r="I387" i="8"/>
  <c r="H387" i="8"/>
  <c r="G387" i="8"/>
  <c r="F387" i="8"/>
  <c r="E387" i="8"/>
  <c r="D387" i="8"/>
  <c r="I386" i="8"/>
  <c r="H386" i="8"/>
  <c r="G386" i="8"/>
  <c r="F386" i="8"/>
  <c r="E386" i="8"/>
  <c r="D386" i="8"/>
  <c r="I385" i="8"/>
  <c r="H385" i="8"/>
  <c r="G385" i="8"/>
  <c r="F385" i="8"/>
  <c r="E385" i="8"/>
  <c r="D385" i="8"/>
  <c r="I384" i="8"/>
  <c r="H384" i="8"/>
  <c r="G384" i="8"/>
  <c r="F384" i="8"/>
  <c r="E384" i="8"/>
  <c r="D384" i="8"/>
  <c r="J383" i="8"/>
  <c r="I383" i="8"/>
  <c r="H383" i="8"/>
  <c r="G383" i="8"/>
  <c r="F383" i="8"/>
  <c r="E383" i="8"/>
  <c r="D383" i="8"/>
  <c r="I378" i="8"/>
  <c r="H378" i="8"/>
  <c r="G378" i="8"/>
  <c r="F378" i="8"/>
  <c r="E378" i="8"/>
  <c r="D378" i="8"/>
  <c r="I377" i="8"/>
  <c r="H377" i="8"/>
  <c r="G377" i="8"/>
  <c r="F377" i="8"/>
  <c r="E377" i="8"/>
  <c r="D377" i="8"/>
  <c r="I376" i="8"/>
  <c r="H376" i="8"/>
  <c r="G376" i="8"/>
  <c r="F376" i="8"/>
  <c r="E376" i="8"/>
  <c r="D376" i="8"/>
  <c r="I375" i="8"/>
  <c r="H375" i="8"/>
  <c r="G375" i="8"/>
  <c r="F375" i="8"/>
  <c r="E375" i="8"/>
  <c r="D375" i="8"/>
  <c r="I374" i="8"/>
  <c r="H374" i="8"/>
  <c r="G374" i="8"/>
  <c r="F374" i="8"/>
  <c r="E374" i="8"/>
  <c r="D374" i="8"/>
  <c r="I373" i="8"/>
  <c r="H373" i="8"/>
  <c r="G373" i="8"/>
  <c r="F373" i="8"/>
  <c r="E373" i="8"/>
  <c r="D373" i="8"/>
  <c r="I372" i="8"/>
  <c r="H372" i="8"/>
  <c r="G372" i="8"/>
  <c r="F372" i="8"/>
  <c r="E372" i="8"/>
  <c r="D372" i="8"/>
  <c r="J371" i="8"/>
  <c r="I371" i="8"/>
  <c r="H371" i="8"/>
  <c r="G371" i="8"/>
  <c r="F371" i="8"/>
  <c r="E371" i="8"/>
  <c r="D371" i="8"/>
  <c r="I366" i="8"/>
  <c r="H366" i="8"/>
  <c r="G366" i="8"/>
  <c r="F366" i="8"/>
  <c r="E366" i="8"/>
  <c r="D366" i="8"/>
  <c r="I365" i="8"/>
  <c r="H365" i="8"/>
  <c r="G365" i="8"/>
  <c r="F365" i="8"/>
  <c r="E365" i="8"/>
  <c r="D365" i="8"/>
  <c r="I364" i="8"/>
  <c r="H364" i="8"/>
  <c r="G364" i="8"/>
  <c r="F364" i="8"/>
  <c r="E364" i="8"/>
  <c r="D364" i="8"/>
  <c r="I363" i="8"/>
  <c r="H363" i="8"/>
  <c r="G363" i="8"/>
  <c r="F363" i="8"/>
  <c r="E363" i="8"/>
  <c r="D363" i="8"/>
  <c r="I362" i="8"/>
  <c r="H362" i="8"/>
  <c r="G362" i="8"/>
  <c r="F362" i="8"/>
  <c r="E362" i="8"/>
  <c r="D362" i="8"/>
  <c r="I361" i="8"/>
  <c r="H361" i="8"/>
  <c r="G361" i="8"/>
  <c r="F361" i="8"/>
  <c r="E361" i="8"/>
  <c r="D361" i="8"/>
  <c r="I360" i="8"/>
  <c r="H360" i="8"/>
  <c r="G360" i="8"/>
  <c r="F360" i="8"/>
  <c r="E360" i="8"/>
  <c r="D360" i="8"/>
  <c r="J359" i="8"/>
  <c r="I359" i="8"/>
  <c r="H359" i="8"/>
  <c r="G359" i="8"/>
  <c r="F359" i="8"/>
  <c r="E359" i="8"/>
  <c r="D359" i="8"/>
  <c r="I354" i="8"/>
  <c r="H354" i="8"/>
  <c r="G354" i="8"/>
  <c r="F354" i="8"/>
  <c r="E354" i="8"/>
  <c r="D354" i="8"/>
  <c r="I353" i="8"/>
  <c r="H353" i="8"/>
  <c r="G353" i="8"/>
  <c r="F353" i="8"/>
  <c r="E353" i="8"/>
  <c r="D353" i="8"/>
  <c r="I352" i="8"/>
  <c r="H352" i="8"/>
  <c r="G352" i="8"/>
  <c r="F352" i="8"/>
  <c r="E352" i="8"/>
  <c r="D352" i="8"/>
  <c r="I351" i="8"/>
  <c r="H351" i="8"/>
  <c r="G351" i="8"/>
  <c r="F351" i="8"/>
  <c r="E351" i="8"/>
  <c r="D351" i="8"/>
  <c r="I350" i="8"/>
  <c r="H350" i="8"/>
  <c r="G350" i="8"/>
  <c r="F350" i="8"/>
  <c r="E350" i="8"/>
  <c r="D350" i="8"/>
  <c r="I349" i="8"/>
  <c r="H349" i="8"/>
  <c r="G349" i="8"/>
  <c r="F349" i="8"/>
  <c r="E349" i="8"/>
  <c r="D349" i="8"/>
  <c r="I348" i="8"/>
  <c r="H348" i="8"/>
  <c r="G348" i="8"/>
  <c r="F348" i="8"/>
  <c r="E348" i="8"/>
  <c r="D348" i="8"/>
  <c r="J347" i="8"/>
  <c r="I347" i="8"/>
  <c r="H347" i="8"/>
  <c r="G347" i="8"/>
  <c r="F347" i="8"/>
  <c r="E347" i="8"/>
  <c r="D347" i="8"/>
  <c r="I342" i="8"/>
  <c r="H342" i="8"/>
  <c r="G342" i="8"/>
  <c r="F342" i="8"/>
  <c r="E342" i="8"/>
  <c r="D342" i="8"/>
  <c r="I341" i="8"/>
  <c r="H341" i="8"/>
  <c r="G341" i="8"/>
  <c r="F341" i="8"/>
  <c r="E341" i="8"/>
  <c r="D341" i="8"/>
  <c r="I340" i="8"/>
  <c r="H340" i="8"/>
  <c r="G340" i="8"/>
  <c r="F340" i="8"/>
  <c r="E340" i="8"/>
  <c r="D340" i="8"/>
  <c r="I339" i="8"/>
  <c r="H339" i="8"/>
  <c r="G339" i="8"/>
  <c r="F339" i="8"/>
  <c r="E339" i="8"/>
  <c r="D339" i="8"/>
  <c r="I338" i="8"/>
  <c r="H338" i="8"/>
  <c r="G338" i="8"/>
  <c r="F338" i="8"/>
  <c r="E338" i="8"/>
  <c r="D338" i="8"/>
  <c r="I337" i="8"/>
  <c r="H337" i="8"/>
  <c r="G337" i="8"/>
  <c r="F337" i="8"/>
  <c r="E337" i="8"/>
  <c r="D337" i="8"/>
  <c r="I336" i="8"/>
  <c r="H336" i="8"/>
  <c r="G336" i="8"/>
  <c r="F336" i="8"/>
  <c r="E336" i="8"/>
  <c r="D336" i="8"/>
  <c r="J335" i="8"/>
  <c r="I335" i="8"/>
  <c r="H335" i="8"/>
  <c r="G335" i="8"/>
  <c r="F335" i="8"/>
  <c r="E335" i="8"/>
  <c r="D335" i="8"/>
  <c r="I330" i="8"/>
  <c r="H330" i="8"/>
  <c r="G330" i="8"/>
  <c r="F330" i="8"/>
  <c r="E330" i="8"/>
  <c r="D330" i="8"/>
  <c r="I329" i="8"/>
  <c r="H329" i="8"/>
  <c r="G329" i="8"/>
  <c r="F329" i="8"/>
  <c r="E329" i="8"/>
  <c r="D329" i="8"/>
  <c r="I328" i="8"/>
  <c r="H328" i="8"/>
  <c r="G328" i="8"/>
  <c r="F328" i="8"/>
  <c r="E328" i="8"/>
  <c r="D328" i="8"/>
  <c r="I327" i="8"/>
  <c r="H327" i="8"/>
  <c r="G327" i="8"/>
  <c r="F327" i="8"/>
  <c r="E327" i="8"/>
  <c r="D327" i="8"/>
  <c r="I326" i="8"/>
  <c r="H326" i="8"/>
  <c r="G326" i="8"/>
  <c r="F326" i="8"/>
  <c r="E326" i="8"/>
  <c r="D326" i="8"/>
  <c r="I325" i="8"/>
  <c r="H325" i="8"/>
  <c r="G325" i="8"/>
  <c r="F325" i="8"/>
  <c r="E325" i="8"/>
  <c r="D325" i="8"/>
  <c r="I324" i="8"/>
  <c r="H324" i="8"/>
  <c r="G324" i="8"/>
  <c r="F324" i="8"/>
  <c r="E324" i="8"/>
  <c r="D324" i="8"/>
  <c r="J323" i="8"/>
  <c r="I323" i="8"/>
  <c r="H323" i="8"/>
  <c r="G323" i="8"/>
  <c r="F323" i="8"/>
  <c r="E323" i="8"/>
  <c r="D323" i="8"/>
  <c r="I318" i="8"/>
  <c r="H318" i="8"/>
  <c r="G318" i="8"/>
  <c r="F318" i="8"/>
  <c r="E318" i="8"/>
  <c r="D318" i="8"/>
  <c r="I317" i="8"/>
  <c r="H317" i="8"/>
  <c r="G317" i="8"/>
  <c r="F317" i="8"/>
  <c r="E317" i="8"/>
  <c r="D317" i="8"/>
  <c r="I316" i="8"/>
  <c r="H316" i="8"/>
  <c r="G316" i="8"/>
  <c r="F316" i="8"/>
  <c r="E316" i="8"/>
  <c r="D316" i="8"/>
  <c r="I315" i="8"/>
  <c r="H315" i="8"/>
  <c r="G315" i="8"/>
  <c r="F315" i="8"/>
  <c r="E315" i="8"/>
  <c r="D315" i="8"/>
  <c r="I314" i="8"/>
  <c r="H314" i="8"/>
  <c r="G314" i="8"/>
  <c r="F314" i="8"/>
  <c r="E314" i="8"/>
  <c r="D314" i="8"/>
  <c r="I313" i="8"/>
  <c r="H313" i="8"/>
  <c r="G313" i="8"/>
  <c r="F313" i="8"/>
  <c r="E313" i="8"/>
  <c r="D313" i="8"/>
  <c r="I312" i="8"/>
  <c r="H312" i="8"/>
  <c r="G312" i="8"/>
  <c r="F312" i="8"/>
  <c r="E312" i="8"/>
  <c r="D312" i="8"/>
  <c r="J311" i="8"/>
  <c r="I311" i="8"/>
  <c r="H311" i="8"/>
  <c r="G311" i="8"/>
  <c r="F311" i="8"/>
  <c r="E311" i="8"/>
  <c r="D311" i="8"/>
  <c r="I306" i="8"/>
  <c r="H306" i="8"/>
  <c r="G306" i="8"/>
  <c r="F306" i="8"/>
  <c r="E306" i="8"/>
  <c r="D306" i="8"/>
  <c r="I305" i="8"/>
  <c r="H305" i="8"/>
  <c r="G305" i="8"/>
  <c r="F305" i="8"/>
  <c r="E305" i="8"/>
  <c r="D305" i="8"/>
  <c r="I304" i="8"/>
  <c r="H304" i="8"/>
  <c r="G304" i="8"/>
  <c r="F304" i="8"/>
  <c r="E304" i="8"/>
  <c r="D304" i="8"/>
  <c r="I303" i="8"/>
  <c r="H303" i="8"/>
  <c r="G303" i="8"/>
  <c r="F303" i="8"/>
  <c r="E303" i="8"/>
  <c r="D303" i="8"/>
  <c r="I302" i="8"/>
  <c r="H302" i="8"/>
  <c r="G302" i="8"/>
  <c r="F302" i="8"/>
  <c r="E302" i="8"/>
  <c r="D302" i="8"/>
  <c r="I301" i="8"/>
  <c r="H301" i="8"/>
  <c r="G301" i="8"/>
  <c r="F301" i="8"/>
  <c r="E301" i="8"/>
  <c r="D301" i="8"/>
  <c r="I300" i="8"/>
  <c r="H300" i="8"/>
  <c r="G300" i="8"/>
  <c r="F300" i="8"/>
  <c r="E300" i="8"/>
  <c r="D300" i="8"/>
  <c r="J299" i="8"/>
  <c r="I299" i="8"/>
  <c r="H299" i="8"/>
  <c r="G299" i="8"/>
  <c r="F299" i="8"/>
  <c r="E299" i="8"/>
  <c r="D299" i="8"/>
  <c r="I294" i="8"/>
  <c r="H294" i="8"/>
  <c r="G294" i="8"/>
  <c r="F294" i="8"/>
  <c r="E294" i="8"/>
  <c r="D294" i="8"/>
  <c r="I293" i="8"/>
  <c r="H293" i="8"/>
  <c r="G293" i="8"/>
  <c r="F293" i="8"/>
  <c r="E293" i="8"/>
  <c r="D293" i="8"/>
  <c r="I292" i="8"/>
  <c r="H292" i="8"/>
  <c r="G292" i="8"/>
  <c r="F292" i="8"/>
  <c r="E292" i="8"/>
  <c r="D292" i="8"/>
  <c r="I291" i="8"/>
  <c r="H291" i="8"/>
  <c r="G291" i="8"/>
  <c r="F291" i="8"/>
  <c r="E291" i="8"/>
  <c r="D291" i="8"/>
  <c r="I290" i="8"/>
  <c r="H290" i="8"/>
  <c r="G290" i="8"/>
  <c r="F290" i="8"/>
  <c r="E290" i="8"/>
  <c r="D290" i="8"/>
  <c r="I289" i="8"/>
  <c r="H289" i="8"/>
  <c r="G289" i="8"/>
  <c r="F289" i="8"/>
  <c r="E289" i="8"/>
  <c r="D289" i="8"/>
  <c r="I288" i="8"/>
  <c r="H288" i="8"/>
  <c r="G288" i="8"/>
  <c r="F288" i="8"/>
  <c r="E288" i="8"/>
  <c r="D288" i="8"/>
  <c r="J287" i="8"/>
  <c r="I287" i="8"/>
  <c r="H287" i="8"/>
  <c r="G287" i="8"/>
  <c r="F287" i="8"/>
  <c r="E287" i="8"/>
  <c r="D287" i="8"/>
  <c r="I282" i="8"/>
  <c r="H282" i="8"/>
  <c r="G282" i="8"/>
  <c r="F282" i="8"/>
  <c r="E282" i="8"/>
  <c r="D282" i="8"/>
  <c r="I281" i="8"/>
  <c r="H281" i="8"/>
  <c r="G281" i="8"/>
  <c r="F281" i="8"/>
  <c r="E281" i="8"/>
  <c r="D281" i="8"/>
  <c r="I280" i="8"/>
  <c r="H280" i="8"/>
  <c r="G280" i="8"/>
  <c r="F280" i="8"/>
  <c r="E280" i="8"/>
  <c r="D280" i="8"/>
  <c r="I279" i="8"/>
  <c r="H279" i="8"/>
  <c r="G279" i="8"/>
  <c r="F279" i="8"/>
  <c r="E279" i="8"/>
  <c r="D279" i="8"/>
  <c r="I278" i="8"/>
  <c r="H278" i="8"/>
  <c r="G278" i="8"/>
  <c r="F278" i="8"/>
  <c r="E278" i="8"/>
  <c r="D278" i="8"/>
  <c r="I277" i="8"/>
  <c r="H277" i="8"/>
  <c r="G277" i="8"/>
  <c r="F277" i="8"/>
  <c r="E277" i="8"/>
  <c r="D277" i="8"/>
  <c r="I276" i="8"/>
  <c r="H276" i="8"/>
  <c r="G276" i="8"/>
  <c r="F276" i="8"/>
  <c r="E276" i="8"/>
  <c r="D276" i="8"/>
  <c r="J275" i="8"/>
  <c r="I275" i="8"/>
  <c r="H275" i="8"/>
  <c r="G275" i="8"/>
  <c r="F275" i="8"/>
  <c r="E275" i="8"/>
  <c r="D275" i="8"/>
  <c r="I270" i="8"/>
  <c r="H270" i="8"/>
  <c r="G270" i="8"/>
  <c r="F270" i="8"/>
  <c r="E270" i="8"/>
  <c r="D270" i="8"/>
  <c r="I269" i="8"/>
  <c r="H269" i="8"/>
  <c r="G269" i="8"/>
  <c r="F269" i="8"/>
  <c r="E269" i="8"/>
  <c r="D269" i="8"/>
  <c r="I268" i="8"/>
  <c r="H268" i="8"/>
  <c r="G268" i="8"/>
  <c r="F268" i="8"/>
  <c r="E268" i="8"/>
  <c r="D268" i="8"/>
  <c r="I267" i="8"/>
  <c r="H267" i="8"/>
  <c r="G267" i="8"/>
  <c r="F267" i="8"/>
  <c r="E267" i="8"/>
  <c r="D267" i="8"/>
  <c r="I266" i="8"/>
  <c r="H266" i="8"/>
  <c r="G266" i="8"/>
  <c r="F266" i="8"/>
  <c r="E266" i="8"/>
  <c r="D266" i="8"/>
  <c r="I265" i="8"/>
  <c r="H265" i="8"/>
  <c r="G265" i="8"/>
  <c r="F265" i="8"/>
  <c r="E265" i="8"/>
  <c r="D265" i="8"/>
  <c r="I264" i="8"/>
  <c r="H264" i="8"/>
  <c r="G264" i="8"/>
  <c r="F264" i="8"/>
  <c r="E264" i="8"/>
  <c r="D264" i="8"/>
  <c r="J263" i="8"/>
  <c r="I263" i="8"/>
  <c r="H263" i="8"/>
  <c r="G263" i="8"/>
  <c r="F263" i="8"/>
  <c r="E263" i="8"/>
  <c r="D263" i="8"/>
  <c r="I258" i="8"/>
  <c r="H258" i="8"/>
  <c r="G258" i="8"/>
  <c r="F258" i="8"/>
  <c r="E258" i="8"/>
  <c r="D258" i="8"/>
  <c r="I257" i="8"/>
  <c r="H257" i="8"/>
  <c r="G257" i="8"/>
  <c r="F257" i="8"/>
  <c r="E257" i="8"/>
  <c r="D257" i="8"/>
  <c r="I256" i="8"/>
  <c r="H256" i="8"/>
  <c r="G256" i="8"/>
  <c r="F256" i="8"/>
  <c r="E256" i="8"/>
  <c r="D256" i="8"/>
  <c r="I255" i="8"/>
  <c r="H255" i="8"/>
  <c r="G255" i="8"/>
  <c r="F255" i="8"/>
  <c r="E255" i="8"/>
  <c r="D255" i="8"/>
  <c r="I254" i="8"/>
  <c r="H254" i="8"/>
  <c r="G254" i="8"/>
  <c r="F254" i="8"/>
  <c r="E254" i="8"/>
  <c r="D254" i="8"/>
  <c r="I253" i="8"/>
  <c r="H253" i="8"/>
  <c r="G253" i="8"/>
  <c r="F253" i="8"/>
  <c r="E253" i="8"/>
  <c r="D253" i="8"/>
  <c r="I252" i="8"/>
  <c r="H252" i="8"/>
  <c r="G252" i="8"/>
  <c r="F252" i="8"/>
  <c r="E252" i="8"/>
  <c r="D252" i="8"/>
  <c r="J251" i="8"/>
  <c r="I251" i="8"/>
  <c r="H251" i="8"/>
  <c r="G251" i="8"/>
  <c r="F251" i="8"/>
  <c r="E251" i="8"/>
  <c r="D251" i="8"/>
  <c r="I246" i="8"/>
  <c r="H246" i="8"/>
  <c r="G246" i="8"/>
  <c r="F246" i="8"/>
  <c r="E246" i="8"/>
  <c r="D246" i="8"/>
  <c r="I245" i="8"/>
  <c r="H245" i="8"/>
  <c r="G245" i="8"/>
  <c r="F245" i="8"/>
  <c r="E245" i="8"/>
  <c r="D245" i="8"/>
  <c r="I244" i="8"/>
  <c r="H244" i="8"/>
  <c r="G244" i="8"/>
  <c r="F244" i="8"/>
  <c r="E244" i="8"/>
  <c r="D244" i="8"/>
  <c r="I243" i="8"/>
  <c r="H243" i="8"/>
  <c r="G243" i="8"/>
  <c r="F243" i="8"/>
  <c r="E243" i="8"/>
  <c r="D243" i="8"/>
  <c r="I242" i="8"/>
  <c r="H242" i="8"/>
  <c r="G242" i="8"/>
  <c r="F242" i="8"/>
  <c r="E242" i="8"/>
  <c r="D242" i="8"/>
  <c r="I241" i="8"/>
  <c r="H241" i="8"/>
  <c r="G241" i="8"/>
  <c r="F241" i="8"/>
  <c r="E241" i="8"/>
  <c r="D241" i="8"/>
  <c r="I240" i="8"/>
  <c r="H240" i="8"/>
  <c r="G240" i="8"/>
  <c r="F240" i="8"/>
  <c r="E240" i="8"/>
  <c r="D240" i="8"/>
  <c r="J239" i="8"/>
  <c r="I239" i="8"/>
  <c r="H239" i="8"/>
  <c r="G239" i="8"/>
  <c r="F239" i="8"/>
  <c r="E239" i="8"/>
  <c r="D239" i="8"/>
  <c r="I234" i="8"/>
  <c r="H234" i="8"/>
  <c r="G234" i="8"/>
  <c r="F234" i="8"/>
  <c r="E234" i="8"/>
  <c r="D234" i="8"/>
  <c r="I233" i="8"/>
  <c r="H233" i="8"/>
  <c r="G233" i="8"/>
  <c r="F233" i="8"/>
  <c r="E233" i="8"/>
  <c r="D233" i="8"/>
  <c r="I232" i="8"/>
  <c r="H232" i="8"/>
  <c r="G232" i="8"/>
  <c r="F232" i="8"/>
  <c r="E232" i="8"/>
  <c r="D232" i="8"/>
  <c r="I231" i="8"/>
  <c r="H231" i="8"/>
  <c r="G231" i="8"/>
  <c r="F231" i="8"/>
  <c r="E231" i="8"/>
  <c r="D231" i="8"/>
  <c r="I230" i="8"/>
  <c r="H230" i="8"/>
  <c r="G230" i="8"/>
  <c r="F230" i="8"/>
  <c r="E230" i="8"/>
  <c r="D230" i="8"/>
  <c r="I229" i="8"/>
  <c r="H229" i="8"/>
  <c r="G229" i="8"/>
  <c r="F229" i="8"/>
  <c r="E229" i="8"/>
  <c r="D229" i="8"/>
  <c r="I228" i="8"/>
  <c r="H228" i="8"/>
  <c r="G228" i="8"/>
  <c r="F228" i="8"/>
  <c r="E228" i="8"/>
  <c r="D228" i="8"/>
  <c r="J227" i="8"/>
  <c r="I227" i="8"/>
  <c r="H227" i="8"/>
  <c r="G227" i="8"/>
  <c r="F227" i="8"/>
  <c r="E227" i="8"/>
  <c r="D227" i="8"/>
  <c r="I222" i="8"/>
  <c r="H222" i="8"/>
  <c r="G222" i="8"/>
  <c r="F222" i="8"/>
  <c r="E222" i="8"/>
  <c r="D222" i="8"/>
  <c r="I221" i="8"/>
  <c r="H221" i="8"/>
  <c r="G221" i="8"/>
  <c r="F221" i="8"/>
  <c r="E221" i="8"/>
  <c r="D221" i="8"/>
  <c r="I220" i="8"/>
  <c r="H220" i="8"/>
  <c r="G220" i="8"/>
  <c r="F220" i="8"/>
  <c r="E220" i="8"/>
  <c r="D220" i="8"/>
  <c r="I219" i="8"/>
  <c r="H219" i="8"/>
  <c r="G219" i="8"/>
  <c r="F219" i="8"/>
  <c r="E219" i="8"/>
  <c r="D219" i="8"/>
  <c r="I218" i="8"/>
  <c r="H218" i="8"/>
  <c r="G218" i="8"/>
  <c r="F218" i="8"/>
  <c r="E218" i="8"/>
  <c r="D218" i="8"/>
  <c r="I217" i="8"/>
  <c r="H217" i="8"/>
  <c r="G217" i="8"/>
  <c r="F217" i="8"/>
  <c r="E217" i="8"/>
  <c r="D217" i="8"/>
  <c r="I216" i="8"/>
  <c r="H216" i="8"/>
  <c r="G216" i="8"/>
  <c r="F216" i="8"/>
  <c r="E216" i="8"/>
  <c r="D216" i="8"/>
  <c r="J215" i="8"/>
  <c r="I215" i="8"/>
  <c r="H215" i="8"/>
  <c r="G215" i="8"/>
  <c r="F215" i="8"/>
  <c r="E215" i="8"/>
  <c r="D215" i="8"/>
  <c r="I210" i="8"/>
  <c r="H210" i="8"/>
  <c r="G210" i="8"/>
  <c r="F210" i="8"/>
  <c r="E210" i="8"/>
  <c r="D210" i="8"/>
  <c r="I209" i="8"/>
  <c r="H209" i="8"/>
  <c r="G209" i="8"/>
  <c r="F209" i="8"/>
  <c r="E209" i="8"/>
  <c r="D209" i="8"/>
  <c r="I208" i="8"/>
  <c r="H208" i="8"/>
  <c r="G208" i="8"/>
  <c r="F208" i="8"/>
  <c r="E208" i="8"/>
  <c r="D208" i="8"/>
  <c r="I207" i="8"/>
  <c r="H207" i="8"/>
  <c r="G207" i="8"/>
  <c r="F207" i="8"/>
  <c r="E207" i="8"/>
  <c r="D207" i="8"/>
  <c r="I206" i="8"/>
  <c r="H206" i="8"/>
  <c r="G206" i="8"/>
  <c r="F206" i="8"/>
  <c r="E206" i="8"/>
  <c r="D206" i="8"/>
  <c r="I205" i="8"/>
  <c r="H205" i="8"/>
  <c r="G205" i="8"/>
  <c r="F205" i="8"/>
  <c r="E205" i="8"/>
  <c r="D205" i="8"/>
  <c r="I204" i="8"/>
  <c r="H204" i="8"/>
  <c r="G204" i="8"/>
  <c r="F204" i="8"/>
  <c r="E204" i="8"/>
  <c r="D204" i="8"/>
  <c r="J203" i="8"/>
  <c r="I203" i="8"/>
  <c r="H203" i="8"/>
  <c r="G203" i="8"/>
  <c r="F203" i="8"/>
  <c r="E203" i="8"/>
  <c r="D203" i="8"/>
  <c r="I198" i="8"/>
  <c r="H198" i="8"/>
  <c r="G198" i="8"/>
  <c r="F198" i="8"/>
  <c r="E198" i="8"/>
  <c r="D198" i="8"/>
  <c r="I197" i="8"/>
  <c r="H197" i="8"/>
  <c r="G197" i="8"/>
  <c r="F197" i="8"/>
  <c r="E197" i="8"/>
  <c r="D197" i="8"/>
  <c r="I196" i="8"/>
  <c r="H196" i="8"/>
  <c r="F196" i="8"/>
  <c r="E196" i="8"/>
  <c r="D196" i="8"/>
  <c r="J195" i="8"/>
  <c r="I195" i="8"/>
  <c r="H195" i="8"/>
  <c r="G195" i="8"/>
  <c r="F195" i="8"/>
  <c r="E195" i="8"/>
  <c r="D195" i="8"/>
  <c r="J194" i="8"/>
  <c r="I194" i="8"/>
  <c r="H194" i="8"/>
  <c r="G194" i="8"/>
  <c r="F194" i="8"/>
  <c r="E194" i="8"/>
  <c r="D194" i="8"/>
  <c r="I193" i="8"/>
  <c r="H193" i="8"/>
  <c r="G193" i="8"/>
  <c r="F193" i="8"/>
  <c r="E193" i="8"/>
  <c r="D193" i="8"/>
  <c r="J192" i="8"/>
  <c r="I192" i="8"/>
  <c r="H192" i="8"/>
  <c r="G192" i="8"/>
  <c r="F192" i="8"/>
  <c r="E192" i="8"/>
  <c r="D192" i="8"/>
  <c r="J191" i="8"/>
  <c r="I191" i="8"/>
  <c r="H191" i="8"/>
  <c r="G191" i="8"/>
  <c r="F191" i="8"/>
  <c r="E191" i="8"/>
  <c r="D191" i="8"/>
  <c r="I186" i="8"/>
  <c r="H186" i="8"/>
  <c r="G186" i="8"/>
  <c r="F186" i="8"/>
  <c r="E186" i="8"/>
  <c r="D186" i="8"/>
  <c r="I185" i="8"/>
  <c r="H185" i="8"/>
  <c r="G185" i="8"/>
  <c r="F185" i="8"/>
  <c r="E185" i="8"/>
  <c r="D185" i="8"/>
  <c r="I184" i="8"/>
  <c r="H184" i="8"/>
  <c r="G184" i="8"/>
  <c r="F184" i="8"/>
  <c r="E184" i="8"/>
  <c r="D184" i="8"/>
  <c r="J183" i="8"/>
  <c r="I183" i="8"/>
  <c r="H183" i="8"/>
  <c r="G183" i="8"/>
  <c r="F183" i="8"/>
  <c r="E183" i="8"/>
  <c r="D183" i="8"/>
  <c r="J182" i="8"/>
  <c r="I182" i="8"/>
  <c r="H182" i="8"/>
  <c r="G182" i="8"/>
  <c r="F182" i="8"/>
  <c r="E182" i="8"/>
  <c r="D182" i="8"/>
  <c r="I181" i="8"/>
  <c r="H181" i="8"/>
  <c r="F181" i="8"/>
  <c r="E181" i="8"/>
  <c r="D181" i="8"/>
  <c r="J180" i="8"/>
  <c r="I180" i="8"/>
  <c r="H180" i="8"/>
  <c r="G180" i="8"/>
  <c r="F180" i="8"/>
  <c r="E180" i="8"/>
  <c r="D180" i="8"/>
  <c r="J179" i="8"/>
  <c r="I179" i="8"/>
  <c r="H179" i="8"/>
  <c r="G179" i="8"/>
  <c r="F179" i="8"/>
  <c r="E179" i="8"/>
  <c r="D179" i="8"/>
  <c r="I174" i="8"/>
  <c r="H174" i="8"/>
  <c r="G174" i="8"/>
  <c r="F174" i="8"/>
  <c r="E174" i="8"/>
  <c r="D174" i="8"/>
  <c r="J173" i="8"/>
  <c r="I173" i="8"/>
  <c r="H173" i="8"/>
  <c r="G173" i="8"/>
  <c r="F173" i="8"/>
  <c r="E173" i="8"/>
  <c r="D173" i="8"/>
  <c r="I172" i="8"/>
  <c r="H172" i="8"/>
  <c r="F172" i="8"/>
  <c r="E172" i="8"/>
  <c r="D172" i="8"/>
  <c r="J171" i="8"/>
  <c r="I171" i="8"/>
  <c r="H171" i="8"/>
  <c r="G171" i="8"/>
  <c r="F171" i="8"/>
  <c r="E171" i="8"/>
  <c r="D171" i="8"/>
  <c r="J170" i="8"/>
  <c r="I170" i="8"/>
  <c r="H170" i="8"/>
  <c r="G170" i="8"/>
  <c r="F170" i="8"/>
  <c r="E170" i="8"/>
  <c r="D170" i="8"/>
  <c r="J169" i="8"/>
  <c r="I169" i="8"/>
  <c r="H169" i="8"/>
  <c r="G169" i="8"/>
  <c r="F169" i="8"/>
  <c r="E169" i="8"/>
  <c r="D169" i="8"/>
  <c r="I168" i="8"/>
  <c r="H168" i="8"/>
  <c r="F168" i="8"/>
  <c r="E168" i="8"/>
  <c r="D168" i="8"/>
  <c r="J167" i="8"/>
  <c r="I167" i="8"/>
  <c r="H167" i="8"/>
  <c r="G167" i="8"/>
  <c r="F167" i="8"/>
  <c r="E167" i="8"/>
  <c r="D167" i="8"/>
  <c r="J166" i="8"/>
  <c r="I166" i="8"/>
  <c r="H166" i="8"/>
  <c r="G166" i="8"/>
  <c r="F166" i="8"/>
  <c r="E166" i="8"/>
  <c r="D166" i="8"/>
  <c r="J161" i="8"/>
  <c r="I161" i="8"/>
  <c r="H161" i="8"/>
  <c r="G161" i="8"/>
  <c r="F161" i="8"/>
  <c r="E161" i="8"/>
  <c r="D161" i="8"/>
  <c r="I160" i="8"/>
  <c r="H160" i="8"/>
  <c r="G160" i="8"/>
  <c r="F160" i="8"/>
  <c r="E160" i="8"/>
  <c r="D160" i="8"/>
  <c r="I159" i="8"/>
  <c r="H159" i="8"/>
  <c r="G159" i="8"/>
  <c r="F159" i="8"/>
  <c r="E159" i="8"/>
  <c r="D159" i="8"/>
  <c r="I158" i="8"/>
  <c r="H158" i="8"/>
  <c r="G158" i="8"/>
  <c r="F158" i="8"/>
  <c r="E158" i="8"/>
  <c r="D158" i="8"/>
  <c r="J157" i="8"/>
  <c r="I157" i="8"/>
  <c r="H157" i="8"/>
  <c r="G157" i="8"/>
  <c r="F157" i="8"/>
  <c r="E157" i="8"/>
  <c r="D157" i="8"/>
  <c r="J156" i="8"/>
  <c r="I156" i="8"/>
  <c r="H156" i="8"/>
  <c r="G156" i="8"/>
  <c r="F156" i="8"/>
  <c r="E156" i="8"/>
  <c r="D156" i="8"/>
  <c r="J155" i="8"/>
  <c r="I155" i="8"/>
  <c r="H155" i="8"/>
  <c r="G155" i="8"/>
  <c r="F155" i="8"/>
  <c r="E155" i="8"/>
  <c r="D155" i="8"/>
  <c r="J154" i="8"/>
  <c r="I154" i="8"/>
  <c r="H154" i="8"/>
  <c r="G154" i="8"/>
  <c r="F154" i="8"/>
  <c r="E154" i="8"/>
  <c r="D154" i="8"/>
  <c r="J153" i="8"/>
  <c r="I153" i="8"/>
  <c r="H153" i="8"/>
  <c r="G153" i="8"/>
  <c r="F153" i="8"/>
  <c r="E153" i="8"/>
  <c r="D153" i="8"/>
  <c r="I148" i="8"/>
  <c r="H148" i="8"/>
  <c r="G148" i="8"/>
  <c r="F148" i="8"/>
  <c r="E148" i="8"/>
  <c r="D148" i="8"/>
  <c r="J147" i="8"/>
  <c r="I147" i="8"/>
  <c r="H147" i="8"/>
  <c r="G147" i="8"/>
  <c r="F147" i="8"/>
  <c r="E147" i="8"/>
  <c r="D147" i="8"/>
  <c r="J146" i="8"/>
  <c r="I146" i="8"/>
  <c r="H146" i="8"/>
  <c r="G146" i="8"/>
  <c r="J145" i="8"/>
  <c r="I145" i="8"/>
  <c r="H145" i="8"/>
  <c r="G145" i="8"/>
  <c r="F145" i="8"/>
  <c r="E145" i="8"/>
  <c r="D145" i="8"/>
  <c r="J144" i="8"/>
  <c r="I144" i="8"/>
  <c r="H144" i="8"/>
  <c r="G144" i="8"/>
  <c r="F144" i="8"/>
  <c r="E144" i="8"/>
  <c r="D144" i="8"/>
  <c r="J143" i="8"/>
  <c r="I143" i="8"/>
  <c r="H143" i="8"/>
  <c r="G143" i="8"/>
  <c r="F143" i="8"/>
  <c r="E143" i="8"/>
  <c r="D143" i="8"/>
  <c r="J142" i="8"/>
  <c r="I142" i="8"/>
  <c r="H142" i="8"/>
  <c r="G142" i="8"/>
  <c r="F142" i="8"/>
  <c r="E142" i="8"/>
  <c r="D142" i="8"/>
  <c r="J141" i="8"/>
  <c r="I141" i="8"/>
  <c r="H141" i="8"/>
  <c r="G141" i="8"/>
  <c r="F141" i="8"/>
  <c r="E141" i="8"/>
  <c r="D141" i="8"/>
  <c r="J136" i="8"/>
  <c r="I136" i="8"/>
  <c r="H136" i="8"/>
  <c r="G136" i="8"/>
  <c r="F136" i="8"/>
  <c r="E136" i="8"/>
  <c r="D136" i="8"/>
  <c r="J135" i="8"/>
  <c r="I135" i="8"/>
  <c r="H135" i="8"/>
  <c r="G135" i="8"/>
  <c r="F135" i="8"/>
  <c r="E135" i="8"/>
  <c r="D135" i="8"/>
  <c r="I134" i="8"/>
  <c r="H134" i="8"/>
  <c r="G134" i="8"/>
  <c r="F134" i="8"/>
  <c r="E134" i="8"/>
  <c r="D134" i="8"/>
  <c r="J133" i="8"/>
  <c r="I133" i="8"/>
  <c r="H133" i="8"/>
  <c r="G133" i="8"/>
  <c r="F133" i="8"/>
  <c r="E133" i="8"/>
  <c r="D133" i="8"/>
  <c r="J132" i="8"/>
  <c r="I132" i="8"/>
  <c r="H132" i="8"/>
  <c r="G132" i="8"/>
  <c r="F132" i="8"/>
  <c r="E132" i="8"/>
  <c r="D132" i="8"/>
  <c r="J131" i="8"/>
  <c r="I131" i="8"/>
  <c r="H131" i="8"/>
  <c r="G131" i="8"/>
  <c r="F131" i="8"/>
  <c r="E131" i="8"/>
  <c r="D131" i="8"/>
  <c r="J130" i="8"/>
  <c r="I130" i="8"/>
  <c r="H130" i="8"/>
  <c r="G130" i="8"/>
  <c r="F130" i="8"/>
  <c r="E130" i="8"/>
  <c r="D130" i="8"/>
  <c r="J129" i="8"/>
  <c r="I129" i="8"/>
  <c r="H129" i="8"/>
  <c r="G129" i="8"/>
  <c r="F129" i="8"/>
  <c r="E129" i="8"/>
  <c r="D129" i="8"/>
  <c r="I127" i="8"/>
  <c r="H127" i="8"/>
  <c r="G127" i="8"/>
  <c r="F127" i="8"/>
  <c r="E127" i="8"/>
  <c r="D127" i="8"/>
  <c r="I126" i="8"/>
  <c r="H126" i="8"/>
  <c r="G126" i="8"/>
  <c r="F126" i="8"/>
  <c r="E126" i="8"/>
  <c r="D126" i="8"/>
  <c r="I125" i="8"/>
  <c r="H125" i="8"/>
  <c r="G125" i="8"/>
  <c r="F125" i="8"/>
  <c r="E125" i="8"/>
  <c r="D125" i="8"/>
  <c r="J124" i="8"/>
  <c r="I124" i="8"/>
  <c r="H124" i="8"/>
  <c r="G124" i="8"/>
  <c r="F124" i="8"/>
  <c r="E124" i="8"/>
  <c r="D124" i="8"/>
  <c r="I123" i="8"/>
  <c r="H123" i="8"/>
  <c r="G123" i="8"/>
  <c r="F123" i="8"/>
  <c r="E123" i="8"/>
  <c r="D123" i="8"/>
  <c r="J122" i="8"/>
  <c r="I122" i="8"/>
  <c r="H122" i="8"/>
  <c r="G122" i="8"/>
  <c r="F122" i="8"/>
  <c r="E122" i="8"/>
  <c r="D122" i="8"/>
  <c r="J121" i="8"/>
  <c r="I121" i="8"/>
  <c r="H121" i="8"/>
  <c r="G121" i="8"/>
  <c r="F121" i="8"/>
  <c r="E121" i="8"/>
  <c r="D121" i="8"/>
  <c r="J120" i="8"/>
  <c r="I120" i="8"/>
  <c r="H120" i="8"/>
  <c r="G120" i="8"/>
  <c r="F120" i="8"/>
  <c r="E120" i="8"/>
  <c r="D120" i="8"/>
  <c r="I115" i="8"/>
  <c r="H115" i="8"/>
  <c r="G115" i="8"/>
  <c r="F115" i="8"/>
  <c r="E115" i="8"/>
  <c r="D115" i="8"/>
  <c r="I114" i="8"/>
  <c r="H114" i="8"/>
  <c r="G114" i="8"/>
  <c r="F114" i="8"/>
  <c r="E114" i="8"/>
  <c r="D114" i="8"/>
  <c r="J113" i="8"/>
  <c r="I113" i="8"/>
  <c r="H113" i="8"/>
  <c r="G113" i="8"/>
  <c r="F113" i="8"/>
  <c r="E113" i="8"/>
  <c r="D113" i="8"/>
  <c r="J112" i="8"/>
  <c r="I112" i="8"/>
  <c r="H112" i="8"/>
  <c r="G112" i="8"/>
  <c r="F112" i="8"/>
  <c r="E112" i="8"/>
  <c r="D112" i="8"/>
  <c r="J111" i="8"/>
  <c r="I111" i="8"/>
  <c r="H111" i="8"/>
  <c r="G111" i="8"/>
  <c r="F111" i="8"/>
  <c r="E111" i="8"/>
  <c r="D111" i="8"/>
  <c r="I110" i="8"/>
  <c r="H110" i="8"/>
  <c r="G110" i="8"/>
  <c r="F110" i="8"/>
  <c r="E110" i="8"/>
  <c r="D110" i="8"/>
  <c r="J109" i="8"/>
  <c r="I109" i="8"/>
  <c r="H109" i="8"/>
  <c r="G109" i="8"/>
  <c r="F109" i="8"/>
  <c r="E109" i="8"/>
  <c r="D109" i="8"/>
  <c r="J108" i="8"/>
  <c r="I108" i="8"/>
  <c r="H108" i="8"/>
  <c r="G108" i="8"/>
  <c r="F108" i="8"/>
  <c r="E108" i="8"/>
  <c r="D108" i="8"/>
  <c r="I103" i="8"/>
  <c r="H103" i="8"/>
  <c r="G103" i="8"/>
  <c r="F103" i="8"/>
  <c r="E103" i="8"/>
  <c r="D103" i="8"/>
  <c r="J102" i="8"/>
  <c r="I102" i="8"/>
  <c r="H102" i="8"/>
  <c r="G102" i="8"/>
  <c r="F102" i="8"/>
  <c r="E102" i="8"/>
  <c r="D102" i="8"/>
  <c r="J101" i="8"/>
  <c r="I101" i="8"/>
  <c r="H101" i="8"/>
  <c r="G101" i="8"/>
  <c r="F101" i="8"/>
  <c r="E101" i="8"/>
  <c r="D101" i="8"/>
  <c r="I100" i="8"/>
  <c r="H100" i="8"/>
  <c r="G100" i="8"/>
  <c r="F100" i="8"/>
  <c r="E100" i="8"/>
  <c r="D100" i="8"/>
  <c r="J99" i="8"/>
  <c r="I99" i="8"/>
  <c r="H99" i="8"/>
  <c r="G99" i="8"/>
  <c r="F99" i="8"/>
  <c r="E99" i="8"/>
  <c r="D99" i="8"/>
  <c r="I98" i="8"/>
  <c r="H98" i="8"/>
  <c r="G98" i="8"/>
  <c r="F98" i="8"/>
  <c r="E98" i="8"/>
  <c r="D98" i="8"/>
  <c r="J97" i="8"/>
  <c r="I97" i="8"/>
  <c r="H97" i="8"/>
  <c r="G97" i="8"/>
  <c r="F97" i="8"/>
  <c r="E97" i="8"/>
  <c r="D97" i="8"/>
  <c r="J96" i="8"/>
  <c r="I96" i="8"/>
  <c r="H96" i="8"/>
  <c r="G96" i="8"/>
  <c r="F96" i="8"/>
  <c r="E96" i="8"/>
  <c r="D96" i="8"/>
  <c r="I91" i="8"/>
  <c r="H91" i="8"/>
  <c r="G91" i="8"/>
  <c r="F91" i="8"/>
  <c r="E91" i="8"/>
  <c r="D91" i="8"/>
  <c r="I90" i="8"/>
  <c r="H90" i="8"/>
  <c r="G90" i="8"/>
  <c r="F90" i="8"/>
  <c r="E90" i="8"/>
  <c r="D90" i="8"/>
  <c r="I89" i="8"/>
  <c r="H89" i="8"/>
  <c r="G89" i="8"/>
  <c r="F89" i="8"/>
  <c r="E89" i="8"/>
  <c r="D89" i="8"/>
  <c r="J88" i="8"/>
  <c r="I88" i="8"/>
  <c r="H88" i="8"/>
  <c r="G88" i="8"/>
  <c r="F88" i="8"/>
  <c r="E88" i="8"/>
  <c r="D88" i="8"/>
  <c r="J87" i="8"/>
  <c r="I87" i="8"/>
  <c r="H87" i="8"/>
  <c r="G87" i="8"/>
  <c r="F87" i="8"/>
  <c r="E87" i="8"/>
  <c r="D87" i="8"/>
  <c r="J86" i="8"/>
  <c r="I86" i="8"/>
  <c r="H86" i="8"/>
  <c r="G86" i="8"/>
  <c r="F86" i="8"/>
  <c r="E86" i="8"/>
  <c r="D86" i="8"/>
  <c r="J85" i="8"/>
  <c r="I85" i="8"/>
  <c r="H85" i="8"/>
  <c r="G85" i="8"/>
  <c r="F85" i="8"/>
  <c r="E85" i="8"/>
  <c r="D85" i="8"/>
  <c r="J84" i="8"/>
  <c r="I84" i="8"/>
  <c r="H84" i="8"/>
  <c r="G84" i="8"/>
  <c r="F84" i="8"/>
  <c r="E84" i="8"/>
  <c r="D84" i="8"/>
  <c r="I79" i="8"/>
  <c r="H79" i="8"/>
  <c r="G79" i="8"/>
  <c r="F79" i="8"/>
  <c r="E79" i="8"/>
  <c r="D79" i="8"/>
  <c r="I78" i="8"/>
  <c r="H78" i="8"/>
  <c r="G78" i="8"/>
  <c r="F78" i="8"/>
  <c r="E78" i="8"/>
  <c r="D78" i="8"/>
  <c r="J77" i="8"/>
  <c r="I77" i="8"/>
  <c r="H77" i="8"/>
  <c r="G77" i="8"/>
  <c r="F77" i="8"/>
  <c r="E77" i="8"/>
  <c r="D77" i="8"/>
  <c r="J76" i="8"/>
  <c r="I76" i="8"/>
  <c r="H76" i="8"/>
  <c r="G76" i="8"/>
  <c r="F76" i="8"/>
  <c r="E76" i="8"/>
  <c r="D76" i="8"/>
  <c r="J75" i="8"/>
  <c r="I75" i="8"/>
  <c r="H75" i="8"/>
  <c r="G75" i="8"/>
  <c r="F75" i="8"/>
  <c r="E75" i="8"/>
  <c r="D75" i="8"/>
  <c r="J74" i="8"/>
  <c r="I74" i="8"/>
  <c r="H74" i="8"/>
  <c r="G74" i="8"/>
  <c r="F74" i="8"/>
  <c r="E74" i="8"/>
  <c r="D74" i="8"/>
  <c r="J73" i="8"/>
  <c r="I73" i="8"/>
  <c r="H73" i="8"/>
  <c r="G73" i="8"/>
  <c r="F73" i="8"/>
  <c r="E73" i="8"/>
  <c r="D73" i="8"/>
  <c r="J72" i="8"/>
  <c r="I72" i="8"/>
  <c r="H72" i="8"/>
  <c r="G72" i="8"/>
  <c r="F72" i="8"/>
  <c r="E72" i="8"/>
  <c r="D72" i="8"/>
  <c r="I67" i="8"/>
  <c r="H67" i="8"/>
  <c r="G67" i="8"/>
  <c r="F67" i="8"/>
  <c r="E67" i="8"/>
  <c r="D67" i="8"/>
  <c r="I66" i="8"/>
  <c r="H66" i="8"/>
  <c r="G66" i="8"/>
  <c r="F66" i="8"/>
  <c r="E66" i="8"/>
  <c r="D66" i="8"/>
  <c r="I65" i="8"/>
  <c r="H65" i="8"/>
  <c r="G65" i="8"/>
  <c r="F65" i="8"/>
  <c r="E65" i="8"/>
  <c r="D65" i="8"/>
  <c r="J64" i="8"/>
  <c r="I64" i="8"/>
  <c r="H64" i="8"/>
  <c r="G64" i="8"/>
  <c r="F64" i="8"/>
  <c r="E64" i="8"/>
  <c r="D64" i="8"/>
  <c r="J63" i="8"/>
  <c r="I63" i="8"/>
  <c r="H63" i="8"/>
  <c r="G63" i="8"/>
  <c r="F63" i="8"/>
  <c r="E63" i="8"/>
  <c r="D63" i="8"/>
  <c r="I62" i="8"/>
  <c r="H62" i="8"/>
  <c r="G62" i="8"/>
  <c r="F62" i="8"/>
  <c r="E62" i="8"/>
  <c r="D62" i="8"/>
  <c r="J61" i="8"/>
  <c r="I61" i="8"/>
  <c r="H61" i="8"/>
  <c r="G61" i="8"/>
  <c r="F61" i="8"/>
  <c r="E61" i="8"/>
  <c r="D61" i="8"/>
  <c r="J60" i="8"/>
  <c r="I60" i="8"/>
  <c r="H60" i="8"/>
  <c r="G60" i="8"/>
  <c r="F60" i="8"/>
  <c r="E60" i="8"/>
  <c r="D60" i="8"/>
  <c r="J55" i="8"/>
  <c r="I55" i="8"/>
  <c r="H55" i="8"/>
  <c r="G55" i="8"/>
  <c r="F55" i="8"/>
  <c r="E55" i="8"/>
  <c r="D55" i="8"/>
  <c r="J54" i="8"/>
  <c r="I54" i="8"/>
  <c r="H54" i="8"/>
  <c r="G54" i="8"/>
  <c r="F54" i="8"/>
  <c r="E54" i="8"/>
  <c r="D54" i="8"/>
  <c r="I53" i="8"/>
  <c r="H53" i="8"/>
  <c r="G53" i="8"/>
  <c r="F53" i="8"/>
  <c r="E53" i="8"/>
  <c r="D53" i="8"/>
  <c r="I52" i="8"/>
  <c r="H52" i="8"/>
  <c r="G52" i="8"/>
  <c r="F52" i="8"/>
  <c r="E52" i="8"/>
  <c r="D52" i="8"/>
  <c r="J51" i="8"/>
  <c r="I51" i="8"/>
  <c r="H51" i="8"/>
  <c r="G51" i="8"/>
  <c r="F51" i="8"/>
  <c r="E51" i="8"/>
  <c r="D51" i="8"/>
  <c r="J50" i="8"/>
  <c r="I50" i="8"/>
  <c r="H50" i="8"/>
  <c r="G50" i="8"/>
  <c r="F50" i="8"/>
  <c r="E50" i="8"/>
  <c r="D50" i="8"/>
  <c r="J49" i="8"/>
  <c r="I49" i="8"/>
  <c r="H49" i="8"/>
  <c r="G49" i="8"/>
  <c r="F49" i="8"/>
  <c r="E49" i="8"/>
  <c r="D49" i="8"/>
  <c r="J48" i="8"/>
  <c r="I48" i="8"/>
  <c r="H48" i="8"/>
  <c r="G48" i="8"/>
  <c r="F48" i="8"/>
  <c r="E48" i="8"/>
  <c r="D48" i="8"/>
  <c r="J43" i="8"/>
  <c r="I43" i="8"/>
  <c r="H43" i="8"/>
  <c r="G43" i="8"/>
  <c r="F43" i="8"/>
  <c r="E43" i="8"/>
  <c r="D43" i="8"/>
  <c r="I42" i="8"/>
  <c r="H42" i="8"/>
  <c r="G42" i="8"/>
  <c r="F42" i="8"/>
  <c r="E42" i="8"/>
  <c r="D42" i="8"/>
  <c r="J41" i="8"/>
  <c r="I41" i="8"/>
  <c r="H41" i="8"/>
  <c r="G41" i="8"/>
  <c r="F41" i="8"/>
  <c r="E41" i="8"/>
  <c r="D41" i="8"/>
  <c r="J40" i="8"/>
  <c r="I40" i="8"/>
  <c r="H40" i="8"/>
  <c r="G40" i="8"/>
  <c r="F40" i="8"/>
  <c r="E40" i="8"/>
  <c r="D40" i="8"/>
  <c r="J39" i="8"/>
  <c r="I39" i="8"/>
  <c r="H39" i="8"/>
  <c r="G39" i="8"/>
  <c r="F39" i="8"/>
  <c r="E39" i="8"/>
  <c r="D39" i="8"/>
  <c r="J38" i="8"/>
  <c r="I38" i="8"/>
  <c r="H38" i="8"/>
  <c r="G38" i="8"/>
  <c r="F38" i="8"/>
  <c r="E38" i="8"/>
  <c r="D38" i="8"/>
  <c r="J33" i="8"/>
  <c r="I33" i="8"/>
  <c r="H33" i="8"/>
  <c r="G33" i="8"/>
  <c r="F33" i="8"/>
  <c r="E33" i="8"/>
  <c r="D33" i="8"/>
  <c r="I32" i="8"/>
  <c r="H32" i="8"/>
  <c r="G32" i="8"/>
  <c r="F32" i="8"/>
  <c r="E32" i="8"/>
  <c r="D32" i="8"/>
  <c r="J31" i="8"/>
  <c r="I31" i="8"/>
  <c r="H31" i="8"/>
  <c r="G31" i="8"/>
  <c r="F31" i="8"/>
  <c r="E31" i="8"/>
  <c r="D31" i="8"/>
  <c r="J30" i="8"/>
  <c r="I30" i="8"/>
  <c r="H30" i="8"/>
  <c r="G30" i="8"/>
  <c r="F30" i="8"/>
  <c r="E30" i="8"/>
  <c r="D30" i="8"/>
  <c r="J29" i="8"/>
  <c r="I29" i="8"/>
  <c r="H29" i="8"/>
  <c r="G29" i="8"/>
  <c r="F29" i="8"/>
  <c r="E29" i="8"/>
  <c r="D29" i="8"/>
  <c r="J28" i="8"/>
  <c r="I28" i="8"/>
  <c r="H28" i="8"/>
  <c r="G28" i="8"/>
  <c r="F28" i="8"/>
  <c r="E28" i="8"/>
  <c r="D28" i="8"/>
  <c r="I23" i="8"/>
  <c r="H23" i="8"/>
  <c r="G23" i="8"/>
  <c r="F23" i="8"/>
  <c r="E23" i="8"/>
  <c r="D23" i="8"/>
  <c r="J22" i="8"/>
  <c r="I22" i="8"/>
  <c r="H22" i="8"/>
  <c r="G22" i="8"/>
  <c r="F22" i="8"/>
  <c r="E22" i="8"/>
  <c r="D22" i="8"/>
  <c r="J21" i="8"/>
  <c r="I21" i="8"/>
  <c r="H21" i="8"/>
  <c r="G21" i="8"/>
  <c r="F21" i="8"/>
  <c r="E21" i="8"/>
  <c r="D21" i="8"/>
  <c r="J20" i="8"/>
  <c r="I20" i="8"/>
  <c r="H20" i="8"/>
  <c r="G20" i="8"/>
  <c r="F20" i="8"/>
  <c r="E20" i="8"/>
  <c r="D20" i="8"/>
  <c r="A20" i="8"/>
  <c r="A29" i="8" s="1"/>
  <c r="A39" i="8" s="1"/>
  <c r="A49" i="8" s="1"/>
  <c r="J19" i="8"/>
  <c r="I19" i="8"/>
  <c r="H19" i="8"/>
  <c r="G19" i="8"/>
  <c r="F19" i="8"/>
  <c r="E19" i="8"/>
  <c r="D19" i="8"/>
  <c r="I16" i="8"/>
  <c r="H16" i="8"/>
  <c r="G16" i="8"/>
  <c r="F16" i="8"/>
  <c r="E16" i="8"/>
  <c r="D16" i="8"/>
  <c r="J15" i="8"/>
  <c r="I15" i="8"/>
  <c r="H15" i="8"/>
  <c r="G15" i="8"/>
  <c r="F15" i="8"/>
  <c r="E15" i="8"/>
  <c r="D15" i="8"/>
  <c r="J14" i="8"/>
  <c r="I14" i="8"/>
  <c r="H14" i="8"/>
  <c r="G14" i="8"/>
  <c r="F14" i="8"/>
  <c r="E14" i="8"/>
  <c r="D14" i="8"/>
  <c r="J13" i="8"/>
  <c r="I13" i="8"/>
  <c r="H13" i="8"/>
  <c r="G13" i="8"/>
  <c r="F13" i="8"/>
  <c r="E13" i="8"/>
  <c r="D13" i="8"/>
  <c r="I10" i="8"/>
  <c r="H10" i="8"/>
  <c r="G10" i="8"/>
  <c r="F10" i="8"/>
  <c r="E10" i="8"/>
  <c r="D10" i="8"/>
  <c r="J9" i="8"/>
  <c r="I9" i="8"/>
  <c r="H9" i="8"/>
  <c r="G9" i="8"/>
  <c r="F9" i="8"/>
  <c r="E9" i="8"/>
  <c r="D9" i="8"/>
  <c r="J8" i="8"/>
  <c r="I8" i="8"/>
  <c r="H8" i="8"/>
  <c r="G8" i="8"/>
  <c r="F8" i="8"/>
  <c r="E8" i="8"/>
  <c r="D8" i="8"/>
  <c r="I5" i="8"/>
  <c r="H5" i="8"/>
  <c r="G5" i="8"/>
  <c r="F5" i="8"/>
  <c r="E5" i="8"/>
  <c r="D5" i="8"/>
  <c r="J4" i="8"/>
  <c r="I4" i="8"/>
  <c r="H4" i="8"/>
  <c r="G4" i="8"/>
  <c r="F4" i="8"/>
  <c r="E4" i="8"/>
  <c r="D4" i="8"/>
  <c r="J3" i="8"/>
  <c r="I3" i="8"/>
  <c r="H3" i="8"/>
  <c r="G3" i="8"/>
  <c r="F3" i="8"/>
  <c r="E3" i="8"/>
  <c r="D3" i="8"/>
  <c r="J2" i="8"/>
  <c r="I2" i="8"/>
  <c r="H2" i="8"/>
  <c r="G2" i="8"/>
  <c r="F2" i="8"/>
  <c r="E2" i="8"/>
  <c r="D2" i="8"/>
  <c r="J1" i="8"/>
  <c r="Z2" i="6" s="1"/>
  <c r="I1" i="8"/>
  <c r="H1" i="8"/>
  <c r="G1" i="8"/>
  <c r="W2" i="6" s="1"/>
  <c r="F1" i="8"/>
  <c r="E1" i="8"/>
  <c r="D1" i="8"/>
  <c r="I111" i="7"/>
  <c r="I110" i="7"/>
  <c r="I109" i="7"/>
  <c r="I108" i="7"/>
  <c r="I107" i="7"/>
  <c r="I106" i="7"/>
  <c r="I105" i="7"/>
  <c r="I104" i="7"/>
  <c r="I103" i="7"/>
  <c r="I102" i="7"/>
  <c r="I101" i="7"/>
  <c r="I100" i="7"/>
  <c r="I99" i="7"/>
  <c r="I98" i="7"/>
  <c r="I97" i="7"/>
  <c r="I96" i="7"/>
  <c r="I95" i="7"/>
  <c r="I94" i="7"/>
  <c r="I93" i="7"/>
  <c r="I92" i="7"/>
  <c r="I91" i="7"/>
  <c r="I90" i="7"/>
  <c r="I89" i="7"/>
  <c r="I88" i="7"/>
  <c r="I87" i="7"/>
  <c r="I86" i="7"/>
  <c r="I85" i="7"/>
  <c r="I84" i="7"/>
  <c r="I83" i="7"/>
  <c r="I82" i="7"/>
  <c r="I81" i="7"/>
  <c r="I80" i="7"/>
  <c r="I79" i="7"/>
  <c r="I78" i="7"/>
  <c r="I77" i="7"/>
  <c r="I76" i="7"/>
  <c r="I75" i="7"/>
  <c r="I74" i="7"/>
  <c r="I73" i="7"/>
  <c r="I72" i="7"/>
  <c r="I71" i="7"/>
  <c r="I70" i="7"/>
  <c r="I69" i="7"/>
  <c r="I68" i="7"/>
  <c r="I67" i="7"/>
  <c r="I66" i="7"/>
  <c r="I65" i="7"/>
  <c r="I64" i="7"/>
  <c r="I63" i="7"/>
  <c r="I62" i="7"/>
  <c r="I61" i="7"/>
  <c r="I60" i="7"/>
  <c r="I59" i="7"/>
  <c r="I58" i="7"/>
  <c r="I57" i="7"/>
  <c r="I56" i="7"/>
  <c r="I55" i="7"/>
  <c r="I54" i="7"/>
  <c r="I53" i="7"/>
  <c r="I52" i="7"/>
  <c r="I51" i="7"/>
  <c r="I50" i="7"/>
  <c r="I49" i="7"/>
  <c r="I48" i="7"/>
  <c r="I47" i="7"/>
  <c r="I46" i="7"/>
  <c r="I45" i="7"/>
  <c r="I44" i="7"/>
  <c r="I43" i="7"/>
  <c r="I42" i="7"/>
  <c r="I41" i="7"/>
  <c r="I40" i="7"/>
  <c r="I39" i="7"/>
  <c r="I38" i="7"/>
  <c r="I37" i="7"/>
  <c r="I36" i="7"/>
  <c r="I35" i="7"/>
  <c r="I34" i="7"/>
  <c r="I33" i="7"/>
  <c r="I32" i="7"/>
  <c r="I31" i="7"/>
  <c r="I30" i="7"/>
  <c r="I29" i="7"/>
  <c r="I28" i="7"/>
  <c r="I27" i="7"/>
  <c r="I26" i="7"/>
  <c r="I25" i="7"/>
  <c r="I24" i="7"/>
  <c r="I23" i="7"/>
  <c r="I22" i="7"/>
  <c r="M21" i="7"/>
  <c r="L21" i="7"/>
  <c r="O21" i="7" s="1"/>
  <c r="K21" i="7"/>
  <c r="N21" i="7" s="1"/>
  <c r="J21" i="7"/>
  <c r="I21" i="7"/>
  <c r="I20" i="7"/>
  <c r="I19" i="7"/>
  <c r="N18" i="7"/>
  <c r="L18" i="7"/>
  <c r="K18" i="7"/>
  <c r="J18" i="7"/>
  <c r="M18" i="7" s="1"/>
  <c r="I18" i="7"/>
  <c r="I17" i="7"/>
  <c r="I16" i="7"/>
  <c r="N15" i="7"/>
  <c r="L15" i="7"/>
  <c r="K15" i="7"/>
  <c r="J15" i="7"/>
  <c r="M15" i="7" s="1"/>
  <c r="I15" i="7"/>
  <c r="I14" i="7"/>
  <c r="I13" i="7"/>
  <c r="I12" i="7"/>
  <c r="I11" i="7"/>
  <c r="I10" i="7"/>
  <c r="I9" i="7"/>
  <c r="I8" i="7"/>
  <c r="I7" i="7"/>
  <c r="I6" i="7"/>
  <c r="I5" i="7"/>
  <c r="I4" i="7"/>
  <c r="L3" i="7"/>
  <c r="O18" i="7" s="1"/>
  <c r="K3" i="7"/>
  <c r="J3" i="7"/>
  <c r="B3" i="7"/>
  <c r="A3" i="7"/>
  <c r="B2" i="7"/>
  <c r="A2" i="7"/>
  <c r="AB111" i="6"/>
  <c r="O111" i="6"/>
  <c r="AB110" i="6"/>
  <c r="O110" i="6"/>
  <c r="AB109" i="6"/>
  <c r="O109" i="6"/>
  <c r="AB108" i="6"/>
  <c r="O108" i="6"/>
  <c r="AB107" i="6"/>
  <c r="O107" i="6"/>
  <c r="AB106" i="6"/>
  <c r="O106" i="6"/>
  <c r="AB105" i="6"/>
  <c r="O105" i="6"/>
  <c r="AB104" i="6"/>
  <c r="O104" i="6"/>
  <c r="AB103" i="6"/>
  <c r="O103" i="6"/>
  <c r="AB102" i="6"/>
  <c r="O102" i="6"/>
  <c r="AB101" i="6"/>
  <c r="O101" i="6"/>
  <c r="AB100" i="6"/>
  <c r="O100" i="6"/>
  <c r="AB99" i="6"/>
  <c r="O99" i="6"/>
  <c r="AB98" i="6"/>
  <c r="O98" i="6"/>
  <c r="AB97" i="6"/>
  <c r="O97" i="6"/>
  <c r="AB96" i="6"/>
  <c r="O96" i="6"/>
  <c r="AB95" i="6"/>
  <c r="O95" i="6"/>
  <c r="AB94" i="6"/>
  <c r="O94" i="6"/>
  <c r="AB93" i="6"/>
  <c r="O93" i="6"/>
  <c r="AB92" i="6"/>
  <c r="O92" i="6"/>
  <c r="AB91" i="6"/>
  <c r="O91" i="6"/>
  <c r="AB90" i="6"/>
  <c r="O90" i="6"/>
  <c r="AB89" i="6"/>
  <c r="O89" i="6"/>
  <c r="AB88" i="6"/>
  <c r="O88" i="6"/>
  <c r="AB87" i="6"/>
  <c r="O87" i="6"/>
  <c r="AB86" i="6"/>
  <c r="O86" i="6"/>
  <c r="AB85" i="6"/>
  <c r="O85" i="6"/>
  <c r="AB84" i="6"/>
  <c r="O84" i="6"/>
  <c r="AB83" i="6"/>
  <c r="O83" i="6"/>
  <c r="AB82" i="6"/>
  <c r="O82" i="6"/>
  <c r="AB81" i="6"/>
  <c r="O81" i="6"/>
  <c r="AB80" i="6"/>
  <c r="O80" i="6"/>
  <c r="AB79" i="6"/>
  <c r="O79" i="6"/>
  <c r="AB78" i="6"/>
  <c r="O78" i="6"/>
  <c r="AB77" i="6"/>
  <c r="O77" i="6"/>
  <c r="AB76" i="6"/>
  <c r="O76" i="6"/>
  <c r="AB75" i="6"/>
  <c r="O75" i="6"/>
  <c r="AB74" i="6"/>
  <c r="O74" i="6"/>
  <c r="AB73" i="6"/>
  <c r="O73" i="6"/>
  <c r="AB72" i="6"/>
  <c r="O72" i="6"/>
  <c r="AB71" i="6"/>
  <c r="O71" i="6"/>
  <c r="AB70" i="6"/>
  <c r="O70" i="6"/>
  <c r="AB69" i="6"/>
  <c r="O69" i="6"/>
  <c r="AB68" i="6"/>
  <c r="O68" i="6"/>
  <c r="AB67" i="6"/>
  <c r="O67" i="6"/>
  <c r="AB66" i="6"/>
  <c r="O66" i="6"/>
  <c r="AB65" i="6"/>
  <c r="O65" i="6"/>
  <c r="AB64" i="6"/>
  <c r="O64" i="6"/>
  <c r="AB63" i="6"/>
  <c r="O63" i="6"/>
  <c r="AB62" i="6"/>
  <c r="O62" i="6"/>
  <c r="AB61" i="6"/>
  <c r="O61" i="6"/>
  <c r="AB60" i="6"/>
  <c r="O60" i="6"/>
  <c r="AB59" i="6"/>
  <c r="O59" i="6"/>
  <c r="AB58" i="6"/>
  <c r="O58" i="6"/>
  <c r="AB57" i="6"/>
  <c r="O57" i="6"/>
  <c r="AB56" i="6"/>
  <c r="O56" i="6"/>
  <c r="AB55" i="6"/>
  <c r="O55" i="6"/>
  <c r="AB54" i="6"/>
  <c r="O54" i="6"/>
  <c r="AB53" i="6"/>
  <c r="O53" i="6"/>
  <c r="AB52" i="6"/>
  <c r="O52" i="6"/>
  <c r="AB51" i="6"/>
  <c r="O51" i="6"/>
  <c r="AB50" i="6"/>
  <c r="O50" i="6"/>
  <c r="AB49" i="6"/>
  <c r="O49" i="6"/>
  <c r="AB48" i="6"/>
  <c r="O48" i="6"/>
  <c r="AB47" i="6"/>
  <c r="O47" i="6"/>
  <c r="AB46" i="6"/>
  <c r="O46" i="6"/>
  <c r="AB45" i="6"/>
  <c r="O45" i="6"/>
  <c r="AB44" i="6"/>
  <c r="O44" i="6"/>
  <c r="AB43" i="6"/>
  <c r="O43" i="6"/>
  <c r="AB42" i="6"/>
  <c r="O42" i="6"/>
  <c r="AB41" i="6"/>
  <c r="O41" i="6"/>
  <c r="AB40" i="6"/>
  <c r="O40" i="6"/>
  <c r="AB39" i="6"/>
  <c r="O39" i="6"/>
  <c r="AB38" i="6"/>
  <c r="O38" i="6"/>
  <c r="AB37" i="6"/>
  <c r="O37" i="6"/>
  <c r="AB36" i="6"/>
  <c r="O36" i="6"/>
  <c r="AB35" i="6"/>
  <c r="O35" i="6"/>
  <c r="AB34" i="6"/>
  <c r="O34" i="6"/>
  <c r="AB33" i="6"/>
  <c r="O33" i="6"/>
  <c r="AB32" i="6"/>
  <c r="O32" i="6"/>
  <c r="AB31" i="6"/>
  <c r="O31" i="6"/>
  <c r="AB30" i="6"/>
  <c r="O30" i="6"/>
  <c r="AB29" i="6"/>
  <c r="O29" i="6"/>
  <c r="AB28" i="6"/>
  <c r="O28" i="6"/>
  <c r="AB27" i="6"/>
  <c r="O27" i="6"/>
  <c r="AB26" i="6"/>
  <c r="O26" i="6"/>
  <c r="AB25" i="6"/>
  <c r="O25" i="6"/>
  <c r="AB24" i="6"/>
  <c r="O24" i="6"/>
  <c r="AB23" i="6"/>
  <c r="O23" i="6"/>
  <c r="AB22" i="6"/>
  <c r="O22" i="6"/>
  <c r="AB21" i="6"/>
  <c r="O21" i="6"/>
  <c r="AB20" i="6"/>
  <c r="O20" i="6"/>
  <c r="AB19" i="6"/>
  <c r="O19" i="6"/>
  <c r="AB18" i="6"/>
  <c r="O18" i="6"/>
  <c r="AB17" i="6"/>
  <c r="O17" i="6"/>
  <c r="AB16" i="6"/>
  <c r="O16" i="6"/>
  <c r="AB15" i="6"/>
  <c r="O15" i="6"/>
  <c r="AB14" i="6"/>
  <c r="O14" i="6"/>
  <c r="AB13" i="6"/>
  <c r="O13" i="6"/>
  <c r="AB12" i="6"/>
  <c r="O12" i="6"/>
  <c r="AB11" i="6"/>
  <c r="O11" i="6"/>
  <c r="AB10" i="6"/>
  <c r="O10" i="6"/>
  <c r="AB9" i="6"/>
  <c r="O9" i="6"/>
  <c r="AB8" i="6"/>
  <c r="O8" i="6"/>
  <c r="H45" i="8" s="1"/>
  <c r="AB7" i="6"/>
  <c r="O7" i="6"/>
  <c r="H35" i="8" s="1"/>
  <c r="AB6" i="6"/>
  <c r="O6" i="6"/>
  <c r="AB5" i="6"/>
  <c r="O5" i="6"/>
  <c r="H25" i="8" s="1"/>
  <c r="A5" i="6"/>
  <c r="AB4" i="6"/>
  <c r="O4" i="6"/>
  <c r="B4" i="6"/>
  <c r="A4" i="6"/>
  <c r="A4" i="7" s="1"/>
  <c r="AB3" i="6"/>
  <c r="O3" i="6"/>
  <c r="C3" i="6"/>
  <c r="AC3" i="6" s="1"/>
  <c r="X2" i="6"/>
  <c r="V2" i="6"/>
  <c r="T2" i="6"/>
  <c r="B10" i="5"/>
  <c r="B9" i="5"/>
  <c r="B8" i="5"/>
  <c r="B7" i="5"/>
  <c r="B4" i="5"/>
  <c r="B5" i="5" s="1"/>
  <c r="C12" i="4"/>
  <c r="D12" i="4" s="1"/>
  <c r="D11" i="4"/>
  <c r="C11" i="4"/>
  <c r="C10" i="4"/>
  <c r="D10" i="4" s="1"/>
  <c r="D9" i="4"/>
  <c r="C9" i="4"/>
  <c r="C8" i="4"/>
  <c r="D8" i="4" s="1"/>
  <c r="G15" i="3"/>
  <c r="B11" i="3"/>
  <c r="G14" i="3" s="1"/>
  <c r="B10" i="3"/>
  <c r="B13" i="3" s="1"/>
  <c r="B9" i="3"/>
  <c r="B8" i="3"/>
  <c r="B5" i="3"/>
  <c r="B4" i="3"/>
  <c r="B6" i="3" s="1"/>
  <c r="B17" i="2"/>
  <c r="D17" i="2" s="1"/>
  <c r="D16" i="2"/>
  <c r="B16" i="2"/>
  <c r="B15" i="2"/>
  <c r="D15" i="2" s="1"/>
  <c r="B14" i="2"/>
  <c r="D14" i="2" s="1"/>
  <c r="B13" i="2"/>
  <c r="D13" i="2" s="1"/>
  <c r="C10" i="2"/>
  <c r="B8" i="2"/>
  <c r="B10" i="2" s="1"/>
  <c r="B11" i="2" s="1"/>
  <c r="B7" i="2"/>
  <c r="N744" i="8" l="1"/>
  <c r="L888" i="8"/>
  <c r="G919" i="8"/>
  <c r="L1032" i="8"/>
  <c r="G1063" i="8"/>
  <c r="H535" i="8"/>
  <c r="H631" i="8"/>
  <c r="M960" i="8"/>
  <c r="M1008" i="8"/>
  <c r="I763" i="8"/>
  <c r="L744" i="8"/>
  <c r="G775" i="8"/>
  <c r="H787" i="8"/>
  <c r="L792" i="8"/>
  <c r="N792" i="8"/>
  <c r="L840" i="8"/>
  <c r="M1272" i="8"/>
  <c r="I68" i="8"/>
  <c r="U10" i="6" s="1"/>
  <c r="H104" i="8"/>
  <c r="H211" i="8"/>
  <c r="H259" i="8"/>
  <c r="H283" i="8"/>
  <c r="G295" i="8"/>
  <c r="H307" i="8"/>
  <c r="H331" i="8"/>
  <c r="G343" i="8"/>
  <c r="H355" i="8"/>
  <c r="H427" i="8"/>
  <c r="I487" i="8"/>
  <c r="G487" i="8"/>
  <c r="H523" i="8"/>
  <c r="I583" i="8"/>
  <c r="G583" i="8"/>
  <c r="H619" i="8"/>
  <c r="M660" i="8"/>
  <c r="I679" i="8"/>
  <c r="H739" i="8"/>
  <c r="I751" i="8"/>
  <c r="G787" i="8"/>
  <c r="H1231" i="8"/>
  <c r="N444" i="8"/>
  <c r="L1080" i="8"/>
  <c r="H1111" i="8"/>
  <c r="H379" i="8"/>
  <c r="H17" i="8"/>
  <c r="T5" i="6" s="1"/>
  <c r="X5" i="6" s="1"/>
  <c r="H92" i="8"/>
  <c r="G92" i="8"/>
  <c r="H1183" i="8"/>
  <c r="N1260" i="8"/>
  <c r="H11" i="8"/>
  <c r="T4" i="6" s="1"/>
  <c r="X4" i="6" s="1"/>
  <c r="G439" i="8"/>
  <c r="N456" i="8"/>
  <c r="N540" i="8"/>
  <c r="N636" i="8"/>
  <c r="I667" i="8"/>
  <c r="H679" i="8"/>
  <c r="I715" i="8"/>
  <c r="G739" i="8"/>
  <c r="I811" i="8"/>
  <c r="G835" i="8"/>
  <c r="L936" i="8"/>
  <c r="L984" i="8"/>
  <c r="M1224" i="8"/>
  <c r="G11" i="8"/>
  <c r="S4" i="6" s="1"/>
  <c r="L696" i="8"/>
  <c r="I24" i="8"/>
  <c r="U6" i="6" s="1"/>
  <c r="G34" i="8"/>
  <c r="S7" i="6" s="1"/>
  <c r="I56" i="8"/>
  <c r="U9" i="6" s="1"/>
  <c r="G56" i="8"/>
  <c r="S9" i="6" s="1"/>
  <c r="H80" i="8"/>
  <c r="T11" i="6" s="1"/>
  <c r="I80" i="8"/>
  <c r="F80" i="8" s="1"/>
  <c r="L109" i="8"/>
  <c r="M154" i="8"/>
  <c r="N180" i="8"/>
  <c r="H247" i="8"/>
  <c r="H295" i="8"/>
  <c r="H343" i="8"/>
  <c r="H439" i="8"/>
  <c r="G535" i="8"/>
  <c r="N552" i="8"/>
  <c r="G631" i="8"/>
  <c r="I799" i="8"/>
  <c r="N840" i="8"/>
  <c r="G871" i="8"/>
  <c r="M1176" i="8"/>
  <c r="L444" i="8"/>
  <c r="N468" i="8"/>
  <c r="L636" i="8"/>
  <c r="M780" i="8"/>
  <c r="G823" i="8"/>
  <c r="I11" i="8"/>
  <c r="U4" i="6" s="1"/>
  <c r="L252" i="8"/>
  <c r="N324" i="8"/>
  <c r="L348" i="8"/>
  <c r="N372" i="8"/>
  <c r="H415" i="8"/>
  <c r="H607" i="8"/>
  <c r="N648" i="8"/>
  <c r="I655" i="8"/>
  <c r="I943" i="8"/>
  <c r="N936" i="8"/>
  <c r="I1195" i="8"/>
  <c r="N1188" i="8"/>
  <c r="M85" i="8"/>
  <c r="L97" i="8"/>
  <c r="M97" i="8"/>
  <c r="I391" i="8"/>
  <c r="I547" i="8"/>
  <c r="L540" i="8"/>
  <c r="N564" i="8"/>
  <c r="N696" i="8"/>
  <c r="G967" i="8"/>
  <c r="I991" i="8"/>
  <c r="N984" i="8"/>
  <c r="M1104" i="8"/>
  <c r="I1147" i="8"/>
  <c r="H1147" i="8"/>
  <c r="N1176" i="8"/>
  <c r="U2" i="6"/>
  <c r="Y2" i="6"/>
  <c r="I451" i="8"/>
  <c r="I643" i="8"/>
  <c r="I895" i="8"/>
  <c r="N888" i="8"/>
  <c r="I1087" i="8"/>
  <c r="N1080" i="8"/>
  <c r="N228" i="8"/>
  <c r="N276" i="8"/>
  <c r="L300" i="8"/>
  <c r="I463" i="8"/>
  <c r="M468" i="8"/>
  <c r="H475" i="8"/>
  <c r="M732" i="8"/>
  <c r="I17" i="8"/>
  <c r="U5" i="6" s="1"/>
  <c r="G137" i="8"/>
  <c r="H149" i="8"/>
  <c r="I149" i="8"/>
  <c r="G149" i="8"/>
  <c r="G44" i="8"/>
  <c r="S8" i="6" s="1"/>
  <c r="H68" i="8"/>
  <c r="T10" i="6" s="1"/>
  <c r="I92" i="8"/>
  <c r="N85" i="8"/>
  <c r="H511" i="8"/>
  <c r="I559" i="8"/>
  <c r="M564" i="8"/>
  <c r="H571" i="8"/>
  <c r="G1015" i="8"/>
  <c r="I1039" i="8"/>
  <c r="N1032" i="8"/>
  <c r="H1279" i="8"/>
  <c r="H6" i="8"/>
  <c r="T3" i="6" s="1"/>
  <c r="X3" i="6" s="1"/>
  <c r="I6" i="8"/>
  <c r="U3" i="6" s="1"/>
  <c r="G6" i="8"/>
  <c r="S3" i="6" s="1"/>
  <c r="H24" i="8"/>
  <c r="T6" i="6" s="1"/>
  <c r="X6" i="6" s="1"/>
  <c r="I34" i="8"/>
  <c r="U7" i="6" s="1"/>
  <c r="H44" i="8"/>
  <c r="T8" i="6" s="1"/>
  <c r="I116" i="8"/>
  <c r="M121" i="8"/>
  <c r="M192" i="8"/>
  <c r="H223" i="8"/>
  <c r="G235" i="8"/>
  <c r="L228" i="8"/>
  <c r="I259" i="8"/>
  <c r="H271" i="8"/>
  <c r="G283" i="8"/>
  <c r="L276" i="8"/>
  <c r="I307" i="8"/>
  <c r="H319" i="8"/>
  <c r="G331" i="8"/>
  <c r="L324" i="8"/>
  <c r="I355" i="8"/>
  <c r="H367" i="8"/>
  <c r="G379" i="8"/>
  <c r="L372" i="8"/>
  <c r="N420" i="8"/>
  <c r="I439" i="8"/>
  <c r="H463" i="8"/>
  <c r="N492" i="8"/>
  <c r="I499" i="8"/>
  <c r="L492" i="8"/>
  <c r="N516" i="8"/>
  <c r="I535" i="8"/>
  <c r="H559" i="8"/>
  <c r="N588" i="8"/>
  <c r="I595" i="8"/>
  <c r="L588" i="8"/>
  <c r="N612" i="8"/>
  <c r="I631" i="8"/>
  <c r="H691" i="8"/>
  <c r="I703" i="8"/>
  <c r="G727" i="8"/>
  <c r="M768" i="8"/>
  <c r="N804" i="8"/>
  <c r="M816" i="8"/>
  <c r="I859" i="8"/>
  <c r="M876" i="8"/>
  <c r="I907" i="8"/>
  <c r="M924" i="8"/>
  <c r="I955" i="8"/>
  <c r="M972" i="8"/>
  <c r="I1003" i="8"/>
  <c r="M1020" i="8"/>
  <c r="I1051" i="8"/>
  <c r="M1068" i="8"/>
  <c r="I1099" i="8"/>
  <c r="I1123" i="8"/>
  <c r="I1231" i="8"/>
  <c r="M1236" i="8"/>
  <c r="I1267" i="8"/>
  <c r="I1279" i="8"/>
  <c r="H1195" i="8"/>
  <c r="N1212" i="8"/>
  <c r="I44" i="8"/>
  <c r="U8" i="6" s="1"/>
  <c r="L85" i="8"/>
  <c r="N121" i="8"/>
  <c r="I137" i="8"/>
  <c r="H175" i="8"/>
  <c r="M228" i="8"/>
  <c r="M276" i="8"/>
  <c r="M324" i="8"/>
  <c r="M372" i="8"/>
  <c r="N408" i="8"/>
  <c r="I415" i="8"/>
  <c r="M420" i="8"/>
  <c r="H487" i="8"/>
  <c r="N504" i="8"/>
  <c r="I511" i="8"/>
  <c r="M516" i="8"/>
  <c r="H583" i="8"/>
  <c r="N600" i="8"/>
  <c r="I607" i="8"/>
  <c r="M612" i="8"/>
  <c r="N660" i="8"/>
  <c r="N708" i="8"/>
  <c r="M720" i="8"/>
  <c r="M828" i="8"/>
  <c r="I847" i="8"/>
  <c r="G883" i="8"/>
  <c r="G931" i="8"/>
  <c r="G979" i="8"/>
  <c r="G1027" i="8"/>
  <c r="G1075" i="8"/>
  <c r="I1135" i="8"/>
  <c r="M1140" i="8"/>
  <c r="I1183" i="8"/>
  <c r="M1188" i="8"/>
  <c r="I1219" i="8"/>
  <c r="N1224" i="8"/>
  <c r="I1243" i="8"/>
  <c r="H1243" i="8"/>
  <c r="N1272" i="8"/>
  <c r="L204" i="8"/>
  <c r="I211" i="8"/>
  <c r="D18" i="2"/>
  <c r="B4" i="2"/>
  <c r="B5" i="2" s="1"/>
  <c r="G3" i="6" s="1"/>
  <c r="B1" i="6"/>
  <c r="B5" i="4"/>
  <c r="D3" i="6"/>
  <c r="B14" i="3"/>
  <c r="B4" i="4"/>
  <c r="A5" i="7"/>
  <c r="A6" i="6"/>
  <c r="B4" i="7"/>
  <c r="B5" i="6"/>
  <c r="A61" i="8"/>
  <c r="N97" i="8"/>
  <c r="M109" i="8"/>
  <c r="N109" i="8"/>
  <c r="G116" i="8"/>
  <c r="L121" i="8"/>
  <c r="L130" i="8"/>
  <c r="H137" i="8"/>
  <c r="H162" i="8"/>
  <c r="I175" i="8"/>
  <c r="N167" i="8"/>
  <c r="I187" i="8"/>
  <c r="N204" i="8"/>
  <c r="N252" i="8"/>
  <c r="N300" i="8"/>
  <c r="N348" i="8"/>
  <c r="G415" i="8"/>
  <c r="L408" i="8"/>
  <c r="M432" i="8"/>
  <c r="G463" i="8"/>
  <c r="L456" i="8"/>
  <c r="M480" i="8"/>
  <c r="G511" i="8"/>
  <c r="L504" i="8"/>
  <c r="M528" i="8"/>
  <c r="G559" i="8"/>
  <c r="L552" i="8"/>
  <c r="M576" i="8"/>
  <c r="G607" i="8"/>
  <c r="L600" i="8"/>
  <c r="M624" i="8"/>
  <c r="G655" i="8"/>
  <c r="L648" i="8"/>
  <c r="M864" i="8"/>
  <c r="M1056" i="8"/>
  <c r="H1159" i="8"/>
  <c r="M1152" i="8"/>
  <c r="S2" i="6"/>
  <c r="H34" i="8"/>
  <c r="T7" i="6" s="1"/>
  <c r="H56" i="8"/>
  <c r="T9" i="6" s="1"/>
  <c r="G68" i="8"/>
  <c r="G80" i="8"/>
  <c r="G104" i="8"/>
  <c r="M130" i="8"/>
  <c r="N130" i="8"/>
  <c r="L142" i="8"/>
  <c r="M142" i="8"/>
  <c r="H199" i="8"/>
  <c r="G211" i="8"/>
  <c r="I235" i="8"/>
  <c r="G259" i="8"/>
  <c r="I271" i="8"/>
  <c r="I283" i="8"/>
  <c r="G307" i="8"/>
  <c r="I319" i="8"/>
  <c r="I331" i="8"/>
  <c r="G355" i="8"/>
  <c r="I367" i="8"/>
  <c r="I379" i="8"/>
  <c r="H835" i="8"/>
  <c r="H403" i="8"/>
  <c r="M396" i="8"/>
  <c r="O15" i="7"/>
  <c r="G17" i="8"/>
  <c r="S5" i="6" s="1"/>
  <c r="G24" i="8"/>
  <c r="N142" i="8"/>
  <c r="M216" i="8"/>
  <c r="M240" i="8"/>
  <c r="M264" i="8"/>
  <c r="M288" i="8"/>
  <c r="M312" i="8"/>
  <c r="M336" i="8"/>
  <c r="M360" i="8"/>
  <c r="H391" i="8"/>
  <c r="M384" i="8"/>
  <c r="H451" i="8"/>
  <c r="M444" i="8"/>
  <c r="H499" i="8"/>
  <c r="M492" i="8"/>
  <c r="H547" i="8"/>
  <c r="M540" i="8"/>
  <c r="H595" i="8"/>
  <c r="M588" i="8"/>
  <c r="H643" i="8"/>
  <c r="M636" i="8"/>
  <c r="M912" i="8"/>
  <c r="I104" i="8"/>
  <c r="H116" i="8"/>
  <c r="I162" i="8"/>
  <c r="N154" i="8"/>
  <c r="N216" i="8"/>
  <c r="L240" i="8"/>
  <c r="N264" i="8"/>
  <c r="L288" i="8"/>
  <c r="N312" i="8"/>
  <c r="L336" i="8"/>
  <c r="N360" i="8"/>
  <c r="G391" i="8"/>
  <c r="I403" i="8"/>
  <c r="I427" i="8"/>
  <c r="I475" i="8"/>
  <c r="I523" i="8"/>
  <c r="I571" i="8"/>
  <c r="I619" i="8"/>
  <c r="M684" i="8"/>
  <c r="N852" i="8"/>
  <c r="H883" i="8"/>
  <c r="N900" i="8"/>
  <c r="H931" i="8"/>
  <c r="N948" i="8"/>
  <c r="H979" i="8"/>
  <c r="N996" i="8"/>
  <c r="H1027" i="8"/>
  <c r="N1044" i="8"/>
  <c r="H1075" i="8"/>
  <c r="N1092" i="8"/>
  <c r="N1116" i="8"/>
  <c r="G162" i="8"/>
  <c r="L154" i="8"/>
  <c r="M167" i="8"/>
  <c r="M180" i="8"/>
  <c r="I199" i="8"/>
  <c r="G223" i="8"/>
  <c r="I247" i="8"/>
  <c r="G271" i="8"/>
  <c r="I295" i="8"/>
  <c r="G319" i="8"/>
  <c r="I343" i="8"/>
  <c r="G367" i="8"/>
  <c r="N384" i="8"/>
  <c r="L420" i="8"/>
  <c r="G427" i="8"/>
  <c r="L468" i="8"/>
  <c r="G475" i="8"/>
  <c r="L516" i="8"/>
  <c r="G523" i="8"/>
  <c r="L564" i="8"/>
  <c r="G571" i="8"/>
  <c r="L612" i="8"/>
  <c r="G619" i="8"/>
  <c r="H667" i="8"/>
  <c r="N756" i="8"/>
  <c r="N1164" i="8"/>
  <c r="I1171" i="8"/>
  <c r="I3" i="9"/>
  <c r="G172" i="8"/>
  <c r="I8" i="9"/>
  <c r="G196" i="8"/>
  <c r="L192" i="8" s="1"/>
  <c r="I12" i="9"/>
  <c r="G181" i="8"/>
  <c r="G187" i="8" s="1"/>
  <c r="G168" i="8"/>
  <c r="H187" i="8"/>
  <c r="N192" i="8"/>
  <c r="M204" i="8"/>
  <c r="L216" i="8"/>
  <c r="I223" i="8"/>
  <c r="H235" i="8"/>
  <c r="N240" i="8"/>
  <c r="G247" i="8"/>
  <c r="M252" i="8"/>
  <c r="L264" i="8"/>
  <c r="N288" i="8"/>
  <c r="M300" i="8"/>
  <c r="L312" i="8"/>
  <c r="N336" i="8"/>
  <c r="M348" i="8"/>
  <c r="L360" i="8"/>
  <c r="N396" i="8"/>
  <c r="N672" i="8"/>
  <c r="I691" i="8"/>
  <c r="N684" i="8"/>
  <c r="G703" i="8"/>
  <c r="M708" i="8"/>
  <c r="H715" i="8"/>
  <c r="N720" i="8"/>
  <c r="I727" i="8"/>
  <c r="G751" i="8"/>
  <c r="M756" i="8"/>
  <c r="H763" i="8"/>
  <c r="N768" i="8"/>
  <c r="I775" i="8"/>
  <c r="G799" i="8"/>
  <c r="M804" i="8"/>
  <c r="H811" i="8"/>
  <c r="N816" i="8"/>
  <c r="I823" i="8"/>
  <c r="G847" i="8"/>
  <c r="M852" i="8"/>
  <c r="H859" i="8"/>
  <c r="N864" i="8"/>
  <c r="I871" i="8"/>
  <c r="G895" i="8"/>
  <c r="M900" i="8"/>
  <c r="H907" i="8"/>
  <c r="N912" i="8"/>
  <c r="I919" i="8"/>
  <c r="G943" i="8"/>
  <c r="M948" i="8"/>
  <c r="H955" i="8"/>
  <c r="N960" i="8"/>
  <c r="I967" i="8"/>
  <c r="G991" i="8"/>
  <c r="M996" i="8"/>
  <c r="H1003" i="8"/>
  <c r="N1008" i="8"/>
  <c r="I1015" i="8"/>
  <c r="G1039" i="8"/>
  <c r="M1044" i="8"/>
  <c r="H1051" i="8"/>
  <c r="N1056" i="8"/>
  <c r="I1063" i="8"/>
  <c r="G1087" i="8"/>
  <c r="M1092" i="8"/>
  <c r="H1099" i="8"/>
  <c r="I1111" i="8"/>
  <c r="N1104" i="8"/>
  <c r="H1207" i="8"/>
  <c r="M1200" i="8"/>
  <c r="L384" i="8"/>
  <c r="G403" i="8"/>
  <c r="L396" i="8"/>
  <c r="M408" i="8"/>
  <c r="L432" i="8"/>
  <c r="N432" i="8"/>
  <c r="G451" i="8"/>
  <c r="M456" i="8"/>
  <c r="L480" i="8"/>
  <c r="N480" i="8"/>
  <c r="G499" i="8"/>
  <c r="M504" i="8"/>
  <c r="L528" i="8"/>
  <c r="N528" i="8"/>
  <c r="G547" i="8"/>
  <c r="M552" i="8"/>
  <c r="L576" i="8"/>
  <c r="N576" i="8"/>
  <c r="G595" i="8"/>
  <c r="M600" i="8"/>
  <c r="L624" i="8"/>
  <c r="N624" i="8"/>
  <c r="G643" i="8"/>
  <c r="G679" i="8"/>
  <c r="L672" i="8"/>
  <c r="L720" i="8"/>
  <c r="L732" i="8"/>
  <c r="L768" i="8"/>
  <c r="L780" i="8"/>
  <c r="L816" i="8"/>
  <c r="L828" i="8"/>
  <c r="L864" i="8"/>
  <c r="L876" i="8"/>
  <c r="L912" i="8"/>
  <c r="L924" i="8"/>
  <c r="L960" i="8"/>
  <c r="L972" i="8"/>
  <c r="L1008" i="8"/>
  <c r="L1020" i="8"/>
  <c r="L1056" i="8"/>
  <c r="L1068" i="8"/>
  <c r="H1123" i="8"/>
  <c r="M1116" i="8"/>
  <c r="H1135" i="8"/>
  <c r="M1128" i="8"/>
  <c r="H655" i="8"/>
  <c r="M648" i="8"/>
  <c r="M672" i="8"/>
  <c r="L684" i="8"/>
  <c r="M696" i="8"/>
  <c r="H727" i="8"/>
  <c r="M744" i="8"/>
  <c r="H775" i="8"/>
  <c r="M792" i="8"/>
  <c r="H823" i="8"/>
  <c r="M840" i="8"/>
  <c r="H871" i="8"/>
  <c r="M888" i="8"/>
  <c r="H919" i="8"/>
  <c r="M936" i="8"/>
  <c r="H967" i="8"/>
  <c r="M984" i="8"/>
  <c r="H1015" i="8"/>
  <c r="M1032" i="8"/>
  <c r="H1063" i="8"/>
  <c r="J1063" i="8" s="1"/>
  <c r="M1080" i="8"/>
  <c r="H1255" i="8"/>
  <c r="M1248" i="8"/>
  <c r="G667" i="8"/>
  <c r="L660" i="8"/>
  <c r="G691" i="8"/>
  <c r="L708" i="8"/>
  <c r="N732" i="8"/>
  <c r="L756" i="8"/>
  <c r="N780" i="8"/>
  <c r="L804" i="8"/>
  <c r="N828" i="8"/>
  <c r="L852" i="8"/>
  <c r="N876" i="8"/>
  <c r="L900" i="8"/>
  <c r="N924" i="8"/>
  <c r="L948" i="8"/>
  <c r="N972" i="8"/>
  <c r="L996" i="8"/>
  <c r="N1020" i="8"/>
  <c r="L1044" i="8"/>
  <c r="N1068" i="8"/>
  <c r="L1092" i="8"/>
  <c r="H703" i="8"/>
  <c r="G715" i="8"/>
  <c r="I739" i="8"/>
  <c r="H751" i="8"/>
  <c r="G763" i="8"/>
  <c r="I787" i="8"/>
  <c r="H799" i="8"/>
  <c r="G811" i="8"/>
  <c r="I835" i="8"/>
  <c r="H847" i="8"/>
  <c r="G859" i="8"/>
  <c r="I883" i="8"/>
  <c r="H895" i="8"/>
  <c r="G907" i="8"/>
  <c r="I931" i="8"/>
  <c r="H943" i="8"/>
  <c r="G955" i="8"/>
  <c r="I979" i="8"/>
  <c r="H991" i="8"/>
  <c r="G1003" i="8"/>
  <c r="I1027" i="8"/>
  <c r="H1039" i="8"/>
  <c r="G1051" i="8"/>
  <c r="I1075" i="8"/>
  <c r="H1087" i="8"/>
  <c r="G1099" i="8"/>
  <c r="N1140" i="8"/>
  <c r="I1159" i="8"/>
  <c r="H1171" i="8"/>
  <c r="N1236" i="8"/>
  <c r="I1255" i="8"/>
  <c r="H1267" i="8"/>
  <c r="G1290" i="8"/>
  <c r="G1286" i="8"/>
  <c r="G1287" i="8"/>
  <c r="I2" i="9"/>
  <c r="G1278" i="8"/>
  <c r="G1274" i="8"/>
  <c r="G1265" i="8"/>
  <c r="G1261" i="8"/>
  <c r="G1252" i="8"/>
  <c r="G1248" i="8"/>
  <c r="G1239" i="8"/>
  <c r="G1230" i="8"/>
  <c r="G1226" i="8"/>
  <c r="G1217" i="8"/>
  <c r="G1213" i="8"/>
  <c r="G1204" i="8"/>
  <c r="G1200" i="8"/>
  <c r="G1191" i="8"/>
  <c r="G1182" i="8"/>
  <c r="G1178" i="8"/>
  <c r="G1169" i="8"/>
  <c r="G1165" i="8"/>
  <c r="G1156" i="8"/>
  <c r="G1152" i="8"/>
  <c r="G1143" i="8"/>
  <c r="G1134" i="8"/>
  <c r="G1130" i="8"/>
  <c r="G1121" i="8"/>
  <c r="G1117" i="8"/>
  <c r="G1108" i="8"/>
  <c r="L1104" i="8" s="1"/>
  <c r="G1289" i="8"/>
  <c r="G1285" i="8"/>
  <c r="G1276" i="8"/>
  <c r="G1272" i="8"/>
  <c r="G1263" i="8"/>
  <c r="G1254" i="8"/>
  <c r="G1250" i="8"/>
  <c r="G1241" i="8"/>
  <c r="G1237" i="8"/>
  <c r="G1228" i="8"/>
  <c r="G1224" i="8"/>
  <c r="G1215" i="8"/>
  <c r="G1206" i="8"/>
  <c r="G1202" i="8"/>
  <c r="G1193" i="8"/>
  <c r="G1189" i="8"/>
  <c r="G1180" i="8"/>
  <c r="G1176" i="8"/>
  <c r="G1167" i="8"/>
  <c r="G1158" i="8"/>
  <c r="G1154" i="8"/>
  <c r="G1145" i="8"/>
  <c r="G1141" i="8"/>
  <c r="N1128" i="8"/>
  <c r="I1207" i="8"/>
  <c r="H1219" i="8"/>
  <c r="N1152" i="8"/>
  <c r="M1164" i="8"/>
  <c r="N1200" i="8"/>
  <c r="M1212" i="8"/>
  <c r="N1248" i="8"/>
  <c r="M1260" i="8"/>
  <c r="H1291" i="8"/>
  <c r="M1284" i="8"/>
  <c r="I1291" i="8"/>
  <c r="N1284" i="8"/>
  <c r="F3" i="10"/>
  <c r="E3" i="10"/>
  <c r="G3" i="10" s="1"/>
  <c r="H3" i="10" s="1"/>
  <c r="C4" i="10" s="1"/>
  <c r="O792" i="8" l="1"/>
  <c r="J487" i="8"/>
  <c r="J619" i="8"/>
  <c r="O1032" i="8"/>
  <c r="O936" i="8"/>
  <c r="J631" i="8"/>
  <c r="J787" i="8"/>
  <c r="J343" i="8"/>
  <c r="E80" i="8"/>
  <c r="J439" i="8"/>
  <c r="J92" i="8"/>
  <c r="J739" i="8"/>
  <c r="G175" i="8"/>
  <c r="J175" i="8" s="1"/>
  <c r="J595" i="8"/>
  <c r="O744" i="8"/>
  <c r="O348" i="8"/>
  <c r="J259" i="8"/>
  <c r="J1027" i="8"/>
  <c r="J871" i="8"/>
  <c r="J427" i="8"/>
  <c r="J811" i="8"/>
  <c r="O1092" i="8"/>
  <c r="O996" i="8"/>
  <c r="O900" i="8"/>
  <c r="O804" i="8"/>
  <c r="O708" i="8"/>
  <c r="O840" i="8"/>
  <c r="O1056" i="8"/>
  <c r="O864" i="8"/>
  <c r="O768" i="8"/>
  <c r="J679" i="8"/>
  <c r="O492" i="8"/>
  <c r="J415" i="8"/>
  <c r="H26" i="8"/>
  <c r="J44" i="8"/>
  <c r="V8" i="6" s="1"/>
  <c r="J583" i="8"/>
  <c r="J919" i="8"/>
  <c r="J727" i="8"/>
  <c r="J643" i="8"/>
  <c r="J547" i="8"/>
  <c r="J499" i="8"/>
  <c r="J967" i="8"/>
  <c r="J235" i="8"/>
  <c r="G199" i="8"/>
  <c r="J199" i="8" s="1"/>
  <c r="J295" i="8"/>
  <c r="J835" i="8"/>
  <c r="J1015" i="8"/>
  <c r="J823" i="8"/>
  <c r="J187" i="8"/>
  <c r="H46" i="8"/>
  <c r="X8" i="6" s="1"/>
  <c r="O1104" i="8"/>
  <c r="G1171" i="8"/>
  <c r="J1171" i="8" s="1"/>
  <c r="O1044" i="8"/>
  <c r="O852" i="8"/>
  <c r="O660" i="8"/>
  <c r="O1080" i="8"/>
  <c r="O984" i="8"/>
  <c r="O696" i="8"/>
  <c r="O468" i="8"/>
  <c r="J367" i="8"/>
  <c r="O444" i="8"/>
  <c r="J307" i="8"/>
  <c r="J559" i="8"/>
  <c r="O121" i="8"/>
  <c r="O97" i="8"/>
  <c r="O588" i="8"/>
  <c r="J535" i="8"/>
  <c r="O372" i="8"/>
  <c r="O276" i="8"/>
  <c r="O228" i="8"/>
  <c r="J137" i="8"/>
  <c r="O540" i="8"/>
  <c r="J883" i="8"/>
  <c r="G1123" i="8"/>
  <c r="J1123" i="8" s="1"/>
  <c r="J667" i="8"/>
  <c r="O624" i="8"/>
  <c r="O576" i="8"/>
  <c r="O192" i="8"/>
  <c r="J523" i="8"/>
  <c r="J355" i="8"/>
  <c r="J211" i="8"/>
  <c r="J116" i="8"/>
  <c r="U11" i="6"/>
  <c r="J331" i="8"/>
  <c r="J283" i="8"/>
  <c r="J149" i="8"/>
  <c r="O252" i="8"/>
  <c r="G1135" i="8"/>
  <c r="J1135" i="8" s="1"/>
  <c r="J907" i="8"/>
  <c r="J715" i="8"/>
  <c r="J691" i="8"/>
  <c r="O1020" i="8"/>
  <c r="O828" i="8"/>
  <c r="J451" i="8"/>
  <c r="O264" i="8"/>
  <c r="O420" i="8"/>
  <c r="O154" i="8"/>
  <c r="J607" i="8"/>
  <c r="O456" i="8"/>
  <c r="J56" i="8"/>
  <c r="V9" i="6" s="1"/>
  <c r="O948" i="8"/>
  <c r="O756" i="8"/>
  <c r="O888" i="8"/>
  <c r="J403" i="8"/>
  <c r="J571" i="8"/>
  <c r="J475" i="8"/>
  <c r="J162" i="8"/>
  <c r="O636" i="8"/>
  <c r="J379" i="8"/>
  <c r="J463" i="8"/>
  <c r="O85" i="8"/>
  <c r="O324" i="8"/>
  <c r="G1219" i="8"/>
  <c r="J1219" i="8" s="1"/>
  <c r="J1099" i="8"/>
  <c r="J979" i="8"/>
  <c r="O924" i="8"/>
  <c r="O732" i="8"/>
  <c r="O396" i="8"/>
  <c r="L167" i="8"/>
  <c r="O167" i="8" s="1"/>
  <c r="O612" i="8"/>
  <c r="O516" i="8"/>
  <c r="O240" i="8"/>
  <c r="O648" i="8"/>
  <c r="L1260" i="8"/>
  <c r="O1260" i="8" s="1"/>
  <c r="J1075" i="8"/>
  <c r="J1003" i="8"/>
  <c r="J775" i="8"/>
  <c r="O1068" i="8"/>
  <c r="O972" i="8"/>
  <c r="O876" i="8"/>
  <c r="O780" i="8"/>
  <c r="O528" i="8"/>
  <c r="O480" i="8"/>
  <c r="O432" i="8"/>
  <c r="O384" i="8"/>
  <c r="O360" i="8"/>
  <c r="O300" i="8"/>
  <c r="O216" i="8"/>
  <c r="O564" i="8"/>
  <c r="J271" i="8"/>
  <c r="J931" i="8"/>
  <c r="J391" i="8"/>
  <c r="O288" i="8"/>
  <c r="O552" i="8"/>
  <c r="J511" i="8"/>
  <c r="O109" i="8"/>
  <c r="O204" i="8"/>
  <c r="I3" i="6"/>
  <c r="E4" i="10"/>
  <c r="G4" i="10" s="1"/>
  <c r="H4" i="10" s="1"/>
  <c r="C5" i="10" s="1"/>
  <c r="F4" i="10"/>
  <c r="G1195" i="8"/>
  <c r="J1195" i="8" s="1"/>
  <c r="L1188" i="8"/>
  <c r="O1188" i="8" s="1"/>
  <c r="G1279" i="8"/>
  <c r="J1279" i="8" s="1"/>
  <c r="L1272" i="8"/>
  <c r="O1272" i="8" s="1"/>
  <c r="L1248" i="8"/>
  <c r="O1248" i="8" s="1"/>
  <c r="G1255" i="8"/>
  <c r="J1255" i="8" s="1"/>
  <c r="G1183" i="8"/>
  <c r="J1183" i="8" s="1"/>
  <c r="L1176" i="8"/>
  <c r="O1176" i="8" s="1"/>
  <c r="L1284" i="8"/>
  <c r="O1284" i="8" s="1"/>
  <c r="L1152" i="8"/>
  <c r="O1152" i="8" s="1"/>
  <c r="G1159" i="8"/>
  <c r="J1159" i="8" s="1"/>
  <c r="J1289" i="8"/>
  <c r="J1285" i="8"/>
  <c r="J1290" i="8"/>
  <c r="J1286" i="8"/>
  <c r="J1277" i="8"/>
  <c r="J1273" i="8"/>
  <c r="J1264" i="8"/>
  <c r="J1260" i="8"/>
  <c r="J1251" i="8"/>
  <c r="J1242" i="8"/>
  <c r="J1238" i="8"/>
  <c r="J1229" i="8"/>
  <c r="J1225" i="8"/>
  <c r="J1216" i="8"/>
  <c r="J1212" i="8"/>
  <c r="J1203" i="8"/>
  <c r="J1194" i="8"/>
  <c r="J1190" i="8"/>
  <c r="J1181" i="8"/>
  <c r="J1177" i="8"/>
  <c r="J1168" i="8"/>
  <c r="J1164" i="8"/>
  <c r="J1155" i="8"/>
  <c r="J1146" i="8"/>
  <c r="J1142" i="8"/>
  <c r="J1133" i="8"/>
  <c r="J1129" i="8"/>
  <c r="J1120" i="8"/>
  <c r="J1116" i="8"/>
  <c r="J1288" i="8"/>
  <c r="J1284" i="8"/>
  <c r="J1275" i="8"/>
  <c r="J1266" i="8"/>
  <c r="J1262" i="8"/>
  <c r="J1253" i="8"/>
  <c r="J1249" i="8"/>
  <c r="J1240" i="8"/>
  <c r="J1236" i="8"/>
  <c r="J1227" i="8"/>
  <c r="J1218" i="8"/>
  <c r="J1214" i="8"/>
  <c r="J1205" i="8"/>
  <c r="J1201" i="8"/>
  <c r="J1192" i="8"/>
  <c r="J1188" i="8"/>
  <c r="J1179" i="8"/>
  <c r="J1170" i="8"/>
  <c r="J1166" i="8"/>
  <c r="J1157" i="8"/>
  <c r="J1153" i="8"/>
  <c r="J1144" i="8"/>
  <c r="J1140" i="8"/>
  <c r="J1287" i="8"/>
  <c r="J1230" i="8"/>
  <c r="J1228" i="8"/>
  <c r="J1226" i="8"/>
  <c r="J1224" i="8"/>
  <c r="J1193" i="8"/>
  <c r="J1191" i="8"/>
  <c r="J1189" i="8"/>
  <c r="J1117" i="8"/>
  <c r="J1104" i="8"/>
  <c r="J1095" i="8"/>
  <c r="J1086" i="8"/>
  <c r="J1082" i="8"/>
  <c r="J1073" i="8"/>
  <c r="J1069" i="8"/>
  <c r="J1060" i="8"/>
  <c r="J1056" i="8"/>
  <c r="J1047" i="8"/>
  <c r="J1038" i="8"/>
  <c r="J1034" i="8"/>
  <c r="J1025" i="8"/>
  <c r="J1021" i="8"/>
  <c r="J1012" i="8"/>
  <c r="J1008" i="8"/>
  <c r="J999" i="8"/>
  <c r="J990" i="8"/>
  <c r="J986" i="8"/>
  <c r="J977" i="8"/>
  <c r="J973" i="8"/>
  <c r="J964" i="8"/>
  <c r="J960" i="8"/>
  <c r="J951" i="8"/>
  <c r="J942" i="8"/>
  <c r="J938" i="8"/>
  <c r="J929" i="8"/>
  <c r="J925" i="8"/>
  <c r="J916" i="8"/>
  <c r="J912" i="8"/>
  <c r="J903" i="8"/>
  <c r="J894" i="8"/>
  <c r="J890" i="8"/>
  <c r="J881" i="8"/>
  <c r="J877" i="8"/>
  <c r="J868" i="8"/>
  <c r="J864" i="8"/>
  <c r="J855" i="8"/>
  <c r="J846" i="8"/>
  <c r="J842" i="8"/>
  <c r="J833" i="8"/>
  <c r="J829" i="8"/>
  <c r="J820" i="8"/>
  <c r="J816" i="8"/>
  <c r="J807" i="8"/>
  <c r="J798" i="8"/>
  <c r="J794" i="8"/>
  <c r="J785" i="8"/>
  <c r="J781" i="8"/>
  <c r="J772" i="8"/>
  <c r="J768" i="8"/>
  <c r="J759" i="8"/>
  <c r="J750" i="8"/>
  <c r="J746" i="8"/>
  <c r="J737" i="8"/>
  <c r="J733" i="8"/>
  <c r="J724" i="8"/>
  <c r="J720" i="8"/>
  <c r="J711" i="8"/>
  <c r="J702" i="8"/>
  <c r="J698" i="8"/>
  <c r="J689" i="8"/>
  <c r="J1278" i="8"/>
  <c r="J1276" i="8"/>
  <c r="J1274" i="8"/>
  <c r="J1272" i="8"/>
  <c r="J1241" i="8"/>
  <c r="J1239" i="8"/>
  <c r="J1237" i="8"/>
  <c r="J1182" i="8"/>
  <c r="J1180" i="8"/>
  <c r="J1178" i="8"/>
  <c r="J1176" i="8"/>
  <c r="J1145" i="8"/>
  <c r="J1143" i="8"/>
  <c r="J1141" i="8"/>
  <c r="J1131" i="8"/>
  <c r="J1121" i="8"/>
  <c r="J1119" i="8"/>
  <c r="J1109" i="8"/>
  <c r="J1106" i="8"/>
  <c r="J1097" i="8"/>
  <c r="J1093" i="8"/>
  <c r="J1084" i="8"/>
  <c r="J1080" i="8"/>
  <c r="J1071" i="8"/>
  <c r="J1062" i="8"/>
  <c r="J1058" i="8"/>
  <c r="J1049" i="8"/>
  <c r="J1045" i="8"/>
  <c r="J1036" i="8"/>
  <c r="J1032" i="8"/>
  <c r="J1023" i="8"/>
  <c r="J1014" i="8"/>
  <c r="J1010" i="8"/>
  <c r="J1001" i="8"/>
  <c r="J997" i="8"/>
  <c r="J988" i="8"/>
  <c r="J984" i="8"/>
  <c r="J975" i="8"/>
  <c r="J966" i="8"/>
  <c r="J962" i="8"/>
  <c r="J953" i="8"/>
  <c r="J949" i="8"/>
  <c r="J940" i="8"/>
  <c r="J936" i="8"/>
  <c r="J927" i="8"/>
  <c r="J918" i="8"/>
  <c r="J914" i="8"/>
  <c r="J905" i="8"/>
  <c r="J901" i="8"/>
  <c r="J892" i="8"/>
  <c r="J888" i="8"/>
  <c r="J879" i="8"/>
  <c r="J870" i="8"/>
  <c r="J866" i="8"/>
  <c r="J857" i="8"/>
  <c r="J853" i="8"/>
  <c r="J844" i="8"/>
  <c r="J840" i="8"/>
  <c r="J831" i="8"/>
  <c r="J822" i="8"/>
  <c r="J818" i="8"/>
  <c r="J809" i="8"/>
  <c r="J805" i="8"/>
  <c r="J796" i="8"/>
  <c r="J792" i="8"/>
  <c r="J783" i="8"/>
  <c r="J774" i="8"/>
  <c r="J770" i="8"/>
  <c r="J761" i="8"/>
  <c r="J757" i="8"/>
  <c r="J748" i="8"/>
  <c r="J744" i="8"/>
  <c r="J735" i="8"/>
  <c r="J726" i="8"/>
  <c r="J722" i="8"/>
  <c r="J713" i="8"/>
  <c r="J709" i="8"/>
  <c r="J700" i="8"/>
  <c r="J696" i="8"/>
  <c r="J687" i="8"/>
  <c r="J678" i="8"/>
  <c r="J674" i="8"/>
  <c r="J665" i="8"/>
  <c r="J661" i="8"/>
  <c r="J1265" i="8"/>
  <c r="J1263" i="8"/>
  <c r="J1261" i="8"/>
  <c r="J1108" i="8"/>
  <c r="J1094" i="8"/>
  <c r="J1083" i="8"/>
  <c r="J1074" i="8"/>
  <c r="J1046" i="8"/>
  <c r="J1035" i="8"/>
  <c r="J1026" i="8"/>
  <c r="J998" i="8"/>
  <c r="J987" i="8"/>
  <c r="J978" i="8"/>
  <c r="J950" i="8"/>
  <c r="J939" i="8"/>
  <c r="J930" i="8"/>
  <c r="J902" i="8"/>
  <c r="J891" i="8"/>
  <c r="J882" i="8"/>
  <c r="J854" i="8"/>
  <c r="J843" i="8"/>
  <c r="J834" i="8"/>
  <c r="J806" i="8"/>
  <c r="J795" i="8"/>
  <c r="J786" i="8"/>
  <c r="J758" i="8"/>
  <c r="J747" i="8"/>
  <c r="J738" i="8"/>
  <c r="J710" i="8"/>
  <c r="J699" i="8"/>
  <c r="J690" i="8"/>
  <c r="J664" i="8"/>
  <c r="J653" i="8"/>
  <c r="J649" i="8"/>
  <c r="J640" i="8"/>
  <c r="J636" i="8"/>
  <c r="J627" i="8"/>
  <c r="J618" i="8"/>
  <c r="J614" i="8"/>
  <c r="J605" i="8"/>
  <c r="J601" i="8"/>
  <c r="J592" i="8"/>
  <c r="J588" i="8"/>
  <c r="J579" i="8"/>
  <c r="J570" i="8"/>
  <c r="J566" i="8"/>
  <c r="J557" i="8"/>
  <c r="J553" i="8"/>
  <c r="J544" i="8"/>
  <c r="J540" i="8"/>
  <c r="J531" i="8"/>
  <c r="J522" i="8"/>
  <c r="J518" i="8"/>
  <c r="J509" i="8"/>
  <c r="J505" i="8"/>
  <c r="J496" i="8"/>
  <c r="J492" i="8"/>
  <c r="J483" i="8"/>
  <c r="J474" i="8"/>
  <c r="J470" i="8"/>
  <c r="J461" i="8"/>
  <c r="J457" i="8"/>
  <c r="J448" i="8"/>
  <c r="J444" i="8"/>
  <c r="J435" i="8"/>
  <c r="J426" i="8"/>
  <c r="J422" i="8"/>
  <c r="J413" i="8"/>
  <c r="J409" i="8"/>
  <c r="J1254" i="8"/>
  <c r="J1252" i="8"/>
  <c r="J1250" i="8"/>
  <c r="J1200" i="8"/>
  <c r="J1152" i="8"/>
  <c r="J1134" i="8"/>
  <c r="J1132" i="8"/>
  <c r="J1128" i="8"/>
  <c r="J1092" i="8"/>
  <c r="J1081" i="8"/>
  <c r="J1072" i="8"/>
  <c r="J1061" i="8"/>
  <c r="J1044" i="8"/>
  <c r="J1033" i="8"/>
  <c r="J1024" i="8"/>
  <c r="J1013" i="8"/>
  <c r="J996" i="8"/>
  <c r="J985" i="8"/>
  <c r="J976" i="8"/>
  <c r="J965" i="8"/>
  <c r="J948" i="8"/>
  <c r="J937" i="8"/>
  <c r="J928" i="8"/>
  <c r="J917" i="8"/>
  <c r="J900" i="8"/>
  <c r="J889" i="8"/>
  <c r="J880" i="8"/>
  <c r="J869" i="8"/>
  <c r="J852" i="8"/>
  <c r="J841" i="8"/>
  <c r="J832" i="8"/>
  <c r="J821" i="8"/>
  <c r="J804" i="8"/>
  <c r="J793" i="8"/>
  <c r="J784" i="8"/>
  <c r="J773" i="8"/>
  <c r="J756" i="8"/>
  <c r="J745" i="8"/>
  <c r="J736" i="8"/>
  <c r="J725" i="8"/>
  <c r="J708" i="8"/>
  <c r="J697" i="8"/>
  <c r="J688" i="8"/>
  <c r="J685" i="8"/>
  <c r="J675" i="8"/>
  <c r="J660" i="8"/>
  <c r="J654" i="8"/>
  <c r="J650" i="8"/>
  <c r="J641" i="8"/>
  <c r="J637" i="8"/>
  <c r="J628" i="8"/>
  <c r="J624" i="8"/>
  <c r="J615" i="8"/>
  <c r="J606" i="8"/>
  <c r="J602" i="8"/>
  <c r="J593" i="8"/>
  <c r="J589" i="8"/>
  <c r="J580" i="8"/>
  <c r="J576" i="8"/>
  <c r="J567" i="8"/>
  <c r="J558" i="8"/>
  <c r="J554" i="8"/>
  <c r="J545" i="8"/>
  <c r="J541" i="8"/>
  <c r="J532" i="8"/>
  <c r="J528" i="8"/>
  <c r="J519" i="8"/>
  <c r="J510" i="8"/>
  <c r="J506" i="8"/>
  <c r="J497" i="8"/>
  <c r="J493" i="8"/>
  <c r="J484" i="8"/>
  <c r="J480" i="8"/>
  <c r="J471" i="8"/>
  <c r="J462" i="8"/>
  <c r="J458" i="8"/>
  <c r="J449" i="8"/>
  <c r="J445" i="8"/>
  <c r="J436" i="8"/>
  <c r="J432" i="8"/>
  <c r="J423" i="8"/>
  <c r="J414" i="8"/>
  <c r="J410" i="8"/>
  <c r="J401" i="8"/>
  <c r="J397" i="8"/>
  <c r="J388" i="8"/>
  <c r="J1217" i="8"/>
  <c r="J1215" i="8"/>
  <c r="J1213" i="8"/>
  <c r="J1206" i="8"/>
  <c r="J1204" i="8"/>
  <c r="J1202" i="8"/>
  <c r="J1107" i="8"/>
  <c r="J1059" i="8"/>
  <c r="J1011" i="8"/>
  <c r="J963" i="8"/>
  <c r="J915" i="8"/>
  <c r="J867" i="8"/>
  <c r="J819" i="8"/>
  <c r="J771" i="8"/>
  <c r="J723" i="8"/>
  <c r="J676" i="8"/>
  <c r="J663" i="8"/>
  <c r="J652" i="8"/>
  <c r="J626" i="8"/>
  <c r="J612" i="8"/>
  <c r="J604" i="8"/>
  <c r="J578" i="8"/>
  <c r="J564" i="8"/>
  <c r="J556" i="8"/>
  <c r="J530" i="8"/>
  <c r="J516" i="8"/>
  <c r="J508" i="8"/>
  <c r="J482" i="8"/>
  <c r="J468" i="8"/>
  <c r="J460" i="8"/>
  <c r="J434" i="8"/>
  <c r="J420" i="8"/>
  <c r="J412" i="8"/>
  <c r="J400" i="8"/>
  <c r="J389" i="8"/>
  <c r="J386" i="8"/>
  <c r="J378" i="8"/>
  <c r="J374" i="8"/>
  <c r="J365" i="8"/>
  <c r="J361" i="8"/>
  <c r="J352" i="8"/>
  <c r="J348" i="8"/>
  <c r="J339" i="8"/>
  <c r="J330" i="8"/>
  <c r="J326" i="8"/>
  <c r="J317" i="8"/>
  <c r="J313" i="8"/>
  <c r="J304" i="8"/>
  <c r="J300" i="8"/>
  <c r="J291" i="8"/>
  <c r="J282" i="8"/>
  <c r="J278" i="8"/>
  <c r="J269" i="8"/>
  <c r="J265" i="8"/>
  <c r="J256" i="8"/>
  <c r="J252" i="8"/>
  <c r="J243" i="8"/>
  <c r="J234" i="8"/>
  <c r="J230" i="8"/>
  <c r="J221" i="8"/>
  <c r="J217" i="8"/>
  <c r="J208" i="8"/>
  <c r="J204" i="8"/>
  <c r="J186" i="8"/>
  <c r="J1122" i="8"/>
  <c r="J1118" i="8"/>
  <c r="J1110" i="8"/>
  <c r="J1096" i="8"/>
  <c r="J1070" i="8"/>
  <c r="J1048" i="8"/>
  <c r="J1022" i="8"/>
  <c r="J1000" i="8"/>
  <c r="J974" i="8"/>
  <c r="J952" i="8"/>
  <c r="J926" i="8"/>
  <c r="J904" i="8"/>
  <c r="J878" i="8"/>
  <c r="J856" i="8"/>
  <c r="J830" i="8"/>
  <c r="J808" i="8"/>
  <c r="J782" i="8"/>
  <c r="J760" i="8"/>
  <c r="J734" i="8"/>
  <c r="J712" i="8"/>
  <c r="J686" i="8"/>
  <c r="J648" i="8"/>
  <c r="J639" i="8"/>
  <c r="J630" i="8"/>
  <c r="J616" i="8"/>
  <c r="J600" i="8"/>
  <c r="J591" i="8"/>
  <c r="J582" i="8"/>
  <c r="J568" i="8"/>
  <c r="J552" i="8"/>
  <c r="J543" i="8"/>
  <c r="J534" i="8"/>
  <c r="J520" i="8"/>
  <c r="J504" i="8"/>
  <c r="J495" i="8"/>
  <c r="J486" i="8"/>
  <c r="J472" i="8"/>
  <c r="J456" i="8"/>
  <c r="J447" i="8"/>
  <c r="J438" i="8"/>
  <c r="J424" i="8"/>
  <c r="J408" i="8"/>
  <c r="J398" i="8"/>
  <c r="J376" i="8"/>
  <c r="J372" i="8"/>
  <c r="J363" i="8"/>
  <c r="J354" i="8"/>
  <c r="J350" i="8"/>
  <c r="J341" i="8"/>
  <c r="J337" i="8"/>
  <c r="J328" i="8"/>
  <c r="J324" i="8"/>
  <c r="J315" i="8"/>
  <c r="J306" i="8"/>
  <c r="J302" i="8"/>
  <c r="J293" i="8"/>
  <c r="J289" i="8"/>
  <c r="J280" i="8"/>
  <c r="J276" i="8"/>
  <c r="J267" i="8"/>
  <c r="J258" i="8"/>
  <c r="J254" i="8"/>
  <c r="J245" i="8"/>
  <c r="J241" i="8"/>
  <c r="J232" i="8"/>
  <c r="J228" i="8"/>
  <c r="J219" i="8"/>
  <c r="J210" i="8"/>
  <c r="J206" i="8"/>
  <c r="J197" i="8"/>
  <c r="J1098" i="8"/>
  <c r="J1068" i="8"/>
  <c r="J1050" i="8"/>
  <c r="J1020" i="8"/>
  <c r="J1002" i="8"/>
  <c r="J972" i="8"/>
  <c r="J954" i="8"/>
  <c r="J924" i="8"/>
  <c r="J906" i="8"/>
  <c r="J876" i="8"/>
  <c r="J858" i="8"/>
  <c r="J769" i="8"/>
  <c r="J749" i="8"/>
  <c r="J684" i="8"/>
  <c r="J673" i="8"/>
  <c r="J672" i="8"/>
  <c r="J666" i="8"/>
  <c r="J651" i="8"/>
  <c r="J629" i="8"/>
  <c r="J617" i="8"/>
  <c r="J603" i="8"/>
  <c r="J581" i="8"/>
  <c r="J569" i="8"/>
  <c r="J555" i="8"/>
  <c r="J533" i="8"/>
  <c r="J521" i="8"/>
  <c r="J507" i="8"/>
  <c r="J485" i="8"/>
  <c r="J473" i="8"/>
  <c r="J459" i="8"/>
  <c r="J437" i="8"/>
  <c r="J425" i="8"/>
  <c r="J411" i="8"/>
  <c r="J387" i="8"/>
  <c r="J362" i="8"/>
  <c r="J351" i="8"/>
  <c r="J342" i="8"/>
  <c r="J314" i="8"/>
  <c r="J303" i="8"/>
  <c r="J294" i="8"/>
  <c r="J266" i="8"/>
  <c r="J255" i="8"/>
  <c r="J246" i="8"/>
  <c r="J218" i="8"/>
  <c r="J207" i="8"/>
  <c r="J198" i="8"/>
  <c r="J159" i="8"/>
  <c r="J148" i="8"/>
  <c r="J115" i="8"/>
  <c r="J89" i="8"/>
  <c r="J1169" i="8"/>
  <c r="J1167" i="8"/>
  <c r="J1165" i="8"/>
  <c r="J1130" i="8"/>
  <c r="J1105" i="8"/>
  <c r="J1057" i="8"/>
  <c r="J1009" i="8"/>
  <c r="J961" i="8"/>
  <c r="J913" i="8"/>
  <c r="J865" i="8"/>
  <c r="J845" i="8"/>
  <c r="J780" i="8"/>
  <c r="J762" i="8"/>
  <c r="J642" i="8"/>
  <c r="J594" i="8"/>
  <c r="J546" i="8"/>
  <c r="J498" i="8"/>
  <c r="J450" i="8"/>
  <c r="J402" i="8"/>
  <c r="J375" i="8"/>
  <c r="J366" i="8"/>
  <c r="J338" i="8"/>
  <c r="J327" i="8"/>
  <c r="J318" i="8"/>
  <c r="J290" i="8"/>
  <c r="J279" i="8"/>
  <c r="J270" i="8"/>
  <c r="J242" i="8"/>
  <c r="J231" i="8"/>
  <c r="J222" i="8"/>
  <c r="J126" i="8"/>
  <c r="J91" i="8"/>
  <c r="J79" i="8"/>
  <c r="J66" i="8"/>
  <c r="J941" i="8"/>
  <c r="J817" i="8"/>
  <c r="J810" i="8"/>
  <c r="J797" i="8"/>
  <c r="J625" i="8"/>
  <c r="J577" i="8"/>
  <c r="J529" i="8"/>
  <c r="J481" i="8"/>
  <c r="J433" i="8"/>
  <c r="J90" i="8"/>
  <c r="J78" i="8"/>
  <c r="J1158" i="8"/>
  <c r="J1156" i="8"/>
  <c r="J1154" i="8"/>
  <c r="J989" i="8"/>
  <c r="J732" i="8"/>
  <c r="J662" i="8"/>
  <c r="J638" i="8"/>
  <c r="J613" i="8"/>
  <c r="J590" i="8"/>
  <c r="J565" i="8"/>
  <c r="J542" i="8"/>
  <c r="J517" i="8"/>
  <c r="J494" i="8"/>
  <c r="J469" i="8"/>
  <c r="J446" i="8"/>
  <c r="J421" i="8"/>
  <c r="J377" i="8"/>
  <c r="J353" i="8"/>
  <c r="J329" i="8"/>
  <c r="J305" i="8"/>
  <c r="J281" i="8"/>
  <c r="J257" i="8"/>
  <c r="J233" i="8"/>
  <c r="J209" i="8"/>
  <c r="J1248" i="8"/>
  <c r="J1037" i="8"/>
  <c r="J721" i="8"/>
  <c r="J714" i="8"/>
  <c r="J701" i="8"/>
  <c r="J385" i="8"/>
  <c r="J384" i="8"/>
  <c r="J373" i="8"/>
  <c r="J360" i="8"/>
  <c r="J349" i="8"/>
  <c r="J336" i="8"/>
  <c r="J325" i="8"/>
  <c r="J312" i="8"/>
  <c r="J301" i="8"/>
  <c r="J288" i="8"/>
  <c r="J277" i="8"/>
  <c r="J264" i="8"/>
  <c r="J253" i="8"/>
  <c r="J240" i="8"/>
  <c r="J229" i="8"/>
  <c r="J216" i="8"/>
  <c r="J205" i="8"/>
  <c r="J185" i="8"/>
  <c r="J174" i="8"/>
  <c r="J103" i="8"/>
  <c r="J1085" i="8"/>
  <c r="J893" i="8"/>
  <c r="J828" i="8"/>
  <c r="J677" i="8"/>
  <c r="J399" i="8"/>
  <c r="J396" i="8"/>
  <c r="J390" i="8"/>
  <c r="J364" i="8"/>
  <c r="J340" i="8"/>
  <c r="J316" i="8"/>
  <c r="J292" i="8"/>
  <c r="J268" i="8"/>
  <c r="J244" i="8"/>
  <c r="J220" i="8"/>
  <c r="J127" i="8"/>
  <c r="J67" i="8"/>
  <c r="L1164" i="8"/>
  <c r="O1164" i="8" s="1"/>
  <c r="O672" i="8"/>
  <c r="J1039" i="8"/>
  <c r="J847" i="8"/>
  <c r="J247" i="8"/>
  <c r="O336" i="8"/>
  <c r="G1267" i="8"/>
  <c r="J1267" i="8" s="1"/>
  <c r="J68" i="8"/>
  <c r="V10" i="6" s="1"/>
  <c r="S10" i="6"/>
  <c r="O130" i="8"/>
  <c r="A73" i="8"/>
  <c r="B6" i="4"/>
  <c r="L1236" i="8"/>
  <c r="O1236" i="8" s="1"/>
  <c r="G1243" i="8"/>
  <c r="J1243" i="8" s="1"/>
  <c r="J955" i="8"/>
  <c r="J763" i="8"/>
  <c r="O960" i="8"/>
  <c r="J991" i="8"/>
  <c r="J799" i="8"/>
  <c r="J184" i="8"/>
  <c r="J100" i="8"/>
  <c r="J53" i="8"/>
  <c r="J125" i="8"/>
  <c r="J65" i="8"/>
  <c r="J114" i="8"/>
  <c r="J5" i="8"/>
  <c r="J6" i="8" s="1"/>
  <c r="V3" i="6" s="1"/>
  <c r="J196" i="8"/>
  <c r="J655" i="8"/>
  <c r="O504" i="8"/>
  <c r="H36" i="8"/>
  <c r="X7" i="6" s="1"/>
  <c r="L1128" i="8"/>
  <c r="O1128" i="8" s="1"/>
  <c r="L1212" i="8"/>
  <c r="O1212" i="8" s="1"/>
  <c r="J943" i="8"/>
  <c r="J751" i="8"/>
  <c r="J104" i="8"/>
  <c r="L180" i="8"/>
  <c r="O180" i="8" s="1"/>
  <c r="A6" i="7"/>
  <c r="A7" i="6"/>
  <c r="G1291" i="8"/>
  <c r="J1291" i="8" s="1"/>
  <c r="G1147" i="8"/>
  <c r="J1147" i="8" s="1"/>
  <c r="L1140" i="8"/>
  <c r="O1140" i="8" s="1"/>
  <c r="G1231" i="8"/>
  <c r="J1231" i="8" s="1"/>
  <c r="L1224" i="8"/>
  <c r="O1224" i="8" s="1"/>
  <c r="L1116" i="8"/>
  <c r="O1116" i="8" s="1"/>
  <c r="L1200" i="8"/>
  <c r="O1200" i="8" s="1"/>
  <c r="G1207" i="8"/>
  <c r="J1207" i="8" s="1"/>
  <c r="J1051" i="8"/>
  <c r="J859" i="8"/>
  <c r="G1111" i="8"/>
  <c r="J1111" i="8" s="1"/>
  <c r="O684" i="8"/>
  <c r="O1008" i="8"/>
  <c r="O912" i="8"/>
  <c r="O816" i="8"/>
  <c r="O720" i="8"/>
  <c r="J1087" i="8"/>
  <c r="J895" i="8"/>
  <c r="J703" i="8"/>
  <c r="O312" i="8"/>
  <c r="J193" i="8"/>
  <c r="J158" i="8"/>
  <c r="J181" i="8"/>
  <c r="J168" i="8"/>
  <c r="J98" i="8"/>
  <c r="J62" i="8"/>
  <c r="J23" i="8"/>
  <c r="J123" i="8"/>
  <c r="J110" i="8"/>
  <c r="J10" i="8"/>
  <c r="J11" i="8" s="1"/>
  <c r="V4" i="6" s="1"/>
  <c r="J52" i="8"/>
  <c r="J42" i="8"/>
  <c r="J32" i="8"/>
  <c r="J16" i="8"/>
  <c r="J17" i="8" s="1"/>
  <c r="V5" i="6" s="1"/>
  <c r="J160" i="8"/>
  <c r="J134" i="8"/>
  <c r="J172" i="8"/>
  <c r="J319" i="8"/>
  <c r="J223" i="8"/>
  <c r="J24" i="8"/>
  <c r="V6" i="6" s="1"/>
  <c r="S6" i="6"/>
  <c r="O142" i="8"/>
  <c r="J80" i="8"/>
  <c r="V11" i="6" s="1"/>
  <c r="D80" i="8"/>
  <c r="S11" i="6"/>
  <c r="O600" i="8"/>
  <c r="O408" i="8"/>
  <c r="B5" i="7"/>
  <c r="B6" i="6"/>
  <c r="J34" i="8"/>
  <c r="V7" i="6" s="1"/>
  <c r="D110" i="6"/>
  <c r="D106" i="6"/>
  <c r="D102" i="6"/>
  <c r="D98" i="6"/>
  <c r="D94" i="6"/>
  <c r="D90" i="6"/>
  <c r="D86" i="6"/>
  <c r="D82" i="6"/>
  <c r="D78" i="6"/>
  <c r="D74" i="6"/>
  <c r="D70" i="6"/>
  <c r="D66" i="6"/>
  <c r="D62" i="6"/>
  <c r="D58" i="6"/>
  <c r="D54" i="6"/>
  <c r="D50" i="6"/>
  <c r="D46" i="6"/>
  <c r="D42" i="6"/>
  <c r="D38" i="6"/>
  <c r="D107" i="6"/>
  <c r="D101" i="6"/>
  <c r="D96" i="6"/>
  <c r="D91" i="6"/>
  <c r="D85" i="6"/>
  <c r="D80" i="6"/>
  <c r="D75" i="6"/>
  <c r="D69" i="6"/>
  <c r="D64" i="6"/>
  <c r="D59" i="6"/>
  <c r="D53" i="6"/>
  <c r="D48" i="6"/>
  <c r="D43" i="6"/>
  <c r="D34" i="6"/>
  <c r="D30" i="6"/>
  <c r="D108" i="6"/>
  <c r="D109" i="6"/>
  <c r="D104" i="6"/>
  <c r="D99" i="6"/>
  <c r="D93" i="6"/>
  <c r="D88" i="6"/>
  <c r="D83" i="6"/>
  <c r="D77" i="6"/>
  <c r="D72" i="6"/>
  <c r="D67" i="6"/>
  <c r="D61" i="6"/>
  <c r="D56" i="6"/>
  <c r="D51" i="6"/>
  <c r="D45" i="6"/>
  <c r="D40" i="6"/>
  <c r="D36" i="6"/>
  <c r="D32" i="6"/>
  <c r="D28" i="6"/>
  <c r="D24" i="6"/>
  <c r="D111" i="6"/>
  <c r="D105" i="6"/>
  <c r="D100" i="6"/>
  <c r="D95" i="6"/>
  <c r="D89" i="6"/>
  <c r="D84" i="6"/>
  <c r="D79" i="6"/>
  <c r="D73" i="6"/>
  <c r="D68" i="6"/>
  <c r="D63" i="6"/>
  <c r="D57" i="6"/>
  <c r="D52" i="6"/>
  <c r="D47" i="6"/>
  <c r="D41" i="6"/>
  <c r="D35" i="6"/>
  <c r="D31" i="6"/>
  <c r="D27" i="6"/>
  <c r="D23" i="6"/>
  <c r="D20" i="6"/>
  <c r="D18" i="6"/>
  <c r="D16" i="6"/>
  <c r="D14" i="6"/>
  <c r="D12" i="6"/>
  <c r="D10" i="6"/>
  <c r="D8" i="6"/>
  <c r="D6" i="6"/>
  <c r="D4" i="6"/>
  <c r="D103" i="6"/>
  <c r="D65" i="6"/>
  <c r="D44" i="6"/>
  <c r="D39" i="6"/>
  <c r="D37" i="6"/>
  <c r="D29" i="6"/>
  <c r="D21" i="6"/>
  <c r="D19" i="6"/>
  <c r="D17" i="6"/>
  <c r="D15" i="6"/>
  <c r="D13" i="6"/>
  <c r="D11" i="6"/>
  <c r="D9" i="6"/>
  <c r="D7" i="6"/>
  <c r="D5" i="6"/>
  <c r="E3" i="6"/>
  <c r="H3" i="6" s="1"/>
  <c r="D92" i="6"/>
  <c r="D87" i="6"/>
  <c r="D49" i="6"/>
  <c r="D26" i="6"/>
  <c r="D97" i="6"/>
  <c r="D76" i="6"/>
  <c r="D71" i="6"/>
  <c r="D25" i="6"/>
  <c r="D81" i="6"/>
  <c r="D60" i="6"/>
  <c r="D55" i="6"/>
  <c r="D33" i="6"/>
  <c r="D22" i="6"/>
  <c r="F5" i="10" l="1"/>
  <c r="E5" i="10"/>
  <c r="G5" i="10" s="1"/>
  <c r="A8" i="6"/>
  <c r="A7" i="7"/>
  <c r="J3" i="6"/>
  <c r="A85" i="8"/>
  <c r="B6" i="7"/>
  <c r="B7" i="6"/>
  <c r="M111" i="6"/>
  <c r="P111" i="6" s="1"/>
  <c r="M107" i="6"/>
  <c r="P107" i="6" s="1"/>
  <c r="M103" i="6"/>
  <c r="P103" i="6" s="1"/>
  <c r="M99" i="6"/>
  <c r="P99" i="6" s="1"/>
  <c r="M95" i="6"/>
  <c r="P95" i="6" s="1"/>
  <c r="M91" i="6"/>
  <c r="P91" i="6" s="1"/>
  <c r="M87" i="6"/>
  <c r="P87" i="6" s="1"/>
  <c r="M83" i="6"/>
  <c r="P83" i="6" s="1"/>
  <c r="M79" i="6"/>
  <c r="P79" i="6" s="1"/>
  <c r="M75" i="6"/>
  <c r="P75" i="6" s="1"/>
  <c r="M71" i="6"/>
  <c r="P71" i="6" s="1"/>
  <c r="M67" i="6"/>
  <c r="P67" i="6" s="1"/>
  <c r="M63" i="6"/>
  <c r="P63" i="6" s="1"/>
  <c r="M59" i="6"/>
  <c r="P59" i="6" s="1"/>
  <c r="M55" i="6"/>
  <c r="P55" i="6" s="1"/>
  <c r="M51" i="6"/>
  <c r="P51" i="6" s="1"/>
  <c r="M47" i="6"/>
  <c r="P47" i="6" s="1"/>
  <c r="M43" i="6"/>
  <c r="P43" i="6" s="1"/>
  <c r="M39" i="6"/>
  <c r="P39" i="6" s="1"/>
  <c r="M110" i="6"/>
  <c r="P110" i="6" s="1"/>
  <c r="M108" i="6"/>
  <c r="P108" i="6" s="1"/>
  <c r="M97" i="6"/>
  <c r="P97" i="6" s="1"/>
  <c r="M94" i="6"/>
  <c r="P94" i="6" s="1"/>
  <c r="M92" i="6"/>
  <c r="P92" i="6" s="1"/>
  <c r="M81" i="6"/>
  <c r="P81" i="6" s="1"/>
  <c r="M78" i="6"/>
  <c r="P78" i="6" s="1"/>
  <c r="M76" i="6"/>
  <c r="P76" i="6" s="1"/>
  <c r="M65" i="6"/>
  <c r="P65" i="6" s="1"/>
  <c r="M62" i="6"/>
  <c r="P62" i="6" s="1"/>
  <c r="M60" i="6"/>
  <c r="P60" i="6" s="1"/>
  <c r="M49" i="6"/>
  <c r="P49" i="6" s="1"/>
  <c r="M46" i="6"/>
  <c r="P46" i="6" s="1"/>
  <c r="M44" i="6"/>
  <c r="P44" i="6" s="1"/>
  <c r="M35" i="6"/>
  <c r="P35" i="6" s="1"/>
  <c r="M31" i="6"/>
  <c r="P31" i="6" s="1"/>
  <c r="M109" i="6"/>
  <c r="P109" i="6" s="1"/>
  <c r="M105" i="6"/>
  <c r="P105" i="6" s="1"/>
  <c r="M102" i="6"/>
  <c r="P102" i="6" s="1"/>
  <c r="M100" i="6"/>
  <c r="P100" i="6" s="1"/>
  <c r="M89" i="6"/>
  <c r="P89" i="6" s="1"/>
  <c r="M86" i="6"/>
  <c r="P86" i="6" s="1"/>
  <c r="M84" i="6"/>
  <c r="P84" i="6" s="1"/>
  <c r="M73" i="6"/>
  <c r="P73" i="6" s="1"/>
  <c r="M70" i="6"/>
  <c r="P70" i="6" s="1"/>
  <c r="M68" i="6"/>
  <c r="P68" i="6" s="1"/>
  <c r="M57" i="6"/>
  <c r="P57" i="6" s="1"/>
  <c r="M54" i="6"/>
  <c r="P54" i="6" s="1"/>
  <c r="M52" i="6"/>
  <c r="P52" i="6" s="1"/>
  <c r="M41" i="6"/>
  <c r="P41" i="6" s="1"/>
  <c r="M38" i="6"/>
  <c r="P38" i="6" s="1"/>
  <c r="M33" i="6"/>
  <c r="P33" i="6" s="1"/>
  <c r="M29" i="6"/>
  <c r="P29" i="6" s="1"/>
  <c r="M25" i="6"/>
  <c r="P25" i="6" s="1"/>
  <c r="M21" i="6"/>
  <c r="P21" i="6" s="1"/>
  <c r="M19" i="6"/>
  <c r="P19" i="6" s="1"/>
  <c r="M17" i="6"/>
  <c r="P17" i="6" s="1"/>
  <c r="M15" i="6"/>
  <c r="P15" i="6" s="1"/>
  <c r="M13" i="6"/>
  <c r="P13" i="6" s="1"/>
  <c r="M11" i="6"/>
  <c r="P11" i="6" s="1"/>
  <c r="M9" i="6"/>
  <c r="P9" i="6" s="1"/>
  <c r="M7" i="6"/>
  <c r="P7" i="6" s="1"/>
  <c r="I35" i="8" s="1"/>
  <c r="I36" i="8" s="1"/>
  <c r="Y7" i="6" s="1"/>
  <c r="M5" i="6"/>
  <c r="P5" i="6" s="1"/>
  <c r="M3" i="6"/>
  <c r="P3" i="6" s="1"/>
  <c r="Y3" i="6" s="1"/>
  <c r="M101" i="6"/>
  <c r="P101" i="6" s="1"/>
  <c r="M98" i="6"/>
  <c r="P98" i="6" s="1"/>
  <c r="M96" i="6"/>
  <c r="P96" i="6" s="1"/>
  <c r="M85" i="6"/>
  <c r="P85" i="6" s="1"/>
  <c r="M82" i="6"/>
  <c r="P82" i="6" s="1"/>
  <c r="M80" i="6"/>
  <c r="P80" i="6" s="1"/>
  <c r="M69" i="6"/>
  <c r="P69" i="6" s="1"/>
  <c r="M66" i="6"/>
  <c r="P66" i="6" s="1"/>
  <c r="M64" i="6"/>
  <c r="P64" i="6" s="1"/>
  <c r="M53" i="6"/>
  <c r="P53" i="6" s="1"/>
  <c r="M50" i="6"/>
  <c r="P50" i="6" s="1"/>
  <c r="M48" i="6"/>
  <c r="P48" i="6" s="1"/>
  <c r="M37" i="6"/>
  <c r="P37" i="6" s="1"/>
  <c r="M36" i="6"/>
  <c r="P36" i="6" s="1"/>
  <c r="M32" i="6"/>
  <c r="P32" i="6" s="1"/>
  <c r="M28" i="6"/>
  <c r="P28" i="6" s="1"/>
  <c r="M24" i="6"/>
  <c r="P24" i="6" s="1"/>
  <c r="M90" i="6"/>
  <c r="P90" i="6" s="1"/>
  <c r="M61" i="6"/>
  <c r="P61" i="6" s="1"/>
  <c r="M56" i="6"/>
  <c r="P56" i="6" s="1"/>
  <c r="M30" i="6"/>
  <c r="P30" i="6" s="1"/>
  <c r="M22" i="6"/>
  <c r="P22" i="6" s="1"/>
  <c r="M104" i="6"/>
  <c r="P104" i="6" s="1"/>
  <c r="M74" i="6"/>
  <c r="P74" i="6" s="1"/>
  <c r="M45" i="6"/>
  <c r="P45" i="6" s="1"/>
  <c r="M40" i="6"/>
  <c r="P40" i="6" s="1"/>
  <c r="M34" i="6"/>
  <c r="P34" i="6" s="1"/>
  <c r="M23" i="6"/>
  <c r="P23" i="6" s="1"/>
  <c r="M93" i="6"/>
  <c r="P93" i="6" s="1"/>
  <c r="M88" i="6"/>
  <c r="P88" i="6" s="1"/>
  <c r="M58" i="6"/>
  <c r="P58" i="6" s="1"/>
  <c r="M26" i="6"/>
  <c r="P26" i="6" s="1"/>
  <c r="M106" i="6"/>
  <c r="P106" i="6" s="1"/>
  <c r="M77" i="6"/>
  <c r="P77" i="6" s="1"/>
  <c r="M72" i="6"/>
  <c r="P72" i="6" s="1"/>
  <c r="M42" i="6"/>
  <c r="P42" i="6" s="1"/>
  <c r="M27" i="6"/>
  <c r="P27" i="6" s="1"/>
  <c r="M20" i="6"/>
  <c r="P20" i="6" s="1"/>
  <c r="M18" i="6"/>
  <c r="P18" i="6" s="1"/>
  <c r="M16" i="6"/>
  <c r="P16" i="6" s="1"/>
  <c r="M14" i="6"/>
  <c r="P14" i="6" s="1"/>
  <c r="M12" i="6"/>
  <c r="P12" i="6" s="1"/>
  <c r="M10" i="6"/>
  <c r="P10" i="6" s="1"/>
  <c r="M8" i="6"/>
  <c r="P8" i="6" s="1"/>
  <c r="I45" i="8" s="1"/>
  <c r="I46" i="8" s="1"/>
  <c r="Y8" i="6" s="1"/>
  <c r="M6" i="6"/>
  <c r="P6" i="6" s="1"/>
  <c r="Y6" i="6" s="1"/>
  <c r="M4" i="6"/>
  <c r="P4" i="6" s="1"/>
  <c r="Y4" i="6" s="1"/>
  <c r="N3" i="6" l="1"/>
  <c r="I25" i="8"/>
  <c r="I26" i="8" s="1"/>
  <c r="Y5" i="6"/>
  <c r="A8" i="7"/>
  <c r="A9" i="6"/>
  <c r="I57" i="8"/>
  <c r="I58" i="8" s="1"/>
  <c r="Y9" i="6" s="1"/>
  <c r="B7" i="7"/>
  <c r="B8" i="6"/>
  <c r="A97" i="8"/>
  <c r="H5" i="10"/>
  <c r="C6" i="10" s="1"/>
  <c r="B8" i="7" l="1"/>
  <c r="B9" i="6"/>
  <c r="E6" i="10"/>
  <c r="G6" i="10" s="1"/>
  <c r="F6" i="10"/>
  <c r="A9" i="7"/>
  <c r="A10" i="6"/>
  <c r="I69" i="8"/>
  <c r="I70" i="8" s="1"/>
  <c r="Y10" i="6" s="1"/>
  <c r="H57" i="8"/>
  <c r="H58" i="8" s="1"/>
  <c r="X9" i="6" s="1"/>
  <c r="Q3" i="6"/>
  <c r="K3" i="6"/>
  <c r="W3" i="6"/>
  <c r="Z3" i="6" s="1"/>
  <c r="AA3" i="6" s="1"/>
  <c r="C4" i="6" s="1"/>
  <c r="A109" i="8"/>
  <c r="H69" i="8"/>
  <c r="H70" i="8" s="1"/>
  <c r="X10" i="6" s="1"/>
  <c r="E4" i="6" l="1"/>
  <c r="H4" i="6" s="1"/>
  <c r="AC4" i="6"/>
  <c r="G4" i="6"/>
  <c r="B9" i="7"/>
  <c r="B10" i="6"/>
  <c r="A121" i="8"/>
  <c r="A10" i="7"/>
  <c r="A11" i="6"/>
  <c r="H6" i="10"/>
  <c r="C7" i="10" s="1"/>
  <c r="F7" i="10" l="1"/>
  <c r="E7" i="10"/>
  <c r="G7" i="10" s="1"/>
  <c r="A11" i="7"/>
  <c r="A12" i="6"/>
  <c r="I81" i="8"/>
  <c r="I82" i="8" s="1"/>
  <c r="Y11" i="6" s="1"/>
  <c r="I4" i="6"/>
  <c r="N4" i="6" s="1"/>
  <c r="H81" i="8"/>
  <c r="H82" i="8" s="1"/>
  <c r="X11" i="6" s="1"/>
  <c r="Q85" i="8"/>
  <c r="U85" i="8" s="1"/>
  <c r="A130" i="8"/>
  <c r="B10" i="7"/>
  <c r="B11" i="6"/>
  <c r="J4" i="6"/>
  <c r="H7" i="10" l="1"/>
  <c r="C8" i="10" s="1"/>
  <c r="A142" i="8"/>
  <c r="B11" i="7"/>
  <c r="B12" i="6"/>
  <c r="W4" i="6"/>
  <c r="Z4" i="6" s="1"/>
  <c r="AA4" i="6" s="1"/>
  <c r="C5" i="6" s="1"/>
  <c r="Q4" i="6"/>
  <c r="K4" i="6"/>
  <c r="X12" i="6"/>
  <c r="T12" i="6"/>
  <c r="A12" i="7"/>
  <c r="S12" i="6"/>
  <c r="A13" i="6"/>
  <c r="V12" i="6"/>
  <c r="U12" i="6"/>
  <c r="H93" i="8"/>
  <c r="H94" i="8" s="1"/>
  <c r="R85" i="8"/>
  <c r="V85" i="8" s="1"/>
  <c r="Y12" i="6" s="1"/>
  <c r="I93" i="8"/>
  <c r="I94" i="8" s="1"/>
  <c r="A13" i="7" l="1"/>
  <c r="A14" i="6"/>
  <c r="V13" i="6"/>
  <c r="U13" i="6"/>
  <c r="T13" i="6"/>
  <c r="S13" i="6"/>
  <c r="Q97" i="8"/>
  <c r="X13" i="6" s="1"/>
  <c r="R97" i="8"/>
  <c r="Y13" i="6" s="1"/>
  <c r="I105" i="8"/>
  <c r="I106" i="8" s="1"/>
  <c r="Q109" i="8"/>
  <c r="AC5" i="6"/>
  <c r="G5" i="6"/>
  <c r="E5" i="6"/>
  <c r="H5" i="6" s="1"/>
  <c r="E8" i="10"/>
  <c r="G8" i="10" s="1"/>
  <c r="F8" i="10"/>
  <c r="B12" i="7"/>
  <c r="B13" i="6"/>
  <c r="A154" i="8"/>
  <c r="H105" i="8"/>
  <c r="H106" i="8" s="1"/>
  <c r="B13" i="7" l="1"/>
  <c r="B14" i="6"/>
  <c r="J5" i="6"/>
  <c r="A14" i="7"/>
  <c r="X14" i="6"/>
  <c r="T14" i="6"/>
  <c r="S14" i="6"/>
  <c r="A15" i="6"/>
  <c r="V14" i="6"/>
  <c r="U14" i="6"/>
  <c r="H117" i="8"/>
  <c r="H118" i="8" s="1"/>
  <c r="R109" i="8"/>
  <c r="Y14" i="6" s="1"/>
  <c r="H8" i="10"/>
  <c r="C9" i="10" s="1"/>
  <c r="I117" i="8"/>
  <c r="I118" i="8" s="1"/>
  <c r="A167" i="8"/>
  <c r="I5" i="6"/>
  <c r="N5" i="6" s="1"/>
  <c r="F9" i="10" l="1"/>
  <c r="E9" i="10"/>
  <c r="G9" i="10" s="1"/>
  <c r="H9" i="10" s="1"/>
  <c r="C10" i="10" s="1"/>
  <c r="A16" i="6"/>
  <c r="V15" i="6"/>
  <c r="A15" i="7"/>
  <c r="U15" i="6"/>
  <c r="T15" i="6"/>
  <c r="S15" i="6"/>
  <c r="R121" i="8"/>
  <c r="Y15" i="6" s="1"/>
  <c r="I138" i="8"/>
  <c r="I139" i="8" s="1"/>
  <c r="Q130" i="8"/>
  <c r="R130" i="8"/>
  <c r="B14" i="7"/>
  <c r="B15" i="6"/>
  <c r="H138" i="8"/>
  <c r="H139" i="8" s="1"/>
  <c r="G25" i="8"/>
  <c r="G26" i="8" s="1"/>
  <c r="Q5" i="6"/>
  <c r="J25" i="8" s="1"/>
  <c r="J26" i="8" s="1"/>
  <c r="K5" i="6"/>
  <c r="W5" i="6"/>
  <c r="Z5" i="6" s="1"/>
  <c r="AA5" i="6" s="1"/>
  <c r="C6" i="6" s="1"/>
  <c r="A180" i="8"/>
  <c r="Q121" i="8"/>
  <c r="X15" i="6" s="1"/>
  <c r="E10" i="10" l="1"/>
  <c r="G10" i="10" s="1"/>
  <c r="H10" i="10" s="1"/>
  <c r="C11" i="10"/>
  <c r="F10" i="10"/>
  <c r="E6" i="6"/>
  <c r="H6" i="6" s="1"/>
  <c r="AC6" i="6"/>
  <c r="G6" i="6"/>
  <c r="B15" i="7"/>
  <c r="B16" i="6"/>
  <c r="A192" i="8"/>
  <c r="A16" i="7"/>
  <c r="X16" i="6"/>
  <c r="T16" i="6"/>
  <c r="S16" i="6"/>
  <c r="A17" i="6"/>
  <c r="Y16" i="6"/>
  <c r="V16" i="6"/>
  <c r="U16" i="6"/>
  <c r="A204" i="8" l="1"/>
  <c r="F11" i="10"/>
  <c r="E11" i="10"/>
  <c r="G11" i="10" s="1"/>
  <c r="H11" i="10" s="1"/>
  <c r="C12" i="10" s="1"/>
  <c r="B16" i="7"/>
  <c r="B17" i="6"/>
  <c r="I6" i="6"/>
  <c r="N6" i="6" s="1"/>
  <c r="A17" i="7"/>
  <c r="A18" i="6"/>
  <c r="V17" i="6"/>
  <c r="U17" i="6"/>
  <c r="T17" i="6"/>
  <c r="S17" i="6"/>
  <c r="R142" i="8"/>
  <c r="Y17" i="6" s="1"/>
  <c r="H163" i="8"/>
  <c r="H164" i="8" s="1"/>
  <c r="I163" i="8"/>
  <c r="I164" i="8" s="1"/>
  <c r="I150" i="8"/>
  <c r="I151" i="8" s="1"/>
  <c r="H150" i="8"/>
  <c r="H151" i="8" s="1"/>
  <c r="Q142" i="8"/>
  <c r="X17" i="6" s="1"/>
  <c r="J6" i="6"/>
  <c r="E12" i="10" l="1"/>
  <c r="G12" i="10" s="1"/>
  <c r="F12" i="10"/>
  <c r="W6" i="6"/>
  <c r="Z6" i="6" s="1"/>
  <c r="AA6" i="6" s="1"/>
  <c r="C7" i="6" s="1"/>
  <c r="Q6" i="6"/>
  <c r="K6" i="6"/>
  <c r="Q167" i="8"/>
  <c r="R154" i="8"/>
  <c r="B17" i="7"/>
  <c r="B18" i="6"/>
  <c r="A216" i="8"/>
  <c r="T18" i="6"/>
  <c r="A18" i="7"/>
  <c r="S18" i="6"/>
  <c r="A19" i="6"/>
  <c r="Y18" i="6"/>
  <c r="V18" i="6"/>
  <c r="U18" i="6"/>
  <c r="Q154" i="8"/>
  <c r="X18" i="6" s="1"/>
  <c r="AC7" i="6" l="1"/>
  <c r="G7" i="6"/>
  <c r="E7" i="6"/>
  <c r="H7" i="6" s="1"/>
  <c r="H12" i="10"/>
  <c r="C13" i="10" s="1"/>
  <c r="R180" i="8"/>
  <c r="A228" i="8"/>
  <c r="A20" i="6"/>
  <c r="V19" i="6"/>
  <c r="A19" i="7"/>
  <c r="U19" i="6"/>
  <c r="T19" i="6"/>
  <c r="S19" i="6"/>
  <c r="X19" i="6"/>
  <c r="I176" i="8"/>
  <c r="I177" i="8" s="1"/>
  <c r="Q180" i="8"/>
  <c r="H188" i="8"/>
  <c r="H189" i="8" s="1"/>
  <c r="R167" i="8"/>
  <c r="Y19" i="6" s="1"/>
  <c r="I188" i="8"/>
  <c r="I189" i="8" s="1"/>
  <c r="B18" i="7"/>
  <c r="B19" i="6"/>
  <c r="H176" i="8"/>
  <c r="H177" i="8" s="1"/>
  <c r="J7" i="6" l="1"/>
  <c r="A20" i="7"/>
  <c r="X20" i="6"/>
  <c r="T20" i="6"/>
  <c r="S20" i="6"/>
  <c r="A21" i="6"/>
  <c r="R192" i="8" s="1"/>
  <c r="Y20" i="6"/>
  <c r="V20" i="6"/>
  <c r="U20" i="6"/>
  <c r="Q192" i="8"/>
  <c r="I7" i="6"/>
  <c r="N7" i="6" s="1"/>
  <c r="B19" i="7"/>
  <c r="B20" i="6"/>
  <c r="A240" i="8"/>
  <c r="C14" i="10"/>
  <c r="F13" i="10"/>
  <c r="E13" i="10"/>
  <c r="G13" i="10" s="1"/>
  <c r="H13" i="10" s="1"/>
  <c r="E14" i="10" l="1"/>
  <c r="G14" i="10" s="1"/>
  <c r="H14" i="10" s="1"/>
  <c r="C15" i="10"/>
  <c r="F14" i="10"/>
  <c r="B20" i="7"/>
  <c r="B21" i="6"/>
  <c r="A252" i="8"/>
  <c r="G35" i="8"/>
  <c r="G36" i="8" s="1"/>
  <c r="W7" i="6" s="1"/>
  <c r="Q7" i="6"/>
  <c r="J35" i="8" s="1"/>
  <c r="J36" i="8" s="1"/>
  <c r="Z7" i="6" s="1"/>
  <c r="AA7" i="6" s="1"/>
  <c r="C8" i="6" s="1"/>
  <c r="K7" i="6"/>
  <c r="A21" i="7"/>
  <c r="V21" i="6"/>
  <c r="A22" i="6"/>
  <c r="Y21" i="6"/>
  <c r="U21" i="6"/>
  <c r="T21" i="6"/>
  <c r="S21" i="6"/>
  <c r="X21" i="6"/>
  <c r="Q204" i="8"/>
  <c r="I200" i="8"/>
  <c r="I201" i="8" s="1"/>
  <c r="I212" i="8"/>
  <c r="I213" i="8" s="1"/>
  <c r="R204" i="8"/>
  <c r="H200" i="8"/>
  <c r="H201" i="8" s="1"/>
  <c r="F15" i="10" l="1"/>
  <c r="E15" i="10"/>
  <c r="G15" i="10" s="1"/>
  <c r="B21" i="7"/>
  <c r="B22" i="6"/>
  <c r="A22" i="7"/>
  <c r="A23" i="6"/>
  <c r="Y22" i="6"/>
  <c r="U22" i="6"/>
  <c r="X22" i="6"/>
  <c r="T22" i="6"/>
  <c r="S22" i="6"/>
  <c r="V22" i="6"/>
  <c r="R216" i="8"/>
  <c r="H212" i="8"/>
  <c r="H213" i="8" s="1"/>
  <c r="E8" i="6"/>
  <c r="H8" i="6" s="1"/>
  <c r="AC8" i="6"/>
  <c r="G8" i="6"/>
  <c r="A264" i="8"/>
  <c r="A276" i="8" l="1"/>
  <c r="I8" i="6"/>
  <c r="N8" i="6" s="1"/>
  <c r="T23" i="6"/>
  <c r="A23" i="7"/>
  <c r="S23" i="6"/>
  <c r="A24" i="6"/>
  <c r="V23" i="6"/>
  <c r="U23" i="6"/>
  <c r="Y23" i="6"/>
  <c r="Q228" i="8"/>
  <c r="I224" i="8"/>
  <c r="I225" i="8" s="1"/>
  <c r="H224" i="8"/>
  <c r="H225" i="8" s="1"/>
  <c r="Q216" i="8"/>
  <c r="X23" i="6" s="1"/>
  <c r="R228" i="8"/>
  <c r="H15" i="10"/>
  <c r="C16" i="10" s="1"/>
  <c r="J8" i="6"/>
  <c r="B22" i="7"/>
  <c r="B23" i="6"/>
  <c r="G45" i="8" l="1"/>
  <c r="G46" i="8" s="1"/>
  <c r="W8" i="6" s="1"/>
  <c r="Q8" i="6"/>
  <c r="J45" i="8" s="1"/>
  <c r="J46" i="8" s="1"/>
  <c r="Z8" i="6" s="1"/>
  <c r="AA8" i="6" s="1"/>
  <c r="C9" i="6" s="1"/>
  <c r="K8" i="6"/>
  <c r="A288" i="8"/>
  <c r="A24" i="7"/>
  <c r="S24" i="6"/>
  <c r="V24" i="6"/>
  <c r="T24" i="6"/>
  <c r="Y24" i="6"/>
  <c r="X24" i="6"/>
  <c r="A25" i="6"/>
  <c r="U24" i="6"/>
  <c r="I236" i="8"/>
  <c r="I237" i="8" s="1"/>
  <c r="R240" i="8"/>
  <c r="H236" i="8"/>
  <c r="H237" i="8" s="1"/>
  <c r="B23" i="7"/>
  <c r="B24" i="6"/>
  <c r="E16" i="10"/>
  <c r="G16" i="10" s="1"/>
  <c r="F16" i="10"/>
  <c r="B24" i="7" l="1"/>
  <c r="B25" i="6"/>
  <c r="A300" i="8"/>
  <c r="H16" i="10"/>
  <c r="C17" i="10" s="1"/>
  <c r="AC9" i="6"/>
  <c r="G9" i="6"/>
  <c r="E9" i="6"/>
  <c r="H9" i="6" s="1"/>
  <c r="A25" i="7"/>
  <c r="V25" i="6"/>
  <c r="A26" i="6"/>
  <c r="Y25" i="6"/>
  <c r="U25" i="6"/>
  <c r="S25" i="6"/>
  <c r="T25" i="6"/>
  <c r="I248" i="8"/>
  <c r="I249" i="8" s="1"/>
  <c r="H248" i="8"/>
  <c r="H249" i="8" s="1"/>
  <c r="Q240" i="8"/>
  <c r="X25" i="6" s="1"/>
  <c r="I9" i="6" l="1"/>
  <c r="N9" i="6" s="1"/>
  <c r="Q9" i="6" s="1"/>
  <c r="A312" i="8"/>
  <c r="A26" i="7"/>
  <c r="A27" i="6"/>
  <c r="U26" i="6"/>
  <c r="T26" i="6"/>
  <c r="V26" i="6"/>
  <c r="S26" i="6"/>
  <c r="I260" i="8"/>
  <c r="I261" i="8" s="1"/>
  <c r="Q252" i="8"/>
  <c r="X26" i="6" s="1"/>
  <c r="H260" i="8"/>
  <c r="H261" i="8" s="1"/>
  <c r="J9" i="6"/>
  <c r="R264" i="8"/>
  <c r="R252" i="8"/>
  <c r="Y26" i="6" s="1"/>
  <c r="B25" i="7"/>
  <c r="B26" i="6"/>
  <c r="F17" i="10"/>
  <c r="E17" i="10"/>
  <c r="G17" i="10" s="1"/>
  <c r="G57" i="8" l="1"/>
  <c r="G58" i="8" s="1"/>
  <c r="W9" i="6" s="1"/>
  <c r="K9" i="6"/>
  <c r="B26" i="7"/>
  <c r="B27" i="6"/>
  <c r="I284" i="8"/>
  <c r="I285" i="8" s="1"/>
  <c r="H17" i="10"/>
  <c r="C18" i="10" s="1"/>
  <c r="I272" i="8"/>
  <c r="I273" i="8" s="1"/>
  <c r="A27" i="7"/>
  <c r="T27" i="6"/>
  <c r="S27" i="6"/>
  <c r="Y27" i="6"/>
  <c r="A28" i="6"/>
  <c r="V27" i="6"/>
  <c r="U27" i="6"/>
  <c r="Q264" i="8"/>
  <c r="X27" i="6" s="1"/>
  <c r="H272" i="8"/>
  <c r="H273" i="8" s="1"/>
  <c r="A324" i="8"/>
  <c r="H284" i="8"/>
  <c r="H285" i="8" s="1"/>
  <c r="A336" i="8" l="1"/>
  <c r="A28" i="7"/>
  <c r="S28" i="6"/>
  <c r="V28" i="6"/>
  <c r="A29" i="6"/>
  <c r="U28" i="6"/>
  <c r="T28" i="6"/>
  <c r="R276" i="8"/>
  <c r="Y28" i="6" s="1"/>
  <c r="H296" i="8"/>
  <c r="H297" i="8" s="1"/>
  <c r="I296" i="8"/>
  <c r="I297" i="8" s="1"/>
  <c r="R288" i="8"/>
  <c r="Q276" i="8"/>
  <c r="X28" i="6" s="1"/>
  <c r="B27" i="7"/>
  <c r="B28" i="6"/>
  <c r="E18" i="10"/>
  <c r="G18" i="10" s="1"/>
  <c r="H18" i="10" s="1"/>
  <c r="C19" i="10" s="1"/>
  <c r="F18" i="10"/>
  <c r="F19" i="10" l="1"/>
  <c r="E19" i="10"/>
  <c r="G19" i="10" s="1"/>
  <c r="B28" i="7"/>
  <c r="B29" i="6"/>
  <c r="A348" i="8"/>
  <c r="A29" i="7"/>
  <c r="T29" i="6"/>
  <c r="V29" i="6"/>
  <c r="A30" i="6"/>
  <c r="Y29" i="6"/>
  <c r="U29" i="6"/>
  <c r="S29" i="6"/>
  <c r="I308" i="8"/>
  <c r="I309" i="8" s="1"/>
  <c r="Q288" i="8"/>
  <c r="X29" i="6" s="1"/>
  <c r="B29" i="7" l="1"/>
  <c r="B30" i="6"/>
  <c r="S30" i="6"/>
  <c r="A30" i="7"/>
  <c r="A31" i="6"/>
  <c r="U30" i="6"/>
  <c r="T30" i="6"/>
  <c r="V30" i="6"/>
  <c r="R300" i="8"/>
  <c r="Y30" i="6" s="1"/>
  <c r="Q300" i="8"/>
  <c r="X30" i="6" s="1"/>
  <c r="H308" i="8"/>
  <c r="H309" i="8" s="1"/>
  <c r="I320" i="8"/>
  <c r="I321" i="8" s="1"/>
  <c r="A360" i="8"/>
  <c r="H19" i="10"/>
  <c r="C20" i="10" s="1"/>
  <c r="V31" i="6" l="1"/>
  <c r="T31" i="6"/>
  <c r="A31" i="7"/>
  <c r="S31" i="6"/>
  <c r="U31" i="6"/>
  <c r="A32" i="6"/>
  <c r="H320" i="8"/>
  <c r="H321" i="8" s="1"/>
  <c r="I332" i="8"/>
  <c r="I333" i="8" s="1"/>
  <c r="R312" i="8"/>
  <c r="Y31" i="6" s="1"/>
  <c r="B30" i="7"/>
  <c r="B31" i="6"/>
  <c r="E20" i="10"/>
  <c r="G20" i="10" s="1"/>
  <c r="H20" i="10" s="1"/>
  <c r="F20" i="10"/>
  <c r="C21" i="10"/>
  <c r="A372" i="8"/>
  <c r="Q312" i="8"/>
  <c r="X31" i="6" s="1"/>
  <c r="B32" i="6" l="1"/>
  <c r="B31" i="7"/>
  <c r="Q324" i="8"/>
  <c r="X32" i="6" s="1"/>
  <c r="A32" i="7"/>
  <c r="A33" i="6"/>
  <c r="U32" i="6"/>
  <c r="S32" i="6"/>
  <c r="V32" i="6"/>
  <c r="T32" i="6"/>
  <c r="R324" i="8"/>
  <c r="Y32" i="6" s="1"/>
  <c r="C22" i="10"/>
  <c r="F21" i="10"/>
  <c r="E21" i="10"/>
  <c r="G21" i="10" s="1"/>
  <c r="H21" i="10" s="1"/>
  <c r="A384" i="8"/>
  <c r="H332" i="8"/>
  <c r="H333" i="8" s="1"/>
  <c r="I344" i="8"/>
  <c r="I345" i="8" s="1"/>
  <c r="E22" i="10" l="1"/>
  <c r="G22" i="10" s="1"/>
  <c r="H22" i="10" s="1"/>
  <c r="C23" i="10" s="1"/>
  <c r="F22" i="10"/>
  <c r="A396" i="8"/>
  <c r="T33" i="6"/>
  <c r="A33" i="7"/>
  <c r="V33" i="6"/>
  <c r="A34" i="6"/>
  <c r="U33" i="6"/>
  <c r="S33" i="6"/>
  <c r="H356" i="8"/>
  <c r="H357" i="8" s="1"/>
  <c r="H344" i="8"/>
  <c r="H345" i="8" s="1"/>
  <c r="B32" i="7"/>
  <c r="B33" i="6"/>
  <c r="R336" i="8"/>
  <c r="Y33" i="6" s="1"/>
  <c r="Q336" i="8"/>
  <c r="X33" i="6" s="1"/>
  <c r="F23" i="10" l="1"/>
  <c r="E23" i="10"/>
  <c r="G23" i="10" s="1"/>
  <c r="A34" i="7"/>
  <c r="S34" i="6"/>
  <c r="A35" i="6"/>
  <c r="U34" i="6"/>
  <c r="T34" i="6"/>
  <c r="V34" i="6"/>
  <c r="H368" i="8"/>
  <c r="H369" i="8" s="1"/>
  <c r="Q348" i="8"/>
  <c r="X34" i="6" s="1"/>
  <c r="R348" i="8"/>
  <c r="Y34" i="6" s="1"/>
  <c r="A408" i="8"/>
  <c r="B33" i="7"/>
  <c r="B34" i="6"/>
  <c r="I356" i="8"/>
  <c r="I357" i="8" s="1"/>
  <c r="I368" i="8"/>
  <c r="I369" i="8" s="1"/>
  <c r="Q360" i="8"/>
  <c r="B34" i="7" l="1"/>
  <c r="B35" i="6"/>
  <c r="A420" i="8"/>
  <c r="V35" i="6"/>
  <c r="A35" i="7"/>
  <c r="X35" i="6"/>
  <c r="T35" i="6"/>
  <c r="S35" i="6"/>
  <c r="U35" i="6"/>
  <c r="A36" i="6"/>
  <c r="R360" i="8"/>
  <c r="Y35" i="6" s="1"/>
  <c r="H23" i="10"/>
  <c r="C24" i="10" s="1"/>
  <c r="R372" i="8" l="1"/>
  <c r="Y36" i="6" s="1"/>
  <c r="B35" i="7"/>
  <c r="B36" i="6"/>
  <c r="A36" i="7"/>
  <c r="A37" i="6"/>
  <c r="U36" i="6"/>
  <c r="S36" i="6"/>
  <c r="V36" i="6"/>
  <c r="T36" i="6"/>
  <c r="I380" i="8"/>
  <c r="I381" i="8" s="1"/>
  <c r="Q372" i="8"/>
  <c r="X36" i="6" s="1"/>
  <c r="H380" i="8"/>
  <c r="H381" i="8" s="1"/>
  <c r="A432" i="8"/>
  <c r="E24" i="10"/>
  <c r="G24" i="10" s="1"/>
  <c r="H24" i="10" s="1"/>
  <c r="F24" i="10"/>
  <c r="C25" i="10"/>
  <c r="A444" i="8" l="1"/>
  <c r="T37" i="6"/>
  <c r="A37" i="7"/>
  <c r="V37" i="6"/>
  <c r="A38" i="6"/>
  <c r="S37" i="6"/>
  <c r="U37" i="6"/>
  <c r="H392" i="8"/>
  <c r="H393" i="8" s="1"/>
  <c r="B36" i="7"/>
  <c r="B37" i="6"/>
  <c r="F25" i="10"/>
  <c r="E25" i="10"/>
  <c r="G25" i="10" s="1"/>
  <c r="H25" i="10" s="1"/>
  <c r="C26" i="10" s="1"/>
  <c r="R384" i="8"/>
  <c r="Y37" i="6" s="1"/>
  <c r="R396" i="8"/>
  <c r="I392" i="8"/>
  <c r="I393" i="8" s="1"/>
  <c r="Q384" i="8"/>
  <c r="X37" i="6" s="1"/>
  <c r="E26" i="10" l="1"/>
  <c r="G26" i="10" s="1"/>
  <c r="F26" i="10"/>
  <c r="A456" i="8"/>
  <c r="Q396" i="8"/>
  <c r="X38" i="6" s="1"/>
  <c r="S38" i="6"/>
  <c r="V38" i="6"/>
  <c r="A38" i="7"/>
  <c r="Y38" i="6"/>
  <c r="T38" i="6"/>
  <c r="A39" i="6"/>
  <c r="U38" i="6"/>
  <c r="I416" i="8"/>
  <c r="I417" i="8" s="1"/>
  <c r="Q408" i="8"/>
  <c r="H404" i="8"/>
  <c r="H405" i="8" s="1"/>
  <c r="B37" i="7"/>
  <c r="B38" i="6"/>
  <c r="I404" i="8"/>
  <c r="I405" i="8" s="1"/>
  <c r="R408" i="8"/>
  <c r="A468" i="8" l="1"/>
  <c r="H26" i="10"/>
  <c r="C27" i="10" s="1"/>
  <c r="B38" i="7"/>
  <c r="B39" i="6"/>
  <c r="V39" i="6"/>
  <c r="A40" i="6"/>
  <c r="X39" i="6"/>
  <c r="S39" i="6"/>
  <c r="U39" i="6"/>
  <c r="A39" i="7"/>
  <c r="Y39" i="6"/>
  <c r="T39" i="6"/>
  <c r="Q420" i="8"/>
  <c r="H416" i="8"/>
  <c r="H417" i="8" s="1"/>
  <c r="A40" i="7" l="1"/>
  <c r="A41" i="6"/>
  <c r="U40" i="6"/>
  <c r="T40" i="6"/>
  <c r="V40" i="6"/>
  <c r="X40" i="6"/>
  <c r="S40" i="6"/>
  <c r="R420" i="8"/>
  <c r="Y40" i="6" s="1"/>
  <c r="I428" i="8"/>
  <c r="I429" i="8" s="1"/>
  <c r="H440" i="8"/>
  <c r="H441" i="8" s="1"/>
  <c r="H428" i="8"/>
  <c r="H429" i="8" s="1"/>
  <c r="F27" i="10"/>
  <c r="E27" i="10"/>
  <c r="G27" i="10" s="1"/>
  <c r="Q432" i="8"/>
  <c r="A480" i="8"/>
  <c r="B40" i="6"/>
  <c r="B39" i="7"/>
  <c r="A492" i="8" l="1"/>
  <c r="R432" i="8"/>
  <c r="Y41" i="6" s="1"/>
  <c r="X41" i="6"/>
  <c r="T41" i="6"/>
  <c r="U41" i="6"/>
  <c r="A41" i="7"/>
  <c r="V41" i="6"/>
  <c r="S41" i="6"/>
  <c r="A42" i="6"/>
  <c r="I440" i="8"/>
  <c r="I441" i="8" s="1"/>
  <c r="B40" i="7"/>
  <c r="B41" i="6"/>
  <c r="H27" i="10"/>
  <c r="C28" i="10" s="1"/>
  <c r="I452" i="8"/>
  <c r="I453" i="8" s="1"/>
  <c r="E28" i="10" l="1"/>
  <c r="G28" i="10" s="1"/>
  <c r="F28" i="10"/>
  <c r="B41" i="7"/>
  <c r="B42" i="6"/>
  <c r="S42" i="6"/>
  <c r="A42" i="7"/>
  <c r="U42" i="6"/>
  <c r="A43" i="6"/>
  <c r="V42" i="6"/>
  <c r="T42" i="6"/>
  <c r="H464" i="8"/>
  <c r="H465" i="8" s="1"/>
  <c r="H452" i="8"/>
  <c r="H453" i="8" s="1"/>
  <c r="Q444" i="8"/>
  <c r="X42" i="6" s="1"/>
  <c r="I464" i="8"/>
  <c r="I465" i="8" s="1"/>
  <c r="Q456" i="8"/>
  <c r="R444" i="8"/>
  <c r="Y42" i="6" s="1"/>
  <c r="A504" i="8"/>
  <c r="A516" i="8" l="1"/>
  <c r="V43" i="6"/>
  <c r="A43" i="7"/>
  <c r="T43" i="6"/>
  <c r="A44" i="6"/>
  <c r="X43" i="6"/>
  <c r="S43" i="6"/>
  <c r="U43" i="6"/>
  <c r="R456" i="8"/>
  <c r="Y43" i="6" s="1"/>
  <c r="H476" i="8"/>
  <c r="H477" i="8" s="1"/>
  <c r="B42" i="7"/>
  <c r="B43" i="6"/>
  <c r="H28" i="10"/>
  <c r="C29" i="10" s="1"/>
  <c r="F29" i="10" l="1"/>
  <c r="E29" i="10"/>
  <c r="G29" i="10" s="1"/>
  <c r="A44" i="7"/>
  <c r="A45" i="6"/>
  <c r="U44" i="6"/>
  <c r="S44" i="6"/>
  <c r="V44" i="6"/>
  <c r="T44" i="6"/>
  <c r="Q468" i="8"/>
  <c r="X44" i="6" s="1"/>
  <c r="R468" i="8"/>
  <c r="Y44" i="6" s="1"/>
  <c r="H488" i="8"/>
  <c r="H489" i="8" s="1"/>
  <c r="I476" i="8"/>
  <c r="I477" i="8" s="1"/>
  <c r="B44" i="6"/>
  <c r="B43" i="7"/>
  <c r="A528" i="8"/>
  <c r="B45" i="6" l="1"/>
  <c r="B44" i="7"/>
  <c r="T45" i="6"/>
  <c r="A45" i="7"/>
  <c r="A46" i="6"/>
  <c r="S45" i="6"/>
  <c r="V45" i="6"/>
  <c r="U45" i="6"/>
  <c r="Q480" i="8"/>
  <c r="X45" i="6" s="1"/>
  <c r="I488" i="8"/>
  <c r="I489" i="8" s="1"/>
  <c r="A540" i="8"/>
  <c r="R480" i="8"/>
  <c r="Y45" i="6" s="1"/>
  <c r="H29" i="10"/>
  <c r="C30" i="10" s="1"/>
  <c r="Q492" i="8" l="1"/>
  <c r="X46" i="6" s="1"/>
  <c r="B45" i="7"/>
  <c r="B46" i="6"/>
  <c r="R492" i="8"/>
  <c r="A552" i="8"/>
  <c r="E30" i="10"/>
  <c r="G30" i="10" s="1"/>
  <c r="H30" i="10" s="1"/>
  <c r="C31" i="10" s="1"/>
  <c r="F30" i="10"/>
  <c r="S46" i="6"/>
  <c r="Y46" i="6"/>
  <c r="T46" i="6"/>
  <c r="A46" i="7"/>
  <c r="V46" i="6"/>
  <c r="U46" i="6"/>
  <c r="A47" i="6"/>
  <c r="I500" i="8"/>
  <c r="I501" i="8" s="1"/>
  <c r="H500" i="8"/>
  <c r="H501" i="8" s="1"/>
  <c r="F31" i="10" l="1"/>
  <c r="E31" i="10"/>
  <c r="G31" i="10" s="1"/>
  <c r="V47" i="6"/>
  <c r="U47" i="6"/>
  <c r="A48" i="6"/>
  <c r="S47" i="6"/>
  <c r="A47" i="7"/>
  <c r="T47" i="6"/>
  <c r="Q504" i="8"/>
  <c r="X47" i="6" s="1"/>
  <c r="R516" i="8"/>
  <c r="I512" i="8"/>
  <c r="I513" i="8" s="1"/>
  <c r="Q516" i="8"/>
  <c r="H512" i="8"/>
  <c r="H513" i="8" s="1"/>
  <c r="B47" i="6"/>
  <c r="B46" i="7"/>
  <c r="R504" i="8"/>
  <c r="Y47" i="6" s="1"/>
  <c r="I524" i="8"/>
  <c r="I525" i="8" s="1"/>
  <c r="A564" i="8"/>
  <c r="A576" i="8" l="1"/>
  <c r="B48" i="6"/>
  <c r="B47" i="7"/>
  <c r="A48" i="7"/>
  <c r="A49" i="6"/>
  <c r="Y48" i="6"/>
  <c r="U48" i="6"/>
  <c r="T48" i="6"/>
  <c r="X48" i="6"/>
  <c r="S48" i="6"/>
  <c r="V48" i="6"/>
  <c r="H524" i="8"/>
  <c r="H525" i="8" s="1"/>
  <c r="H31" i="10"/>
  <c r="C32" i="10" s="1"/>
  <c r="E32" i="10" l="1"/>
  <c r="G32" i="10" s="1"/>
  <c r="H32" i="10" s="1"/>
  <c r="C33" i="10" s="1"/>
  <c r="F32" i="10"/>
  <c r="B48" i="7"/>
  <c r="B49" i="6"/>
  <c r="T49" i="6"/>
  <c r="A49" i="7"/>
  <c r="U49" i="6"/>
  <c r="A50" i="6"/>
  <c r="S49" i="6"/>
  <c r="V49" i="6"/>
  <c r="R528" i="8"/>
  <c r="Y49" i="6" s="1"/>
  <c r="I536" i="8"/>
  <c r="I537" i="8" s="1"/>
  <c r="Q528" i="8"/>
  <c r="X49" i="6" s="1"/>
  <c r="I548" i="8"/>
  <c r="I549" i="8" s="1"/>
  <c r="H536" i="8"/>
  <c r="H537" i="8" s="1"/>
  <c r="Q540" i="8"/>
  <c r="A588" i="8"/>
  <c r="C34" i="10" l="1"/>
  <c r="F33" i="10"/>
  <c r="E33" i="10"/>
  <c r="G33" i="10" s="1"/>
  <c r="H33" i="10" s="1"/>
  <c r="R540" i="8"/>
  <c r="Y50" i="6" s="1"/>
  <c r="A600" i="8"/>
  <c r="B49" i="7"/>
  <c r="B50" i="6"/>
  <c r="S50" i="6"/>
  <c r="A50" i="7"/>
  <c r="A51" i="6"/>
  <c r="X50" i="6"/>
  <c r="U50" i="6"/>
  <c r="T50" i="6"/>
  <c r="V50" i="6"/>
  <c r="H548" i="8"/>
  <c r="H549" i="8" s="1"/>
  <c r="E34" i="10" l="1"/>
  <c r="G34" i="10" s="1"/>
  <c r="H34" i="10" s="1"/>
  <c r="C35" i="10"/>
  <c r="F34" i="10"/>
  <c r="V51" i="6"/>
  <c r="T51" i="6"/>
  <c r="A51" i="7"/>
  <c r="U51" i="6"/>
  <c r="S51" i="6"/>
  <c r="A52" i="6"/>
  <c r="H560" i="8"/>
  <c r="H561" i="8" s="1"/>
  <c r="Q552" i="8"/>
  <c r="X51" i="6" s="1"/>
  <c r="B50" i="7"/>
  <c r="B51" i="6"/>
  <c r="A612" i="8"/>
  <c r="I560" i="8"/>
  <c r="I561" i="8" s="1"/>
  <c r="R552" i="8"/>
  <c r="Y51" i="6" s="1"/>
  <c r="A52" i="7" l="1"/>
  <c r="A53" i="6"/>
  <c r="U52" i="6"/>
  <c r="V52" i="6"/>
  <c r="S52" i="6"/>
  <c r="T52" i="6"/>
  <c r="H584" i="8"/>
  <c r="H585" i="8" s="1"/>
  <c r="Q564" i="8"/>
  <c r="X52" i="6" s="1"/>
  <c r="I572" i="8"/>
  <c r="I573" i="8" s="1"/>
  <c r="R564" i="8"/>
  <c r="Y52" i="6" s="1"/>
  <c r="H572" i="8"/>
  <c r="H573" i="8" s="1"/>
  <c r="B52" i="6"/>
  <c r="B51" i="7"/>
  <c r="F35" i="10"/>
  <c r="E35" i="10"/>
  <c r="G35" i="10" s="1"/>
  <c r="R576" i="8"/>
  <c r="A624" i="8"/>
  <c r="Q576" i="8" l="1"/>
  <c r="X53" i="6" s="1"/>
  <c r="T53" i="6"/>
  <c r="A53" i="7"/>
  <c r="V53" i="6"/>
  <c r="A54" i="6"/>
  <c r="Y53" i="6"/>
  <c r="S53" i="6"/>
  <c r="U53" i="6"/>
  <c r="I584" i="8"/>
  <c r="I585" i="8" s="1"/>
  <c r="I596" i="8"/>
  <c r="I597" i="8" s="1"/>
  <c r="R588" i="8"/>
  <c r="A636" i="8"/>
  <c r="H35" i="10"/>
  <c r="C36" i="10" s="1"/>
  <c r="B52" i="7"/>
  <c r="B53" i="6"/>
  <c r="E36" i="10" l="1"/>
  <c r="G36" i="10" s="1"/>
  <c r="F36" i="10"/>
  <c r="S54" i="6"/>
  <c r="V54" i="6"/>
  <c r="A54" i="7"/>
  <c r="Y54" i="6"/>
  <c r="T54" i="6"/>
  <c r="A55" i="6"/>
  <c r="U54" i="6"/>
  <c r="H596" i="8"/>
  <c r="H597" i="8" s="1"/>
  <c r="A648" i="8"/>
  <c r="B53" i="7"/>
  <c r="B54" i="6"/>
  <c r="Q588" i="8"/>
  <c r="X54" i="6" s="1"/>
  <c r="V55" i="6" l="1"/>
  <c r="A56" i="6"/>
  <c r="S55" i="6"/>
  <c r="U55" i="6"/>
  <c r="A55" i="7"/>
  <c r="T55" i="6"/>
  <c r="R612" i="8"/>
  <c r="I608" i="8"/>
  <c r="I609" i="8" s="1"/>
  <c r="H608" i="8"/>
  <c r="H609" i="8" s="1"/>
  <c r="Q612" i="8"/>
  <c r="I620" i="8"/>
  <c r="I621" i="8" s="1"/>
  <c r="H36" i="10"/>
  <c r="C37" i="10" s="1"/>
  <c r="Q600" i="8"/>
  <c r="X55" i="6" s="1"/>
  <c r="A660" i="8"/>
  <c r="B54" i="7"/>
  <c r="B55" i="6"/>
  <c r="R600" i="8"/>
  <c r="Y55" i="6" s="1"/>
  <c r="B56" i="6" l="1"/>
  <c r="B55" i="7"/>
  <c r="A672" i="8"/>
  <c r="F37" i="10"/>
  <c r="E37" i="10"/>
  <c r="G37" i="10" s="1"/>
  <c r="H37" i="10" s="1"/>
  <c r="C38" i="10" s="1"/>
  <c r="A56" i="7"/>
  <c r="A57" i="6"/>
  <c r="Y56" i="6"/>
  <c r="U56" i="6"/>
  <c r="T56" i="6"/>
  <c r="V56" i="6"/>
  <c r="X56" i="6"/>
  <c r="S56" i="6"/>
  <c r="H620" i="8"/>
  <c r="H621" i="8" s="1"/>
  <c r="I632" i="8"/>
  <c r="I633" i="8" s="1"/>
  <c r="E38" i="10" l="1"/>
  <c r="G38" i="10" s="1"/>
  <c r="H38" i="10" s="1"/>
  <c r="C39" i="10"/>
  <c r="F38" i="10"/>
  <c r="T57" i="6"/>
  <c r="U57" i="6"/>
  <c r="A57" i="7"/>
  <c r="V57" i="6"/>
  <c r="A58" i="6"/>
  <c r="S57" i="6"/>
  <c r="H632" i="8"/>
  <c r="H633" i="8" s="1"/>
  <c r="Q624" i="8"/>
  <c r="X57" i="6" s="1"/>
  <c r="H644" i="8"/>
  <c r="H645" i="8" s="1"/>
  <c r="R636" i="8"/>
  <c r="I644" i="8"/>
  <c r="I645" i="8" s="1"/>
  <c r="R624" i="8"/>
  <c r="Y57" i="6" s="1"/>
  <c r="A684" i="8"/>
  <c r="B56" i="7"/>
  <c r="B57" i="6"/>
  <c r="F39" i="10" l="1"/>
  <c r="E39" i="10"/>
  <c r="G39" i="10" s="1"/>
  <c r="B57" i="7"/>
  <c r="B58" i="6"/>
  <c r="A696" i="8"/>
  <c r="S58" i="6"/>
  <c r="A58" i="7"/>
  <c r="U58" i="6"/>
  <c r="A59" i="6"/>
  <c r="V58" i="6"/>
  <c r="T58" i="6"/>
  <c r="Y58" i="6"/>
  <c r="Q636" i="8"/>
  <c r="X58" i="6" s="1"/>
  <c r="A708" i="8" l="1"/>
  <c r="B58" i="7"/>
  <c r="B59" i="6"/>
  <c r="V59" i="6"/>
  <c r="A59" i="7"/>
  <c r="T59" i="6"/>
  <c r="A60" i="6"/>
  <c r="S59" i="6"/>
  <c r="U59" i="6"/>
  <c r="I656" i="8"/>
  <c r="I657" i="8" s="1"/>
  <c r="H656" i="8"/>
  <c r="H657" i="8" s="1"/>
  <c r="H668" i="8"/>
  <c r="H669" i="8" s="1"/>
  <c r="R648" i="8"/>
  <c r="Y59" i="6" s="1"/>
  <c r="Q648" i="8"/>
  <c r="X59" i="6" s="1"/>
  <c r="H39" i="10"/>
  <c r="C40" i="10" s="1"/>
  <c r="R660" i="8" l="1"/>
  <c r="Q660" i="8"/>
  <c r="X60" i="6" s="1"/>
  <c r="B60" i="6"/>
  <c r="B59" i="7"/>
  <c r="E40" i="10"/>
  <c r="G40" i="10" s="1"/>
  <c r="H40" i="10" s="1"/>
  <c r="C41" i="10" s="1"/>
  <c r="F40" i="10"/>
  <c r="A60" i="7"/>
  <c r="A61" i="6"/>
  <c r="Y60" i="6"/>
  <c r="U60" i="6"/>
  <c r="S60" i="6"/>
  <c r="V60" i="6"/>
  <c r="T60" i="6"/>
  <c r="I668" i="8"/>
  <c r="I669" i="8" s="1"/>
  <c r="A720" i="8"/>
  <c r="F41" i="10" l="1"/>
  <c r="E41" i="10"/>
  <c r="G41" i="10" s="1"/>
  <c r="A732" i="8"/>
  <c r="B61" i="6"/>
  <c r="B60" i="7"/>
  <c r="T61" i="6"/>
  <c r="A61" i="7"/>
  <c r="A62" i="6"/>
  <c r="S61" i="6"/>
  <c r="V61" i="6"/>
  <c r="U61" i="6"/>
  <c r="I680" i="8"/>
  <c r="I681" i="8" s="1"/>
  <c r="R672" i="8"/>
  <c r="Y61" i="6" s="1"/>
  <c r="Q672" i="8"/>
  <c r="X61" i="6" s="1"/>
  <c r="R684" i="8"/>
  <c r="H680" i="8"/>
  <c r="H681" i="8" s="1"/>
  <c r="S62" i="6" l="1"/>
  <c r="Y62" i="6"/>
  <c r="T62" i="6"/>
  <c r="A62" i="7"/>
  <c r="V62" i="6"/>
  <c r="U62" i="6"/>
  <c r="A63" i="6"/>
  <c r="H692" i="8"/>
  <c r="H693" i="8" s="1"/>
  <c r="Q684" i="8"/>
  <c r="X62" i="6" s="1"/>
  <c r="H704" i="8"/>
  <c r="H705" i="8" s="1"/>
  <c r="B61" i="7"/>
  <c r="B62" i="6"/>
  <c r="I692" i="8"/>
  <c r="I693" i="8" s="1"/>
  <c r="I704" i="8"/>
  <c r="I705" i="8" s="1"/>
  <c r="R696" i="8"/>
  <c r="A744" i="8"/>
  <c r="H41" i="10"/>
  <c r="C42" i="10" s="1"/>
  <c r="A756" i="8" l="1"/>
  <c r="B63" i="6"/>
  <c r="B62" i="7"/>
  <c r="E42" i="10"/>
  <c r="G42" i="10" s="1"/>
  <c r="H42" i="10" s="1"/>
  <c r="C43" i="10" s="1"/>
  <c r="F42" i="10"/>
  <c r="V63" i="6"/>
  <c r="U63" i="6"/>
  <c r="A64" i="6"/>
  <c r="S63" i="6"/>
  <c r="A63" i="7"/>
  <c r="Y63" i="6"/>
  <c r="T63" i="6"/>
  <c r="Q696" i="8"/>
  <c r="X63" i="6" s="1"/>
  <c r="F43" i="10" l="1"/>
  <c r="E43" i="10"/>
  <c r="G43" i="10" s="1"/>
  <c r="A64" i="7"/>
  <c r="A65" i="6"/>
  <c r="U64" i="6"/>
  <c r="T64" i="6"/>
  <c r="S64" i="6"/>
  <c r="V64" i="6"/>
  <c r="H716" i="8"/>
  <c r="H717" i="8" s="1"/>
  <c r="Q720" i="8"/>
  <c r="Q708" i="8"/>
  <c r="X64" i="6" s="1"/>
  <c r="R708" i="8"/>
  <c r="Y64" i="6" s="1"/>
  <c r="H728" i="8"/>
  <c r="H729" i="8" s="1"/>
  <c r="R720" i="8"/>
  <c r="B64" i="6"/>
  <c r="B63" i="7"/>
  <c r="I716" i="8"/>
  <c r="I717" i="8" s="1"/>
  <c r="A768" i="8"/>
  <c r="X65" i="6" l="1"/>
  <c r="T65" i="6"/>
  <c r="A65" i="7"/>
  <c r="U65" i="6"/>
  <c r="A66" i="6"/>
  <c r="Y65" i="6"/>
  <c r="S65" i="6"/>
  <c r="V65" i="6"/>
  <c r="H740" i="8"/>
  <c r="H741" i="8" s="1"/>
  <c r="B64" i="7"/>
  <c r="B65" i="6"/>
  <c r="I740" i="8"/>
  <c r="I741" i="8" s="1"/>
  <c r="Q732" i="8"/>
  <c r="A780" i="8"/>
  <c r="I728" i="8"/>
  <c r="I729" i="8" s="1"/>
  <c r="R732" i="8"/>
  <c r="H43" i="10"/>
  <c r="C44" i="10" s="1"/>
  <c r="E44" i="10" l="1"/>
  <c r="G44" i="10" s="1"/>
  <c r="F44" i="10"/>
  <c r="A792" i="8"/>
  <c r="B65" i="7"/>
  <c r="B66" i="6"/>
  <c r="S66" i="6"/>
  <c r="A66" i="7"/>
  <c r="A67" i="6"/>
  <c r="X66" i="6"/>
  <c r="U66" i="6"/>
  <c r="Y66" i="6"/>
  <c r="T66" i="6"/>
  <c r="V66" i="6"/>
  <c r="R744" i="8"/>
  <c r="A804" i="8" l="1"/>
  <c r="V67" i="6"/>
  <c r="Y67" i="6"/>
  <c r="T67" i="6"/>
  <c r="A67" i="7"/>
  <c r="U67" i="6"/>
  <c r="S67" i="6"/>
  <c r="A68" i="6"/>
  <c r="H752" i="8"/>
  <c r="H753" i="8" s="1"/>
  <c r="H764" i="8"/>
  <c r="H765" i="8" s="1"/>
  <c r="I752" i="8"/>
  <c r="I753" i="8" s="1"/>
  <c r="I764" i="8"/>
  <c r="I765" i="8" s="1"/>
  <c r="Q756" i="8"/>
  <c r="Q744" i="8"/>
  <c r="X67" i="6" s="1"/>
  <c r="B66" i="7"/>
  <c r="B67" i="6"/>
  <c r="H44" i="10"/>
  <c r="C45" i="10" s="1"/>
  <c r="B68" i="6" l="1"/>
  <c r="B67" i="7"/>
  <c r="F45" i="10"/>
  <c r="E45" i="10"/>
  <c r="G45" i="10" s="1"/>
  <c r="H45" i="10" s="1"/>
  <c r="C46" i="10" s="1"/>
  <c r="A68" i="7"/>
  <c r="A69" i="6"/>
  <c r="U68" i="6"/>
  <c r="V68" i="6"/>
  <c r="X68" i="6"/>
  <c r="S68" i="6"/>
  <c r="T68" i="6"/>
  <c r="R756" i="8"/>
  <c r="Y68" i="6" s="1"/>
  <c r="A816" i="8"/>
  <c r="E46" i="10" l="1"/>
  <c r="G46" i="10" s="1"/>
  <c r="H46" i="10" s="1"/>
  <c r="C47" i="10"/>
  <c r="F46" i="10"/>
  <c r="B68" i="7"/>
  <c r="B69" i="6"/>
  <c r="A828" i="8"/>
  <c r="T69" i="6"/>
  <c r="A69" i="7"/>
  <c r="V69" i="6"/>
  <c r="A70" i="6"/>
  <c r="S69" i="6"/>
  <c r="U69" i="6"/>
  <c r="Q780" i="8"/>
  <c r="I776" i="8"/>
  <c r="I777" i="8" s="1"/>
  <c r="H776" i="8"/>
  <c r="H777" i="8" s="1"/>
  <c r="H788" i="8"/>
  <c r="H789" i="8" s="1"/>
  <c r="R780" i="8"/>
  <c r="Q768" i="8"/>
  <c r="X69" i="6" s="1"/>
  <c r="I788" i="8"/>
  <c r="I789" i="8" s="1"/>
  <c r="R768" i="8"/>
  <c r="Y69" i="6" s="1"/>
  <c r="A840" i="8" l="1"/>
  <c r="S70" i="6"/>
  <c r="V70" i="6"/>
  <c r="A70" i="7"/>
  <c r="Y70" i="6"/>
  <c r="T70" i="6"/>
  <c r="A71" i="6"/>
  <c r="X70" i="6"/>
  <c r="U70" i="6"/>
  <c r="R792" i="8"/>
  <c r="F47" i="10"/>
  <c r="E47" i="10"/>
  <c r="G47" i="10" s="1"/>
  <c r="B69" i="7"/>
  <c r="B70" i="6"/>
  <c r="B70" i="7" l="1"/>
  <c r="B71" i="6"/>
  <c r="H47" i="10"/>
  <c r="C48" i="10" s="1"/>
  <c r="V71" i="6"/>
  <c r="A72" i="6"/>
  <c r="S71" i="6"/>
  <c r="U71" i="6"/>
  <c r="A71" i="7"/>
  <c r="Y71" i="6"/>
  <c r="T71" i="6"/>
  <c r="H800" i="8"/>
  <c r="H801" i="8" s="1"/>
  <c r="Q792" i="8"/>
  <c r="X71" i="6" s="1"/>
  <c r="I800" i="8"/>
  <c r="I801" i="8" s="1"/>
  <c r="A852" i="8"/>
  <c r="Q816" i="8" l="1"/>
  <c r="A864" i="8"/>
  <c r="A72" i="7"/>
  <c r="A73" i="6"/>
  <c r="U72" i="6"/>
  <c r="T72" i="6"/>
  <c r="V72" i="6"/>
  <c r="S72" i="6"/>
  <c r="I812" i="8"/>
  <c r="I813" i="8" s="1"/>
  <c r="H812" i="8"/>
  <c r="H813" i="8" s="1"/>
  <c r="Q804" i="8"/>
  <c r="X72" i="6" s="1"/>
  <c r="R804" i="8"/>
  <c r="Y72" i="6" s="1"/>
  <c r="R816" i="8"/>
  <c r="B72" i="6"/>
  <c r="B71" i="7"/>
  <c r="I824" i="8"/>
  <c r="I825" i="8" s="1"/>
  <c r="H824" i="8"/>
  <c r="H825" i="8" s="1"/>
  <c r="E48" i="10"/>
  <c r="G48" i="10" s="1"/>
  <c r="F48" i="10"/>
  <c r="A876" i="8" l="1"/>
  <c r="H48" i="10"/>
  <c r="C49" i="10" s="1"/>
  <c r="B72" i="7"/>
  <c r="B73" i="6"/>
  <c r="X73" i="6"/>
  <c r="T73" i="6"/>
  <c r="U73" i="6"/>
  <c r="A73" i="7"/>
  <c r="V73" i="6"/>
  <c r="Y73" i="6"/>
  <c r="S73" i="6"/>
  <c r="A74" i="6"/>
  <c r="S74" i="6" l="1"/>
  <c r="A74" i="7"/>
  <c r="U74" i="6"/>
  <c r="A75" i="6"/>
  <c r="V74" i="6"/>
  <c r="T74" i="6"/>
  <c r="I836" i="8"/>
  <c r="I837" i="8" s="1"/>
  <c r="H836" i="8"/>
  <c r="H837" i="8" s="1"/>
  <c r="R828" i="8"/>
  <c r="Y74" i="6" s="1"/>
  <c r="Q828" i="8"/>
  <c r="X74" i="6" s="1"/>
  <c r="A888" i="8"/>
  <c r="B73" i="7"/>
  <c r="B74" i="6"/>
  <c r="F49" i="10"/>
  <c r="E49" i="10"/>
  <c r="G49" i="10" s="1"/>
  <c r="H49" i="10" l="1"/>
  <c r="C50" i="10" s="1"/>
  <c r="V75" i="6"/>
  <c r="A75" i="7"/>
  <c r="T75" i="6"/>
  <c r="A76" i="6"/>
  <c r="S75" i="6"/>
  <c r="U75" i="6"/>
  <c r="Q840" i="8"/>
  <c r="X75" i="6" s="1"/>
  <c r="B74" i="7"/>
  <c r="B75" i="6"/>
  <c r="A900" i="8"/>
  <c r="R840" i="8"/>
  <c r="Y75" i="6" s="1"/>
  <c r="I848" i="8"/>
  <c r="I849" i="8" s="1"/>
  <c r="H860" i="8"/>
  <c r="H861" i="8" s="1"/>
  <c r="R852" i="8"/>
  <c r="H848" i="8"/>
  <c r="H849" i="8" s="1"/>
  <c r="I860" i="8"/>
  <c r="I861" i="8" s="1"/>
  <c r="A912" i="8" l="1"/>
  <c r="B76" i="6"/>
  <c r="B75" i="7"/>
  <c r="A76" i="7"/>
  <c r="A77" i="6"/>
  <c r="Y76" i="6"/>
  <c r="U76" i="6"/>
  <c r="S76" i="6"/>
  <c r="V76" i="6"/>
  <c r="T76" i="6"/>
  <c r="R864" i="8"/>
  <c r="E50" i="10"/>
  <c r="G50" i="10" s="1"/>
  <c r="F50" i="10"/>
  <c r="Q852" i="8"/>
  <c r="X76" i="6" s="1"/>
  <c r="H50" i="10" l="1"/>
  <c r="C51" i="10" s="1"/>
  <c r="B77" i="6"/>
  <c r="B76" i="7"/>
  <c r="T77" i="6"/>
  <c r="A77" i="7"/>
  <c r="A78" i="6"/>
  <c r="Y77" i="6"/>
  <c r="S77" i="6"/>
  <c r="V77" i="6"/>
  <c r="U77" i="6"/>
  <c r="H872" i="8"/>
  <c r="H873" i="8" s="1"/>
  <c r="I872" i="8"/>
  <c r="I873" i="8" s="1"/>
  <c r="R876" i="8"/>
  <c r="Q864" i="8"/>
  <c r="X77" i="6" s="1"/>
  <c r="Q876" i="8"/>
  <c r="I884" i="8"/>
  <c r="I885" i="8" s="1"/>
  <c r="A924" i="8"/>
  <c r="F51" i="10" l="1"/>
  <c r="E51" i="10"/>
  <c r="G51" i="10" s="1"/>
  <c r="A936" i="8"/>
  <c r="S78" i="6"/>
  <c r="Y78" i="6"/>
  <c r="T78" i="6"/>
  <c r="A78" i="7"/>
  <c r="V78" i="6"/>
  <c r="U78" i="6"/>
  <c r="A79" i="6"/>
  <c r="X78" i="6"/>
  <c r="H884" i="8"/>
  <c r="H885" i="8" s="1"/>
  <c r="B77" i="7"/>
  <c r="B78" i="6"/>
  <c r="B79" i="6" l="1"/>
  <c r="B78" i="7"/>
  <c r="V79" i="6"/>
  <c r="U79" i="6"/>
  <c r="A80" i="6"/>
  <c r="S79" i="6"/>
  <c r="A79" i="7"/>
  <c r="T79" i="6"/>
  <c r="H896" i="8"/>
  <c r="H897" i="8" s="1"/>
  <c r="Q900" i="8"/>
  <c r="Q888" i="8"/>
  <c r="X79" i="6" s="1"/>
  <c r="R888" i="8"/>
  <c r="Y79" i="6" s="1"/>
  <c r="I896" i="8"/>
  <c r="I897" i="8" s="1"/>
  <c r="H908" i="8"/>
  <c r="H909" i="8" s="1"/>
  <c r="I908" i="8"/>
  <c r="I909" i="8" s="1"/>
  <c r="R900" i="8"/>
  <c r="A948" i="8"/>
  <c r="H51" i="10"/>
  <c r="C52" i="10" s="1"/>
  <c r="E52" i="10" l="1"/>
  <c r="G52" i="10" s="1"/>
  <c r="F52" i="10"/>
  <c r="A960" i="8"/>
  <c r="A80" i="7"/>
  <c r="A81" i="6"/>
  <c r="Y80" i="6"/>
  <c r="U80" i="6"/>
  <c r="T80" i="6"/>
  <c r="X80" i="6"/>
  <c r="S80" i="6"/>
  <c r="V80" i="6"/>
  <c r="B80" i="6"/>
  <c r="B79" i="7"/>
  <c r="A972" i="8" l="1"/>
  <c r="T81" i="6"/>
  <c r="A81" i="7"/>
  <c r="U81" i="6"/>
  <c r="A82" i="6"/>
  <c r="S81" i="6"/>
  <c r="V81" i="6"/>
  <c r="H920" i="8"/>
  <c r="H921" i="8" s="1"/>
  <c r="Q912" i="8"/>
  <c r="X81" i="6" s="1"/>
  <c r="R912" i="8"/>
  <c r="Y81" i="6" s="1"/>
  <c r="I920" i="8"/>
  <c r="I921" i="8" s="1"/>
  <c r="B80" i="7"/>
  <c r="B81" i="6"/>
  <c r="H52" i="10"/>
  <c r="C53" i="10" s="1"/>
  <c r="S82" i="6" l="1"/>
  <c r="A82" i="7"/>
  <c r="A83" i="6"/>
  <c r="U82" i="6"/>
  <c r="T82" i="6"/>
  <c r="V82" i="6"/>
  <c r="H932" i="8"/>
  <c r="H933" i="8" s="1"/>
  <c r="R924" i="8"/>
  <c r="Y82" i="6" s="1"/>
  <c r="I932" i="8"/>
  <c r="I933" i="8" s="1"/>
  <c r="A984" i="8"/>
  <c r="B81" i="7"/>
  <c r="B82" i="6"/>
  <c r="Q936" i="8"/>
  <c r="H944" i="8"/>
  <c r="H945" i="8" s="1"/>
  <c r="Q924" i="8"/>
  <c r="X82" i="6" s="1"/>
  <c r="F53" i="10"/>
  <c r="E53" i="10"/>
  <c r="G53" i="10" s="1"/>
  <c r="B82" i="7" l="1"/>
  <c r="B83" i="6"/>
  <c r="A996" i="8"/>
  <c r="V83" i="6"/>
  <c r="T83" i="6"/>
  <c r="A83" i="7"/>
  <c r="U83" i="6"/>
  <c r="A84" i="6"/>
  <c r="X83" i="6"/>
  <c r="S83" i="6"/>
  <c r="H956" i="8"/>
  <c r="H957" i="8" s="1"/>
  <c r="Q948" i="8"/>
  <c r="R936" i="8"/>
  <c r="Y83" i="6" s="1"/>
  <c r="I944" i="8"/>
  <c r="I945" i="8" s="1"/>
  <c r="H53" i="10"/>
  <c r="C54" i="10" s="1"/>
  <c r="B84" i="6" l="1"/>
  <c r="B83" i="7"/>
  <c r="E54" i="10"/>
  <c r="G54" i="10" s="1"/>
  <c r="H54" i="10" s="1"/>
  <c r="C55" i="10"/>
  <c r="F54" i="10"/>
  <c r="A84" i="7"/>
  <c r="A85" i="6"/>
  <c r="U84" i="6"/>
  <c r="V84" i="6"/>
  <c r="X84" i="6"/>
  <c r="S84" i="6"/>
  <c r="T84" i="6"/>
  <c r="R948" i="8"/>
  <c r="Y84" i="6" s="1"/>
  <c r="Q960" i="8"/>
  <c r="I968" i="8"/>
  <c r="I969" i="8" s="1"/>
  <c r="I956" i="8"/>
  <c r="I957" i="8" s="1"/>
  <c r="A1008" i="8"/>
  <c r="B84" i="7" l="1"/>
  <c r="B85" i="6"/>
  <c r="X85" i="6"/>
  <c r="T85" i="6"/>
  <c r="A85" i="7"/>
  <c r="V85" i="6"/>
  <c r="A86" i="6"/>
  <c r="S85" i="6"/>
  <c r="U85" i="6"/>
  <c r="R960" i="8"/>
  <c r="Y85" i="6" s="1"/>
  <c r="A1020" i="8"/>
  <c r="H968" i="8"/>
  <c r="H969" i="8" s="1"/>
  <c r="F55" i="10"/>
  <c r="E55" i="10"/>
  <c r="G55" i="10" s="1"/>
  <c r="H55" i="10" s="1"/>
  <c r="C56" i="10" s="1"/>
  <c r="E56" i="10" l="1"/>
  <c r="G56" i="10" s="1"/>
  <c r="F56" i="10"/>
  <c r="B85" i="7"/>
  <c r="B86" i="6"/>
  <c r="A1032" i="8"/>
  <c r="S86" i="6"/>
  <c r="V86" i="6"/>
  <c r="A86" i="7"/>
  <c r="T86" i="6"/>
  <c r="A87" i="6"/>
  <c r="U86" i="6"/>
  <c r="H980" i="8"/>
  <c r="H981" i="8" s="1"/>
  <c r="R972" i="8"/>
  <c r="Y86" i="6" s="1"/>
  <c r="I980" i="8"/>
  <c r="I981" i="8" s="1"/>
  <c r="Q972" i="8"/>
  <c r="X86" i="6" s="1"/>
  <c r="V87" i="6" l="1"/>
  <c r="A88" i="6"/>
  <c r="S87" i="6"/>
  <c r="U87" i="6"/>
  <c r="A87" i="7"/>
  <c r="T87" i="6"/>
  <c r="R984" i="8"/>
  <c r="Y87" i="6" s="1"/>
  <c r="I992" i="8"/>
  <c r="I993" i="8" s="1"/>
  <c r="Q984" i="8"/>
  <c r="X87" i="6" s="1"/>
  <c r="Q996" i="8"/>
  <c r="H992" i="8"/>
  <c r="H993" i="8" s="1"/>
  <c r="A1044" i="8"/>
  <c r="B86" i="7"/>
  <c r="B87" i="6"/>
  <c r="H56" i="10"/>
  <c r="C57" i="10" s="1"/>
  <c r="F57" i="10" l="1"/>
  <c r="E57" i="10"/>
  <c r="G57" i="10" s="1"/>
  <c r="A1056" i="8"/>
  <c r="A88" i="7"/>
  <c r="A89" i="6"/>
  <c r="U88" i="6"/>
  <c r="T88" i="6"/>
  <c r="V88" i="6"/>
  <c r="S88" i="6"/>
  <c r="X88" i="6"/>
  <c r="H1004" i="8"/>
  <c r="H1005" i="8" s="1"/>
  <c r="R996" i="8"/>
  <c r="Y88" i="6" s="1"/>
  <c r="B88" i="6"/>
  <c r="B87" i="7"/>
  <c r="I1004" i="8"/>
  <c r="I1005" i="8" s="1"/>
  <c r="H1028" i="8" l="1"/>
  <c r="H1029" i="8" s="1"/>
  <c r="A1068" i="8"/>
  <c r="T89" i="6"/>
  <c r="U89" i="6"/>
  <c r="A89" i="7"/>
  <c r="V89" i="6"/>
  <c r="S89" i="6"/>
  <c r="A90" i="6"/>
  <c r="Q1008" i="8"/>
  <c r="X89" i="6" s="1"/>
  <c r="R1008" i="8"/>
  <c r="Y89" i="6" s="1"/>
  <c r="Q1020" i="8"/>
  <c r="I1016" i="8"/>
  <c r="I1017" i="8" s="1"/>
  <c r="H1016" i="8"/>
  <c r="H1017" i="8" s="1"/>
  <c r="B88" i="7"/>
  <c r="B89" i="6"/>
  <c r="I1028" i="8"/>
  <c r="I1029" i="8" s="1"/>
  <c r="H57" i="10"/>
  <c r="C58" i="10" s="1"/>
  <c r="B89" i="7" l="1"/>
  <c r="B90" i="6"/>
  <c r="S90" i="6"/>
  <c r="A90" i="7"/>
  <c r="U90" i="6"/>
  <c r="A91" i="6"/>
  <c r="X90" i="6"/>
  <c r="V90" i="6"/>
  <c r="T90" i="6"/>
  <c r="R1020" i="8"/>
  <c r="Y90" i="6" s="1"/>
  <c r="H1040" i="8"/>
  <c r="H1041" i="8" s="1"/>
  <c r="A1080" i="8"/>
  <c r="E58" i="10"/>
  <c r="G58" i="10" s="1"/>
  <c r="F58" i="10"/>
  <c r="B90" i="7" l="1"/>
  <c r="B91" i="6"/>
  <c r="H58" i="10"/>
  <c r="C59" i="10" s="1"/>
  <c r="A1092" i="8"/>
  <c r="V91" i="6"/>
  <c r="A91" i="7"/>
  <c r="T91" i="6"/>
  <c r="A92" i="6"/>
  <c r="S91" i="6"/>
  <c r="U91" i="6"/>
  <c r="R1032" i="8"/>
  <c r="Y91" i="6" s="1"/>
  <c r="R1044" i="8"/>
  <c r="I1040" i="8"/>
  <c r="I1041" i="8" s="1"/>
  <c r="Q1044" i="8"/>
  <c r="Q1032" i="8"/>
  <c r="X91" i="6" s="1"/>
  <c r="B92" i="6" l="1"/>
  <c r="B91" i="7"/>
  <c r="A1104" i="8"/>
  <c r="A92" i="7"/>
  <c r="A93" i="6"/>
  <c r="Y92" i="6"/>
  <c r="U92" i="6"/>
  <c r="X92" i="6"/>
  <c r="S92" i="6"/>
  <c r="V92" i="6"/>
  <c r="T92" i="6"/>
  <c r="H1052" i="8"/>
  <c r="H1053" i="8" s="1"/>
  <c r="I1052" i="8"/>
  <c r="I1053" i="8" s="1"/>
  <c r="I1064" i="8"/>
  <c r="I1065" i="8" s="1"/>
  <c r="F59" i="10"/>
  <c r="E59" i="10"/>
  <c r="G59" i="10" s="1"/>
  <c r="H59" i="10" s="1"/>
  <c r="C60" i="10" s="1"/>
  <c r="E60" i="10" l="1"/>
  <c r="G60" i="10" s="1"/>
  <c r="F60" i="10"/>
  <c r="T93" i="6"/>
  <c r="A93" i="7"/>
  <c r="A94" i="6"/>
  <c r="S93" i="6"/>
  <c r="V93" i="6"/>
  <c r="U93" i="6"/>
  <c r="R1056" i="8"/>
  <c r="Y93" i="6" s="1"/>
  <c r="B93" i="6"/>
  <c r="B92" i="7"/>
  <c r="H1064" i="8"/>
  <c r="H1065" i="8" s="1"/>
  <c r="Q1056" i="8"/>
  <c r="X93" i="6" s="1"/>
  <c r="Q1068" i="8"/>
  <c r="H1076" i="8"/>
  <c r="H1077" i="8" s="1"/>
  <c r="R1068" i="8"/>
  <c r="A1116" i="8"/>
  <c r="H60" i="10" l="1"/>
  <c r="C61" i="10" s="1"/>
  <c r="A1128" i="8"/>
  <c r="B93" i="7"/>
  <c r="B94" i="6"/>
  <c r="S94" i="6"/>
  <c r="Y94" i="6"/>
  <c r="T94" i="6"/>
  <c r="A94" i="7"/>
  <c r="V94" i="6"/>
  <c r="U94" i="6"/>
  <c r="X94" i="6"/>
  <c r="A95" i="6"/>
  <c r="R1080" i="8"/>
  <c r="I1076" i="8"/>
  <c r="I1077" i="8" s="1"/>
  <c r="A1140" i="8" l="1"/>
  <c r="C62" i="10"/>
  <c r="F61" i="10"/>
  <c r="E61" i="10"/>
  <c r="G61" i="10" s="1"/>
  <c r="H61" i="10" s="1"/>
  <c r="B95" i="6"/>
  <c r="B94" i="7"/>
  <c r="V95" i="6"/>
  <c r="U95" i="6"/>
  <c r="A96" i="6"/>
  <c r="S95" i="6"/>
  <c r="A95" i="7"/>
  <c r="Y95" i="6"/>
  <c r="T95" i="6"/>
  <c r="I1088" i="8"/>
  <c r="I1089" i="8" s="1"/>
  <c r="Q1092" i="8"/>
  <c r="Q1080" i="8"/>
  <c r="X95" i="6" s="1"/>
  <c r="I1100" i="8"/>
  <c r="I1101" i="8" s="1"/>
  <c r="H1088" i="8"/>
  <c r="H1089" i="8" s="1"/>
  <c r="B96" i="6" l="1"/>
  <c r="B95" i="7"/>
  <c r="E62" i="10"/>
  <c r="G62" i="10" s="1"/>
  <c r="F62" i="10"/>
  <c r="R1092" i="8"/>
  <c r="Y96" i="6" s="1"/>
  <c r="A96" i="7"/>
  <c r="A97" i="6"/>
  <c r="U96" i="6"/>
  <c r="T96" i="6"/>
  <c r="X96" i="6"/>
  <c r="S96" i="6"/>
  <c r="V96" i="6"/>
  <c r="H1100" i="8"/>
  <c r="H1101" i="8" s="1"/>
  <c r="H1112" i="8"/>
  <c r="H1113" i="8" s="1"/>
  <c r="A1152" i="8"/>
  <c r="T97" i="6" l="1"/>
  <c r="A97" i="7"/>
  <c r="U97" i="6"/>
  <c r="A98" i="6"/>
  <c r="S97" i="6"/>
  <c r="V97" i="6"/>
  <c r="R1104" i="8"/>
  <c r="Y97" i="6" s="1"/>
  <c r="Q1104" i="8"/>
  <c r="X97" i="6" s="1"/>
  <c r="R1116" i="8"/>
  <c r="I1112" i="8"/>
  <c r="I1113" i="8" s="1"/>
  <c r="H1124" i="8"/>
  <c r="H1125" i="8" s="1"/>
  <c r="I1124" i="8"/>
  <c r="I1125" i="8" s="1"/>
  <c r="H62" i="10"/>
  <c r="C63" i="10" s="1"/>
  <c r="B96" i="7"/>
  <c r="B97" i="6"/>
  <c r="A1164" i="8"/>
  <c r="F63" i="10" l="1"/>
  <c r="E63" i="10"/>
  <c r="G63" i="10" s="1"/>
  <c r="S98" i="6"/>
  <c r="A98" i="7"/>
  <c r="A99" i="6"/>
  <c r="U98" i="6"/>
  <c r="Y98" i="6"/>
  <c r="T98" i="6"/>
  <c r="V98" i="6"/>
  <c r="Q1128" i="8"/>
  <c r="Q1116" i="8"/>
  <c r="X98" i="6" s="1"/>
  <c r="B97" i="7"/>
  <c r="B98" i="6"/>
  <c r="A1176" i="8"/>
  <c r="B98" i="7" l="1"/>
  <c r="B99" i="6"/>
  <c r="V99" i="6"/>
  <c r="T99" i="6"/>
  <c r="A99" i="7"/>
  <c r="U99" i="6"/>
  <c r="X99" i="6"/>
  <c r="S99" i="6"/>
  <c r="A100" i="6"/>
  <c r="I1136" i="8"/>
  <c r="I1137" i="8" s="1"/>
  <c r="R1128" i="8"/>
  <c r="Y99" i="6" s="1"/>
  <c r="I1148" i="8"/>
  <c r="I1149" i="8" s="1"/>
  <c r="H1136" i="8"/>
  <c r="H1137" i="8" s="1"/>
  <c r="H63" i="10"/>
  <c r="C64" i="10" s="1"/>
  <c r="A1188" i="8"/>
  <c r="A100" i="7" l="1"/>
  <c r="A101" i="6"/>
  <c r="U100" i="6"/>
  <c r="V100" i="6"/>
  <c r="S100" i="6"/>
  <c r="T100" i="6"/>
  <c r="Q1140" i="8"/>
  <c r="X100" i="6" s="1"/>
  <c r="H1148" i="8"/>
  <c r="H1149" i="8" s="1"/>
  <c r="R1140" i="8"/>
  <c r="Y100" i="6" s="1"/>
  <c r="A1200" i="8"/>
  <c r="B100" i="6"/>
  <c r="B99" i="7"/>
  <c r="E64" i="10"/>
  <c r="G64" i="10" s="1"/>
  <c r="H64" i="10" s="1"/>
  <c r="F64" i="10"/>
  <c r="C65" i="10"/>
  <c r="H1160" i="8"/>
  <c r="H1161" i="8" s="1"/>
  <c r="C66" i="10" l="1"/>
  <c r="F65" i="10"/>
  <c r="E65" i="10"/>
  <c r="G65" i="10" s="1"/>
  <c r="H65" i="10" s="1"/>
  <c r="B100" i="7"/>
  <c r="B101" i="6"/>
  <c r="A1212" i="8"/>
  <c r="T101" i="6"/>
  <c r="A101" i="7"/>
  <c r="V101" i="6"/>
  <c r="A102" i="6"/>
  <c r="S101" i="6"/>
  <c r="U101" i="6"/>
  <c r="Q1152" i="8"/>
  <c r="X101" i="6" s="1"/>
  <c r="I1160" i="8"/>
  <c r="I1161" i="8" s="1"/>
  <c r="R1152" i="8"/>
  <c r="Y101" i="6" s="1"/>
  <c r="I1172" i="8" l="1"/>
  <c r="I1173" i="8" s="1"/>
  <c r="S102" i="6"/>
  <c r="V102" i="6"/>
  <c r="A102" i="7"/>
  <c r="T102" i="6"/>
  <c r="A103" i="6"/>
  <c r="U102" i="6"/>
  <c r="Q1164" i="8"/>
  <c r="X102" i="6" s="1"/>
  <c r="R1176" i="8"/>
  <c r="B101" i="7"/>
  <c r="B102" i="6"/>
  <c r="E66" i="10"/>
  <c r="G66" i="10" s="1"/>
  <c r="H66" i="10" s="1"/>
  <c r="C67" i="10"/>
  <c r="F66" i="10"/>
  <c r="H1172" i="8"/>
  <c r="H1173" i="8" s="1"/>
  <c r="I1184" i="8"/>
  <c r="I1185" i="8" s="1"/>
  <c r="R1164" i="8"/>
  <c r="Y102" i="6" s="1"/>
  <c r="A1224" i="8"/>
  <c r="A1236" i="8" l="1"/>
  <c r="B102" i="7"/>
  <c r="B103" i="6"/>
  <c r="H1184" i="8"/>
  <c r="H1185" i="8" s="1"/>
  <c r="F67" i="10"/>
  <c r="E67" i="10"/>
  <c r="G67" i="10" s="1"/>
  <c r="H67" i="10" s="1"/>
  <c r="C68" i="10" s="1"/>
  <c r="V103" i="6"/>
  <c r="A104" i="6"/>
  <c r="S103" i="6"/>
  <c r="U103" i="6"/>
  <c r="A103" i="7"/>
  <c r="Y103" i="6"/>
  <c r="T103" i="6"/>
  <c r="Q1176" i="8"/>
  <c r="X103" i="6" s="1"/>
  <c r="R1188" i="8"/>
  <c r="E68" i="10" l="1"/>
  <c r="G68" i="10" s="1"/>
  <c r="F68" i="10"/>
  <c r="A104" i="7"/>
  <c r="A105" i="6"/>
  <c r="Y104" i="6"/>
  <c r="U104" i="6"/>
  <c r="T104" i="6"/>
  <c r="V104" i="6"/>
  <c r="S104" i="6"/>
  <c r="H1196" i="8"/>
  <c r="H1197" i="8" s="1"/>
  <c r="H1220" i="8"/>
  <c r="H1221" i="8" s="1"/>
  <c r="I1220" i="8"/>
  <c r="I1221" i="8" s="1"/>
  <c r="R1200" i="8"/>
  <c r="I1196" i="8"/>
  <c r="I1197" i="8" s="1"/>
  <c r="J1220" i="8"/>
  <c r="J1221" i="8" s="1"/>
  <c r="G1220" i="8"/>
  <c r="G1221" i="8" s="1"/>
  <c r="I1208" i="8"/>
  <c r="I1209" i="8" s="1"/>
  <c r="Q1188" i="8"/>
  <c r="X104" i="6" s="1"/>
  <c r="H1232" i="8"/>
  <c r="H1233" i="8" s="1"/>
  <c r="B104" i="6"/>
  <c r="B103" i="7"/>
  <c r="A1248" i="8"/>
  <c r="J1244" i="8"/>
  <c r="J1245" i="8" s="1"/>
  <c r="H1244" i="8"/>
  <c r="H1245" i="8" s="1"/>
  <c r="I1244" i="8"/>
  <c r="I1245" i="8" s="1"/>
  <c r="G1244" i="8"/>
  <c r="G1245" i="8" s="1"/>
  <c r="I1232" i="8"/>
  <c r="I1233" i="8" s="1"/>
  <c r="H1208" i="8"/>
  <c r="H1209" i="8" s="1"/>
  <c r="I1256" i="8" l="1"/>
  <c r="I1257" i="8" s="1"/>
  <c r="G1256" i="8"/>
  <c r="G1257" i="8" s="1"/>
  <c r="H1256" i="8"/>
  <c r="H1257" i="8" s="1"/>
  <c r="J1256" i="8"/>
  <c r="J1257" i="8" s="1"/>
  <c r="A1260" i="8"/>
  <c r="B104" i="7"/>
  <c r="B105" i="6"/>
  <c r="T105" i="6"/>
  <c r="U105" i="6"/>
  <c r="A105" i="7"/>
  <c r="V105" i="6"/>
  <c r="S105" i="6"/>
  <c r="A106" i="6"/>
  <c r="Y105" i="6"/>
  <c r="Q1200" i="8"/>
  <c r="X105" i="6" s="1"/>
  <c r="G1232" i="8"/>
  <c r="G1233" i="8" s="1"/>
  <c r="J1232" i="8"/>
  <c r="J1233" i="8" s="1"/>
  <c r="H68" i="10"/>
  <c r="C69" i="10" s="1"/>
  <c r="H1268" i="8" l="1"/>
  <c r="H1269" i="8" s="1"/>
  <c r="A1272" i="8"/>
  <c r="J1268" i="8"/>
  <c r="J1269" i="8" s="1"/>
  <c r="G1268" i="8"/>
  <c r="G1269" i="8" s="1"/>
  <c r="I1268" i="8"/>
  <c r="I1269" i="8" s="1"/>
  <c r="S106" i="6"/>
  <c r="A106" i="7"/>
  <c r="U106" i="6"/>
  <c r="A107" i="6"/>
  <c r="V106" i="6"/>
  <c r="T106" i="6"/>
  <c r="Q1212" i="8"/>
  <c r="X106" i="6" s="1"/>
  <c r="R1212" i="8"/>
  <c r="Y106" i="6" s="1"/>
  <c r="R1224" i="8"/>
  <c r="F69" i="10"/>
  <c r="E69" i="10"/>
  <c r="G69" i="10" s="1"/>
  <c r="H69" i="10" s="1"/>
  <c r="C70" i="10" s="1"/>
  <c r="B105" i="7"/>
  <c r="B106" i="6"/>
  <c r="E70" i="10" l="1"/>
  <c r="G70" i="10" s="1"/>
  <c r="H70" i="10" s="1"/>
  <c r="C71" i="10"/>
  <c r="F70" i="10"/>
  <c r="B106" i="7"/>
  <c r="B107" i="6"/>
  <c r="V107" i="6"/>
  <c r="A107" i="7"/>
  <c r="U107" i="6"/>
  <c r="Y107" i="6"/>
  <c r="T107" i="6"/>
  <c r="A108" i="6"/>
  <c r="S107" i="6"/>
  <c r="Q1224" i="8"/>
  <c r="X107" i="6" s="1"/>
  <c r="G1280" i="8"/>
  <c r="G1281" i="8" s="1"/>
  <c r="I1280" i="8"/>
  <c r="I1281" i="8" s="1"/>
  <c r="A1284" i="8"/>
  <c r="J1280" i="8"/>
  <c r="J1281" i="8" s="1"/>
  <c r="H1280" i="8"/>
  <c r="H1281" i="8" s="1"/>
  <c r="F71" i="10" l="1"/>
  <c r="E71" i="10"/>
  <c r="G71" i="10" s="1"/>
  <c r="A108" i="7"/>
  <c r="A109" i="6"/>
  <c r="U108" i="6"/>
  <c r="S108" i="6"/>
  <c r="V108" i="6"/>
  <c r="T108" i="6"/>
  <c r="Q1236" i="8"/>
  <c r="X108" i="6" s="1"/>
  <c r="R1248" i="8"/>
  <c r="R1236" i="8"/>
  <c r="Y108" i="6" s="1"/>
  <c r="B108" i="6"/>
  <c r="B107" i="7"/>
  <c r="I1292" i="8"/>
  <c r="I1293" i="8" s="1"/>
  <c r="H1292" i="8"/>
  <c r="H1293" i="8" s="1"/>
  <c r="J1292" i="8"/>
  <c r="J1293" i="8" s="1"/>
  <c r="G1292" i="8"/>
  <c r="G1293" i="8" s="1"/>
  <c r="H71" i="10" l="1"/>
  <c r="C72" i="10" s="1"/>
  <c r="B109" i="6"/>
  <c r="B108" i="7"/>
  <c r="T109" i="6"/>
  <c r="A109" i="7"/>
  <c r="A110" i="6"/>
  <c r="Y109" i="6"/>
  <c r="S109" i="6"/>
  <c r="V109" i="6"/>
  <c r="U109" i="6"/>
  <c r="Q1260" i="8"/>
  <c r="R1260" i="8"/>
  <c r="Q1248" i="8"/>
  <c r="X109" i="6" s="1"/>
  <c r="B109" i="7" l="1"/>
  <c r="B110" i="6"/>
  <c r="E72" i="10"/>
  <c r="G72" i="10" s="1"/>
  <c r="H72" i="10" s="1"/>
  <c r="F72" i="10"/>
  <c r="C73" i="10"/>
  <c r="S110" i="6"/>
  <c r="Y110" i="6"/>
  <c r="T110" i="6"/>
  <c r="A111" i="6"/>
  <c r="R1284" i="8" s="1"/>
  <c r="X110" i="6"/>
  <c r="A110" i="7"/>
  <c r="V110" i="6"/>
  <c r="U110" i="6"/>
  <c r="Q1284" i="8"/>
  <c r="B111" i="6" l="1"/>
  <c r="B111" i="7" s="1"/>
  <c r="B110" i="7"/>
  <c r="P1284" i="8"/>
  <c r="F73" i="10"/>
  <c r="E73" i="10"/>
  <c r="G73" i="10" s="1"/>
  <c r="H73" i="10" s="1"/>
  <c r="C74" i="10" s="1"/>
  <c r="S1284" i="8"/>
  <c r="V111" i="6"/>
  <c r="U111" i="6"/>
  <c r="T111" i="6"/>
  <c r="S111" i="6"/>
  <c r="A111" i="7"/>
  <c r="R1272" i="8"/>
  <c r="Y111" i="6" s="1"/>
  <c r="Q1272" i="8"/>
  <c r="X111" i="6" s="1"/>
  <c r="F74" i="10" l="1"/>
  <c r="E74" i="10"/>
  <c r="G74" i="10" s="1"/>
  <c r="H74" i="10" s="1"/>
  <c r="C75" i="10" s="1"/>
  <c r="F75" i="10" l="1"/>
  <c r="E75" i="10"/>
  <c r="G75" i="10" s="1"/>
  <c r="H75" i="10" l="1"/>
  <c r="C76" i="10" s="1"/>
  <c r="E76" i="10" l="1"/>
  <c r="G76" i="10" s="1"/>
  <c r="H76" i="10" s="1"/>
  <c r="C77" i="10"/>
  <c r="F76" i="10"/>
  <c r="F77" i="10" l="1"/>
  <c r="E77" i="10"/>
  <c r="G77" i="10" s="1"/>
  <c r="H77" i="10" l="1"/>
  <c r="C78" i="10" s="1"/>
  <c r="F78" i="10" l="1"/>
  <c r="E78" i="10"/>
  <c r="G78" i="10" s="1"/>
  <c r="H78" i="10" s="1"/>
  <c r="C79" i="10" s="1"/>
  <c r="F79" i="10" l="1"/>
  <c r="E79" i="10"/>
  <c r="G79" i="10" s="1"/>
  <c r="H79" i="10" l="1"/>
  <c r="C80" i="10" s="1"/>
  <c r="E80" i="10" l="1"/>
  <c r="G80" i="10" s="1"/>
  <c r="F80" i="10"/>
  <c r="H80" i="10" l="1"/>
  <c r="C81" i="10" s="1"/>
  <c r="F81" i="10" l="1"/>
  <c r="E81" i="10"/>
  <c r="G81" i="10" s="1"/>
  <c r="H81" i="10" s="1"/>
  <c r="C82" i="10" s="1"/>
  <c r="F82" i="10" l="1"/>
  <c r="E82" i="10"/>
  <c r="G82" i="10" s="1"/>
  <c r="H82" i="10" s="1"/>
  <c r="C83" i="10"/>
  <c r="F83" i="10" l="1"/>
  <c r="E83" i="10"/>
  <c r="G83" i="10" s="1"/>
  <c r="H83" i="10" s="1"/>
  <c r="C84" i="10" s="1"/>
  <c r="E84" i="10" l="1"/>
  <c r="G84" i="10" s="1"/>
  <c r="F84" i="10"/>
  <c r="H84" i="10" l="1"/>
  <c r="C85" i="10" s="1"/>
  <c r="F85" i="10" l="1"/>
  <c r="E85" i="10"/>
  <c r="G85" i="10" s="1"/>
  <c r="H85" i="10" s="1"/>
  <c r="C86" i="10" s="1"/>
  <c r="F86" i="10" l="1"/>
  <c r="E86" i="10"/>
  <c r="G86" i="10" s="1"/>
  <c r="H86" i="10" s="1"/>
  <c r="C87" i="10"/>
  <c r="F87" i="10" l="1"/>
  <c r="E87" i="10"/>
  <c r="G87" i="10" s="1"/>
  <c r="H87" i="10" l="1"/>
  <c r="C88" i="10" s="1"/>
  <c r="E88" i="10" l="1"/>
  <c r="G88" i="10" s="1"/>
  <c r="F88" i="10"/>
  <c r="H88" i="10" l="1"/>
  <c r="C89" i="10" s="1"/>
  <c r="F89" i="10" l="1"/>
  <c r="E89" i="10"/>
  <c r="G89" i="10" s="1"/>
  <c r="H89" i="10" s="1"/>
  <c r="C90" i="10" s="1"/>
  <c r="F90" i="10" l="1"/>
  <c r="E90" i="10"/>
  <c r="G90" i="10" s="1"/>
  <c r="H90" i="10" s="1"/>
  <c r="C91" i="10" s="1"/>
  <c r="F91" i="10" l="1"/>
  <c r="E91" i="10"/>
  <c r="G91" i="10" s="1"/>
  <c r="H91" i="10" s="1"/>
  <c r="C92" i="10" s="1"/>
  <c r="E92" i="10" l="1"/>
  <c r="G92" i="10" s="1"/>
  <c r="F92" i="10"/>
  <c r="H92" i="10" l="1"/>
  <c r="C93" i="10" s="1"/>
  <c r="F93" i="10" l="1"/>
  <c r="E93" i="10"/>
  <c r="G93" i="10" s="1"/>
  <c r="H93" i="10" s="1"/>
  <c r="C94" i="10" s="1"/>
  <c r="F94" i="10" l="1"/>
  <c r="E94" i="10"/>
  <c r="G94" i="10" s="1"/>
  <c r="H94" i="10" s="1"/>
  <c r="C95" i="10"/>
  <c r="F95" i="10" l="1"/>
  <c r="E95" i="10"/>
  <c r="G95" i="10" s="1"/>
  <c r="H95" i="10" s="1"/>
  <c r="C96" i="10" s="1"/>
  <c r="E96" i="10" l="1"/>
  <c r="G96" i="10" s="1"/>
  <c r="F96" i="10"/>
  <c r="H96" i="10" l="1"/>
  <c r="C97" i="10" s="1"/>
  <c r="F97" i="10" l="1"/>
  <c r="E97" i="10"/>
  <c r="G97" i="10" s="1"/>
  <c r="H97" i="10" s="1"/>
  <c r="C98" i="10" s="1"/>
  <c r="F98" i="10" l="1"/>
  <c r="E98" i="10"/>
  <c r="G98" i="10" s="1"/>
  <c r="H98" i="10" s="1"/>
  <c r="C99" i="10"/>
  <c r="F99" i="10" l="1"/>
  <c r="E99" i="10"/>
  <c r="G99" i="10" s="1"/>
  <c r="H99" i="10" s="1"/>
  <c r="C100" i="10" s="1"/>
  <c r="E100" i="10" l="1"/>
  <c r="G100" i="10" s="1"/>
  <c r="H100" i="10" s="1"/>
  <c r="C101" i="10" s="1"/>
  <c r="F100" i="10"/>
  <c r="F101" i="10" l="1"/>
  <c r="E101" i="10"/>
  <c r="G101" i="10" s="1"/>
  <c r="H101" i="10" s="1"/>
  <c r="C102" i="10" s="1"/>
  <c r="F102" i="10" l="1"/>
  <c r="E102" i="10"/>
  <c r="G102" i="10" s="1"/>
  <c r="H102" i="10" s="1"/>
  <c r="C103" i="10"/>
  <c r="F103" i="10" l="1"/>
  <c r="E103" i="10"/>
  <c r="G103" i="10" s="1"/>
  <c r="H103" i="10" s="1"/>
  <c r="C104" i="10" s="1"/>
  <c r="E104" i="10" l="1"/>
  <c r="G104" i="10" s="1"/>
  <c r="F104" i="10"/>
  <c r="H104" i="10" l="1"/>
  <c r="C105" i="10" s="1"/>
  <c r="F105" i="10" l="1"/>
  <c r="E105" i="10"/>
  <c r="G105" i="10" s="1"/>
  <c r="H105" i="10" s="1"/>
  <c r="C106" i="10" s="1"/>
  <c r="F106" i="10" l="1"/>
  <c r="E106" i="10"/>
  <c r="G106" i="10" s="1"/>
  <c r="H106" i="10" s="1"/>
  <c r="C107" i="10" s="1"/>
  <c r="F107" i="10" l="1"/>
  <c r="E107" i="10"/>
  <c r="G107" i="10" s="1"/>
  <c r="H107" i="10" s="1"/>
  <c r="C108" i="10" s="1"/>
  <c r="E108" i="10" l="1"/>
  <c r="G108" i="10" s="1"/>
  <c r="F108" i="10"/>
  <c r="H108" i="10" l="1"/>
  <c r="C109" i="10" s="1"/>
  <c r="F109" i="10" l="1"/>
  <c r="E109" i="10"/>
  <c r="G109" i="10" s="1"/>
  <c r="H109" i="10" s="1"/>
  <c r="C110" i="10" s="1"/>
  <c r="F110" i="10" l="1"/>
  <c r="E110" i="10"/>
  <c r="G110" i="10" s="1"/>
  <c r="H110" i="10" s="1"/>
  <c r="C111" i="10"/>
  <c r="F111" i="10" l="1"/>
  <c r="E111" i="10"/>
  <c r="G111" i="10" s="1"/>
  <c r="H111" i="10" s="1"/>
  <c r="C112" i="10" s="1"/>
  <c r="E112" i="10" l="1"/>
  <c r="G112" i="10" s="1"/>
  <c r="F112" i="10"/>
  <c r="H112" i="10" l="1"/>
  <c r="C113" i="10" s="1"/>
  <c r="F113" i="10" l="1"/>
  <c r="E113" i="10"/>
  <c r="G113" i="10" s="1"/>
  <c r="H113" i="10" s="1"/>
  <c r="C114" i="10" s="1"/>
  <c r="F114" i="10" l="1"/>
  <c r="E114" i="10"/>
  <c r="G114" i="10" s="1"/>
  <c r="H114" i="10" s="1"/>
  <c r="C115" i="10"/>
  <c r="F115" i="10" l="1"/>
  <c r="E115" i="10"/>
  <c r="G115" i="10" s="1"/>
  <c r="H115" i="10" l="1"/>
  <c r="C116" i="10" s="1"/>
  <c r="E116" i="10" l="1"/>
  <c r="G116" i="10" s="1"/>
  <c r="F116" i="10"/>
  <c r="H116" i="10" l="1"/>
  <c r="C117" i="10" s="1"/>
  <c r="F117" i="10" l="1"/>
  <c r="E117" i="10"/>
  <c r="G117" i="10" s="1"/>
  <c r="H117" i="10" s="1"/>
  <c r="C118" i="10" s="1"/>
  <c r="F118" i="10" l="1"/>
  <c r="E118" i="10"/>
  <c r="G118" i="10" s="1"/>
  <c r="H118" i="10" s="1"/>
  <c r="C119" i="10"/>
  <c r="F119" i="10" l="1"/>
  <c r="E119" i="10"/>
  <c r="G119" i="10" s="1"/>
  <c r="H119" i="10" s="1"/>
  <c r="C120" i="10" s="1"/>
  <c r="E120" i="10" l="1"/>
  <c r="G120" i="10" s="1"/>
  <c r="F120" i="10"/>
  <c r="H120" i="10" l="1"/>
  <c r="C121" i="10" s="1"/>
  <c r="F121" i="10" l="1"/>
  <c r="E121" i="10"/>
  <c r="G121" i="10" s="1"/>
  <c r="H121" i="10" s="1"/>
  <c r="C122" i="10" s="1"/>
  <c r="F122" i="10" l="1"/>
  <c r="E122" i="10"/>
  <c r="G122" i="10" s="1"/>
  <c r="H122" i="10" s="1"/>
  <c r="C123" i="10"/>
  <c r="F123" i="10" l="1"/>
  <c r="E123" i="10"/>
  <c r="G123" i="10" s="1"/>
  <c r="H123" i="10" l="1"/>
  <c r="C124" i="10" s="1"/>
  <c r="E124" i="10" l="1"/>
  <c r="G124" i="10" s="1"/>
  <c r="F124" i="10"/>
  <c r="H124" i="10" l="1"/>
  <c r="C125" i="10" s="1"/>
  <c r="F125" i="10" l="1"/>
  <c r="E125" i="10"/>
  <c r="G125" i="10" s="1"/>
  <c r="H125" i="10" s="1"/>
  <c r="C126" i="10" s="1"/>
  <c r="F126" i="10" l="1"/>
  <c r="E126" i="10"/>
  <c r="G126" i="10" s="1"/>
  <c r="H126" i="10" s="1"/>
  <c r="C127" i="10" s="1"/>
  <c r="F127" i="10" l="1"/>
  <c r="E127" i="10"/>
  <c r="G127" i="10" s="1"/>
  <c r="H127" i="10" s="1"/>
  <c r="C128" i="10" s="1"/>
  <c r="E128" i="10" l="1"/>
  <c r="G128" i="10" s="1"/>
  <c r="F128" i="10"/>
  <c r="H128" i="10" l="1"/>
  <c r="C129" i="10" s="1"/>
  <c r="F129" i="10" l="1"/>
  <c r="E129" i="10"/>
  <c r="G129" i="10" s="1"/>
  <c r="H129" i="10" s="1"/>
  <c r="C130" i="10" s="1"/>
  <c r="F130" i="10" l="1"/>
  <c r="E130" i="10"/>
  <c r="G130" i="10" s="1"/>
  <c r="H130" i="10" s="1"/>
  <c r="C131" i="10"/>
  <c r="F131" i="10" l="1"/>
  <c r="E131" i="10"/>
  <c r="G131" i="10" s="1"/>
  <c r="H131" i="10" s="1"/>
  <c r="C132" i="10" s="1"/>
  <c r="E132" i="10" l="1"/>
  <c r="G132" i="10" s="1"/>
  <c r="F132" i="10"/>
  <c r="H132" i="10" l="1"/>
  <c r="C133" i="10" s="1"/>
  <c r="F133" i="10" l="1"/>
  <c r="E133" i="10"/>
  <c r="G133" i="10" s="1"/>
  <c r="H133" i="10" s="1"/>
  <c r="C134" i="10" s="1"/>
  <c r="F134" i="10" l="1"/>
  <c r="E134" i="10"/>
  <c r="G134" i="10" s="1"/>
  <c r="H134" i="10" s="1"/>
  <c r="C135" i="10"/>
  <c r="F135" i="10" l="1"/>
  <c r="E135" i="10"/>
  <c r="G135" i="10" s="1"/>
  <c r="H135" i="10" s="1"/>
  <c r="C136" i="10" s="1"/>
  <c r="E136" i="10" l="1"/>
  <c r="G136" i="10" s="1"/>
  <c r="F136" i="10"/>
  <c r="H136" i="10" l="1"/>
  <c r="C137" i="10" s="1"/>
  <c r="F137" i="10" l="1"/>
  <c r="E137" i="10"/>
  <c r="G137" i="10" s="1"/>
  <c r="H137" i="10" s="1"/>
  <c r="C138" i="10" s="1"/>
  <c r="E138" i="10" l="1"/>
  <c r="G138" i="10" s="1"/>
  <c r="F138" i="10"/>
  <c r="H138" i="10" l="1"/>
  <c r="C139" i="10" s="1"/>
  <c r="E139" i="10" l="1"/>
  <c r="G139" i="10" s="1"/>
  <c r="F139" i="10"/>
  <c r="H139" i="10" l="1"/>
  <c r="C140" i="10" s="1"/>
  <c r="E140" i="10" l="1"/>
  <c r="G140" i="10" s="1"/>
  <c r="H140" i="10" s="1"/>
  <c r="C141" i="10" s="1"/>
  <c r="F140" i="10"/>
  <c r="E141" i="10" l="1"/>
  <c r="G141" i="10" s="1"/>
  <c r="H141" i="10" s="1"/>
  <c r="C142" i="10" s="1"/>
  <c r="F141" i="10"/>
  <c r="E142" i="10" l="1"/>
  <c r="G142" i="10" s="1"/>
  <c r="F142" i="10"/>
  <c r="H142" i="10" l="1"/>
  <c r="C143" i="10" s="1"/>
  <c r="F143" i="10" l="1"/>
  <c r="E143" i="10"/>
  <c r="G143" i="10" s="1"/>
  <c r="H143" i="10" s="1"/>
  <c r="C144" i="10" s="1"/>
  <c r="E144" i="10" l="1"/>
  <c r="G144" i="10" s="1"/>
  <c r="F144" i="10"/>
  <c r="H144" i="10" l="1"/>
  <c r="C145" i="10" s="1"/>
  <c r="F145" i="10" l="1"/>
  <c r="E145" i="10"/>
  <c r="G145" i="10" s="1"/>
  <c r="H145" i="10" s="1"/>
  <c r="C146" i="10" s="1"/>
  <c r="E146" i="10" l="1"/>
  <c r="G146" i="10" s="1"/>
  <c r="F146" i="10"/>
  <c r="H146" i="10" l="1"/>
  <c r="C147" i="10" s="1"/>
  <c r="E147" i="10" l="1"/>
  <c r="G147" i="10" s="1"/>
  <c r="F147" i="10"/>
  <c r="H147" i="10" l="1"/>
  <c r="C148" i="10" s="1"/>
  <c r="E148" i="10" l="1"/>
  <c r="G148" i="10" s="1"/>
  <c r="H148" i="10" s="1"/>
  <c r="C149" i="10" s="1"/>
  <c r="F148" i="10"/>
  <c r="F149" i="10" l="1"/>
  <c r="E149" i="10"/>
  <c r="G149" i="10" s="1"/>
  <c r="H149" i="10" s="1"/>
  <c r="C150" i="10" s="1"/>
  <c r="E150" i="10" l="1"/>
  <c r="G150" i="10" s="1"/>
  <c r="F150" i="10"/>
  <c r="H150" i="10" l="1"/>
  <c r="C151" i="10" s="1"/>
  <c r="F151" i="10" l="1"/>
  <c r="E151" i="10"/>
  <c r="G151" i="10" s="1"/>
  <c r="H151" i="10" s="1"/>
  <c r="C152" i="10" s="1"/>
  <c r="E152" i="10" l="1"/>
  <c r="G152" i="10" s="1"/>
  <c r="F152" i="10"/>
  <c r="H152" i="10" l="1"/>
  <c r="C153" i="10" s="1"/>
  <c r="F153" i="10" l="1"/>
  <c r="E153" i="10"/>
  <c r="G153" i="10" s="1"/>
  <c r="H153" i="10" s="1"/>
  <c r="C154" i="10" s="1"/>
  <c r="E154" i="10" l="1"/>
  <c r="G154" i="10" s="1"/>
  <c r="F154" i="10"/>
  <c r="H154" i="10" l="1"/>
  <c r="C155" i="10" s="1"/>
  <c r="E155" i="10" l="1"/>
  <c r="G155" i="10" s="1"/>
  <c r="F155" i="10"/>
  <c r="H155" i="10" l="1"/>
  <c r="C156" i="10" s="1"/>
  <c r="E156" i="10" l="1"/>
  <c r="G156" i="10" s="1"/>
  <c r="F156" i="10"/>
  <c r="H156" i="10" l="1"/>
  <c r="C157" i="10" s="1"/>
  <c r="E157" i="10" l="1"/>
  <c r="G157" i="10" s="1"/>
  <c r="F157" i="10"/>
  <c r="H157" i="10" l="1"/>
  <c r="C158" i="10" s="1"/>
  <c r="E158" i="10" l="1"/>
  <c r="G158" i="10" s="1"/>
  <c r="F158" i="10"/>
  <c r="H158" i="10" l="1"/>
  <c r="C159" i="10" s="1"/>
  <c r="F159" i="10" l="1"/>
  <c r="E159" i="10"/>
  <c r="G159" i="10" s="1"/>
  <c r="H159" i="10" s="1"/>
  <c r="C160" i="10" s="1"/>
  <c r="E160" i="10" l="1"/>
  <c r="G160" i="10" s="1"/>
  <c r="F160" i="10"/>
  <c r="H160" i="10" l="1"/>
  <c r="C161" i="10" s="1"/>
  <c r="F161" i="10" l="1"/>
  <c r="E161" i="10"/>
  <c r="G161" i="10" s="1"/>
  <c r="H161" i="10" s="1"/>
  <c r="C162" i="10" s="1"/>
  <c r="E162" i="10" l="1"/>
  <c r="G162" i="10" s="1"/>
  <c r="F162" i="10"/>
  <c r="H162" i="10" l="1"/>
  <c r="C163" i="10" s="1"/>
  <c r="E163" i="10" l="1"/>
  <c r="G163" i="10" s="1"/>
  <c r="F163" i="10"/>
  <c r="H163" i="10" l="1"/>
  <c r="C164" i="10" s="1"/>
  <c r="E164" i="10" l="1"/>
  <c r="G164" i="10" s="1"/>
  <c r="F164" i="10"/>
  <c r="H164" i="10" l="1"/>
  <c r="C165" i="10" s="1"/>
  <c r="F165" i="10" l="1"/>
  <c r="E165" i="10"/>
  <c r="G165" i="10" s="1"/>
  <c r="H165" i="10" s="1"/>
  <c r="C166" i="10" s="1"/>
  <c r="F166" i="10" l="1"/>
  <c r="E166" i="10"/>
  <c r="G166" i="10" s="1"/>
  <c r="H166" i="10" s="1"/>
  <c r="C167" i="10" s="1"/>
  <c r="F167" i="10" l="1"/>
  <c r="E167" i="10"/>
  <c r="G167" i="10" s="1"/>
  <c r="H167" i="10" l="1"/>
  <c r="C168" i="10" s="1"/>
  <c r="F168" i="10" l="1"/>
  <c r="E168" i="10"/>
  <c r="G168" i="10" s="1"/>
  <c r="H168" i="10" s="1"/>
  <c r="C169" i="10" s="1"/>
  <c r="F169" i="10" l="1"/>
  <c r="E169" i="10"/>
  <c r="G169" i="10" s="1"/>
  <c r="H169" i="10" s="1"/>
  <c r="C170" i="10" s="1"/>
  <c r="F170" i="10" l="1"/>
  <c r="E170" i="10"/>
  <c r="G170" i="10" s="1"/>
  <c r="H170" i="10" l="1"/>
  <c r="C171" i="10" s="1"/>
  <c r="F171" i="10" l="1"/>
  <c r="E171" i="10"/>
  <c r="G171" i="10" s="1"/>
  <c r="H171" i="10" s="1"/>
  <c r="C172" i="10" s="1"/>
  <c r="F172" i="10" l="1"/>
  <c r="E172" i="10"/>
  <c r="G172" i="10" s="1"/>
  <c r="H172" i="10" s="1"/>
  <c r="C173" i="10" s="1"/>
  <c r="F173" i="10" l="1"/>
  <c r="E173" i="10"/>
  <c r="G173" i="10" s="1"/>
  <c r="H173" i="10" s="1"/>
  <c r="C174" i="10" s="1"/>
  <c r="F174" i="10" l="1"/>
  <c r="E174" i="10"/>
  <c r="G174" i="10" s="1"/>
  <c r="H174" i="10" s="1"/>
  <c r="C175" i="10" s="1"/>
  <c r="F175" i="10" l="1"/>
  <c r="E175" i="10"/>
  <c r="G175" i="10" s="1"/>
  <c r="H175" i="10" s="1"/>
  <c r="C176" i="10" s="1"/>
  <c r="F176" i="10" l="1"/>
  <c r="E176" i="10"/>
  <c r="G176" i="10" s="1"/>
  <c r="H176" i="10" l="1"/>
  <c r="C177" i="10" s="1"/>
  <c r="F177" i="10" l="1"/>
  <c r="E177" i="10"/>
  <c r="G177" i="10" s="1"/>
  <c r="H177" i="10" s="1"/>
  <c r="C178" i="10" s="1"/>
  <c r="F178" i="10" l="1"/>
  <c r="E178" i="10"/>
  <c r="G178" i="10" s="1"/>
  <c r="H178" i="10" l="1"/>
  <c r="C179" i="10" s="1"/>
  <c r="F179" i="10" l="1"/>
  <c r="E179" i="10"/>
  <c r="G179" i="10" s="1"/>
  <c r="H179" i="10" s="1"/>
  <c r="C180" i="10" s="1"/>
  <c r="F180" i="10" l="1"/>
  <c r="E180" i="10"/>
  <c r="G180" i="10" s="1"/>
  <c r="H180" i="10" s="1"/>
  <c r="C181" i="10" s="1"/>
  <c r="F181" i="10" l="1"/>
  <c r="E181" i="10"/>
  <c r="G181" i="10" s="1"/>
  <c r="H181" i="10" s="1"/>
  <c r="C182" i="10" s="1"/>
  <c r="F182" i="10" l="1"/>
  <c r="E182" i="10"/>
  <c r="G182" i="10" s="1"/>
  <c r="H182" i="10" l="1"/>
  <c r="C183" i="10" s="1"/>
  <c r="F183" i="10" l="1"/>
  <c r="E183" i="10"/>
  <c r="G183" i="10" s="1"/>
  <c r="H183" i="10" s="1"/>
  <c r="C184" i="10" s="1"/>
  <c r="F184" i="10" l="1"/>
  <c r="E184" i="10"/>
  <c r="G184" i="10" s="1"/>
  <c r="H184" i="10" s="1"/>
  <c r="C185" i="10" s="1"/>
  <c r="F185" i="10" l="1"/>
  <c r="E185" i="10"/>
  <c r="G185" i="10" s="1"/>
  <c r="H185" i="10" s="1"/>
  <c r="C186" i="10" s="1"/>
  <c r="F186" i="10" l="1"/>
  <c r="E186" i="10"/>
  <c r="G186" i="10" s="1"/>
  <c r="H186" i="10" s="1"/>
  <c r="C187" i="10" s="1"/>
  <c r="F187" i="10" l="1"/>
  <c r="E187" i="10"/>
  <c r="G187" i="10" s="1"/>
  <c r="H187" i="10" s="1"/>
  <c r="C188" i="10" s="1"/>
  <c r="F188" i="10" l="1"/>
  <c r="E188" i="10"/>
  <c r="G188" i="10" s="1"/>
  <c r="H188" i="10" s="1"/>
  <c r="C189" i="10" s="1"/>
  <c r="F189" i="10" l="1"/>
  <c r="E189" i="10"/>
  <c r="G189" i="10" s="1"/>
  <c r="H189" i="10" s="1"/>
  <c r="C190" i="10" s="1"/>
  <c r="F190" i="10" l="1"/>
  <c r="E190" i="10"/>
  <c r="G190" i="10" s="1"/>
  <c r="H190" i="10" s="1"/>
  <c r="C191" i="10" s="1"/>
  <c r="F191" i="10" l="1"/>
  <c r="E191" i="10"/>
  <c r="G191" i="10" s="1"/>
  <c r="H191" i="10" s="1"/>
  <c r="C192" i="10" s="1"/>
  <c r="F192" i="10" l="1"/>
  <c r="E192" i="10"/>
  <c r="G192" i="10" s="1"/>
  <c r="H192" i="10" s="1"/>
  <c r="C193" i="10" s="1"/>
  <c r="F193" i="10" l="1"/>
  <c r="E193" i="10"/>
  <c r="G193" i="10" s="1"/>
  <c r="H193" i="10" s="1"/>
  <c r="C194" i="10" s="1"/>
  <c r="F194" i="10" l="1"/>
  <c r="E194" i="10"/>
  <c r="G194" i="10" s="1"/>
  <c r="H194" i="10" s="1"/>
  <c r="C195" i="10" s="1"/>
  <c r="F195" i="10" l="1"/>
  <c r="E195" i="10"/>
  <c r="G195" i="10" s="1"/>
  <c r="H195" i="10" s="1"/>
  <c r="C196" i="10" s="1"/>
  <c r="F196" i="10" l="1"/>
  <c r="E196" i="10"/>
  <c r="G196" i="10" s="1"/>
  <c r="H196" i="10" s="1"/>
  <c r="C197" i="10" s="1"/>
  <c r="F197" i="10" l="1"/>
  <c r="E197" i="10"/>
  <c r="G197" i="10" s="1"/>
  <c r="H197" i="10" s="1"/>
  <c r="C198" i="10" s="1"/>
  <c r="F198" i="10" l="1"/>
  <c r="E198" i="10"/>
  <c r="G198" i="10" s="1"/>
  <c r="H198" i="10" s="1"/>
  <c r="C199" i="10" s="1"/>
  <c r="F199" i="10" l="1"/>
  <c r="E199" i="10"/>
  <c r="G199" i="10" s="1"/>
  <c r="H199" i="10" s="1"/>
  <c r="C200" i="10" s="1"/>
  <c r="F200" i="10" l="1"/>
  <c r="E200" i="10"/>
  <c r="G200" i="10" s="1"/>
  <c r="H200" i="10" s="1"/>
  <c r="C201" i="10" s="1"/>
  <c r="F201" i="10" l="1"/>
  <c r="E201" i="10"/>
  <c r="G201" i="10" s="1"/>
  <c r="H201" i="10" s="1"/>
  <c r="C202" i="10" s="1"/>
  <c r="F202" i="10" l="1"/>
  <c r="E202" i="10"/>
  <c r="G202" i="10" s="1"/>
  <c r="H202" i="10" s="1"/>
  <c r="C203" i="10" s="1"/>
  <c r="F203" i="10" l="1"/>
  <c r="E203" i="10"/>
  <c r="G203" i="10" s="1"/>
  <c r="H203" i="10" s="1"/>
  <c r="C204" i="10" s="1"/>
  <c r="F204" i="10" l="1"/>
  <c r="E204" i="10"/>
  <c r="G204" i="10" s="1"/>
  <c r="H204" i="10" l="1"/>
  <c r="C205" i="10" s="1"/>
  <c r="F205" i="10" l="1"/>
  <c r="E205" i="10"/>
  <c r="G205" i="10" s="1"/>
  <c r="H205" i="10" s="1"/>
  <c r="C206" i="10" s="1"/>
  <c r="F206" i="10" l="1"/>
  <c r="E206" i="10"/>
  <c r="G206" i="10" s="1"/>
  <c r="H206" i="10" s="1"/>
  <c r="C207" i="10" s="1"/>
  <c r="F207" i="10" l="1"/>
  <c r="E207" i="10"/>
  <c r="G207" i="10" s="1"/>
  <c r="H207" i="10" s="1"/>
  <c r="C208" i="10" s="1"/>
  <c r="F208" i="10" l="1"/>
  <c r="E208" i="10"/>
  <c r="G208" i="10" s="1"/>
  <c r="H208" i="10" s="1"/>
  <c r="C209" i="10" s="1"/>
  <c r="F209" i="10" l="1"/>
  <c r="E209" i="10"/>
  <c r="G209" i="10" s="1"/>
  <c r="H209" i="10" s="1"/>
  <c r="C210" i="10" s="1"/>
  <c r="F210" i="10" l="1"/>
  <c r="E210" i="10"/>
  <c r="G210" i="10" s="1"/>
  <c r="H210" i="10" s="1"/>
  <c r="C211" i="10" s="1"/>
  <c r="F211" i="10" l="1"/>
  <c r="E211" i="10"/>
  <c r="G211" i="10" s="1"/>
  <c r="H211" i="10" s="1"/>
  <c r="C212" i="10" s="1"/>
  <c r="F212" i="10" l="1"/>
  <c r="E212" i="10"/>
  <c r="G212" i="10" s="1"/>
  <c r="H212" i="10" s="1"/>
  <c r="C213" i="10" s="1"/>
  <c r="F213" i="10" l="1"/>
  <c r="E213" i="10"/>
  <c r="G213" i="10" s="1"/>
  <c r="H213" i="10" s="1"/>
  <c r="C214" i="10" s="1"/>
  <c r="F214" i="10" l="1"/>
  <c r="E214" i="10"/>
  <c r="G214" i="10" s="1"/>
  <c r="H214" i="10" s="1"/>
  <c r="C215" i="10" s="1"/>
  <c r="E215" i="10" l="1"/>
  <c r="G215" i="10" s="1"/>
  <c r="H215" i="10" s="1"/>
  <c r="C216" i="10" s="1"/>
  <c r="F215" i="10"/>
  <c r="E216" i="10" l="1"/>
  <c r="G216" i="10" s="1"/>
  <c r="F216" i="10"/>
  <c r="H216" i="10" l="1"/>
  <c r="C217" i="10" s="1"/>
  <c r="E217" i="10" l="1"/>
  <c r="G217" i="10" s="1"/>
  <c r="F217" i="10"/>
  <c r="H217" i="10" l="1"/>
  <c r="C218" i="10" s="1"/>
  <c r="F218" i="10" l="1"/>
  <c r="E218" i="10"/>
  <c r="G218" i="10" s="1"/>
  <c r="H218" i="10" s="1"/>
  <c r="C219" i="10" s="1"/>
  <c r="E219" i="10" l="1"/>
  <c r="G219" i="10" s="1"/>
  <c r="F219" i="10"/>
  <c r="H219" i="10" l="1"/>
  <c r="C220" i="10" s="1"/>
  <c r="F220" i="10" l="1"/>
  <c r="E220" i="10"/>
  <c r="G220" i="10" s="1"/>
  <c r="H220" i="10" s="1"/>
  <c r="C221" i="10"/>
  <c r="E221" i="10" l="1"/>
  <c r="G221" i="10" s="1"/>
  <c r="F221" i="10"/>
  <c r="H221" i="10" l="1"/>
  <c r="C222" i="10" s="1"/>
  <c r="F222" i="10" l="1"/>
  <c r="E222" i="10"/>
  <c r="G222" i="10" s="1"/>
  <c r="H222" i="10" s="1"/>
  <c r="C223" i="10" s="1"/>
  <c r="E223" i="10" l="1"/>
  <c r="G223" i="10" s="1"/>
  <c r="F223" i="10"/>
  <c r="H223" i="10" l="1"/>
  <c r="C224" i="10" s="1"/>
  <c r="E224" i="10" l="1"/>
  <c r="G224" i="10" s="1"/>
  <c r="F224" i="10"/>
  <c r="H224" i="10" l="1"/>
  <c r="C225" i="10" s="1"/>
  <c r="E225" i="10" l="1"/>
  <c r="G225" i="10" s="1"/>
  <c r="F225" i="10"/>
  <c r="H225" i="10" l="1"/>
  <c r="C226" i="10" s="1"/>
  <c r="F226" i="10" l="1"/>
  <c r="E226" i="10"/>
  <c r="G226" i="10" s="1"/>
  <c r="H226" i="10" s="1"/>
  <c r="C227" i="10"/>
  <c r="E227" i="10" l="1"/>
  <c r="G227" i="10" s="1"/>
  <c r="F227" i="10"/>
  <c r="H227" i="10" l="1"/>
  <c r="C228" i="10" s="1"/>
  <c r="F228" i="10" l="1"/>
  <c r="E228" i="10"/>
  <c r="G228" i="10" s="1"/>
  <c r="H228" i="10" s="1"/>
  <c r="C229" i="10" s="1"/>
  <c r="E229" i="10" l="1"/>
  <c r="G229" i="10" s="1"/>
  <c r="F229" i="10"/>
  <c r="H229" i="10" l="1"/>
  <c r="C230" i="10" s="1"/>
  <c r="F230" i="10" l="1"/>
  <c r="E230" i="10"/>
  <c r="G230" i="10" s="1"/>
  <c r="H230" i="10" s="1"/>
  <c r="C231" i="10" s="1"/>
  <c r="E231" i="10" l="1"/>
  <c r="G231" i="10" s="1"/>
  <c r="F231" i="10"/>
  <c r="H231" i="10" l="1"/>
  <c r="C232" i="10" s="1"/>
  <c r="E232" i="10" l="1"/>
  <c r="G232" i="10" s="1"/>
  <c r="F232" i="10"/>
  <c r="H232" i="10" l="1"/>
  <c r="C233" i="10" s="1"/>
  <c r="E233" i="10" l="1"/>
  <c r="G233" i="10" s="1"/>
  <c r="F233" i="10"/>
  <c r="H233" i="10" l="1"/>
  <c r="C234" i="10" s="1"/>
  <c r="F234" i="10" l="1"/>
  <c r="E234" i="10"/>
  <c r="G234" i="10" s="1"/>
  <c r="H234" i="10" s="1"/>
  <c r="C235" i="10" s="1"/>
  <c r="E235" i="10" l="1"/>
  <c r="G235" i="10" s="1"/>
  <c r="F235" i="10"/>
  <c r="H235" i="10" l="1"/>
  <c r="C236" i="10" s="1"/>
  <c r="F236" i="10" l="1"/>
  <c r="E236" i="10"/>
  <c r="G236" i="10" s="1"/>
  <c r="H236" i="10" s="1"/>
  <c r="C237" i="10"/>
  <c r="E237" i="10" l="1"/>
  <c r="G237" i="10" s="1"/>
  <c r="F237" i="10"/>
  <c r="H237" i="10" l="1"/>
  <c r="C238" i="10" s="1"/>
  <c r="F238" i="10" l="1"/>
  <c r="E238" i="10"/>
  <c r="G238" i="10" s="1"/>
  <c r="H238" i="10" s="1"/>
  <c r="C239" i="10" s="1"/>
  <c r="E239" i="10" l="1"/>
  <c r="G239" i="10" s="1"/>
  <c r="F239" i="10"/>
  <c r="H239" i="10" l="1"/>
  <c r="C240" i="10" s="1"/>
  <c r="E240" i="10" l="1"/>
  <c r="G240" i="10" s="1"/>
  <c r="F240" i="10"/>
  <c r="H240" i="10" l="1"/>
  <c r="C241" i="10" s="1"/>
  <c r="E241" i="10" l="1"/>
  <c r="G241" i="10" s="1"/>
  <c r="F241" i="10"/>
  <c r="H241" i="10" l="1"/>
  <c r="C242" i="10" s="1"/>
  <c r="F242" i="10" l="1"/>
  <c r="E242" i="10"/>
  <c r="G242" i="10" s="1"/>
  <c r="H242" i="10" s="1"/>
  <c r="C243" i="10"/>
  <c r="E243" i="10" l="1"/>
  <c r="G243" i="10" s="1"/>
  <c r="F243" i="10"/>
  <c r="H243" i="10" l="1"/>
  <c r="C244" i="10" s="1"/>
  <c r="F244" i="10" l="1"/>
  <c r="E244" i="10"/>
  <c r="G244" i="10" s="1"/>
  <c r="H244" i="10" s="1"/>
  <c r="C245" i="10" s="1"/>
  <c r="F245" i="10" l="1"/>
  <c r="E245" i="10"/>
  <c r="G245" i="10" s="1"/>
  <c r="H245" i="10" s="1"/>
  <c r="C246" i="10" s="1"/>
  <c r="F246" i="10" l="1"/>
  <c r="E246" i="10"/>
  <c r="G246" i="10" s="1"/>
  <c r="H246" i="10" s="1"/>
  <c r="C247" i="10" s="1"/>
  <c r="F247" i="10" l="1"/>
  <c r="E247" i="10"/>
  <c r="G247" i="10" s="1"/>
  <c r="H247" i="10" s="1"/>
  <c r="C248" i="10" s="1"/>
  <c r="F248" i="10" l="1"/>
  <c r="E248" i="10"/>
  <c r="G248" i="10" s="1"/>
  <c r="H248" i="10" s="1"/>
  <c r="C249" i="10"/>
  <c r="F249" i="10" l="1"/>
  <c r="E249" i="10"/>
  <c r="G249" i="10" s="1"/>
  <c r="H249" i="10" s="1"/>
  <c r="C250" i="10" s="1"/>
  <c r="F250" i="10" l="1"/>
  <c r="E250" i="10"/>
  <c r="G250" i="10" s="1"/>
  <c r="H250" i="10" s="1"/>
  <c r="C251" i="10" s="1"/>
  <c r="F251" i="10" l="1"/>
  <c r="E251" i="10"/>
  <c r="G251" i="10" s="1"/>
  <c r="H251" i="10" s="1"/>
  <c r="C252" i="10" s="1"/>
  <c r="F252" i="10" l="1"/>
  <c r="E252" i="10"/>
  <c r="G252" i="10" s="1"/>
  <c r="H252" i="10" s="1"/>
  <c r="C253" i="10"/>
  <c r="F253" i="10" l="1"/>
  <c r="E253" i="10"/>
  <c r="G253" i="10" s="1"/>
  <c r="H253" i="10" s="1"/>
  <c r="C254" i="10" s="1"/>
  <c r="F254" i="10" l="1"/>
  <c r="E254" i="10"/>
  <c r="G254" i="10" s="1"/>
  <c r="H254" i="10" s="1"/>
  <c r="C255" i="10" s="1"/>
  <c r="F255" i="10" l="1"/>
  <c r="E255" i="10"/>
  <c r="G255" i="10" s="1"/>
  <c r="H255" i="10" l="1"/>
  <c r="C256" i="10" s="1"/>
  <c r="F256" i="10" l="1"/>
  <c r="E256" i="10"/>
  <c r="G256" i="10" s="1"/>
  <c r="H256" i="10" s="1"/>
  <c r="C257" i="10"/>
  <c r="F257" i="10" l="1"/>
  <c r="E257" i="10"/>
  <c r="G257" i="10" s="1"/>
  <c r="H257" i="10" s="1"/>
  <c r="C258" i="10" s="1"/>
  <c r="F258" i="10" l="1"/>
  <c r="E258" i="10"/>
  <c r="G258" i="10" s="1"/>
  <c r="H258" i="10" l="1"/>
  <c r="C259" i="10" s="1"/>
  <c r="F259" i="10" l="1"/>
  <c r="E259" i="10"/>
  <c r="G259" i="10" s="1"/>
  <c r="H259" i="10" s="1"/>
  <c r="C260" i="10" s="1"/>
  <c r="F260" i="10" l="1"/>
  <c r="E260" i="10"/>
  <c r="G260" i="10" s="1"/>
  <c r="H260" i="10" s="1"/>
  <c r="C261" i="10"/>
  <c r="F261" i="10" l="1"/>
  <c r="E261" i="10"/>
  <c r="G261" i="10" s="1"/>
  <c r="H261" i="10" s="1"/>
  <c r="C262" i="10" s="1"/>
  <c r="F262" i="10" l="1"/>
  <c r="E262" i="10"/>
  <c r="G262" i="10" s="1"/>
  <c r="H262" i="10" s="1"/>
  <c r="C263" i="10" s="1"/>
  <c r="F263" i="10" l="1"/>
  <c r="E263" i="10"/>
  <c r="G263" i="10" s="1"/>
  <c r="H263" i="10" s="1"/>
  <c r="C264" i="10" s="1"/>
  <c r="F264" i="10" l="1"/>
  <c r="E264" i="10"/>
  <c r="G264" i="10" s="1"/>
  <c r="H264" i="10" s="1"/>
  <c r="C265" i="10"/>
  <c r="F265" i="10" l="1"/>
  <c r="E265" i="10"/>
  <c r="G265" i="10" s="1"/>
  <c r="H265" i="10" s="1"/>
  <c r="C266" i="10" s="1"/>
  <c r="F266" i="10" l="1"/>
  <c r="E266" i="10"/>
  <c r="G266" i="10" s="1"/>
  <c r="H266" i="10" s="1"/>
  <c r="C267" i="10" s="1"/>
  <c r="F267" i="10" l="1"/>
  <c r="E267" i="10"/>
  <c r="G267" i="10" s="1"/>
  <c r="H267" i="10" s="1"/>
  <c r="C268" i="10" s="1"/>
  <c r="F268" i="10" l="1"/>
  <c r="E268" i="10"/>
  <c r="G268" i="10" s="1"/>
  <c r="H268" i="10" s="1"/>
  <c r="C269" i="10"/>
  <c r="F269" i="10" l="1"/>
  <c r="E269" i="10"/>
  <c r="G269" i="10" s="1"/>
  <c r="H269" i="10" s="1"/>
  <c r="C270" i="10" s="1"/>
  <c r="F270" i="10" l="1"/>
  <c r="E270" i="10"/>
  <c r="G270" i="10" s="1"/>
  <c r="H270" i="10" s="1"/>
  <c r="C271" i="10" s="1"/>
  <c r="F271" i="10" l="1"/>
  <c r="E271" i="10"/>
  <c r="G271" i="10" s="1"/>
  <c r="H271" i="10" s="1"/>
  <c r="C272" i="10" s="1"/>
  <c r="F272" i="10" l="1"/>
  <c r="E272" i="10"/>
  <c r="G272" i="10" s="1"/>
  <c r="H272" i="10" s="1"/>
  <c r="C273" i="10" s="1"/>
  <c r="F273" i="10" l="1"/>
  <c r="E273" i="10"/>
  <c r="G273" i="10" s="1"/>
  <c r="H273" i="10" s="1"/>
  <c r="C274" i="10" s="1"/>
  <c r="F274" i="10" l="1"/>
  <c r="E274" i="10"/>
  <c r="G274" i="10" s="1"/>
  <c r="H274" i="10" s="1"/>
  <c r="C275" i="10" s="1"/>
  <c r="F275" i="10" l="1"/>
  <c r="E275" i="10"/>
  <c r="G275" i="10" s="1"/>
  <c r="H275" i="10" s="1"/>
  <c r="C276" i="10" s="1"/>
  <c r="F276" i="10" l="1"/>
  <c r="E276" i="10"/>
  <c r="G276" i="10" s="1"/>
  <c r="H276" i="10" s="1"/>
  <c r="C277" i="10"/>
  <c r="F277" i="10" l="1"/>
  <c r="E277" i="10"/>
  <c r="G277" i="10" s="1"/>
  <c r="H277" i="10" s="1"/>
  <c r="C278" i="10" s="1"/>
  <c r="F278" i="10" l="1"/>
  <c r="E278" i="10"/>
  <c r="G278" i="10" s="1"/>
  <c r="H278" i="10" l="1"/>
  <c r="C279" i="10" s="1"/>
  <c r="F279" i="10" l="1"/>
  <c r="E279" i="10"/>
  <c r="G279" i="10" s="1"/>
  <c r="H279" i="10" s="1"/>
  <c r="C280" i="10" s="1"/>
  <c r="F280" i="10" l="1"/>
  <c r="E280" i="10"/>
  <c r="G280" i="10" s="1"/>
  <c r="H280" i="10" s="1"/>
  <c r="C281" i="10" s="1"/>
  <c r="F281" i="10" l="1"/>
  <c r="E281" i="10"/>
  <c r="G281" i="10" s="1"/>
  <c r="H281" i="10" s="1"/>
  <c r="C282" i="10" s="1"/>
  <c r="F282" i="10" l="1"/>
  <c r="E282" i="10"/>
  <c r="G282" i="10" s="1"/>
  <c r="H282" i="10" s="1"/>
  <c r="C283" i="10" s="1"/>
  <c r="F283" i="10" l="1"/>
  <c r="E283" i="10"/>
  <c r="G283" i="10" s="1"/>
  <c r="H283" i="10" s="1"/>
  <c r="C284" i="10" s="1"/>
  <c r="F284" i="10" l="1"/>
  <c r="E284" i="10"/>
  <c r="G284" i="10" s="1"/>
  <c r="H284" i="10" s="1"/>
  <c r="C285" i="10" s="1"/>
  <c r="E285" i="10" l="1"/>
  <c r="G285" i="10" s="1"/>
  <c r="F285" i="10"/>
  <c r="H285" i="10" l="1"/>
  <c r="C286" i="10" s="1"/>
  <c r="F286" i="10" l="1"/>
  <c r="E286" i="10"/>
  <c r="G286" i="10" s="1"/>
  <c r="H286" i="10" s="1"/>
  <c r="C287" i="10" s="1"/>
  <c r="F287" i="10" l="1"/>
  <c r="E287" i="10"/>
  <c r="G287" i="10" s="1"/>
  <c r="H287" i="10" s="1"/>
  <c r="C288" i="10"/>
  <c r="F288" i="10" l="1"/>
  <c r="E288" i="10"/>
  <c r="G288" i="10" s="1"/>
  <c r="H288" i="10" s="1"/>
  <c r="C289" i="10" s="1"/>
  <c r="F289" i="10" l="1"/>
  <c r="E289" i="10"/>
  <c r="G289" i="10" s="1"/>
  <c r="H289" i="10" s="1"/>
  <c r="C290" i="10"/>
  <c r="F290" i="10" l="1"/>
  <c r="E290" i="10"/>
  <c r="G290" i="10" s="1"/>
  <c r="H290" i="10" s="1"/>
  <c r="C291" i="10" s="1"/>
  <c r="F291" i="10" l="1"/>
  <c r="E291" i="10"/>
  <c r="G291" i="10" s="1"/>
  <c r="H291" i="10" s="1"/>
  <c r="C292" i="10" s="1"/>
  <c r="F292" i="10" l="1"/>
  <c r="E292" i="10"/>
  <c r="G292" i="10" s="1"/>
  <c r="H292" i="10" s="1"/>
  <c r="C293" i="10" s="1"/>
  <c r="E293" i="10" l="1"/>
  <c r="G293" i="10" s="1"/>
  <c r="F293" i="10"/>
  <c r="H293" i="10" l="1"/>
  <c r="C294" i="10" s="1"/>
  <c r="F294" i="10" l="1"/>
  <c r="E294" i="10"/>
  <c r="G294" i="10" s="1"/>
  <c r="H294" i="10" s="1"/>
  <c r="C295" i="10" s="1"/>
  <c r="F295" i="10" l="1"/>
  <c r="E295" i="10"/>
  <c r="G295" i="10" s="1"/>
  <c r="H295" i="10" l="1"/>
  <c r="C296" i="10" s="1"/>
  <c r="F296" i="10" l="1"/>
  <c r="E296" i="10"/>
  <c r="G296" i="10" s="1"/>
  <c r="H296" i="10" s="1"/>
  <c r="C297" i="10" s="1"/>
  <c r="F297" i="10" l="1"/>
  <c r="E297" i="10"/>
  <c r="G297" i="10" s="1"/>
  <c r="H297" i="10" s="1"/>
  <c r="C298" i="10" s="1"/>
  <c r="F298" i="10" l="1"/>
  <c r="E298" i="10"/>
  <c r="G298" i="10" s="1"/>
  <c r="H298" i="10" s="1"/>
  <c r="C299" i="10" s="1"/>
  <c r="F299" i="10" l="1"/>
  <c r="E299" i="10"/>
  <c r="G299" i="10" s="1"/>
  <c r="H299" i="10" s="1"/>
  <c r="C300" i="10" s="1"/>
  <c r="F300" i="10" l="1"/>
  <c r="E300" i="10"/>
  <c r="G300" i="10" s="1"/>
  <c r="H300" i="10" s="1"/>
  <c r="C301" i="10" s="1"/>
  <c r="E301" i="10" l="1"/>
  <c r="G301" i="10" s="1"/>
  <c r="F301" i="10"/>
  <c r="H301" i="10" l="1"/>
  <c r="C302" i="10" s="1"/>
  <c r="F302" i="10" l="1"/>
  <c r="E302" i="10"/>
  <c r="G302" i="10" s="1"/>
  <c r="H302" i="10" s="1"/>
  <c r="C303" i="10" s="1"/>
  <c r="F303" i="10" l="1"/>
  <c r="E303" i="10"/>
  <c r="G303" i="10" s="1"/>
  <c r="H303" i="10" s="1"/>
  <c r="C304" i="10"/>
  <c r="F304" i="10" l="1"/>
  <c r="E304" i="10"/>
  <c r="G304" i="10" s="1"/>
  <c r="H304" i="10" s="1"/>
  <c r="C305" i="10" s="1"/>
  <c r="F305" i="10" l="1"/>
  <c r="E305" i="10"/>
  <c r="G305" i="10" s="1"/>
  <c r="H305" i="10" s="1"/>
  <c r="C306" i="10"/>
  <c r="F306" i="10" l="1"/>
  <c r="E306" i="10"/>
  <c r="G306" i="10" s="1"/>
  <c r="H306" i="10" s="1"/>
  <c r="C307" i="10" s="1"/>
  <c r="E307" i="10" l="1"/>
  <c r="G307" i="10" s="1"/>
  <c r="F307" i="10"/>
  <c r="H307" i="10" l="1"/>
  <c r="C308" i="10" s="1"/>
  <c r="F308" i="10" l="1"/>
  <c r="E308" i="10"/>
  <c r="G308" i="10" s="1"/>
  <c r="H308" i="10" s="1"/>
  <c r="C309" i="10" s="1"/>
  <c r="E309" i="10" l="1"/>
  <c r="G309" i="10" s="1"/>
  <c r="F309" i="10"/>
  <c r="H309" i="10" l="1"/>
  <c r="C310" i="10" s="1"/>
  <c r="F310" i="10" l="1"/>
  <c r="E310" i="10"/>
  <c r="G310" i="10" s="1"/>
  <c r="H310" i="10" s="1"/>
  <c r="C311" i="10" s="1"/>
  <c r="E311" i="10" l="1"/>
  <c r="G311" i="10" s="1"/>
  <c r="F311" i="10"/>
  <c r="H311" i="10" l="1"/>
  <c r="C312" i="10" s="1"/>
  <c r="F312" i="10" l="1"/>
  <c r="E312" i="10"/>
  <c r="G312" i="10" s="1"/>
  <c r="H312" i="10" l="1"/>
  <c r="C313" i="10" s="1"/>
  <c r="E313" i="10" l="1"/>
  <c r="G313" i="10" s="1"/>
  <c r="F313" i="10"/>
  <c r="H313" i="10" l="1"/>
  <c r="C314" i="10" s="1"/>
  <c r="F314" i="10" l="1"/>
  <c r="E314" i="10"/>
  <c r="G314" i="10" s="1"/>
  <c r="H314" i="10" s="1"/>
  <c r="C315" i="10" s="1"/>
  <c r="E315" i="10" l="1"/>
  <c r="G315" i="10" s="1"/>
  <c r="F315" i="10"/>
  <c r="H315" i="10" l="1"/>
  <c r="C316" i="10" s="1"/>
  <c r="F316" i="10" l="1"/>
  <c r="E316" i="10"/>
  <c r="G316" i="10" s="1"/>
  <c r="H316" i="10" s="1"/>
  <c r="C317" i="10" s="1"/>
  <c r="E317" i="10" l="1"/>
  <c r="G317" i="10" s="1"/>
  <c r="F317" i="10"/>
  <c r="H317" i="10" l="1"/>
  <c r="C318" i="10" s="1"/>
  <c r="F318" i="10" l="1"/>
  <c r="E318" i="10"/>
  <c r="G318" i="10" s="1"/>
  <c r="H318" i="10" s="1"/>
  <c r="C319" i="10" s="1"/>
  <c r="E319" i="10" l="1"/>
  <c r="G319" i="10" s="1"/>
  <c r="F319" i="10"/>
  <c r="H319" i="10" l="1"/>
  <c r="C320" i="10" s="1"/>
  <c r="F320" i="10" l="1"/>
  <c r="E320" i="10"/>
  <c r="G320" i="10" s="1"/>
  <c r="H320" i="10" s="1"/>
  <c r="C321" i="10" s="1"/>
  <c r="E321" i="10" l="1"/>
  <c r="G321" i="10" s="1"/>
  <c r="F321" i="10"/>
  <c r="H321" i="10" l="1"/>
  <c r="C322" i="10" s="1"/>
  <c r="F322" i="10" l="1"/>
  <c r="E322" i="10"/>
  <c r="G322" i="10" s="1"/>
  <c r="H322" i="10" s="1"/>
  <c r="C323" i="10" s="1"/>
  <c r="E323" i="10" l="1"/>
  <c r="G323" i="10" s="1"/>
  <c r="F323" i="10"/>
  <c r="H323" i="10" l="1"/>
  <c r="C324" i="10" s="1"/>
  <c r="F324" i="10" l="1"/>
  <c r="E324" i="10"/>
  <c r="G324" i="10" s="1"/>
  <c r="H324" i="10" s="1"/>
  <c r="C325" i="10" s="1"/>
  <c r="E325" i="10" l="1"/>
  <c r="G325" i="10" s="1"/>
  <c r="F325" i="10"/>
  <c r="H325" i="10" l="1"/>
  <c r="C326" i="10" s="1"/>
  <c r="F326" i="10" l="1"/>
  <c r="E326" i="10"/>
  <c r="G326" i="10" s="1"/>
  <c r="H326" i="10" s="1"/>
  <c r="C327" i="10" s="1"/>
  <c r="E327" i="10" l="1"/>
  <c r="G327" i="10" s="1"/>
  <c r="F327" i="10"/>
  <c r="H327" i="10" l="1"/>
  <c r="C328" i="10" s="1"/>
  <c r="F328" i="10" l="1"/>
  <c r="E328" i="10"/>
  <c r="G328" i="10" s="1"/>
  <c r="H328" i="10" s="1"/>
  <c r="C329" i="10" s="1"/>
  <c r="E329" i="10" l="1"/>
  <c r="G329" i="10" s="1"/>
  <c r="F329" i="10"/>
  <c r="H329" i="10" l="1"/>
  <c r="C330" i="10" s="1"/>
  <c r="F330" i="10" l="1"/>
  <c r="E330" i="10"/>
  <c r="G330" i="10" s="1"/>
  <c r="H330" i="10" s="1"/>
  <c r="C331" i="10" s="1"/>
  <c r="E331" i="10" l="1"/>
  <c r="G331" i="10" s="1"/>
  <c r="H331" i="10" s="1"/>
  <c r="C332" i="10" s="1"/>
  <c r="F331" i="10"/>
  <c r="E332" i="10" l="1"/>
  <c r="G332" i="10" s="1"/>
  <c r="F332" i="10"/>
  <c r="H332" i="10" l="1"/>
  <c r="C333" i="10" s="1"/>
  <c r="F333" i="10" l="1"/>
  <c r="E333" i="10"/>
  <c r="G333" i="10" s="1"/>
  <c r="H333" i="10" s="1"/>
  <c r="C334" i="10" s="1"/>
  <c r="E334" i="10" l="1"/>
  <c r="G334" i="10" s="1"/>
  <c r="F334" i="10"/>
  <c r="H334" i="10" l="1"/>
  <c r="C335" i="10" s="1"/>
  <c r="F335" i="10" l="1"/>
  <c r="E335" i="10"/>
  <c r="G335" i="10" s="1"/>
  <c r="H335" i="10" s="1"/>
  <c r="C336" i="10" s="1"/>
  <c r="E336" i="10" l="1"/>
  <c r="G336" i="10" s="1"/>
  <c r="F336" i="10"/>
  <c r="H336" i="10" l="1"/>
  <c r="C337" i="10" s="1"/>
  <c r="E337" i="10" l="1"/>
  <c r="G337" i="10" s="1"/>
  <c r="F337" i="10"/>
  <c r="H337" i="10" l="1"/>
  <c r="C338" i="10" s="1"/>
  <c r="E338" i="10" l="1"/>
  <c r="G338" i="10" s="1"/>
  <c r="F338" i="10"/>
  <c r="H338" i="10" l="1"/>
  <c r="C339" i="10" s="1"/>
  <c r="F339" i="10" l="1"/>
  <c r="E339" i="10"/>
  <c r="G339" i="10" s="1"/>
  <c r="H339" i="10" s="1"/>
  <c r="C340" i="10"/>
  <c r="E340" i="10" l="1"/>
  <c r="G340" i="10" s="1"/>
  <c r="H340" i="10" s="1"/>
  <c r="C341" i="10" s="1"/>
  <c r="F340" i="10"/>
  <c r="F341" i="10" l="1"/>
  <c r="E341" i="10"/>
  <c r="G341" i="10" s="1"/>
  <c r="H341" i="10" s="1"/>
  <c r="C342" i="10" s="1"/>
  <c r="F342" i="10" l="1"/>
  <c r="E342" i="10"/>
  <c r="G342" i="10" s="1"/>
  <c r="H342" i="10" s="1"/>
  <c r="C343" i="10" s="1"/>
  <c r="F343" i="10" l="1"/>
  <c r="E343" i="10"/>
  <c r="G343" i="10" s="1"/>
  <c r="H343" i="10" s="1"/>
  <c r="C344" i="10" s="1"/>
  <c r="F344" i="10" l="1"/>
  <c r="E344" i="10"/>
  <c r="G344" i="10" s="1"/>
  <c r="H344" i="10" s="1"/>
  <c r="C345" i="10" s="1"/>
  <c r="F345" i="10" l="1"/>
  <c r="E345" i="10"/>
  <c r="G345" i="10" s="1"/>
  <c r="H345" i="10" s="1"/>
  <c r="C346" i="10" s="1"/>
  <c r="F346" i="10" l="1"/>
  <c r="E346" i="10"/>
  <c r="G346" i="10" s="1"/>
  <c r="H346" i="10" s="1"/>
  <c r="C347" i="10" s="1"/>
  <c r="F347" i="10" l="1"/>
  <c r="E347" i="10"/>
  <c r="G347" i="10" s="1"/>
  <c r="H347" i="10" s="1"/>
  <c r="C348" i="10"/>
  <c r="F348" i="10" l="1"/>
  <c r="E348" i="10"/>
  <c r="G348" i="10" s="1"/>
  <c r="H348" i="10" s="1"/>
  <c r="C349" i="10" s="1"/>
  <c r="F349" i="10" l="1"/>
  <c r="E349" i="10"/>
  <c r="G349" i="10" s="1"/>
  <c r="H349" i="10" s="1"/>
  <c r="C350" i="10" s="1"/>
  <c r="F350" i="10" l="1"/>
  <c r="E350" i="10"/>
  <c r="G350" i="10" s="1"/>
  <c r="H350" i="10" s="1"/>
  <c r="C351" i="10" s="1"/>
  <c r="F351" i="10" l="1"/>
  <c r="E351" i="10"/>
  <c r="G351" i="10" s="1"/>
  <c r="H351" i="10" s="1"/>
  <c r="C352" i="10" s="1"/>
  <c r="F352" i="10" l="1"/>
  <c r="E352" i="10"/>
  <c r="G352" i="10" s="1"/>
  <c r="H352" i="10" s="1"/>
  <c r="C353" i="10" s="1"/>
  <c r="F353" i="10" l="1"/>
  <c r="E353" i="10"/>
  <c r="G353" i="10" s="1"/>
  <c r="H353" i="10" s="1"/>
  <c r="C354" i="10" s="1"/>
  <c r="F354" i="10" l="1"/>
  <c r="E354" i="10"/>
  <c r="G354" i="10" s="1"/>
  <c r="H354" i="10" s="1"/>
  <c r="C355" i="10" s="1"/>
  <c r="F355" i="10" l="1"/>
  <c r="E355" i="10"/>
  <c r="G355" i="10" s="1"/>
  <c r="H355" i="10" s="1"/>
  <c r="C356" i="10" s="1"/>
  <c r="F356" i="10" l="1"/>
  <c r="E356" i="10"/>
  <c r="G356" i="10" s="1"/>
  <c r="H356" i="10" s="1"/>
  <c r="C357" i="10" s="1"/>
  <c r="F357" i="10" l="1"/>
  <c r="E357" i="10"/>
  <c r="G357" i="10" s="1"/>
  <c r="H357" i="10" s="1"/>
  <c r="C358" i="10" s="1"/>
  <c r="F358" i="10" l="1"/>
  <c r="E358" i="10"/>
  <c r="G358" i="10" s="1"/>
  <c r="H358" i="10" s="1"/>
  <c r="C359" i="10" s="1"/>
  <c r="F359" i="10" l="1"/>
  <c r="E359" i="10"/>
  <c r="G359" i="10" s="1"/>
  <c r="H359" i="10" s="1"/>
  <c r="C360" i="10"/>
  <c r="F360" i="10" l="1"/>
  <c r="E360" i="10"/>
  <c r="G360" i="10" s="1"/>
  <c r="H360" i="10" s="1"/>
  <c r="C361" i="10" s="1"/>
  <c r="F361" i="10" l="1"/>
  <c r="E361" i="10"/>
  <c r="G361" i="10" s="1"/>
  <c r="H361" i="10" s="1"/>
  <c r="C362" i="10" s="1"/>
  <c r="F362" i="10" l="1"/>
  <c r="E362" i="10"/>
  <c r="G362" i="10" s="1"/>
  <c r="H362" i="10" s="1"/>
  <c r="C363" i="10" s="1"/>
  <c r="F363" i="10" l="1"/>
  <c r="E363" i="10"/>
  <c r="G363" i="10" s="1"/>
  <c r="H363" i="10" s="1"/>
  <c r="C364" i="10"/>
  <c r="F364" i="10" l="1"/>
  <c r="E364" i="10"/>
  <c r="G364" i="10" s="1"/>
  <c r="H364" i="10" s="1"/>
  <c r="C365" i="10" s="1"/>
  <c r="F365" i="10" l="1"/>
  <c r="E365" i="10"/>
  <c r="G365" i="10" s="1"/>
  <c r="H365" i="10" s="1"/>
  <c r="C366" i="10" s="1"/>
  <c r="F366" i="10" l="1"/>
  <c r="E366" i="10"/>
  <c r="G366" i="10" s="1"/>
  <c r="H366" i="10" s="1"/>
  <c r="C367" i="10" s="1"/>
  <c r="F367" i="10" l="1"/>
  <c r="E367" i="10"/>
  <c r="G367" i="10" s="1"/>
  <c r="H367" i="10" s="1"/>
  <c r="C368" i="10"/>
  <c r="F368" i="10" l="1"/>
  <c r="E368" i="10"/>
  <c r="G368" i="10" s="1"/>
  <c r="H368" i="10" s="1"/>
  <c r="C369" i="10" s="1"/>
  <c r="F369" i="10" l="1"/>
  <c r="E369" i="10"/>
  <c r="G369" i="10" s="1"/>
  <c r="H369" i="10" s="1"/>
  <c r="C370" i="10" s="1"/>
  <c r="F370" i="10" l="1"/>
  <c r="E370" i="10"/>
  <c r="G370" i="10" s="1"/>
  <c r="H370" i="10" s="1"/>
  <c r="C371" i="10" s="1"/>
  <c r="F371" i="10" l="1"/>
  <c r="E371" i="10"/>
  <c r="G371" i="10" s="1"/>
  <c r="H371" i="10" s="1"/>
  <c r="C372" i="10" s="1"/>
  <c r="F372" i="10" l="1"/>
  <c r="E372" i="10"/>
  <c r="G372" i="10" s="1"/>
  <c r="H372" i="10" s="1"/>
  <c r="C373" i="10" s="1"/>
  <c r="F373" i="10" l="1"/>
  <c r="E373" i="10"/>
  <c r="G373" i="10" s="1"/>
  <c r="H373" i="10" s="1"/>
  <c r="C374" i="10" s="1"/>
  <c r="F374" i="10" l="1"/>
  <c r="E374" i="10"/>
  <c r="G374" i="10" s="1"/>
  <c r="H374" i="10" s="1"/>
  <c r="C375" i="10" s="1"/>
  <c r="F375" i="10" l="1"/>
  <c r="E375" i="10"/>
  <c r="G375" i="10" s="1"/>
  <c r="H375" i="10" s="1"/>
  <c r="C376" i="10"/>
  <c r="F376" i="10" l="1"/>
  <c r="E376" i="10"/>
  <c r="G376" i="10" s="1"/>
  <c r="H376" i="10" s="1"/>
  <c r="C377" i="10" s="1"/>
  <c r="F377" i="10" l="1"/>
  <c r="E377" i="10"/>
  <c r="G377" i="10" s="1"/>
  <c r="H377" i="10" s="1"/>
  <c r="C378" i="10" s="1"/>
  <c r="F378" i="10" l="1"/>
  <c r="E378" i="10"/>
  <c r="G378" i="10" s="1"/>
  <c r="H378" i="10" s="1"/>
  <c r="C379" i="10" s="1"/>
  <c r="F379" i="10" l="1"/>
  <c r="E379" i="10"/>
  <c r="G379" i="10" s="1"/>
  <c r="H379" i="10" s="1"/>
  <c r="C380" i="10"/>
  <c r="F380" i="10" l="1"/>
  <c r="E380" i="10"/>
  <c r="G380" i="10" s="1"/>
  <c r="H380" i="10" s="1"/>
  <c r="C381" i="10" s="1"/>
  <c r="F381" i="10" l="1"/>
  <c r="E381" i="10"/>
  <c r="G381" i="10" s="1"/>
  <c r="H381" i="10" s="1"/>
  <c r="C382" i="10" s="1"/>
  <c r="F382" i="10" l="1"/>
  <c r="E382" i="10"/>
  <c r="G382" i="10" s="1"/>
  <c r="H382" i="10" s="1"/>
  <c r="C383" i="10" s="1"/>
  <c r="F383" i="10" l="1"/>
  <c r="E383" i="10"/>
  <c r="G383" i="10" s="1"/>
  <c r="H383" i="10" s="1"/>
  <c r="C384" i="10" s="1"/>
  <c r="F384" i="10" l="1"/>
  <c r="E384" i="10"/>
  <c r="G384" i="10" s="1"/>
  <c r="H384" i="10" s="1"/>
  <c r="C385" i="10" s="1"/>
  <c r="F385" i="10" l="1"/>
  <c r="E385" i="10"/>
  <c r="G385" i="10" s="1"/>
  <c r="H385" i="10" s="1"/>
  <c r="C386" i="10" s="1"/>
  <c r="F386" i="10" l="1"/>
  <c r="E386" i="10"/>
  <c r="G386" i="10" s="1"/>
  <c r="H386" i="10" s="1"/>
  <c r="C387" i="10" s="1"/>
  <c r="F387" i="10" l="1"/>
  <c r="E387" i="10"/>
  <c r="G387" i="10" s="1"/>
  <c r="H387" i="10" s="1"/>
  <c r="C388" i="10"/>
  <c r="F388" i="10" l="1"/>
  <c r="E388" i="10"/>
  <c r="G388" i="10" s="1"/>
  <c r="H388" i="10" s="1"/>
  <c r="J57" i="8"/>
  <c r="J58" i="8" s="1"/>
  <c r="Z9" i="6" s="1"/>
  <c r="AA9" i="6" s="1"/>
  <c r="C10" i="6" s="1"/>
  <c r="E10" i="6" l="1"/>
  <c r="H10" i="6" s="1"/>
  <c r="G10" i="6"/>
  <c r="AC10" i="6"/>
  <c r="J10" i="6" l="1"/>
  <c r="I10" i="6"/>
  <c r="N10" i="6" s="1"/>
  <c r="Q10" i="6" l="1"/>
  <c r="J69" i="8" s="1"/>
  <c r="J70" i="8" s="1"/>
  <c r="Z10" i="6" s="1"/>
  <c r="AA10" i="6" s="1"/>
  <c r="C11" i="6" s="1"/>
  <c r="G69" i="8"/>
  <c r="G70" i="8" s="1"/>
  <c r="W10" i="6" s="1"/>
  <c r="K10" i="6"/>
  <c r="E11" i="6" l="1"/>
  <c r="H11" i="6" s="1"/>
  <c r="G11" i="6"/>
  <c r="AC11" i="6"/>
  <c r="J11" i="6" l="1"/>
  <c r="I11" i="6"/>
  <c r="N11" i="6" s="1"/>
  <c r="Q11" i="6" l="1"/>
  <c r="J81" i="8" s="1"/>
  <c r="J82" i="8" s="1"/>
  <c r="Z11" i="6" s="1"/>
  <c r="AA11" i="6" s="1"/>
  <c r="C12" i="6" s="1"/>
  <c r="G81" i="8"/>
  <c r="G82" i="8" s="1"/>
  <c r="W11" i="6" s="1"/>
  <c r="K11" i="6"/>
  <c r="E12" i="6" l="1"/>
  <c r="H12" i="6" s="1"/>
  <c r="G12" i="6"/>
  <c r="AC12" i="6"/>
  <c r="J12" i="6" l="1"/>
  <c r="I12" i="6"/>
  <c r="N12" i="6" s="1"/>
  <c r="Q12" i="6" l="1"/>
  <c r="P85" i="8"/>
  <c r="T85" i="8" s="1"/>
  <c r="W12" i="6" s="1"/>
  <c r="K12" i="6"/>
  <c r="G93" i="8"/>
  <c r="G94" i="8" s="1"/>
  <c r="S85" i="8" l="1"/>
  <c r="W85" i="8" s="1"/>
  <c r="Z12" i="6" s="1"/>
  <c r="AA12" i="6" s="1"/>
  <c r="C13" i="6" s="1"/>
  <c r="J93" i="8"/>
  <c r="J94" i="8" s="1"/>
  <c r="E13" i="6" l="1"/>
  <c r="H13" i="6" s="1"/>
  <c r="G13" i="6"/>
  <c r="AC13" i="6"/>
  <c r="I13" i="6" l="1"/>
  <c r="N13" i="6" s="1"/>
  <c r="Q13" i="6" s="1"/>
  <c r="J13" i="6"/>
  <c r="G105" i="8" l="1"/>
  <c r="G106" i="8" s="1"/>
  <c r="K13" i="6"/>
  <c r="P97" i="8"/>
  <c r="W13" i="6" s="1"/>
  <c r="S97" i="8"/>
  <c r="Z13" i="6" s="1"/>
  <c r="AA13" i="6" s="1"/>
  <c r="C14" i="6" s="1"/>
  <c r="J105" i="8"/>
  <c r="J106" i="8" s="1"/>
  <c r="G14" i="6" l="1"/>
  <c r="E14" i="6"/>
  <c r="H14" i="6" s="1"/>
  <c r="AC14" i="6"/>
  <c r="I14" i="6" l="1"/>
  <c r="N14" i="6" s="1"/>
  <c r="K14" i="6" s="1"/>
  <c r="J14" i="6"/>
  <c r="G117" i="8" l="1"/>
  <c r="G118" i="8" s="1"/>
  <c r="P109" i="8"/>
  <c r="W14" i="6" s="1"/>
  <c r="Q14" i="6"/>
  <c r="J117" i="8" s="1"/>
  <c r="J118" i="8" s="1"/>
  <c r="S109" i="8" l="1"/>
  <c r="Z14" i="6" s="1"/>
  <c r="AA14" i="6" s="1"/>
  <c r="C15" i="6" s="1"/>
  <c r="E15" i="6" s="1"/>
  <c r="H15" i="6" s="1"/>
  <c r="AC15" i="6" l="1"/>
  <c r="G15" i="6"/>
  <c r="I15" i="6" s="1"/>
  <c r="N15" i="6" s="1"/>
  <c r="J15" i="6"/>
  <c r="Q15" i="6" l="1"/>
  <c r="S121" i="8" s="1"/>
  <c r="Z15" i="6" s="1"/>
  <c r="AA15" i="6" s="1"/>
  <c r="C16" i="6" s="1"/>
  <c r="P121" i="8"/>
  <c r="W15" i="6" s="1"/>
  <c r="K15" i="6"/>
  <c r="G16" i="6" l="1"/>
  <c r="E16" i="6"/>
  <c r="H16" i="6" s="1"/>
  <c r="AC16" i="6"/>
  <c r="I16" i="6" l="1"/>
  <c r="N16" i="6" s="1"/>
  <c r="G138" i="8" s="1"/>
  <c r="G139" i="8" s="1"/>
  <c r="J16" i="6"/>
  <c r="P130" i="8" l="1"/>
  <c r="W16" i="6" s="1"/>
  <c r="Q16" i="6"/>
  <c r="S130" i="8" s="1"/>
  <c r="Z16" i="6" s="1"/>
  <c r="AA16" i="6" s="1"/>
  <c r="C17" i="6" s="1"/>
  <c r="K16" i="6"/>
  <c r="J138" i="8" l="1"/>
  <c r="J139" i="8" s="1"/>
  <c r="E17" i="6"/>
  <c r="H17" i="6" s="1"/>
  <c r="G17" i="6"/>
  <c r="I17" i="6" s="1"/>
  <c r="N17" i="6" s="1"/>
  <c r="AC17" i="6"/>
  <c r="Q17" i="6" l="1"/>
  <c r="P142" i="8"/>
  <c r="W17" i="6" s="1"/>
  <c r="K17" i="6"/>
  <c r="G150" i="8"/>
  <c r="G151" i="8" s="1"/>
  <c r="J17" i="6"/>
  <c r="S142" i="8" l="1"/>
  <c r="Z17" i="6" s="1"/>
  <c r="AA17" i="6" s="1"/>
  <c r="C18" i="6" s="1"/>
  <c r="J150" i="8"/>
  <c r="J151" i="8" s="1"/>
  <c r="G18" i="6" l="1"/>
  <c r="E18" i="6"/>
  <c r="H18" i="6" s="1"/>
  <c r="AC18" i="6"/>
  <c r="I18" i="6" l="1"/>
  <c r="N18" i="6" s="1"/>
  <c r="K18" i="6" s="1"/>
  <c r="J18" i="6"/>
  <c r="P154" i="8" l="1"/>
  <c r="W18" i="6" s="1"/>
  <c r="G163" i="8"/>
  <c r="G164" i="8" s="1"/>
  <c r="Q18" i="6"/>
  <c r="J163" i="8" s="1"/>
  <c r="J164" i="8" s="1"/>
  <c r="S154" i="8" l="1"/>
  <c r="Z18" i="6" s="1"/>
  <c r="AA18" i="6" s="1"/>
  <c r="C19" i="6" s="1"/>
  <c r="E19" i="6" s="1"/>
  <c r="H19" i="6" s="1"/>
  <c r="AC19" i="6" l="1"/>
  <c r="G19" i="6"/>
  <c r="I19" i="6" s="1"/>
  <c r="N19" i="6" s="1"/>
  <c r="J19" i="6"/>
  <c r="Q19" i="6" l="1"/>
  <c r="P167" i="8"/>
  <c r="W19" i="6" s="1"/>
  <c r="K19" i="6"/>
  <c r="G176" i="8"/>
  <c r="G177" i="8" s="1"/>
  <c r="S167" i="8" l="1"/>
  <c r="Z19" i="6" s="1"/>
  <c r="AA19" i="6" s="1"/>
  <c r="C20" i="6" s="1"/>
  <c r="J176" i="8"/>
  <c r="J177" i="8" s="1"/>
  <c r="G20" i="6" l="1"/>
  <c r="E20" i="6"/>
  <c r="H20" i="6" s="1"/>
  <c r="AC20" i="6"/>
  <c r="I20" i="6" l="1"/>
  <c r="N20" i="6" s="1"/>
  <c r="K20" i="6" s="1"/>
  <c r="J20" i="6"/>
  <c r="G188" i="8" l="1"/>
  <c r="G189" i="8" s="1"/>
  <c r="P180" i="8"/>
  <c r="W20" i="6" s="1"/>
  <c r="Q20" i="6"/>
  <c r="J188" i="8" s="1"/>
  <c r="J189" i="8" s="1"/>
  <c r="S180" i="8" l="1"/>
  <c r="Z20" i="6" s="1"/>
  <c r="AA20" i="6" s="1"/>
  <c r="C21" i="6" s="1"/>
  <c r="E21" i="6" s="1"/>
  <c r="H21" i="6" s="1"/>
  <c r="G21" i="6" l="1"/>
  <c r="I21" i="6" s="1"/>
  <c r="N21" i="6" s="1"/>
  <c r="J21" i="6"/>
  <c r="Q21" i="6" l="1"/>
  <c r="P192" i="8"/>
  <c r="W21" i="6" s="1"/>
  <c r="K21" i="6"/>
  <c r="G200" i="8"/>
  <c r="G201" i="8" s="1"/>
  <c r="S192" i="8" l="1"/>
  <c r="Z21" i="6" s="1"/>
  <c r="AA21" i="6" s="1"/>
  <c r="C22" i="6" s="1"/>
  <c r="J200" i="8"/>
  <c r="J201" i="8" s="1"/>
  <c r="G22" i="6" l="1"/>
  <c r="E22" i="6"/>
  <c r="H22" i="6" s="1"/>
  <c r="I22" i="6" l="1"/>
  <c r="N22" i="6" s="1"/>
  <c r="G212" i="8" s="1"/>
  <c r="G213" i="8" s="1"/>
  <c r="J22" i="6"/>
  <c r="P204" i="8" l="1"/>
  <c r="W22" i="6" s="1"/>
  <c r="Q22" i="6"/>
  <c r="S204" i="8" s="1"/>
  <c r="Z22" i="6" s="1"/>
  <c r="AA22" i="6" s="1"/>
  <c r="C23" i="6" s="1"/>
  <c r="K22" i="6"/>
  <c r="J212" i="8" l="1"/>
  <c r="J213" i="8" s="1"/>
  <c r="E23" i="6"/>
  <c r="H23" i="6" s="1"/>
  <c r="G23" i="6"/>
  <c r="J23" i="6" l="1"/>
  <c r="I23" i="6"/>
  <c r="N23" i="6" s="1"/>
  <c r="Q23" i="6" l="1"/>
  <c r="P216" i="8"/>
  <c r="W23" i="6" s="1"/>
  <c r="K23" i="6"/>
  <c r="G224" i="8"/>
  <c r="G225" i="8" s="1"/>
  <c r="S216" i="8" l="1"/>
  <c r="Z23" i="6" s="1"/>
  <c r="AA23" i="6" s="1"/>
  <c r="C24" i="6" s="1"/>
  <c r="J224" i="8"/>
  <c r="J225" i="8" s="1"/>
  <c r="G24" i="6" l="1"/>
  <c r="E24" i="6"/>
  <c r="H24" i="6" s="1"/>
  <c r="I24" i="6" l="1"/>
  <c r="N24" i="6" s="1"/>
  <c r="G236" i="8" s="1"/>
  <c r="G237" i="8" s="1"/>
  <c r="J24" i="6"/>
  <c r="P228" i="8" l="1"/>
  <c r="W24" i="6" s="1"/>
  <c r="Q24" i="6"/>
  <c r="S228" i="8" s="1"/>
  <c r="Z24" i="6" s="1"/>
  <c r="AA24" i="6" s="1"/>
  <c r="C25" i="6" s="1"/>
  <c r="K24" i="6"/>
  <c r="J236" i="8" l="1"/>
  <c r="J237" i="8" s="1"/>
  <c r="E25" i="6"/>
  <c r="H25" i="6" s="1"/>
  <c r="G25" i="6"/>
  <c r="I25" i="6" l="1"/>
  <c r="N25" i="6" s="1"/>
  <c r="P240" i="8" s="1"/>
  <c r="W25" i="6" s="1"/>
  <c r="J25" i="6"/>
  <c r="G248" i="8" l="1"/>
  <c r="G249" i="8" s="1"/>
  <c r="Q25" i="6"/>
  <c r="S240" i="8" s="1"/>
  <c r="Z25" i="6" s="1"/>
  <c r="AA25" i="6" s="1"/>
  <c r="C26" i="6" s="1"/>
  <c r="K25" i="6"/>
  <c r="J248" i="8" l="1"/>
  <c r="J249" i="8" s="1"/>
  <c r="G26" i="6"/>
  <c r="E26" i="6"/>
  <c r="H26" i="6" s="1"/>
  <c r="I26" i="6" l="1"/>
  <c r="N26" i="6" s="1"/>
  <c r="K26" i="6" s="1"/>
  <c r="J26" i="6"/>
  <c r="G260" i="8" l="1"/>
  <c r="G261" i="8" s="1"/>
  <c r="P252" i="8"/>
  <c r="W26" i="6" s="1"/>
  <c r="Q26" i="6"/>
  <c r="J260" i="8" s="1"/>
  <c r="J261" i="8" s="1"/>
  <c r="S252" i="8" l="1"/>
  <c r="Z26" i="6" s="1"/>
  <c r="AA26" i="6" s="1"/>
  <c r="C27" i="6" s="1"/>
  <c r="E27" i="6" s="1"/>
  <c r="H27" i="6" s="1"/>
  <c r="G27" i="6" l="1"/>
  <c r="I27" i="6" s="1"/>
  <c r="N27" i="6" s="1"/>
  <c r="P264" i="8" s="1"/>
  <c r="W27" i="6" s="1"/>
  <c r="J27" i="6"/>
  <c r="G272" i="8" l="1"/>
  <c r="G273" i="8" s="1"/>
  <c r="Q27" i="6"/>
  <c r="S264" i="8" s="1"/>
  <c r="Z27" i="6" s="1"/>
  <c r="AA27" i="6" s="1"/>
  <c r="C28" i="6" s="1"/>
  <c r="K27" i="6"/>
  <c r="J272" i="8" l="1"/>
  <c r="J273" i="8" s="1"/>
  <c r="E28" i="6"/>
  <c r="H28" i="6" s="1"/>
  <c r="G28" i="6"/>
  <c r="I28" i="6" s="1"/>
  <c r="N28" i="6" s="1"/>
  <c r="K28" i="6" l="1"/>
  <c r="Q28" i="6"/>
  <c r="P276" i="8"/>
  <c r="W28" i="6" s="1"/>
  <c r="G284" i="8"/>
  <c r="G285" i="8" s="1"/>
  <c r="J28" i="6"/>
  <c r="S276" i="8" l="1"/>
  <c r="Z28" i="6" s="1"/>
  <c r="AA28" i="6" s="1"/>
  <c r="C29" i="6" s="1"/>
  <c r="J284" i="8"/>
  <c r="J285" i="8" s="1"/>
  <c r="E29" i="6" l="1"/>
  <c r="H29" i="6" s="1"/>
  <c r="G29" i="6"/>
  <c r="I29" i="6" l="1"/>
  <c r="N29" i="6" s="1"/>
  <c r="P288" i="8" s="1"/>
  <c r="W29" i="6" s="1"/>
  <c r="J29" i="6"/>
  <c r="G296" i="8" l="1"/>
  <c r="G297" i="8" s="1"/>
  <c r="K29" i="6"/>
  <c r="Q29" i="6"/>
  <c r="J296" i="8" s="1"/>
  <c r="J297" i="8" s="1"/>
  <c r="S288" i="8"/>
  <c r="Z29" i="6" s="1"/>
  <c r="AA29" i="6" s="1"/>
  <c r="C30" i="6" s="1"/>
  <c r="E30" i="6" l="1"/>
  <c r="H30" i="6" s="1"/>
  <c r="G30" i="6"/>
  <c r="I30" i="6" l="1"/>
  <c r="N30" i="6" s="1"/>
  <c r="K30" i="6" s="1"/>
  <c r="J30" i="6"/>
  <c r="G308" i="8" l="1"/>
  <c r="G309" i="8" s="1"/>
  <c r="P300" i="8"/>
  <c r="W30" i="6" s="1"/>
  <c r="Q30" i="6"/>
  <c r="S300" i="8"/>
  <c r="Z30" i="6" s="1"/>
  <c r="AA30" i="6" s="1"/>
  <c r="C31" i="6" s="1"/>
  <c r="J308" i="8"/>
  <c r="J309" i="8" s="1"/>
  <c r="E31" i="6" l="1"/>
  <c r="H31" i="6" s="1"/>
  <c r="G31" i="6"/>
  <c r="I31" i="6" l="1"/>
  <c r="N31" i="6" s="1"/>
  <c r="P312" i="8" s="1"/>
  <c r="W31" i="6" s="1"/>
  <c r="J31" i="6"/>
  <c r="G320" i="8" l="1"/>
  <c r="G321" i="8" s="1"/>
  <c r="Q31" i="6"/>
  <c r="S312" i="8" s="1"/>
  <c r="Z31" i="6" s="1"/>
  <c r="AA31" i="6" s="1"/>
  <c r="C32" i="6" s="1"/>
  <c r="K31" i="6"/>
  <c r="J320" i="8" l="1"/>
  <c r="J321" i="8" s="1"/>
  <c r="E32" i="6"/>
  <c r="H32" i="6" s="1"/>
  <c r="G32" i="6"/>
  <c r="J32" i="6" l="1"/>
  <c r="I32" i="6"/>
  <c r="N32" i="6" s="1"/>
  <c r="K32" i="6" l="1"/>
  <c r="P324" i="8"/>
  <c r="W32" i="6" s="1"/>
  <c r="Q32" i="6"/>
  <c r="G332" i="8"/>
  <c r="G333" i="8" s="1"/>
  <c r="S324" i="8" l="1"/>
  <c r="Z32" i="6" s="1"/>
  <c r="AA32" i="6" s="1"/>
  <c r="C33" i="6" s="1"/>
  <c r="J332" i="8"/>
  <c r="J333" i="8" s="1"/>
  <c r="E33" i="6" l="1"/>
  <c r="H33" i="6" s="1"/>
  <c r="G33" i="6"/>
  <c r="I33" i="6" l="1"/>
  <c r="N33" i="6" s="1"/>
  <c r="P336" i="8" s="1"/>
  <c r="W33" i="6" s="1"/>
  <c r="J33" i="6"/>
  <c r="G344" i="8" l="1"/>
  <c r="G345" i="8" s="1"/>
  <c r="Q33" i="6"/>
  <c r="S336" i="8" s="1"/>
  <c r="Z33" i="6" s="1"/>
  <c r="AA33" i="6" s="1"/>
  <c r="C34" i="6" s="1"/>
  <c r="K33" i="6"/>
  <c r="J344" i="8" l="1"/>
  <c r="J345" i="8" s="1"/>
  <c r="E34" i="6"/>
  <c r="H34" i="6" s="1"/>
  <c r="G34" i="6"/>
  <c r="J34" i="6" l="1"/>
  <c r="I34" i="6"/>
  <c r="N34" i="6" s="1"/>
  <c r="P348" i="8" l="1"/>
  <c r="W34" i="6" s="1"/>
  <c r="Q34" i="6"/>
  <c r="K34" i="6"/>
  <c r="G356" i="8"/>
  <c r="G357" i="8" s="1"/>
  <c r="S348" i="8" l="1"/>
  <c r="Z34" i="6" s="1"/>
  <c r="AA34" i="6" s="1"/>
  <c r="C35" i="6" s="1"/>
  <c r="J356" i="8"/>
  <c r="J357" i="8" s="1"/>
  <c r="E35" i="6" l="1"/>
  <c r="H35" i="6" s="1"/>
  <c r="G35" i="6"/>
  <c r="I35" i="6" l="1"/>
  <c r="N35" i="6" s="1"/>
  <c r="K35" i="6" s="1"/>
  <c r="J35" i="6"/>
  <c r="G368" i="8" l="1"/>
  <c r="G369" i="8" s="1"/>
  <c r="P360" i="8"/>
  <c r="W35" i="6" s="1"/>
  <c r="Q35" i="6"/>
  <c r="S360" i="8" s="1"/>
  <c r="Z35" i="6" s="1"/>
  <c r="AA35" i="6" s="1"/>
  <c r="C36" i="6" s="1"/>
  <c r="J368" i="8" l="1"/>
  <c r="J369" i="8" s="1"/>
  <c r="E36" i="6"/>
  <c r="H36" i="6" s="1"/>
  <c r="G36" i="6"/>
  <c r="I36" i="6" l="1"/>
  <c r="N36" i="6" s="1"/>
  <c r="P372" i="8" s="1"/>
  <c r="W36" i="6" s="1"/>
  <c r="J36" i="6"/>
  <c r="G380" i="8" l="1"/>
  <c r="G381" i="8" s="1"/>
  <c r="Q36" i="6"/>
  <c r="S372" i="8" s="1"/>
  <c r="Z36" i="6" s="1"/>
  <c r="AA36" i="6" s="1"/>
  <c r="C37" i="6" s="1"/>
  <c r="K36" i="6"/>
  <c r="J380" i="8" l="1"/>
  <c r="J381" i="8" s="1"/>
  <c r="E37" i="6"/>
  <c r="H37" i="6" s="1"/>
  <c r="G37" i="6"/>
  <c r="J37" i="6" l="1"/>
  <c r="I37" i="6"/>
  <c r="N37" i="6" s="1"/>
  <c r="K37" i="6" l="1"/>
  <c r="P384" i="8"/>
  <c r="W37" i="6" s="1"/>
  <c r="G392" i="8"/>
  <c r="G393" i="8" s="1"/>
  <c r="Q37" i="6"/>
  <c r="S384" i="8" l="1"/>
  <c r="Z37" i="6" s="1"/>
  <c r="AA37" i="6" s="1"/>
  <c r="C38" i="6" s="1"/>
  <c r="J392" i="8"/>
  <c r="J393" i="8" s="1"/>
  <c r="E38" i="6" l="1"/>
  <c r="H38" i="6" s="1"/>
  <c r="G38" i="6"/>
  <c r="I38" i="6" l="1"/>
  <c r="N38" i="6" s="1"/>
  <c r="P396" i="8" s="1"/>
  <c r="W38" i="6" s="1"/>
  <c r="J38" i="6"/>
  <c r="G404" i="8" l="1"/>
  <c r="G405" i="8" s="1"/>
  <c r="Q38" i="6"/>
  <c r="J404" i="8" s="1"/>
  <c r="J405" i="8" s="1"/>
  <c r="K38" i="6"/>
  <c r="S396" i="8" l="1"/>
  <c r="Z38" i="6" s="1"/>
  <c r="AA38" i="6" s="1"/>
  <c r="C39" i="6" s="1"/>
  <c r="G39" i="6" s="1"/>
  <c r="E39" i="6" l="1"/>
  <c r="H39" i="6" s="1"/>
  <c r="I39" i="6" s="1"/>
  <c r="N39" i="6" s="1"/>
  <c r="P408" i="8" l="1"/>
  <c r="W39" i="6" s="1"/>
  <c r="K39" i="6"/>
  <c r="Q39" i="6"/>
  <c r="S408" i="8" s="1"/>
  <c r="Z39" i="6" s="1"/>
  <c r="AA39" i="6" s="1"/>
  <c r="C40" i="6" s="1"/>
  <c r="G416" i="8"/>
  <c r="G417" i="8" s="1"/>
  <c r="J39" i="6"/>
  <c r="J416" i="8" l="1"/>
  <c r="J417" i="8" s="1"/>
  <c r="E40" i="6"/>
  <c r="H40" i="6" s="1"/>
  <c r="G40" i="6"/>
  <c r="I40" i="6" l="1"/>
  <c r="N40" i="6" s="1"/>
  <c r="P420" i="8" s="1"/>
  <c r="W40" i="6" s="1"/>
  <c r="J40" i="6"/>
  <c r="G428" i="8" l="1"/>
  <c r="G429" i="8" s="1"/>
  <c r="Q40" i="6"/>
  <c r="J428" i="8" s="1"/>
  <c r="J429" i="8" s="1"/>
  <c r="K40" i="6"/>
  <c r="S420" i="8" l="1"/>
  <c r="Z40" i="6" s="1"/>
  <c r="AA40" i="6" s="1"/>
  <c r="C41" i="6" s="1"/>
  <c r="E41" i="6" s="1"/>
  <c r="H41" i="6" s="1"/>
  <c r="G41" i="6" l="1"/>
  <c r="I41" i="6" s="1"/>
  <c r="N41" i="6" s="1"/>
  <c r="K41" i="6" s="1"/>
  <c r="J41" i="6"/>
  <c r="G440" i="8" l="1"/>
  <c r="G441" i="8" s="1"/>
  <c r="P432" i="8"/>
  <c r="W41" i="6" s="1"/>
  <c r="Q41" i="6"/>
  <c r="S432" i="8" s="1"/>
  <c r="Z41" i="6" s="1"/>
  <c r="AA41" i="6" s="1"/>
  <c r="C42" i="6" s="1"/>
  <c r="J440" i="8" l="1"/>
  <c r="J441" i="8" s="1"/>
  <c r="E42" i="6"/>
  <c r="H42" i="6" s="1"/>
  <c r="G42" i="6"/>
  <c r="J42" i="6" l="1"/>
  <c r="I42" i="6"/>
  <c r="N42" i="6" s="1"/>
  <c r="P444" i="8" l="1"/>
  <c r="W42" i="6" s="1"/>
  <c r="Q42" i="6"/>
  <c r="K42" i="6"/>
  <c r="G452" i="8"/>
  <c r="G453" i="8" s="1"/>
  <c r="S444" i="8" l="1"/>
  <c r="Z42" i="6" s="1"/>
  <c r="AA42" i="6" s="1"/>
  <c r="C43" i="6" s="1"/>
  <c r="J452" i="8"/>
  <c r="J453" i="8" s="1"/>
  <c r="E43" i="6" l="1"/>
  <c r="H43" i="6" s="1"/>
  <c r="G43" i="6"/>
  <c r="J43" i="6" l="1"/>
  <c r="I43" i="6"/>
  <c r="N43" i="6" s="1"/>
  <c r="K43" i="6" l="1"/>
  <c r="G464" i="8"/>
  <c r="G465" i="8" s="1"/>
  <c r="Q43" i="6"/>
  <c r="P456" i="8"/>
  <c r="W43" i="6" s="1"/>
  <c r="S456" i="8" l="1"/>
  <c r="Z43" i="6" s="1"/>
  <c r="AA43" i="6" s="1"/>
  <c r="C44" i="6" s="1"/>
  <c r="J464" i="8"/>
  <c r="J465" i="8" s="1"/>
  <c r="E44" i="6" l="1"/>
  <c r="H44" i="6" s="1"/>
  <c r="G44" i="6"/>
  <c r="J44" i="6" l="1"/>
  <c r="I44" i="6"/>
  <c r="N44" i="6" s="1"/>
  <c r="Q44" i="6" l="1"/>
  <c r="P468" i="8"/>
  <c r="W44" i="6" s="1"/>
  <c r="K44" i="6"/>
  <c r="G476" i="8"/>
  <c r="G477" i="8" s="1"/>
  <c r="J476" i="8" l="1"/>
  <c r="J477" i="8" s="1"/>
  <c r="S468" i="8"/>
  <c r="Z44" i="6" s="1"/>
  <c r="AA44" i="6" s="1"/>
  <c r="C45" i="6" s="1"/>
  <c r="G45" i="6" l="1"/>
  <c r="E45" i="6"/>
  <c r="H45" i="6" s="1"/>
  <c r="I45" i="6" l="1"/>
  <c r="N45" i="6" s="1"/>
  <c r="K45" i="6" s="1"/>
  <c r="J45" i="6"/>
  <c r="G488" i="8" l="1"/>
  <c r="G489" i="8" s="1"/>
  <c r="P480" i="8"/>
  <c r="W45" i="6" s="1"/>
  <c r="Q45" i="6"/>
  <c r="S480" i="8" s="1"/>
  <c r="Z45" i="6" s="1"/>
  <c r="AA45" i="6" s="1"/>
  <c r="C46" i="6" s="1"/>
  <c r="J488" i="8" l="1"/>
  <c r="J489" i="8" s="1"/>
  <c r="E46" i="6"/>
  <c r="H46" i="6" s="1"/>
  <c r="G46" i="6"/>
  <c r="I46" i="6" l="1"/>
  <c r="N46" i="6" s="1"/>
  <c r="Q46" i="6" s="1"/>
  <c r="J46" i="6"/>
  <c r="G500" i="8" l="1"/>
  <c r="G501" i="8" s="1"/>
  <c r="K46" i="6"/>
  <c r="P492" i="8"/>
  <c r="W46" i="6" s="1"/>
  <c r="S492" i="8"/>
  <c r="Z46" i="6" s="1"/>
  <c r="AA46" i="6" s="1"/>
  <c r="C47" i="6" s="1"/>
  <c r="J500" i="8"/>
  <c r="J501" i="8" s="1"/>
  <c r="G47" i="6" l="1"/>
  <c r="E47" i="6"/>
  <c r="H47" i="6" s="1"/>
  <c r="I47" i="6" l="1"/>
  <c r="N47" i="6" s="1"/>
  <c r="K47" i="6" s="1"/>
  <c r="J47" i="6"/>
  <c r="P504" i="8" l="1"/>
  <c r="W47" i="6" s="1"/>
  <c r="Q47" i="6"/>
  <c r="S504" i="8" s="1"/>
  <c r="Z47" i="6" s="1"/>
  <c r="AA47" i="6" s="1"/>
  <c r="C48" i="6" s="1"/>
  <c r="G512" i="8"/>
  <c r="G513" i="8" s="1"/>
  <c r="J512" i="8" l="1"/>
  <c r="J513" i="8" s="1"/>
  <c r="E48" i="6"/>
  <c r="H48" i="6" s="1"/>
  <c r="G48" i="6"/>
  <c r="J48" i="6" l="1"/>
  <c r="I48" i="6"/>
  <c r="N48" i="6" s="1"/>
  <c r="Q48" i="6" l="1"/>
  <c r="P516" i="8"/>
  <c r="W48" i="6" s="1"/>
  <c r="K48" i="6"/>
  <c r="G524" i="8"/>
  <c r="G525" i="8" s="1"/>
  <c r="J524" i="8" l="1"/>
  <c r="J525" i="8" s="1"/>
  <c r="S516" i="8"/>
  <c r="Z48" i="6" s="1"/>
  <c r="AA48" i="6" s="1"/>
  <c r="C49" i="6" s="1"/>
  <c r="G49" i="6" l="1"/>
  <c r="E49" i="6"/>
  <c r="H49" i="6" s="1"/>
  <c r="I49" i="6" l="1"/>
  <c r="N49" i="6" s="1"/>
  <c r="K49" i="6" s="1"/>
  <c r="J49" i="6"/>
  <c r="P528" i="8" l="1"/>
  <c r="W49" i="6" s="1"/>
  <c r="Q49" i="6"/>
  <c r="J536" i="8" s="1"/>
  <c r="J537" i="8" s="1"/>
  <c r="G536" i="8"/>
  <c r="G537" i="8" s="1"/>
  <c r="S528" i="8" l="1"/>
  <c r="Z49" i="6" s="1"/>
  <c r="AA49" i="6" s="1"/>
  <c r="C50" i="6" s="1"/>
  <c r="E50" i="6" s="1"/>
  <c r="H50" i="6" s="1"/>
  <c r="G50" i="6" l="1"/>
  <c r="I50" i="6" s="1"/>
  <c r="N50" i="6" s="1"/>
  <c r="J50" i="6"/>
  <c r="Q50" i="6" l="1"/>
  <c r="J548" i="8" s="1"/>
  <c r="J549" i="8" s="1"/>
  <c r="G548" i="8"/>
  <c r="G549" i="8" s="1"/>
  <c r="K50" i="6"/>
  <c r="P540" i="8"/>
  <c r="W50" i="6" s="1"/>
  <c r="S540" i="8"/>
  <c r="Z50" i="6" s="1"/>
  <c r="AA50" i="6" s="1"/>
  <c r="C51" i="6" s="1"/>
  <c r="G51" i="6" l="1"/>
  <c r="E51" i="6"/>
  <c r="H51" i="6" s="1"/>
  <c r="I51" i="6" l="1"/>
  <c r="N51" i="6" s="1"/>
  <c r="K51" i="6" s="1"/>
  <c r="J51" i="6"/>
  <c r="G560" i="8" l="1"/>
  <c r="G561" i="8" s="1"/>
  <c r="P552" i="8"/>
  <c r="W51" i="6" s="1"/>
  <c r="Q51" i="6"/>
  <c r="S552" i="8" s="1"/>
  <c r="Z51" i="6" s="1"/>
  <c r="AA51" i="6" s="1"/>
  <c r="C52" i="6" s="1"/>
  <c r="J560" i="8" l="1"/>
  <c r="J561" i="8" s="1"/>
  <c r="E52" i="6"/>
  <c r="H52" i="6" s="1"/>
  <c r="G52" i="6"/>
  <c r="J52" i="6" l="1"/>
  <c r="I52" i="6"/>
  <c r="N52" i="6" s="1"/>
  <c r="Q52" i="6" l="1"/>
  <c r="P564" i="8"/>
  <c r="W52" i="6" s="1"/>
  <c r="K52" i="6"/>
  <c r="G572" i="8"/>
  <c r="G573" i="8" s="1"/>
  <c r="J572" i="8" l="1"/>
  <c r="J573" i="8" s="1"/>
  <c r="S564" i="8"/>
  <c r="Z52" i="6" s="1"/>
  <c r="AA52" i="6" s="1"/>
  <c r="C53" i="6" s="1"/>
  <c r="G53" i="6" l="1"/>
  <c r="E53" i="6"/>
  <c r="H53" i="6" s="1"/>
  <c r="I53" i="6" l="1"/>
  <c r="N53" i="6" s="1"/>
  <c r="K53" i="6" s="1"/>
  <c r="J53" i="6"/>
  <c r="G584" i="8" l="1"/>
  <c r="G585" i="8" s="1"/>
  <c r="P576" i="8"/>
  <c r="W53" i="6" s="1"/>
  <c r="Q53" i="6"/>
  <c r="J584" i="8" s="1"/>
  <c r="J585" i="8" s="1"/>
  <c r="S576" i="8" l="1"/>
  <c r="Z53" i="6" s="1"/>
  <c r="AA53" i="6" s="1"/>
  <c r="C54" i="6" s="1"/>
  <c r="E54" i="6" s="1"/>
  <c r="H54" i="6" s="1"/>
  <c r="G54" i="6" l="1"/>
  <c r="I54" i="6" s="1"/>
  <c r="N54" i="6" s="1"/>
  <c r="Q54" i="6" s="1"/>
  <c r="J54" i="6"/>
  <c r="G596" i="8" l="1"/>
  <c r="G597" i="8" s="1"/>
  <c r="K54" i="6"/>
  <c r="P588" i="8"/>
  <c r="W54" i="6" s="1"/>
  <c r="S588" i="8"/>
  <c r="Z54" i="6" s="1"/>
  <c r="AA54" i="6" s="1"/>
  <c r="C55" i="6" s="1"/>
  <c r="J596" i="8"/>
  <c r="J597" i="8" s="1"/>
  <c r="G55" i="6" l="1"/>
  <c r="E55" i="6"/>
  <c r="H55" i="6" s="1"/>
  <c r="I55" i="6" l="1"/>
  <c r="N55" i="6" s="1"/>
  <c r="K55" i="6" s="1"/>
  <c r="J55" i="6"/>
  <c r="G608" i="8" l="1"/>
  <c r="G609" i="8" s="1"/>
  <c r="P600" i="8"/>
  <c r="W55" i="6" s="1"/>
  <c r="Q55" i="6"/>
  <c r="S600" i="8" s="1"/>
  <c r="Z55" i="6" s="1"/>
  <c r="AA55" i="6" s="1"/>
  <c r="C56" i="6" s="1"/>
  <c r="J608" i="8" l="1"/>
  <c r="J609" i="8" s="1"/>
  <c r="E56" i="6"/>
  <c r="H56" i="6" s="1"/>
  <c r="G56" i="6"/>
  <c r="I56" i="6" l="1"/>
  <c r="N56" i="6" s="1"/>
  <c r="P612" i="8" s="1"/>
  <c r="W56" i="6" s="1"/>
  <c r="J56" i="6"/>
  <c r="Q56" i="6" l="1"/>
  <c r="S612" i="8" s="1"/>
  <c r="Z56" i="6" s="1"/>
  <c r="AA56" i="6" s="1"/>
  <c r="C57" i="6" s="1"/>
  <c r="K56" i="6"/>
  <c r="G620" i="8"/>
  <c r="G621" i="8" s="1"/>
  <c r="J620" i="8" l="1"/>
  <c r="J621" i="8" s="1"/>
  <c r="E57" i="6"/>
  <c r="H57" i="6" s="1"/>
  <c r="G57" i="6"/>
  <c r="I57" i="6" l="1"/>
  <c r="N57" i="6" s="1"/>
  <c r="K57" i="6" s="1"/>
  <c r="J57" i="6"/>
  <c r="G632" i="8" l="1"/>
  <c r="G633" i="8" s="1"/>
  <c r="P624" i="8"/>
  <c r="W57" i="6" s="1"/>
  <c r="Q57" i="6"/>
  <c r="S624" i="8" s="1"/>
  <c r="Z57" i="6" s="1"/>
  <c r="AA57" i="6" s="1"/>
  <c r="C58" i="6" s="1"/>
  <c r="J632" i="8" l="1"/>
  <c r="J633" i="8" s="1"/>
  <c r="E58" i="6"/>
  <c r="H58" i="6" s="1"/>
  <c r="G58" i="6"/>
  <c r="J58" i="6" l="1"/>
  <c r="I58" i="6"/>
  <c r="N58" i="6" s="1"/>
  <c r="P636" i="8" l="1"/>
  <c r="W58" i="6" s="1"/>
  <c r="Q58" i="6"/>
  <c r="K58" i="6"/>
  <c r="G644" i="8"/>
  <c r="G645" i="8" s="1"/>
  <c r="S636" i="8" l="1"/>
  <c r="Z58" i="6" s="1"/>
  <c r="AA58" i="6" s="1"/>
  <c r="C59" i="6" s="1"/>
  <c r="J644" i="8"/>
  <c r="J645" i="8" s="1"/>
  <c r="E59" i="6" l="1"/>
  <c r="H59" i="6" s="1"/>
  <c r="G59" i="6"/>
  <c r="I59" i="6" l="1"/>
  <c r="N59" i="6" s="1"/>
  <c r="K59" i="6" s="1"/>
  <c r="J59" i="6"/>
  <c r="P648" i="8" l="1"/>
  <c r="W59" i="6" s="1"/>
  <c r="G656" i="8"/>
  <c r="G657" i="8" s="1"/>
  <c r="Q59" i="6"/>
  <c r="J656" i="8" s="1"/>
  <c r="J657" i="8" s="1"/>
  <c r="S648" i="8" l="1"/>
  <c r="Z59" i="6" s="1"/>
  <c r="AA59" i="6" s="1"/>
  <c r="C60" i="6" s="1"/>
  <c r="E60" i="6" s="1"/>
  <c r="H60" i="6" s="1"/>
  <c r="G60" i="6" l="1"/>
  <c r="I60" i="6"/>
  <c r="N60" i="6" s="1"/>
  <c r="P660" i="8" s="1"/>
  <c r="W60" i="6" s="1"/>
  <c r="J60" i="6"/>
  <c r="G668" i="8" l="1"/>
  <c r="G669" i="8" s="1"/>
  <c r="Q60" i="6"/>
  <c r="J668" i="8" s="1"/>
  <c r="J669" i="8" s="1"/>
  <c r="K60" i="6"/>
  <c r="S660" i="8" l="1"/>
  <c r="Z60" i="6" s="1"/>
  <c r="AA60" i="6" s="1"/>
  <c r="C61" i="6" s="1"/>
  <c r="E61" i="6" s="1"/>
  <c r="H61" i="6" s="1"/>
  <c r="G61" i="6" l="1"/>
  <c r="I61" i="6" s="1"/>
  <c r="N61" i="6" s="1"/>
  <c r="J61" i="6"/>
  <c r="K61" i="6" l="1"/>
  <c r="P672" i="8"/>
  <c r="W61" i="6" s="1"/>
  <c r="G680" i="8"/>
  <c r="G681" i="8" s="1"/>
  <c r="Q61" i="6"/>
  <c r="S672" i="8" l="1"/>
  <c r="Z61" i="6" s="1"/>
  <c r="AA61" i="6" s="1"/>
  <c r="C62" i="6" s="1"/>
  <c r="J680" i="8"/>
  <c r="J681" i="8" s="1"/>
  <c r="E62" i="6" l="1"/>
  <c r="H62" i="6" s="1"/>
  <c r="G62" i="6"/>
  <c r="I62" i="6" l="1"/>
  <c r="N62" i="6" s="1"/>
  <c r="P684" i="8" s="1"/>
  <c r="W62" i="6" s="1"/>
  <c r="J62" i="6"/>
  <c r="Q62" i="6" l="1"/>
  <c r="S684" i="8" s="1"/>
  <c r="Z62" i="6" s="1"/>
  <c r="AA62" i="6" s="1"/>
  <c r="C63" i="6" s="1"/>
  <c r="G692" i="8"/>
  <c r="G693" i="8" s="1"/>
  <c r="K62" i="6"/>
  <c r="J692" i="8"/>
  <c r="J693" i="8" s="1"/>
  <c r="G63" i="6" l="1"/>
  <c r="E63" i="6"/>
  <c r="H63" i="6" s="1"/>
  <c r="I63" i="6" l="1"/>
  <c r="N63" i="6" s="1"/>
  <c r="K63" i="6" s="1"/>
  <c r="J63" i="6"/>
  <c r="P696" i="8" l="1"/>
  <c r="W63" i="6" s="1"/>
  <c r="Q63" i="6"/>
  <c r="J704" i="8" s="1"/>
  <c r="J705" i="8" s="1"/>
  <c r="G704" i="8"/>
  <c r="G705" i="8" s="1"/>
  <c r="S696" i="8" l="1"/>
  <c r="Z63" i="6" s="1"/>
  <c r="AA63" i="6" s="1"/>
  <c r="C64" i="6" s="1"/>
  <c r="E64" i="6" s="1"/>
  <c r="H64" i="6" s="1"/>
  <c r="G64" i="6" l="1"/>
  <c r="I64" i="6"/>
  <c r="N64" i="6" s="1"/>
  <c r="P708" i="8" s="1"/>
  <c r="W64" i="6" s="1"/>
  <c r="J64" i="6"/>
  <c r="Q64" i="6" l="1"/>
  <c r="S708" i="8" s="1"/>
  <c r="Z64" i="6" s="1"/>
  <c r="AA64" i="6" s="1"/>
  <c r="C65" i="6" s="1"/>
  <c r="G716" i="8"/>
  <c r="G717" i="8" s="1"/>
  <c r="K64" i="6"/>
  <c r="J716" i="8"/>
  <c r="J717" i="8" s="1"/>
  <c r="E65" i="6" l="1"/>
  <c r="H65" i="6" s="1"/>
  <c r="G65" i="6"/>
  <c r="I65" i="6" l="1"/>
  <c r="N65" i="6" s="1"/>
  <c r="K65" i="6" s="1"/>
  <c r="J65" i="6"/>
  <c r="G728" i="8" l="1"/>
  <c r="G729" i="8" s="1"/>
  <c r="P720" i="8"/>
  <c r="W65" i="6" s="1"/>
  <c r="Q65" i="6"/>
  <c r="J728" i="8" s="1"/>
  <c r="J729" i="8" s="1"/>
  <c r="S720" i="8" l="1"/>
  <c r="Z65" i="6" s="1"/>
  <c r="AA65" i="6" s="1"/>
  <c r="C66" i="6" s="1"/>
  <c r="E66" i="6" s="1"/>
  <c r="H66" i="6" s="1"/>
  <c r="G66" i="6" l="1"/>
  <c r="I66" i="6" s="1"/>
  <c r="N66" i="6" s="1"/>
  <c r="J66" i="6"/>
  <c r="P732" i="8" l="1"/>
  <c r="W66" i="6" s="1"/>
  <c r="Q66" i="6"/>
  <c r="K66" i="6"/>
  <c r="G740" i="8"/>
  <c r="G741" i="8" s="1"/>
  <c r="J740" i="8" l="1"/>
  <c r="J741" i="8" s="1"/>
  <c r="S732" i="8"/>
  <c r="Z66" i="6" s="1"/>
  <c r="AA66" i="6" s="1"/>
  <c r="C67" i="6" s="1"/>
  <c r="E67" i="6" l="1"/>
  <c r="H67" i="6" s="1"/>
  <c r="G67" i="6"/>
  <c r="I67" i="6" l="1"/>
  <c r="N67" i="6" s="1"/>
  <c r="K67" i="6" s="1"/>
  <c r="J67" i="6"/>
  <c r="G752" i="8" l="1"/>
  <c r="G753" i="8" s="1"/>
  <c r="P744" i="8"/>
  <c r="W67" i="6" s="1"/>
  <c r="Q67" i="6"/>
  <c r="S744" i="8" s="1"/>
  <c r="Z67" i="6" s="1"/>
  <c r="AA67" i="6" s="1"/>
  <c r="C68" i="6" s="1"/>
  <c r="J752" i="8" l="1"/>
  <c r="J753" i="8" s="1"/>
  <c r="E68" i="6"/>
  <c r="H68" i="6" s="1"/>
  <c r="G68" i="6"/>
  <c r="I68" i="6" l="1"/>
  <c r="N68" i="6" s="1"/>
  <c r="P756" i="8" s="1"/>
  <c r="W68" i="6" s="1"/>
  <c r="J68" i="6"/>
  <c r="G764" i="8" l="1"/>
  <c r="G765" i="8" s="1"/>
  <c r="Q68" i="6"/>
  <c r="J764" i="8" s="1"/>
  <c r="J765" i="8" s="1"/>
  <c r="K68" i="6"/>
  <c r="S756" i="8" l="1"/>
  <c r="Z68" i="6" s="1"/>
  <c r="AA68" i="6" s="1"/>
  <c r="C69" i="6" s="1"/>
  <c r="E69" i="6" s="1"/>
  <c r="H69" i="6" s="1"/>
  <c r="G69" i="6" l="1"/>
  <c r="I69" i="6" s="1"/>
  <c r="N69" i="6" s="1"/>
  <c r="J69" i="6"/>
  <c r="K69" i="6" l="1"/>
  <c r="P768" i="8"/>
  <c r="W69" i="6" s="1"/>
  <c r="G776" i="8"/>
  <c r="G777" i="8" s="1"/>
  <c r="Q69" i="6"/>
  <c r="S768" i="8" l="1"/>
  <c r="Z69" i="6" s="1"/>
  <c r="AA69" i="6" s="1"/>
  <c r="C70" i="6" s="1"/>
  <c r="J776" i="8"/>
  <c r="J777" i="8" s="1"/>
  <c r="E70" i="6" l="1"/>
  <c r="H70" i="6" s="1"/>
  <c r="G70" i="6"/>
  <c r="I70" i="6" l="1"/>
  <c r="N70" i="6" s="1"/>
  <c r="Q70" i="6" s="1"/>
  <c r="J70" i="6"/>
  <c r="G788" i="8" l="1"/>
  <c r="G789" i="8" s="1"/>
  <c r="K70" i="6"/>
  <c r="P780" i="8"/>
  <c r="W70" i="6" s="1"/>
  <c r="S780" i="8"/>
  <c r="Z70" i="6" s="1"/>
  <c r="AA70" i="6" s="1"/>
  <c r="C71" i="6" s="1"/>
  <c r="J788" i="8"/>
  <c r="J789" i="8" s="1"/>
  <c r="G71" i="6" l="1"/>
  <c r="E71" i="6"/>
  <c r="H71" i="6" s="1"/>
  <c r="I71" i="6" l="1"/>
  <c r="N71" i="6" s="1"/>
  <c r="K71" i="6" s="1"/>
  <c r="J71" i="6"/>
  <c r="G800" i="8" l="1"/>
  <c r="G801" i="8" s="1"/>
  <c r="P792" i="8"/>
  <c r="W71" i="6" s="1"/>
  <c r="Q71" i="6"/>
  <c r="J800" i="8" s="1"/>
  <c r="J801" i="8" s="1"/>
  <c r="S792" i="8" l="1"/>
  <c r="Z71" i="6" s="1"/>
  <c r="AA71" i="6" s="1"/>
  <c r="C72" i="6" s="1"/>
  <c r="E72" i="6" s="1"/>
  <c r="H72" i="6" s="1"/>
  <c r="G72" i="6" l="1"/>
  <c r="I72" i="6" s="1"/>
  <c r="N72" i="6" s="1"/>
  <c r="P804" i="8" s="1"/>
  <c r="W72" i="6" s="1"/>
  <c r="J72" i="6"/>
  <c r="Q72" i="6" l="1"/>
  <c r="G812" i="8"/>
  <c r="G813" i="8" s="1"/>
  <c r="K72" i="6"/>
  <c r="S804" i="8"/>
  <c r="Z72" i="6" s="1"/>
  <c r="AA72" i="6" s="1"/>
  <c r="C73" i="6" s="1"/>
  <c r="J812" i="8"/>
  <c r="J813" i="8" s="1"/>
  <c r="E73" i="6" l="1"/>
  <c r="H73" i="6" s="1"/>
  <c r="G73" i="6"/>
  <c r="I73" i="6" l="1"/>
  <c r="N73" i="6" s="1"/>
  <c r="K73" i="6" s="1"/>
  <c r="J73" i="6"/>
  <c r="G824" i="8" l="1"/>
  <c r="G825" i="8" s="1"/>
  <c r="P816" i="8"/>
  <c r="W73" i="6" s="1"/>
  <c r="Q73" i="6"/>
  <c r="J824" i="8" s="1"/>
  <c r="J825" i="8" s="1"/>
  <c r="S816" i="8" l="1"/>
  <c r="Z73" i="6" s="1"/>
  <c r="AA73" i="6" s="1"/>
  <c r="C74" i="6" s="1"/>
  <c r="E74" i="6" s="1"/>
  <c r="H74" i="6" s="1"/>
  <c r="G74" i="6" l="1"/>
  <c r="I74" i="6" s="1"/>
  <c r="N74" i="6" s="1"/>
  <c r="J74" i="6"/>
  <c r="P828" i="8" l="1"/>
  <c r="W74" i="6" s="1"/>
  <c r="Q74" i="6"/>
  <c r="K74" i="6"/>
  <c r="G836" i="8"/>
  <c r="G837" i="8" s="1"/>
  <c r="J836" i="8" l="1"/>
  <c r="J837" i="8" s="1"/>
  <c r="S828" i="8"/>
  <c r="Z74" i="6" s="1"/>
  <c r="AA74" i="6" s="1"/>
  <c r="C75" i="6" s="1"/>
  <c r="E75" i="6" l="1"/>
  <c r="H75" i="6" s="1"/>
  <c r="G75" i="6"/>
  <c r="I75" i="6" l="1"/>
  <c r="N75" i="6" s="1"/>
  <c r="K75" i="6" s="1"/>
  <c r="J75" i="6"/>
  <c r="P840" i="8" l="1"/>
  <c r="W75" i="6" s="1"/>
  <c r="Q75" i="6"/>
  <c r="S840" i="8" s="1"/>
  <c r="Z75" i="6" s="1"/>
  <c r="AA75" i="6" s="1"/>
  <c r="C76" i="6" s="1"/>
  <c r="G848" i="8"/>
  <c r="G849" i="8" s="1"/>
  <c r="J848" i="8" l="1"/>
  <c r="J849" i="8" s="1"/>
  <c r="E76" i="6"/>
  <c r="H76" i="6" s="1"/>
  <c r="G76" i="6"/>
  <c r="I76" i="6" s="1"/>
  <c r="N76" i="6" s="1"/>
  <c r="P852" i="8" l="1"/>
  <c r="W76" i="6" s="1"/>
  <c r="K76" i="6"/>
  <c r="Q76" i="6"/>
  <c r="G860" i="8"/>
  <c r="G861" i="8" s="1"/>
  <c r="J76" i="6"/>
  <c r="J860" i="8" l="1"/>
  <c r="J861" i="8" s="1"/>
  <c r="S852" i="8"/>
  <c r="Z76" i="6" s="1"/>
  <c r="AA76" i="6" s="1"/>
  <c r="C77" i="6" s="1"/>
  <c r="E77" i="6" l="1"/>
  <c r="H77" i="6" s="1"/>
  <c r="G77" i="6"/>
  <c r="J77" i="6" l="1"/>
  <c r="I77" i="6"/>
  <c r="N77" i="6" s="1"/>
  <c r="Q77" i="6" l="1"/>
  <c r="P864" i="8"/>
  <c r="W77" i="6" s="1"/>
  <c r="K77" i="6"/>
  <c r="G872" i="8"/>
  <c r="G873" i="8" s="1"/>
  <c r="S864" i="8" l="1"/>
  <c r="Z77" i="6" s="1"/>
  <c r="AA77" i="6" s="1"/>
  <c r="C78" i="6" s="1"/>
  <c r="J872" i="8"/>
  <c r="J873" i="8" s="1"/>
  <c r="G78" i="6" l="1"/>
  <c r="E78" i="6"/>
  <c r="H78" i="6" s="1"/>
  <c r="I78" i="6" l="1"/>
  <c r="N78" i="6" s="1"/>
  <c r="K78" i="6" s="1"/>
  <c r="J78" i="6"/>
  <c r="G884" i="8" l="1"/>
  <c r="G885" i="8" s="1"/>
  <c r="P876" i="8"/>
  <c r="W78" i="6" s="1"/>
  <c r="Q78" i="6"/>
  <c r="J884" i="8" s="1"/>
  <c r="J885" i="8" s="1"/>
  <c r="S876" i="8" l="1"/>
  <c r="Z78" i="6" s="1"/>
  <c r="AA78" i="6" s="1"/>
  <c r="C79" i="6" s="1"/>
  <c r="E79" i="6" s="1"/>
  <c r="H79" i="6" s="1"/>
  <c r="G79" i="6" l="1"/>
  <c r="I79" i="6" s="1"/>
  <c r="N79" i="6" s="1"/>
  <c r="Q79" i="6" s="1"/>
  <c r="J79" i="6"/>
  <c r="K79" i="6" l="1"/>
  <c r="G896" i="8"/>
  <c r="G897" i="8" s="1"/>
  <c r="P888" i="8"/>
  <c r="W79" i="6" s="1"/>
  <c r="S888" i="8"/>
  <c r="Z79" i="6" s="1"/>
  <c r="AA79" i="6" s="1"/>
  <c r="C80" i="6" s="1"/>
  <c r="J896" i="8"/>
  <c r="J897" i="8" s="1"/>
  <c r="G80" i="6" l="1"/>
  <c r="E80" i="6"/>
  <c r="H80" i="6" s="1"/>
  <c r="I80" i="6" l="1"/>
  <c r="N80" i="6" s="1"/>
  <c r="K80" i="6" s="1"/>
  <c r="J80" i="6"/>
  <c r="G908" i="8" l="1"/>
  <c r="G909" i="8" s="1"/>
  <c r="P900" i="8"/>
  <c r="W80" i="6" s="1"/>
  <c r="Q80" i="6"/>
  <c r="J908" i="8" s="1"/>
  <c r="J909" i="8" s="1"/>
  <c r="S900" i="8" l="1"/>
  <c r="Z80" i="6" s="1"/>
  <c r="AA80" i="6" s="1"/>
  <c r="C81" i="6" s="1"/>
  <c r="E81" i="6" s="1"/>
  <c r="H81" i="6" s="1"/>
  <c r="G81" i="6" l="1"/>
  <c r="I81" i="6" s="1"/>
  <c r="N81" i="6" s="1"/>
  <c r="J81" i="6"/>
  <c r="Q81" i="6" l="1"/>
  <c r="P912" i="8"/>
  <c r="W81" i="6" s="1"/>
  <c r="K81" i="6"/>
  <c r="G920" i="8"/>
  <c r="G921" i="8" s="1"/>
  <c r="J920" i="8" l="1"/>
  <c r="J921" i="8" s="1"/>
  <c r="S912" i="8"/>
  <c r="Z81" i="6" s="1"/>
  <c r="AA81" i="6" s="1"/>
  <c r="C82" i="6" s="1"/>
  <c r="G82" i="6" l="1"/>
  <c r="E82" i="6"/>
  <c r="H82" i="6" s="1"/>
  <c r="I82" i="6" l="1"/>
  <c r="N82" i="6" s="1"/>
  <c r="Q82" i="6" s="1"/>
  <c r="J82" i="6"/>
  <c r="P924" i="8" l="1"/>
  <c r="W82" i="6" s="1"/>
  <c r="G932" i="8"/>
  <c r="G933" i="8" s="1"/>
  <c r="K82" i="6"/>
  <c r="S924" i="8"/>
  <c r="Z82" i="6" s="1"/>
  <c r="AA82" i="6" s="1"/>
  <c r="C83" i="6" s="1"/>
  <c r="J932" i="8"/>
  <c r="J933" i="8" s="1"/>
  <c r="E83" i="6" l="1"/>
  <c r="H83" i="6" s="1"/>
  <c r="G83" i="6"/>
  <c r="I83" i="6" l="1"/>
  <c r="N83" i="6" s="1"/>
  <c r="Q83" i="6" s="1"/>
  <c r="J83" i="6"/>
  <c r="K83" i="6" l="1"/>
  <c r="G944" i="8"/>
  <c r="G945" i="8" s="1"/>
  <c r="P936" i="8"/>
  <c r="W83" i="6" s="1"/>
  <c r="S936" i="8"/>
  <c r="Z83" i="6" s="1"/>
  <c r="AA83" i="6" s="1"/>
  <c r="C84" i="6" s="1"/>
  <c r="J944" i="8"/>
  <c r="J945" i="8" s="1"/>
  <c r="G84" i="6" l="1"/>
  <c r="E84" i="6"/>
  <c r="H84" i="6" s="1"/>
  <c r="I84" i="6" l="1"/>
  <c r="N84" i="6" s="1"/>
  <c r="G956" i="8" s="1"/>
  <c r="G957" i="8" s="1"/>
  <c r="J84" i="6"/>
  <c r="P948" i="8" l="1"/>
  <c r="W84" i="6" s="1"/>
  <c r="Q84" i="6"/>
  <c r="J956" i="8" s="1"/>
  <c r="J957" i="8" s="1"/>
  <c r="K84" i="6"/>
  <c r="S948" i="8" l="1"/>
  <c r="Z84" i="6" s="1"/>
  <c r="AA84" i="6" s="1"/>
  <c r="C85" i="6" s="1"/>
  <c r="E85" i="6" s="1"/>
  <c r="H85" i="6" s="1"/>
  <c r="G85" i="6" l="1"/>
  <c r="I85" i="6" s="1"/>
  <c r="N85" i="6" s="1"/>
  <c r="J85" i="6"/>
  <c r="Q85" i="6" l="1"/>
  <c r="P960" i="8"/>
  <c r="W85" i="6" s="1"/>
  <c r="K85" i="6"/>
  <c r="G968" i="8"/>
  <c r="G969" i="8" s="1"/>
  <c r="J968" i="8" l="1"/>
  <c r="J969" i="8" s="1"/>
  <c r="S960" i="8"/>
  <c r="Z85" i="6" s="1"/>
  <c r="AA85" i="6" s="1"/>
  <c r="C86" i="6" s="1"/>
  <c r="G86" i="6" l="1"/>
  <c r="E86" i="6"/>
  <c r="H86" i="6" s="1"/>
  <c r="I86" i="6" l="1"/>
  <c r="N86" i="6" s="1"/>
  <c r="K86" i="6" s="1"/>
  <c r="J86" i="6"/>
  <c r="G980" i="8" l="1"/>
  <c r="G981" i="8" s="1"/>
  <c r="P972" i="8"/>
  <c r="W86" i="6" s="1"/>
  <c r="Q86" i="6"/>
  <c r="J980" i="8" s="1"/>
  <c r="J981" i="8" s="1"/>
  <c r="S972" i="8"/>
  <c r="Z86" i="6" s="1"/>
  <c r="AA86" i="6" s="1"/>
  <c r="C87" i="6" s="1"/>
  <c r="E87" i="6" l="1"/>
  <c r="H87" i="6" s="1"/>
  <c r="G87" i="6"/>
  <c r="I87" i="6" l="1"/>
  <c r="N87" i="6" s="1"/>
  <c r="K87" i="6" s="1"/>
  <c r="J87" i="6"/>
  <c r="G992" i="8" l="1"/>
  <c r="G993" i="8" s="1"/>
  <c r="P984" i="8"/>
  <c r="W87" i="6" s="1"/>
  <c r="Q87" i="6"/>
  <c r="J992" i="8" s="1"/>
  <c r="J993" i="8" s="1"/>
  <c r="S984" i="8" l="1"/>
  <c r="Z87" i="6" s="1"/>
  <c r="AA87" i="6" s="1"/>
  <c r="C88" i="6" s="1"/>
  <c r="G88" i="6" s="1"/>
  <c r="E88" i="6" l="1"/>
  <c r="H88" i="6" s="1"/>
  <c r="I88" i="6"/>
  <c r="N88" i="6" s="1"/>
  <c r="K88" i="6" s="1"/>
  <c r="J88" i="6"/>
  <c r="P996" i="8" l="1"/>
  <c r="W88" i="6" s="1"/>
  <c r="Q88" i="6"/>
  <c r="S996" i="8" s="1"/>
  <c r="Z88" i="6" s="1"/>
  <c r="AA88" i="6" s="1"/>
  <c r="C89" i="6" s="1"/>
  <c r="G1004" i="8"/>
  <c r="G1005" i="8" s="1"/>
  <c r="J1004" i="8" l="1"/>
  <c r="J1005" i="8" s="1"/>
  <c r="E89" i="6"/>
  <c r="H89" i="6" s="1"/>
  <c r="G89" i="6"/>
  <c r="J89" i="6" l="1"/>
  <c r="I89" i="6"/>
  <c r="N89" i="6" s="1"/>
  <c r="Q89" i="6" l="1"/>
  <c r="P1008" i="8"/>
  <c r="W89" i="6" s="1"/>
  <c r="G1016" i="8"/>
  <c r="G1017" i="8" s="1"/>
  <c r="K89" i="6"/>
  <c r="S1008" i="8" l="1"/>
  <c r="Z89" i="6" s="1"/>
  <c r="AA89" i="6" s="1"/>
  <c r="C90" i="6" s="1"/>
  <c r="J1016" i="8"/>
  <c r="J1017" i="8" s="1"/>
  <c r="G90" i="6" l="1"/>
  <c r="E90" i="6"/>
  <c r="H90" i="6" s="1"/>
  <c r="I90" i="6" l="1"/>
  <c r="N90" i="6" s="1"/>
  <c r="K90" i="6" s="1"/>
  <c r="J90" i="6"/>
  <c r="G1028" i="8" l="1"/>
  <c r="G1029" i="8" s="1"/>
  <c r="P1020" i="8"/>
  <c r="W90" i="6" s="1"/>
  <c r="Q90" i="6"/>
  <c r="J1028" i="8" s="1"/>
  <c r="J1029" i="8" s="1"/>
  <c r="S1020" i="8" l="1"/>
  <c r="Z90" i="6" s="1"/>
  <c r="AA90" i="6" s="1"/>
  <c r="C91" i="6" s="1"/>
  <c r="E91" i="6" s="1"/>
  <c r="H91" i="6" s="1"/>
  <c r="G91" i="6" l="1"/>
  <c r="I91" i="6" s="1"/>
  <c r="N91" i="6" s="1"/>
  <c r="K91" i="6" s="1"/>
  <c r="J91" i="6"/>
  <c r="G1040" i="8" l="1"/>
  <c r="G1041" i="8" s="1"/>
  <c r="P1032" i="8"/>
  <c r="W91" i="6" s="1"/>
  <c r="Q91" i="6"/>
  <c r="S1032" i="8" s="1"/>
  <c r="Z91" i="6" s="1"/>
  <c r="AA91" i="6" s="1"/>
  <c r="C92" i="6" s="1"/>
  <c r="J1040" i="8" l="1"/>
  <c r="J1041" i="8" s="1"/>
  <c r="G92" i="6"/>
  <c r="E92" i="6"/>
  <c r="H92" i="6" s="1"/>
  <c r="I92" i="6" l="1"/>
  <c r="N92" i="6" s="1"/>
  <c r="G1052" i="8" s="1"/>
  <c r="G1053" i="8" s="1"/>
  <c r="J92" i="6"/>
  <c r="P1044" i="8" l="1"/>
  <c r="W92" i="6" s="1"/>
  <c r="Q92" i="6"/>
  <c r="J1052" i="8" s="1"/>
  <c r="J1053" i="8" s="1"/>
  <c r="K92" i="6"/>
  <c r="S1044" i="8" l="1"/>
  <c r="Z92" i="6" s="1"/>
  <c r="AA92" i="6" s="1"/>
  <c r="C93" i="6" s="1"/>
  <c r="E93" i="6" s="1"/>
  <c r="H93" i="6" s="1"/>
  <c r="G93" i="6" l="1"/>
  <c r="I93" i="6" s="1"/>
  <c r="N93" i="6" s="1"/>
  <c r="J93" i="6"/>
  <c r="P1056" i="8" l="1"/>
  <c r="W93" i="6" s="1"/>
  <c r="Q93" i="6"/>
  <c r="G1064" i="8"/>
  <c r="G1065" i="8" s="1"/>
  <c r="K93" i="6"/>
  <c r="S1056" i="8" l="1"/>
  <c r="Z93" i="6" s="1"/>
  <c r="AA93" i="6" s="1"/>
  <c r="C94" i="6" s="1"/>
  <c r="J1064" i="8"/>
  <c r="J1065" i="8" s="1"/>
  <c r="E94" i="6" l="1"/>
  <c r="H94" i="6" s="1"/>
  <c r="G94" i="6"/>
  <c r="I94" i="6" l="1"/>
  <c r="N94" i="6" s="1"/>
  <c r="K94" i="6" s="1"/>
  <c r="J94" i="6"/>
  <c r="P1068" i="8" l="1"/>
  <c r="W94" i="6" s="1"/>
  <c r="G1076" i="8"/>
  <c r="G1077" i="8" s="1"/>
  <c r="Q94" i="6"/>
  <c r="S1068" i="8"/>
  <c r="Z94" i="6" s="1"/>
  <c r="AA94" i="6" s="1"/>
  <c r="C95" i="6" s="1"/>
  <c r="J1076" i="8"/>
  <c r="J1077" i="8" s="1"/>
  <c r="E95" i="6" l="1"/>
  <c r="H95" i="6" s="1"/>
  <c r="G95" i="6"/>
  <c r="I95" i="6" l="1"/>
  <c r="N95" i="6" s="1"/>
  <c r="Q95" i="6" s="1"/>
  <c r="J95" i="6"/>
  <c r="K95" i="6" l="1"/>
  <c r="P1080" i="8"/>
  <c r="W95" i="6" s="1"/>
  <c r="G1088" i="8"/>
  <c r="G1089" i="8" s="1"/>
  <c r="J1088" i="8"/>
  <c r="J1089" i="8" s="1"/>
  <c r="S1080" i="8"/>
  <c r="Z95" i="6" s="1"/>
  <c r="AA95" i="6" s="1"/>
  <c r="C96" i="6" s="1"/>
  <c r="E96" i="6" l="1"/>
  <c r="H96" i="6" s="1"/>
  <c r="G96" i="6"/>
  <c r="J96" i="6" l="1"/>
  <c r="I96" i="6"/>
  <c r="N96" i="6" s="1"/>
  <c r="K96" i="6" l="1"/>
  <c r="G1100" i="8"/>
  <c r="G1101" i="8" s="1"/>
  <c r="P1092" i="8"/>
  <c r="W96" i="6" s="1"/>
  <c r="Q96" i="6"/>
  <c r="S1092" i="8" l="1"/>
  <c r="Z96" i="6" s="1"/>
  <c r="AA96" i="6" s="1"/>
  <c r="C97" i="6" s="1"/>
  <c r="J1100" i="8"/>
  <c r="J1101" i="8" s="1"/>
  <c r="E97" i="6" l="1"/>
  <c r="H97" i="6" s="1"/>
  <c r="G97" i="6"/>
  <c r="I97" i="6" l="1"/>
  <c r="N97" i="6" s="1"/>
  <c r="P1104" i="8" s="1"/>
  <c r="W97" i="6" s="1"/>
  <c r="J97" i="6"/>
  <c r="G1112" i="8" l="1"/>
  <c r="G1113" i="8" s="1"/>
  <c r="Q97" i="6"/>
  <c r="S1104" i="8" s="1"/>
  <c r="Z97" i="6" s="1"/>
  <c r="AA97" i="6" s="1"/>
  <c r="C98" i="6" s="1"/>
  <c r="K97" i="6"/>
  <c r="J1112" i="8" l="1"/>
  <c r="J1113" i="8" s="1"/>
  <c r="G98" i="6"/>
  <c r="E98" i="6"/>
  <c r="H98" i="6" s="1"/>
  <c r="I98" i="6" l="1"/>
  <c r="N98" i="6" s="1"/>
  <c r="K98" i="6" s="1"/>
  <c r="J98" i="6"/>
  <c r="P1116" i="8" l="1"/>
  <c r="W98" i="6" s="1"/>
  <c r="G1124" i="8"/>
  <c r="G1125" i="8" s="1"/>
  <c r="Q98" i="6"/>
  <c r="S1116" i="8"/>
  <c r="Z98" i="6" s="1"/>
  <c r="AA98" i="6" s="1"/>
  <c r="C99" i="6" s="1"/>
  <c r="J1124" i="8"/>
  <c r="J1125" i="8" s="1"/>
  <c r="E99" i="6" l="1"/>
  <c r="H99" i="6" s="1"/>
  <c r="G99" i="6"/>
  <c r="I99" i="6" l="1"/>
  <c r="N99" i="6" s="1"/>
  <c r="P1128" i="8" s="1"/>
  <c r="W99" i="6" s="1"/>
  <c r="J99" i="6"/>
  <c r="Q99" i="6" l="1"/>
  <c r="K99" i="6"/>
  <c r="G1136" i="8"/>
  <c r="G1137" i="8" s="1"/>
  <c r="J1136" i="8"/>
  <c r="J1137" i="8" s="1"/>
  <c r="S1128" i="8"/>
  <c r="Z99" i="6" s="1"/>
  <c r="AA99" i="6" s="1"/>
  <c r="C100" i="6" s="1"/>
  <c r="E100" i="6" l="1"/>
  <c r="H100" i="6" s="1"/>
  <c r="G100" i="6"/>
  <c r="I100" i="6" l="1"/>
  <c r="N100" i="6" s="1"/>
  <c r="K100" i="6" s="1"/>
  <c r="J100" i="6"/>
  <c r="P1140" i="8" l="1"/>
  <c r="W100" i="6" s="1"/>
  <c r="G1148" i="8"/>
  <c r="G1149" i="8" s="1"/>
  <c r="Q100" i="6"/>
  <c r="S1140" i="8"/>
  <c r="Z100" i="6" s="1"/>
  <c r="AA100" i="6" s="1"/>
  <c r="C101" i="6" s="1"/>
  <c r="J1148" i="8"/>
  <c r="J1149" i="8" s="1"/>
  <c r="E101" i="6" l="1"/>
  <c r="H101" i="6" s="1"/>
  <c r="G101" i="6"/>
  <c r="J101" i="6" l="1"/>
  <c r="I101" i="6"/>
  <c r="N101" i="6" s="1"/>
  <c r="P1152" i="8" l="1"/>
  <c r="W101" i="6" s="1"/>
  <c r="G1160" i="8"/>
  <c r="G1161" i="8" s="1"/>
  <c r="Q101" i="6"/>
  <c r="K101" i="6"/>
  <c r="J1160" i="8" l="1"/>
  <c r="J1161" i="8" s="1"/>
  <c r="S1152" i="8"/>
  <c r="Z101" i="6" s="1"/>
  <c r="AA101" i="6" s="1"/>
  <c r="C102" i="6" s="1"/>
  <c r="E102" i="6" l="1"/>
  <c r="H102" i="6" s="1"/>
  <c r="G102" i="6"/>
  <c r="I102" i="6" l="1"/>
  <c r="N102" i="6" s="1"/>
  <c r="K102" i="6" s="1"/>
  <c r="J102" i="6"/>
  <c r="Q102" i="6" l="1"/>
  <c r="S1164" i="8" s="1"/>
  <c r="Z102" i="6" s="1"/>
  <c r="AA102" i="6" s="1"/>
  <c r="C103" i="6" s="1"/>
  <c r="P1164" i="8"/>
  <c r="W102" i="6" s="1"/>
  <c r="G1172" i="8"/>
  <c r="G1173" i="8" s="1"/>
  <c r="J1172" i="8" l="1"/>
  <c r="J1173" i="8" s="1"/>
  <c r="E103" i="6"/>
  <c r="H103" i="6" s="1"/>
  <c r="G103" i="6"/>
  <c r="I103" i="6" l="1"/>
  <c r="N103" i="6" s="1"/>
  <c r="P1176" i="8" s="1"/>
  <c r="W103" i="6" s="1"/>
  <c r="J103" i="6"/>
  <c r="G1184" i="8" l="1"/>
  <c r="G1185" i="8" s="1"/>
  <c r="Q103" i="6"/>
  <c r="S1176" i="8" s="1"/>
  <c r="Z103" i="6" s="1"/>
  <c r="AA103" i="6" s="1"/>
  <c r="C104" i="6" s="1"/>
  <c r="K103" i="6"/>
  <c r="J1184" i="8" l="1"/>
  <c r="J1185" i="8" s="1"/>
  <c r="E104" i="6"/>
  <c r="H104" i="6" s="1"/>
  <c r="G104" i="6"/>
  <c r="J104" i="6" l="1"/>
  <c r="I104" i="6"/>
  <c r="N104" i="6" s="1"/>
  <c r="K104" i="6" l="1"/>
  <c r="G1196" i="8"/>
  <c r="G1197" i="8" s="1"/>
  <c r="P1188" i="8"/>
  <c r="W104" i="6" s="1"/>
  <c r="Q104" i="6"/>
  <c r="S1188" i="8" l="1"/>
  <c r="Z104" i="6" s="1"/>
  <c r="AA104" i="6" s="1"/>
  <c r="C105" i="6" s="1"/>
  <c r="J1196" i="8"/>
  <c r="J1197" i="8" s="1"/>
  <c r="E105" i="6" l="1"/>
  <c r="H105" i="6" s="1"/>
  <c r="G105" i="6"/>
  <c r="I105" i="6" s="1"/>
  <c r="N105" i="6" s="1"/>
  <c r="P1200" i="8" l="1"/>
  <c r="W105" i="6" s="1"/>
  <c r="K105" i="6"/>
  <c r="G1208" i="8"/>
  <c r="G1209" i="8" s="1"/>
  <c r="Q105" i="6"/>
  <c r="J105" i="6"/>
  <c r="S1200" i="8" l="1"/>
  <c r="Z105" i="6" s="1"/>
  <c r="AA105" i="6" s="1"/>
  <c r="C106" i="6" s="1"/>
  <c r="J1208" i="8"/>
  <c r="J1209" i="8" s="1"/>
  <c r="G106" i="6" l="1"/>
  <c r="E106" i="6"/>
  <c r="H106" i="6" s="1"/>
  <c r="I106" i="6" l="1"/>
  <c r="N106" i="6" s="1"/>
  <c r="K106" i="6" s="1"/>
  <c r="J106" i="6"/>
  <c r="P1212" i="8" l="1"/>
  <c r="W106" i="6" s="1"/>
  <c r="Q106" i="6"/>
  <c r="S1212" i="8" s="1"/>
  <c r="Z106" i="6" s="1"/>
  <c r="AA106" i="6" s="1"/>
  <c r="C107" i="6" s="1"/>
  <c r="E107" i="6" s="1"/>
  <c r="H107" i="6" s="1"/>
  <c r="G107" i="6" l="1"/>
  <c r="I107" i="6" s="1"/>
  <c r="N107" i="6" s="1"/>
  <c r="P1224" i="8" s="1"/>
  <c r="W107" i="6" s="1"/>
  <c r="J107" i="6"/>
  <c r="Q107" i="6" l="1"/>
  <c r="S1224" i="8" s="1"/>
  <c r="Z107" i="6" s="1"/>
  <c r="AA107" i="6" s="1"/>
  <c r="C108" i="6" s="1"/>
  <c r="G108" i="6" s="1"/>
  <c r="K107" i="6"/>
  <c r="E108" i="6" l="1"/>
  <c r="H108" i="6" s="1"/>
  <c r="I108" i="6" s="1"/>
  <c r="N108" i="6" s="1"/>
  <c r="K108" i="6" s="1"/>
  <c r="J108" i="6" l="1"/>
  <c r="P1236" i="8"/>
  <c r="W108" i="6" s="1"/>
  <c r="Q108" i="6"/>
  <c r="S1236" i="8" s="1"/>
  <c r="Z108" i="6" s="1"/>
  <c r="AA108" i="6" s="1"/>
  <c r="C109" i="6" s="1"/>
  <c r="G109" i="6" s="1"/>
  <c r="E109" i="6" l="1"/>
  <c r="H109" i="6" s="1"/>
  <c r="J109" i="6" s="1"/>
  <c r="I109" i="6" l="1"/>
  <c r="N109" i="6" s="1"/>
  <c r="P1248" i="8" s="1"/>
  <c r="W109" i="6" s="1"/>
  <c r="K109" i="6" l="1"/>
  <c r="Q109" i="6"/>
  <c r="S1248" i="8" s="1"/>
  <c r="Z109" i="6" s="1"/>
  <c r="AA109" i="6" s="1"/>
  <c r="C110" i="6" s="1"/>
  <c r="G110" i="6" s="1"/>
  <c r="E110" i="6" l="1"/>
  <c r="H110" i="6" s="1"/>
  <c r="I110" i="6" s="1"/>
  <c r="N110" i="6" s="1"/>
  <c r="K110" i="6" s="1"/>
  <c r="J110" i="6" l="1"/>
  <c r="P1260" i="8"/>
  <c r="W110" i="6" s="1"/>
  <c r="Q110" i="6"/>
  <c r="S1260" i="8" s="1"/>
  <c r="Z110" i="6" s="1"/>
  <c r="AA110" i="6" s="1"/>
  <c r="C111" i="6" s="1"/>
  <c r="G111" i="6" s="1"/>
  <c r="E111" i="6" l="1"/>
  <c r="H111" i="6" s="1"/>
  <c r="I111" i="6" s="1"/>
  <c r="N111" i="6" s="1"/>
  <c r="J111" i="6" l="1"/>
  <c r="K111" i="6"/>
  <c r="Q111" i="6"/>
  <c r="S1272" i="8" s="1"/>
  <c r="Z111" i="6" s="1"/>
  <c r="AA111" i="6" s="1"/>
  <c r="P1272" i="8"/>
  <c r="W111" i="6" s="1"/>
</calcChain>
</file>

<file path=xl/sharedStrings.xml><?xml version="1.0" encoding="utf-8"?>
<sst xmlns="http://schemas.openxmlformats.org/spreadsheetml/2006/main" count="2520" uniqueCount="165">
  <si>
    <t>Enter your starting numbers</t>
  </si>
  <si>
    <t>Select Gender</t>
  </si>
  <si>
    <t>Male</t>
  </si>
  <si>
    <t>Age</t>
  </si>
  <si>
    <t>years</t>
  </si>
  <si>
    <t>Weight</t>
  </si>
  <si>
    <t>lbs</t>
  </si>
  <si>
    <t>Height (inches)</t>
  </si>
  <si>
    <t>inches</t>
  </si>
  <si>
    <t>Neck</t>
  </si>
  <si>
    <t>Waist</t>
  </si>
  <si>
    <t>Ankle</t>
  </si>
  <si>
    <t>Wrist</t>
  </si>
  <si>
    <t>Hips (females)</t>
  </si>
  <si>
    <t>Activity Level</t>
  </si>
  <si>
    <t>Lightly Active</t>
  </si>
  <si>
    <t>Enter your Goal</t>
  </si>
  <si>
    <t>Body Fat %</t>
  </si>
  <si>
    <t>%</t>
  </si>
  <si>
    <t>TDEE Calculation</t>
  </si>
  <si>
    <t>http://www.superskinnyme.com/calculate-tdee.html</t>
  </si>
  <si>
    <t>TDEE</t>
  </si>
  <si>
    <t>cals/day</t>
  </si>
  <si>
    <t>Cals/lb/day (@start)</t>
  </si>
  <si>
    <t>cals/lb-day</t>
  </si>
  <si>
    <t>Height(cm)</t>
  </si>
  <si>
    <t>cm</t>
  </si>
  <si>
    <t>Weight(kg)</t>
  </si>
  <si>
    <t>Female</t>
  </si>
  <si>
    <t>BMR (both genders)</t>
  </si>
  <si>
    <t>BMR (selected gender)</t>
  </si>
  <si>
    <t>Sedentary</t>
  </si>
  <si>
    <t>Moderately Active</t>
  </si>
  <si>
    <t>Very Active</t>
  </si>
  <si>
    <t>Extremely Active</t>
  </si>
  <si>
    <t>Department of Defense Formula (aka US Navy Circumference Method)</t>
  </si>
  <si>
    <t>http://www.healthydietbase.com/five-ways-to-estimate-body-fat-percentage-using-a-tape-measure/</t>
  </si>
  <si>
    <t>Starting Fat%</t>
  </si>
  <si>
    <t>Starting Weight</t>
  </si>
  <si>
    <t>(From measurement worksheet)</t>
  </si>
  <si>
    <t>Conserve LBM</t>
  </si>
  <si>
    <t>Calculated for gender selected</t>
  </si>
  <si>
    <t>Calculated for male</t>
  </si>
  <si>
    <t>Calculated for female</t>
  </si>
  <si>
    <t>Protein Amount</t>
  </si>
  <si>
    <t>https://www.bodybuilding.com/fun/calculate-your-total-daily-energy-expenditure-tdee.html</t>
  </si>
  <si>
    <t>Protein Need</t>
  </si>
  <si>
    <t>g/lb LBM</t>
  </si>
  <si>
    <t>LBM</t>
  </si>
  <si>
    <t>lb</t>
  </si>
  <si>
    <t>g</t>
  </si>
  <si>
    <t>Maximum Lean Body Mass (LBM)</t>
  </si>
  <si>
    <t>https://www.builtlean.com/2011/03/30/how-much-muscle-can-you-gain-naturally/</t>
  </si>
  <si>
    <t>Max LBM</t>
  </si>
  <si>
    <t>Weight w/ Body Fat</t>
  </si>
  <si>
    <t>Height</t>
  </si>
  <si>
    <t>in</t>
  </si>
  <si>
    <t>Body Fat (Goal)</t>
  </si>
  <si>
    <t>Goal Weight</t>
  </si>
  <si>
    <t>Calculated Daily Macro Needs</t>
  </si>
  <si>
    <t>Food Calories (FoodLog Actuals)</t>
  </si>
  <si>
    <t>Net (Calc – actual)</t>
  </si>
  <si>
    <t>Scale</t>
  </si>
  <si>
    <t>Date</t>
  </si>
  <si>
    <t>Day</t>
  </si>
  <si>
    <t>lbs Fat</t>
  </si>
  <si>
    <t>Cals Need
(TDEE)</t>
  </si>
  <si>
    <t>Body Fat
(Cals Avail)</t>
  </si>
  <si>
    <t>Calc
Food
(Cals)</t>
  </si>
  <si>
    <t>Max
Wt loss
(lbs)</t>
  </si>
  <si>
    <t>Fat
(g)</t>
  </si>
  <si>
    <t>Carb
(g)</t>
  </si>
  <si>
    <t>Protein
(g)</t>
  </si>
  <si>
    <t>Fat
(Cals)</t>
  </si>
  <si>
    <t>Carb
(Cals)</t>
  </si>
  <si>
    <t>Prot
(Cals)</t>
  </si>
  <si>
    <t>Min
Food
(Cals)</t>
  </si>
  <si>
    <t>Calc
Weight
Loss</t>
  </si>
  <si>
    <t>Delta to Weight Goal</t>
  </si>
  <si>
    <t>Scale Measurements</t>
  </si>
  <si>
    <t>BMI</t>
  </si>
  <si>
    <t>Fat%</t>
  </si>
  <si>
    <t>H2O%</t>
  </si>
  <si>
    <t>Muscle
%</t>
  </si>
  <si>
    <t>Maint.
Cals</t>
  </si>
  <si>
    <t>Weight Loss</t>
  </si>
  <si>
    <t>Fat lbs</t>
  </si>
  <si>
    <t>H2O lbs</t>
  </si>
  <si>
    <t>Muscle
lbs</t>
  </si>
  <si>
    <t>Delta Fat Lbs</t>
  </si>
  <si>
    <t>Delta H2O lbs</t>
  </si>
  <si>
    <t>Delta Muscle Lbs</t>
  </si>
  <si>
    <t>Description</t>
  </si>
  <si>
    <t>Servings</t>
  </si>
  <si>
    <t>IsoPure Whey</t>
  </si>
  <si>
    <t>Broccoli (oz)</t>
  </si>
  <si>
    <t>Chia Seeds</t>
  </si>
  <si>
    <t>Totals</t>
  </si>
  <si>
    <t>Chicken Wing (Medium)</t>
  </si>
  <si>
    <t>Kimchi</t>
  </si>
  <si>
    <t>Egg</t>
  </si>
  <si>
    <t>Goal</t>
  </si>
  <si>
    <t>(Loss Chart today)</t>
  </si>
  <si>
    <t>Remainder</t>
  </si>
  <si>
    <t>Turkey Breast</t>
  </si>
  <si>
    <t>Asparagus</t>
  </si>
  <si>
    <t>Fish Oil</t>
  </si>
  <si>
    <t>Air</t>
  </si>
  <si>
    <t>Butter</t>
  </si>
  <si>
    <t>Sum Fat (Cals)</t>
  </si>
  <si>
    <t>Sum Carb (Cals)</t>
  </si>
  <si>
    <t>Sum Prot (Cal)</t>
  </si>
  <si>
    <t>Sum Cals</t>
  </si>
  <si>
    <t>Goal Fat (Cals)</t>
  </si>
  <si>
    <t>Goal Carb (Cals)</t>
  </si>
  <si>
    <t>Goal Protein (Cals)</t>
  </si>
  <si>
    <t>Goal Total (Cals)</t>
  </si>
  <si>
    <t>Remain Fat (Cals)</t>
  </si>
  <si>
    <t>Remain Carb (Cals)</t>
  </si>
  <si>
    <t>Remain Protein (Cals)</t>
  </si>
  <si>
    <t>Remain Total (Cals)</t>
  </si>
  <si>
    <t>Hamburger</t>
  </si>
  <si>
    <t>Pork Rinds</t>
  </si>
  <si>
    <t>Turkey Breast (5 slices)</t>
  </si>
  <si>
    <t>Dymatize Elite Casein</t>
  </si>
  <si>
    <t>Chicken Breast</t>
  </si>
  <si>
    <t>Almond Flour</t>
  </si>
  <si>
    <t>Tomato (Small)</t>
  </si>
  <si>
    <t>Size</t>
  </si>
  <si>
    <t xml:space="preserve"> Carbs
(g)</t>
  </si>
  <si>
    <t>Fat
(Cal)</t>
  </si>
  <si>
    <t>Carb
(Cal)</t>
  </si>
  <si>
    <t>Protein
(Cal)</t>
  </si>
  <si>
    <t>Total
Calories</t>
  </si>
  <si>
    <t>¼ cup</t>
  </si>
  <si>
    <t>100g</t>
  </si>
  <si>
    <t>1 oz</t>
  </si>
  <si>
    <t>1T</t>
  </si>
  <si>
    <t>Cauliflower</t>
  </si>
  <si>
    <t>1 med head</t>
  </si>
  <si>
    <t>Chicken Thigh</t>
  </si>
  <si>
    <t>116g</t>
  </si>
  <si>
    <t>Chicken Wing (Large)</t>
  </si>
  <si>
    <t>Chicken Wing (Small)</t>
  </si>
  <si>
    <t>1 Scoop</t>
  </si>
  <si>
    <t>2 Scoops</t>
  </si>
  <si>
    <t>2 oz</t>
  </si>
  <si>
    <t>MCT Oil</t>
  </si>
  <si>
    <t>0.5oz</t>
  </si>
  <si>
    <t>Sardines</t>
  </si>
  <si>
    <t>3.75oz</t>
  </si>
  <si>
    <t>small</t>
  </si>
  <si>
    <t>Tomato (Medium)</t>
  </si>
  <si>
    <t>medium</t>
  </si>
  <si>
    <t>Tomato (Large)</t>
  </si>
  <si>
    <t>large</t>
  </si>
  <si>
    <t>Tuna, White in H2O</t>
  </si>
  <si>
    <t>3oz</t>
  </si>
  <si>
    <t>4 oz</t>
  </si>
  <si>
    <t>5 slices</t>
  </si>
  <si>
    <t>Zuccini</t>
  </si>
  <si>
    <t>1 Medium</t>
  </si>
  <si>
    <t>Max Body Fat
(Cals Avail)</t>
  </si>
  <si>
    <t>Wt loss
(lbs)</t>
  </si>
  <si>
    <t>Creatine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</si>
</sst>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"/>
    <numFmt numFmtId="165" formatCode="&quot;TRUE&quot;;&quot;TRUE&quot;;&quot;FALSE&quot;"/>
    <numFmt numFmtId="166" formatCode="0.000000000000000000000"/>
    <numFmt numFmtId="167" formatCode="yyyy\-mm\-dd"/>
    <numFmt numFmtId="168" formatCode="0.0%"/>
    <numFmt numFmtId="169" formatCode="#,##0.0"/>
  </numFmts>
  <fonts count="8" x14ac:knownFonts="1">
    <font>
      <sz val="11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u/>
      <sz val="11"/>
      <color rgb="FF0000FF"/>
      <name val="Calibri"/>
      <family val="2"/>
      <charset val="1"/>
    </font>
    <font>
      <b/>
      <u/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u/>
      <sz val="8"/>
      <color rgb="FF0000FF"/>
      <name val="Courier New"/>
      <family val="3"/>
      <charset val="1"/>
    </font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7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/>
    <xf numFmtId="0" fontId="2" fillId="0" borderId="0" applyBorder="0" applyProtection="0"/>
    <xf numFmtId="0" fontId="7" fillId="0" borderId="0"/>
  </cellStyleXfs>
  <cellXfs count="120">
    <xf numFmtId="0" fontId="0" fillId="0" borderId="0" xfId="0"/>
    <xf numFmtId="0" fontId="0" fillId="0" borderId="0" xfId="0" applyProtection="1"/>
    <xf numFmtId="0" fontId="1" fillId="0" borderId="0" xfId="0" applyFont="1" applyProtection="1"/>
    <xf numFmtId="0" fontId="0" fillId="2" borderId="0" xfId="0" applyFont="1" applyFill="1" applyProtection="1">
      <protection locked="0"/>
    </xf>
    <xf numFmtId="0" fontId="0" fillId="2" borderId="0" xfId="0" applyFill="1" applyProtection="1">
      <protection locked="0"/>
    </xf>
    <xf numFmtId="0" fontId="0" fillId="0" borderId="0" xfId="0" applyFont="1" applyProtection="1"/>
    <xf numFmtId="0" fontId="1" fillId="0" borderId="0" xfId="0" applyFont="1"/>
    <xf numFmtId="0" fontId="2" fillId="0" borderId="0" xfId="1" applyFont="1" applyBorder="1" applyProtection="1"/>
    <xf numFmtId="1" fontId="3" fillId="0" borderId="0" xfId="0" applyNumberFormat="1" applyFont="1"/>
    <xf numFmtId="2" fontId="3" fillId="0" borderId="0" xfId="0" applyNumberFormat="1" applyFont="1"/>
    <xf numFmtId="0" fontId="0" fillId="0" borderId="0" xfId="0" applyFont="1"/>
    <xf numFmtId="164" fontId="0" fillId="0" borderId="0" xfId="0" applyNumberFormat="1" applyFont="1"/>
    <xf numFmtId="0" fontId="0" fillId="0" borderId="0" xfId="0" applyFont="1" applyProtection="1">
      <protection hidden="1"/>
    </xf>
    <xf numFmtId="1" fontId="0" fillId="0" borderId="0" xfId="0" applyNumberFormat="1" applyFont="1" applyProtection="1">
      <protection hidden="1"/>
    </xf>
    <xf numFmtId="165" fontId="0" fillId="0" borderId="0" xfId="0" applyNumberFormat="1" applyFont="1" applyProtection="1">
      <protection hidden="1"/>
    </xf>
    <xf numFmtId="165" fontId="0" fillId="0" borderId="0" xfId="0" applyNumberFormat="1"/>
    <xf numFmtId="0" fontId="4" fillId="0" borderId="0" xfId="0" applyFont="1" applyProtection="1"/>
    <xf numFmtId="164" fontId="4" fillId="0" borderId="0" xfId="0" applyNumberFormat="1" applyFont="1" applyProtection="1"/>
    <xf numFmtId="0" fontId="3" fillId="0" borderId="0" xfId="0" applyFont="1" applyProtection="1"/>
    <xf numFmtId="0" fontId="5" fillId="0" borderId="0" xfId="0" applyFont="1" applyProtection="1"/>
    <xf numFmtId="164" fontId="5" fillId="0" borderId="0" xfId="0" applyNumberFormat="1" applyFont="1" applyProtection="1"/>
    <xf numFmtId="0" fontId="4" fillId="0" borderId="0" xfId="0" applyFont="1"/>
    <xf numFmtId="0" fontId="3" fillId="0" borderId="0" xfId="0" applyFont="1"/>
    <xf numFmtId="164" fontId="3" fillId="0" borderId="0" xfId="0" applyNumberFormat="1" applyFont="1"/>
    <xf numFmtId="0" fontId="5" fillId="0" borderId="0" xfId="0" applyFont="1"/>
    <xf numFmtId="165" fontId="5" fillId="0" borderId="0" xfId="0" applyNumberFormat="1" applyFont="1"/>
    <xf numFmtId="0" fontId="1" fillId="0" borderId="0" xfId="2" applyFont="1"/>
    <xf numFmtId="0" fontId="0" fillId="0" borderId="0" xfId="2" applyFont="1"/>
    <xf numFmtId="0" fontId="6" fillId="0" borderId="0" xfId="1" applyFont="1" applyBorder="1" applyAlignment="1" applyProtection="1"/>
    <xf numFmtId="1" fontId="4" fillId="0" borderId="0" xfId="2" applyNumberFormat="1" applyFont="1"/>
    <xf numFmtId="166" fontId="4" fillId="0" borderId="0" xfId="2" applyNumberFormat="1" applyFont="1"/>
    <xf numFmtId="1" fontId="3" fillId="0" borderId="0" xfId="2" applyNumberFormat="1" applyFont="1"/>
    <xf numFmtId="0" fontId="5" fillId="0" borderId="0" xfId="2" applyFont="1"/>
    <xf numFmtId="0" fontId="0" fillId="0" borderId="0" xfId="0" applyProtection="1">
      <protection locked="0"/>
    </xf>
    <xf numFmtId="0" fontId="4" fillId="0" borderId="0" xfId="0" applyFont="1" applyBorder="1"/>
    <xf numFmtId="0" fontId="4" fillId="0" borderId="3" xfId="0" applyFont="1" applyBorder="1" applyAlignment="1" applyProtection="1">
      <alignment horizontal="center"/>
      <protection locked="0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0" borderId="7" xfId="0" applyFont="1" applyBorder="1" applyAlignment="1" applyProtection="1">
      <alignment horizontal="center" vertical="center" wrapText="1"/>
      <protection locked="0"/>
    </xf>
    <xf numFmtId="0" fontId="4" fillId="0" borderId="8" xfId="0" applyFont="1" applyBorder="1" applyAlignment="1" applyProtection="1">
      <alignment horizontal="center" vertical="center" wrapText="1"/>
      <protection locked="0"/>
    </xf>
    <xf numFmtId="0" fontId="4" fillId="0" borderId="9" xfId="0" applyFont="1" applyBorder="1" applyAlignment="1" applyProtection="1">
      <alignment horizontal="center" vertical="center" wrapText="1"/>
      <protection locked="0"/>
    </xf>
    <xf numFmtId="0" fontId="4" fillId="0" borderId="10" xfId="0" applyFont="1" applyBorder="1" applyAlignment="1" applyProtection="1">
      <alignment horizontal="center" vertical="center" wrapText="1"/>
      <protection locked="0"/>
    </xf>
    <xf numFmtId="0" fontId="4" fillId="0" borderId="11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 wrapText="1"/>
      <protection locked="0"/>
    </xf>
    <xf numFmtId="0" fontId="4" fillId="0" borderId="13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167" fontId="0" fillId="0" borderId="14" xfId="0" applyNumberFormat="1" applyBorder="1"/>
    <xf numFmtId="0" fontId="0" fillId="0" borderId="15" xfId="0" applyBorder="1"/>
    <xf numFmtId="164" fontId="0" fillId="0" borderId="15" xfId="0" applyNumberFormat="1" applyBorder="1"/>
    <xf numFmtId="164" fontId="0" fillId="0" borderId="16" xfId="0" applyNumberFormat="1" applyBorder="1"/>
    <xf numFmtId="164" fontId="0" fillId="0" borderId="0" xfId="0" applyNumberFormat="1" applyBorder="1"/>
    <xf numFmtId="164" fontId="0" fillId="0" borderId="14" xfId="0" applyNumberFormat="1" applyBorder="1"/>
    <xf numFmtId="2" fontId="0" fillId="0" borderId="15" xfId="0" applyNumberFormat="1" applyBorder="1"/>
    <xf numFmtId="164" fontId="0" fillId="0" borderId="17" xfId="0" applyNumberFormat="1" applyFont="1" applyBorder="1" applyProtection="1">
      <protection locked="0"/>
    </xf>
    <xf numFmtId="164" fontId="0" fillId="0" borderId="18" xfId="0" applyNumberFormat="1" applyFont="1" applyBorder="1" applyProtection="1">
      <protection locked="0"/>
    </xf>
    <xf numFmtId="164" fontId="0" fillId="0" borderId="19" xfId="0" applyNumberFormat="1" applyFont="1" applyBorder="1" applyProtection="1">
      <protection locked="0"/>
    </xf>
    <xf numFmtId="2" fontId="0" fillId="0" borderId="17" xfId="0" applyNumberFormat="1" applyBorder="1"/>
    <xf numFmtId="0" fontId="0" fillId="0" borderId="18" xfId="0" applyBorder="1" applyProtection="1">
      <protection locked="0"/>
    </xf>
    <xf numFmtId="164" fontId="0" fillId="0" borderId="18" xfId="0" applyNumberFormat="1" applyBorder="1" applyProtection="1">
      <protection locked="0"/>
    </xf>
    <xf numFmtId="167" fontId="0" fillId="0" borderId="20" xfId="0" applyNumberFormat="1" applyBorder="1"/>
    <xf numFmtId="0" fontId="0" fillId="0" borderId="21" xfId="0" applyBorder="1"/>
    <xf numFmtId="164" fontId="0" fillId="0" borderId="21" xfId="0" applyNumberFormat="1" applyBorder="1"/>
    <xf numFmtId="164" fontId="0" fillId="0" borderId="22" xfId="0" applyNumberFormat="1" applyBorder="1"/>
    <xf numFmtId="164" fontId="0" fillId="0" borderId="20" xfId="0" applyNumberFormat="1" applyBorder="1"/>
    <xf numFmtId="164" fontId="0" fillId="0" borderId="20" xfId="0" applyNumberFormat="1" applyBorder="1" applyProtection="1">
      <protection locked="0"/>
    </xf>
    <xf numFmtId="164" fontId="0" fillId="0" borderId="21" xfId="0" applyNumberFormat="1" applyBorder="1" applyProtection="1">
      <protection locked="0"/>
    </xf>
    <xf numFmtId="164" fontId="0" fillId="0" borderId="21" xfId="0" applyNumberFormat="1" applyFont="1" applyBorder="1" applyProtection="1">
      <protection locked="0"/>
    </xf>
    <xf numFmtId="164" fontId="0" fillId="0" borderId="23" xfId="0" applyNumberFormat="1" applyFont="1" applyBorder="1" applyProtection="1">
      <protection locked="0"/>
    </xf>
    <xf numFmtId="164" fontId="0" fillId="0" borderId="23" xfId="0" applyNumberFormat="1" applyBorder="1" applyProtection="1">
      <protection locked="0"/>
    </xf>
    <xf numFmtId="164" fontId="0" fillId="0" borderId="21" xfId="0" applyNumberFormat="1" applyFont="1" applyBorder="1"/>
    <xf numFmtId="164" fontId="0" fillId="0" borderId="22" xfId="0" applyNumberFormat="1" applyFont="1" applyBorder="1"/>
    <xf numFmtId="164" fontId="0" fillId="0" borderId="0" xfId="0" applyNumberFormat="1" applyFont="1" applyBorder="1"/>
    <xf numFmtId="164" fontId="0" fillId="0" borderId="20" xfId="0" applyNumberFormat="1" applyFont="1" applyBorder="1"/>
    <xf numFmtId="0" fontId="0" fillId="0" borderId="24" xfId="0" applyBorder="1"/>
    <xf numFmtId="164" fontId="0" fillId="0" borderId="24" xfId="0" applyNumberFormat="1" applyBorder="1"/>
    <xf numFmtId="164" fontId="0" fillId="0" borderId="24" xfId="0" applyNumberFormat="1" applyFont="1" applyBorder="1"/>
    <xf numFmtId="164" fontId="0" fillId="0" borderId="25" xfId="0" applyNumberFormat="1" applyFont="1" applyBorder="1"/>
    <xf numFmtId="164" fontId="0" fillId="0" borderId="26" xfId="0" applyNumberFormat="1" applyFont="1" applyBorder="1"/>
    <xf numFmtId="164" fontId="0" fillId="0" borderId="25" xfId="0" applyNumberFormat="1" applyBorder="1"/>
    <xf numFmtId="0" fontId="0" fillId="0" borderId="0" xfId="0" applyAlignment="1">
      <alignment wrapText="1"/>
    </xf>
    <xf numFmtId="0" fontId="4" fillId="0" borderId="0" xfId="0" applyFont="1" applyBorder="1" applyAlignment="1">
      <alignment wrapText="1"/>
    </xf>
    <xf numFmtId="0" fontId="0" fillId="0" borderId="0" xfId="0" applyAlignment="1">
      <alignment horizontal="center" wrapText="1"/>
    </xf>
    <xf numFmtId="167" fontId="0" fillId="0" borderId="0" xfId="0" applyNumberFormat="1" applyAlignment="1">
      <alignment wrapText="1"/>
    </xf>
    <xf numFmtId="0" fontId="0" fillId="0" borderId="0" xfId="0" applyBorder="1" applyAlignment="1" applyProtection="1">
      <alignment wrapText="1"/>
      <protection locked="0"/>
    </xf>
    <xf numFmtId="164" fontId="0" fillId="0" borderId="0" xfId="0" applyNumberFormat="1" applyAlignment="1">
      <alignment wrapText="1"/>
    </xf>
    <xf numFmtId="164" fontId="0" fillId="0" borderId="0" xfId="0" applyNumberFormat="1" applyBorder="1" applyAlignment="1" applyProtection="1">
      <alignment wrapText="1"/>
      <protection locked="0"/>
    </xf>
    <xf numFmtId="0" fontId="4" fillId="0" borderId="0" xfId="0" applyFont="1" applyAlignment="1">
      <alignment wrapText="1"/>
    </xf>
    <xf numFmtId="167" fontId="0" fillId="0" borderId="0" xfId="0" applyNumberFormat="1"/>
    <xf numFmtId="0" fontId="0" fillId="2" borderId="0" xfId="0" applyFont="1" applyFill="1"/>
    <xf numFmtId="0" fontId="0" fillId="2" borderId="0" xfId="0" applyFill="1"/>
    <xf numFmtId="10" fontId="0" fillId="0" borderId="0" xfId="0" applyNumberFormat="1"/>
    <xf numFmtId="168" fontId="0" fillId="0" borderId="0" xfId="0" applyNumberFormat="1"/>
    <xf numFmtId="164" fontId="0" fillId="0" borderId="0" xfId="0" applyNumberFormat="1"/>
    <xf numFmtId="0" fontId="0" fillId="0" borderId="0" xfId="0" applyAlignment="1" applyProtection="1">
      <alignment horizontal="left"/>
      <protection locked="0"/>
    </xf>
    <xf numFmtId="0" fontId="4" fillId="0" borderId="4" xfId="0" applyFont="1" applyBorder="1" applyAlignment="1" applyProtection="1">
      <alignment horizontal="center" vertical="center"/>
    </xf>
    <xf numFmtId="0" fontId="4" fillId="0" borderId="5" xfId="0" applyFont="1" applyBorder="1" applyAlignment="1" applyProtection="1">
      <alignment horizontal="center" vertical="center"/>
    </xf>
    <xf numFmtId="0" fontId="4" fillId="0" borderId="5" xfId="0" applyFont="1" applyBorder="1" applyAlignment="1" applyProtection="1">
      <alignment horizontal="center" vertical="center" wrapText="1"/>
    </xf>
    <xf numFmtId="0" fontId="4" fillId="0" borderId="6" xfId="0" applyFont="1" applyBorder="1" applyAlignment="1" applyProtection="1">
      <alignment horizontal="center" vertical="center" wrapText="1"/>
    </xf>
    <xf numFmtId="169" fontId="0" fillId="0" borderId="0" xfId="0" applyNumberFormat="1" applyProtection="1">
      <protection locked="0"/>
    </xf>
    <xf numFmtId="0" fontId="0" fillId="0" borderId="0" xfId="0" applyFont="1" applyProtection="1">
      <protection locked="0"/>
    </xf>
    <xf numFmtId="0" fontId="0" fillId="0" borderId="0" xfId="0" applyFont="1" applyAlignment="1" applyProtection="1">
      <alignment horizontal="left"/>
      <protection locked="0"/>
    </xf>
    <xf numFmtId="169" fontId="0" fillId="0" borderId="0" xfId="0" applyNumberFormat="1" applyFont="1" applyProtection="1">
      <protection locked="0"/>
    </xf>
    <xf numFmtId="0" fontId="4" fillId="0" borderId="0" xfId="0" applyFont="1" applyBorder="1" applyAlignment="1"/>
    <xf numFmtId="0" fontId="4" fillId="0" borderId="0" xfId="0" applyFont="1" applyBorder="1" applyProtection="1">
      <protection locked="0"/>
    </xf>
    <xf numFmtId="0" fontId="4" fillId="0" borderId="0" xfId="0" applyFont="1" applyAlignment="1" applyProtection="1">
      <alignment wrapText="1"/>
      <protection locked="0"/>
    </xf>
    <xf numFmtId="164" fontId="0" fillId="0" borderId="0" xfId="0" applyNumberFormat="1" applyFont="1" applyProtection="1">
      <protection locked="0"/>
    </xf>
    <xf numFmtId="164" fontId="0" fillId="0" borderId="0" xfId="0" applyNumberFormat="1" applyFont="1" applyBorder="1" applyProtection="1">
      <protection locked="0"/>
    </xf>
    <xf numFmtId="164" fontId="0" fillId="0" borderId="0" xfId="0" applyNumberFormat="1" applyProtection="1">
      <protection locked="0"/>
    </xf>
    <xf numFmtId="167" fontId="0" fillId="0" borderId="26" xfId="0" applyNumberFormat="1" applyBorder="1"/>
    <xf numFmtId="0" fontId="4" fillId="0" borderId="1" xfId="0" applyFont="1" applyBorder="1" applyAlignment="1">
      <alignment horizontal="center"/>
    </xf>
    <xf numFmtId="0" fontId="4" fillId="0" borderId="2" xfId="0" applyFont="1" applyBorder="1" applyAlignment="1" applyProtection="1">
      <alignment horizontal="center"/>
      <protection locked="0"/>
    </xf>
    <xf numFmtId="0" fontId="4" fillId="0" borderId="3" xfId="0" applyFont="1" applyBorder="1" applyAlignment="1" applyProtection="1">
      <alignment horizontal="center"/>
      <protection locked="0"/>
    </xf>
    <xf numFmtId="0" fontId="4" fillId="0" borderId="0" xfId="0" applyFont="1" applyBorder="1" applyAlignment="1">
      <alignment wrapText="1"/>
    </xf>
    <xf numFmtId="0" fontId="4" fillId="0" borderId="0" xfId="0" applyFont="1" applyBorder="1" applyAlignment="1" applyProtection="1">
      <alignment horizontal="center"/>
      <protection locked="0"/>
    </xf>
  </cellXfs>
  <cellStyles count="3">
    <cellStyle name="Explanatory Text" xfId="2" builtinId="53" customBuiltin="1"/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uperskinnyme.com/calculate-tdee.htm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healthydietbase.com/five-ways-to-estimate-body-fat-percentage-using-a-tape-measure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bodybuilding.com/fun/calculate-your-total-daily-energy-expenditure-tdee.htm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builtlean.com/2011/03/30/how-much-muscle-can-you-gain-naturally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6"/>
  <sheetViews>
    <sheetView zoomScale="160" zoomScaleNormal="160" workbookViewId="0">
      <selection activeCell="E12" activeCellId="1" sqref="B195:C196 E12"/>
    </sheetView>
  </sheetViews>
  <sheetFormatPr defaultRowHeight="15" x14ac:dyDescent="0.25"/>
  <cols>
    <col min="1" max="1" width="13.5703125" style="1" customWidth="1"/>
    <col min="2" max="2" width="12.140625" style="1" customWidth="1"/>
    <col min="3" max="3" width="6.7109375" style="1" customWidth="1"/>
    <col min="4" max="4" width="1.7109375" style="1" customWidth="1"/>
    <col min="5" max="5" width="9.7109375" style="1" customWidth="1"/>
    <col min="6" max="6" width="3.42578125" style="1" customWidth="1"/>
    <col min="7" max="1025" width="8.7109375" style="1" customWidth="1"/>
  </cols>
  <sheetData>
    <row r="1" spans="1:3" ht="18.75" x14ac:dyDescent="0.3">
      <c r="A1" s="2" t="s">
        <v>0</v>
      </c>
    </row>
    <row r="3" spans="1:3" x14ac:dyDescent="0.25">
      <c r="A3" s="1" t="s">
        <v>1</v>
      </c>
      <c r="B3" s="3" t="s">
        <v>2</v>
      </c>
    </row>
    <row r="4" spans="1:3" x14ac:dyDescent="0.25">
      <c r="A4" s="1" t="s">
        <v>3</v>
      </c>
      <c r="B4" s="4">
        <v>57</v>
      </c>
      <c r="C4" s="1" t="s">
        <v>4</v>
      </c>
    </row>
    <row r="5" spans="1:3" x14ac:dyDescent="0.25">
      <c r="A5" s="1" t="s">
        <v>5</v>
      </c>
      <c r="B5" s="4">
        <v>203.3</v>
      </c>
      <c r="C5" s="1" t="s">
        <v>6</v>
      </c>
    </row>
    <row r="6" spans="1:3" x14ac:dyDescent="0.25">
      <c r="A6" s="1" t="s">
        <v>7</v>
      </c>
      <c r="B6" s="4">
        <v>70.5</v>
      </c>
      <c r="C6" s="1" t="s">
        <v>8</v>
      </c>
    </row>
    <row r="7" spans="1:3" x14ac:dyDescent="0.25">
      <c r="A7" s="1" t="s">
        <v>9</v>
      </c>
      <c r="B7" s="4">
        <v>15.75</v>
      </c>
      <c r="C7" s="5" t="s">
        <v>8</v>
      </c>
    </row>
    <row r="8" spans="1:3" x14ac:dyDescent="0.25">
      <c r="A8" s="1" t="s">
        <v>10</v>
      </c>
      <c r="B8" s="4">
        <v>39</v>
      </c>
      <c r="C8" s="5" t="s">
        <v>8</v>
      </c>
    </row>
    <row r="9" spans="1:3" x14ac:dyDescent="0.25">
      <c r="A9" s="1" t="s">
        <v>11</v>
      </c>
      <c r="B9" s="4">
        <v>10</v>
      </c>
      <c r="C9" s="5" t="s">
        <v>8</v>
      </c>
    </row>
    <row r="10" spans="1:3" x14ac:dyDescent="0.25">
      <c r="A10" s="1" t="s">
        <v>12</v>
      </c>
      <c r="B10" s="4">
        <v>7</v>
      </c>
      <c r="C10" s="5" t="s">
        <v>8</v>
      </c>
    </row>
    <row r="11" spans="1:3" x14ac:dyDescent="0.25">
      <c r="A11" s="1" t="s">
        <v>13</v>
      </c>
      <c r="B11" s="4">
        <v>50</v>
      </c>
      <c r="C11" s="5" t="s">
        <v>8</v>
      </c>
    </row>
    <row r="12" spans="1:3" x14ac:dyDescent="0.25">
      <c r="A12" s="1" t="s">
        <v>14</v>
      </c>
      <c r="B12" s="3" t="s">
        <v>15</v>
      </c>
    </row>
    <row r="14" spans="1:3" ht="18.75" x14ac:dyDescent="0.3">
      <c r="A14" s="2" t="s">
        <v>16</v>
      </c>
    </row>
    <row r="16" spans="1:3" x14ac:dyDescent="0.25">
      <c r="A16" s="1" t="s">
        <v>17</v>
      </c>
      <c r="B16" s="4">
        <v>15</v>
      </c>
      <c r="C16" s="1" t="s">
        <v>18</v>
      </c>
    </row>
  </sheetData>
  <sheetProtection sheet="1" objects="1" scenarios="1"/>
  <dataValidations count="2">
    <dataValidation type="list" operator="equal" allowBlank="1" showErrorMessage="1" sqref="B3">
      <formula1>"Male,Female"</formula1>
      <formula2>0</formula2>
    </dataValidation>
    <dataValidation type="list" operator="equal" allowBlank="1" showErrorMessage="1" sqref="B12">
      <formula1>"Sedentary,Lightly Active,Moderately Active,Very Active,Extremely Active"</formula1>
      <formula2>0</formula2>
    </dataValidation>
  </dataValidations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88"/>
  <sheetViews>
    <sheetView zoomScale="160" zoomScaleNormal="160" workbookViewId="0">
      <selection activeCell="C16" activeCellId="1" sqref="B195:C196 C16"/>
    </sheetView>
  </sheetViews>
  <sheetFormatPr defaultRowHeight="15" x14ac:dyDescent="0.25"/>
  <cols>
    <col min="1" max="1" width="11.7109375" customWidth="1"/>
    <col min="2" max="2" width="6" customWidth="1"/>
    <col min="3" max="3" width="7.42578125" customWidth="1"/>
    <col min="4" max="4" width="6" customWidth="1"/>
    <col min="5" max="5" width="6.85546875" customWidth="1"/>
    <col min="6" max="6" width="9.7109375" customWidth="1"/>
    <col min="7" max="7" width="12.85546875" customWidth="1"/>
    <col min="8" max="8" width="7.5703125" customWidth="1"/>
    <col min="9" max="9" width="9.85546875" customWidth="1"/>
    <col min="10" max="10" width="6" style="33" customWidth="1"/>
    <col min="11" max="11" width="10.28515625" style="33" customWidth="1"/>
    <col min="12" max="12" width="12.85546875" style="33" customWidth="1"/>
    <col min="13" max="13" width="13.85546875" style="33" customWidth="1"/>
    <col min="14" max="14" width="9" style="33" customWidth="1"/>
    <col min="15" max="15" width="10.28515625" style="33" customWidth="1"/>
    <col min="16" max="16" width="12.85546875" style="33" customWidth="1"/>
    <col min="17" max="17" width="13.85546875" style="33" customWidth="1"/>
    <col min="18" max="18" width="8.7109375" customWidth="1"/>
    <col min="19" max="19" width="7.42578125" style="33" customWidth="1"/>
    <col min="20" max="20" width="5" style="33" customWidth="1"/>
    <col min="21" max="21" width="5.42578125" style="33" customWidth="1"/>
    <col min="22" max="22" width="6.5703125" style="33" customWidth="1"/>
    <col min="23" max="23" width="8.85546875" style="33" customWidth="1"/>
    <col min="24" max="24" width="8" style="33" customWidth="1"/>
    <col min="25" max="1025" width="8.7109375" customWidth="1"/>
  </cols>
  <sheetData>
    <row r="1" spans="1:24" ht="12" customHeight="1" x14ac:dyDescent="0.25">
      <c r="A1" s="21"/>
      <c r="B1" s="23"/>
      <c r="C1" s="34"/>
      <c r="D1" s="34"/>
      <c r="E1" s="34"/>
      <c r="F1" s="108"/>
      <c r="G1" s="108"/>
      <c r="H1" s="108"/>
      <c r="J1" s="119"/>
      <c r="K1" s="119"/>
      <c r="L1" s="119"/>
      <c r="M1" s="119"/>
      <c r="N1" s="119"/>
      <c r="O1" s="119"/>
      <c r="P1" s="119"/>
      <c r="Q1" s="119"/>
      <c r="S1" s="119"/>
      <c r="T1" s="119"/>
      <c r="U1" s="119"/>
      <c r="V1" s="119"/>
      <c r="W1" s="119"/>
      <c r="X1" s="119"/>
    </row>
    <row r="2" spans="1:24" ht="29.25" customHeight="1" x14ac:dyDescent="0.25">
      <c r="A2" s="36" t="s">
        <v>63</v>
      </c>
      <c r="B2" s="37" t="s">
        <v>64</v>
      </c>
      <c r="C2" s="37" t="s">
        <v>5</v>
      </c>
      <c r="D2" s="37" t="s">
        <v>48</v>
      </c>
      <c r="E2" s="37" t="s">
        <v>65</v>
      </c>
      <c r="F2" s="41" t="s">
        <v>66</v>
      </c>
      <c r="G2" s="41" t="s">
        <v>162</v>
      </c>
      <c r="H2" s="42" t="s">
        <v>163</v>
      </c>
      <c r="I2" s="86"/>
      <c r="J2" s="109"/>
      <c r="K2" s="109"/>
      <c r="L2" s="109"/>
      <c r="M2" s="109"/>
      <c r="N2" s="109"/>
      <c r="O2" s="109"/>
      <c r="P2" s="109"/>
      <c r="Q2" s="109"/>
      <c r="S2" s="110"/>
      <c r="T2" s="110"/>
      <c r="U2" s="110"/>
      <c r="V2" s="110"/>
      <c r="W2" s="110"/>
      <c r="X2" s="110"/>
    </row>
    <row r="3" spans="1:24" x14ac:dyDescent="0.25">
      <c r="A3" s="52">
        <v>42992</v>
      </c>
      <c r="B3" s="53">
        <v>1</v>
      </c>
      <c r="C3" s="54">
        <f>Measured!B5</f>
        <v>203.3</v>
      </c>
      <c r="D3" s="54">
        <v>160</v>
      </c>
      <c r="E3" s="54">
        <f t="shared" ref="E3:E66" si="0">C3-D3</f>
        <v>43.300000000000011</v>
      </c>
      <c r="F3" s="54">
        <f t="shared" ref="F3:F66" si="1">13*C3</f>
        <v>2642.9</v>
      </c>
      <c r="G3" s="54">
        <f t="shared" ref="G3:G66" si="2">E3*31</f>
        <v>1342.3000000000004</v>
      </c>
      <c r="H3" s="55">
        <f t="shared" ref="H3:H66" si="3">MIN($G3/3500,$F3/3500)</f>
        <v>0.38351428571428581</v>
      </c>
      <c r="I3" s="56"/>
      <c r="J3" s="111"/>
      <c r="K3" s="111"/>
      <c r="L3" s="111"/>
      <c r="M3" s="111"/>
      <c r="N3" s="112"/>
      <c r="O3" s="112"/>
      <c r="P3" s="112"/>
      <c r="Q3" s="112"/>
    </row>
    <row r="4" spans="1:24" x14ac:dyDescent="0.25">
      <c r="A4" s="65">
        <v>42993</v>
      </c>
      <c r="B4" s="66">
        <f t="shared" ref="B4:B67" si="4">B3+1</f>
        <v>2</v>
      </c>
      <c r="C4" s="67">
        <f t="shared" ref="C4:C67" si="5">C3-H3</f>
        <v>202.91648571428573</v>
      </c>
      <c r="D4" s="67">
        <v>160</v>
      </c>
      <c r="E4" s="67">
        <f t="shared" si="0"/>
        <v>42.916485714285727</v>
      </c>
      <c r="F4" s="67">
        <f t="shared" si="1"/>
        <v>2637.9143142857147</v>
      </c>
      <c r="G4" s="67">
        <f t="shared" si="2"/>
        <v>1330.4110571428575</v>
      </c>
      <c r="H4" s="68">
        <f t="shared" si="3"/>
        <v>0.38011744489795929</v>
      </c>
      <c r="I4" s="56"/>
      <c r="J4" s="113"/>
      <c r="K4" s="113"/>
      <c r="L4" s="113"/>
      <c r="M4" s="113"/>
      <c r="N4" s="112"/>
      <c r="O4" s="112"/>
      <c r="P4" s="112"/>
      <c r="Q4" s="112"/>
    </row>
    <row r="5" spans="1:24" x14ac:dyDescent="0.25">
      <c r="A5" s="65">
        <v>42994</v>
      </c>
      <c r="B5" s="66">
        <f t="shared" si="4"/>
        <v>3</v>
      </c>
      <c r="C5" s="67">
        <f t="shared" si="5"/>
        <v>202.53636826938776</v>
      </c>
      <c r="D5" s="67">
        <v>160</v>
      </c>
      <c r="E5" s="67">
        <f t="shared" si="0"/>
        <v>42.536368269387765</v>
      </c>
      <c r="F5" s="67">
        <f t="shared" si="1"/>
        <v>2632.9727875020408</v>
      </c>
      <c r="G5" s="67">
        <f t="shared" si="2"/>
        <v>1318.6274163510207</v>
      </c>
      <c r="H5" s="68">
        <f t="shared" si="3"/>
        <v>0.37675069038600589</v>
      </c>
      <c r="I5" s="56"/>
      <c r="J5" s="113"/>
      <c r="K5" s="113"/>
      <c r="L5" s="113"/>
      <c r="M5" s="113"/>
      <c r="N5" s="112"/>
      <c r="O5" s="112"/>
      <c r="P5" s="112"/>
      <c r="Q5" s="112"/>
    </row>
    <row r="6" spans="1:24" x14ac:dyDescent="0.25">
      <c r="A6" s="65">
        <v>42995</v>
      </c>
      <c r="B6" s="66">
        <f t="shared" si="4"/>
        <v>4</v>
      </c>
      <c r="C6" s="67">
        <f t="shared" si="5"/>
        <v>202.15961757900175</v>
      </c>
      <c r="D6" s="67">
        <v>160</v>
      </c>
      <c r="E6" s="67">
        <f t="shared" si="0"/>
        <v>42.159617579001747</v>
      </c>
      <c r="F6" s="67">
        <f t="shared" si="1"/>
        <v>2628.0750285270228</v>
      </c>
      <c r="G6" s="67">
        <f t="shared" si="2"/>
        <v>1306.948144949054</v>
      </c>
      <c r="H6" s="68">
        <f t="shared" si="3"/>
        <v>0.37341375569972973</v>
      </c>
      <c r="I6" s="56"/>
      <c r="J6" s="113"/>
      <c r="K6" s="113"/>
      <c r="L6" s="113"/>
      <c r="M6" s="113"/>
      <c r="N6" s="112"/>
      <c r="O6" s="112"/>
      <c r="P6" s="112"/>
      <c r="Q6" s="112"/>
    </row>
    <row r="7" spans="1:24" x14ac:dyDescent="0.25">
      <c r="A7" s="65">
        <v>42996</v>
      </c>
      <c r="B7" s="66">
        <f t="shared" si="4"/>
        <v>5</v>
      </c>
      <c r="C7" s="67">
        <f t="shared" si="5"/>
        <v>201.786203823302</v>
      </c>
      <c r="D7" s="67">
        <v>160</v>
      </c>
      <c r="E7" s="67">
        <f t="shared" si="0"/>
        <v>41.786203823302003</v>
      </c>
      <c r="F7" s="67">
        <f t="shared" si="1"/>
        <v>2623.220649702926</v>
      </c>
      <c r="G7" s="67">
        <f t="shared" si="2"/>
        <v>1295.3723185223621</v>
      </c>
      <c r="H7" s="68">
        <f t="shared" si="3"/>
        <v>0.37010637672067487</v>
      </c>
      <c r="I7" s="56"/>
    </row>
    <row r="8" spans="1:24" x14ac:dyDescent="0.25">
      <c r="A8" s="65">
        <v>42997</v>
      </c>
      <c r="B8" s="66">
        <f t="shared" si="4"/>
        <v>6</v>
      </c>
      <c r="C8" s="67">
        <f t="shared" si="5"/>
        <v>201.41609744658132</v>
      </c>
      <c r="D8" s="67">
        <v>160</v>
      </c>
      <c r="E8" s="67">
        <f t="shared" si="0"/>
        <v>41.416097446581318</v>
      </c>
      <c r="F8" s="67">
        <f t="shared" si="1"/>
        <v>2618.4092668055573</v>
      </c>
      <c r="G8" s="67">
        <f t="shared" si="2"/>
        <v>1283.8990208440209</v>
      </c>
      <c r="H8" s="68">
        <f t="shared" si="3"/>
        <v>0.36682829166972025</v>
      </c>
      <c r="I8" s="56"/>
    </row>
    <row r="9" spans="1:24" x14ac:dyDescent="0.25">
      <c r="A9" s="65">
        <v>42998</v>
      </c>
      <c r="B9" s="66">
        <f t="shared" si="4"/>
        <v>7</v>
      </c>
      <c r="C9" s="67">
        <f t="shared" si="5"/>
        <v>201.0492691549116</v>
      </c>
      <c r="D9" s="67">
        <v>160</v>
      </c>
      <c r="E9" s="67">
        <f t="shared" si="0"/>
        <v>41.049269154911599</v>
      </c>
      <c r="F9" s="67">
        <f t="shared" si="1"/>
        <v>2613.6404990138508</v>
      </c>
      <c r="G9" s="67">
        <f t="shared" si="2"/>
        <v>1272.5273438022596</v>
      </c>
      <c r="H9" s="68">
        <f t="shared" si="3"/>
        <v>0.36357924108635986</v>
      </c>
      <c r="I9" s="56"/>
    </row>
    <row r="10" spans="1:24" x14ac:dyDescent="0.25">
      <c r="A10" s="65">
        <v>42999</v>
      </c>
      <c r="B10" s="66">
        <f t="shared" si="4"/>
        <v>8</v>
      </c>
      <c r="C10" s="67">
        <f t="shared" si="5"/>
        <v>200.68568991382523</v>
      </c>
      <c r="D10" s="67">
        <v>160</v>
      </c>
      <c r="E10" s="67">
        <f t="shared" si="0"/>
        <v>40.685689913825229</v>
      </c>
      <c r="F10" s="67">
        <f t="shared" si="1"/>
        <v>2608.9139688797281</v>
      </c>
      <c r="G10" s="67">
        <f t="shared" si="2"/>
        <v>1261.2563873285822</v>
      </c>
      <c r="H10" s="68">
        <f t="shared" si="3"/>
        <v>0.36035896780816634</v>
      </c>
      <c r="I10" s="56"/>
    </row>
    <row r="11" spans="1:24" x14ac:dyDescent="0.25">
      <c r="A11" s="65">
        <v>43000</v>
      </c>
      <c r="B11" s="66">
        <f t="shared" si="4"/>
        <v>9</v>
      </c>
      <c r="C11" s="67">
        <f t="shared" si="5"/>
        <v>200.32533094601706</v>
      </c>
      <c r="D11" s="67">
        <v>160</v>
      </c>
      <c r="E11" s="67">
        <f t="shared" si="0"/>
        <v>40.325330946017061</v>
      </c>
      <c r="F11" s="67">
        <f t="shared" si="1"/>
        <v>2604.2293022982217</v>
      </c>
      <c r="G11" s="67">
        <f t="shared" si="2"/>
        <v>1250.085259326529</v>
      </c>
      <c r="H11" s="68">
        <f t="shared" si="3"/>
        <v>0.35716721695043685</v>
      </c>
      <c r="I11" s="56"/>
    </row>
    <row r="12" spans="1:24" x14ac:dyDescent="0.25">
      <c r="A12" s="65">
        <v>43001</v>
      </c>
      <c r="B12" s="66">
        <f t="shared" si="4"/>
        <v>10</v>
      </c>
      <c r="C12" s="67">
        <f t="shared" si="5"/>
        <v>199.96816372906662</v>
      </c>
      <c r="D12" s="67">
        <v>160</v>
      </c>
      <c r="E12" s="67">
        <f t="shared" si="0"/>
        <v>39.968163729066617</v>
      </c>
      <c r="F12" s="67">
        <f t="shared" si="1"/>
        <v>2599.5861284778662</v>
      </c>
      <c r="G12" s="67">
        <f t="shared" si="2"/>
        <v>1239.0130756010651</v>
      </c>
      <c r="H12" s="68">
        <f t="shared" si="3"/>
        <v>0.35400373588601858</v>
      </c>
      <c r="I12" s="56"/>
    </row>
    <row r="13" spans="1:24" x14ac:dyDescent="0.25">
      <c r="A13" s="65">
        <v>43002</v>
      </c>
      <c r="B13" s="66">
        <f t="shared" si="4"/>
        <v>11</v>
      </c>
      <c r="C13" s="67">
        <f t="shared" si="5"/>
        <v>199.61415999318061</v>
      </c>
      <c r="D13" s="67">
        <v>160</v>
      </c>
      <c r="E13" s="67">
        <f t="shared" si="0"/>
        <v>39.614159993180607</v>
      </c>
      <c r="F13" s="67">
        <f t="shared" si="1"/>
        <v>2594.9840799113481</v>
      </c>
      <c r="G13" s="67">
        <f t="shared" si="2"/>
        <v>1228.0389597885987</v>
      </c>
      <c r="H13" s="68">
        <f t="shared" si="3"/>
        <v>0.35086827422531391</v>
      </c>
      <c r="I13" s="56"/>
    </row>
    <row r="14" spans="1:24" x14ac:dyDescent="0.25">
      <c r="A14" s="65">
        <v>43003</v>
      </c>
      <c r="B14" s="66">
        <f t="shared" si="4"/>
        <v>12</v>
      </c>
      <c r="C14" s="67">
        <f t="shared" si="5"/>
        <v>199.26329171895529</v>
      </c>
      <c r="D14" s="67">
        <v>160</v>
      </c>
      <c r="E14" s="67">
        <f t="shared" si="0"/>
        <v>39.263291718955287</v>
      </c>
      <c r="F14" s="67">
        <f t="shared" si="1"/>
        <v>2590.4227923464186</v>
      </c>
      <c r="G14" s="67">
        <f t="shared" si="2"/>
        <v>1217.1620432876139</v>
      </c>
      <c r="H14" s="68">
        <f t="shared" si="3"/>
        <v>0.34776058379646113</v>
      </c>
      <c r="I14" s="56"/>
    </row>
    <row r="15" spans="1:24" x14ac:dyDescent="0.25">
      <c r="A15" s="65">
        <v>43004</v>
      </c>
      <c r="B15" s="66">
        <f t="shared" si="4"/>
        <v>13</v>
      </c>
      <c r="C15" s="67">
        <f t="shared" si="5"/>
        <v>198.91553113515883</v>
      </c>
      <c r="D15" s="67">
        <v>160</v>
      </c>
      <c r="E15" s="67">
        <f t="shared" si="0"/>
        <v>38.91553113515883</v>
      </c>
      <c r="F15" s="67">
        <f t="shared" si="1"/>
        <v>2585.9019047570646</v>
      </c>
      <c r="G15" s="67">
        <f t="shared" si="2"/>
        <v>1206.3814651899238</v>
      </c>
      <c r="H15" s="68">
        <f t="shared" si="3"/>
        <v>0.34468041862569254</v>
      </c>
      <c r="I15" s="56"/>
    </row>
    <row r="16" spans="1:24" x14ac:dyDescent="0.25">
      <c r="A16" s="65">
        <v>43005</v>
      </c>
      <c r="B16" s="66">
        <f t="shared" si="4"/>
        <v>14</v>
      </c>
      <c r="C16" s="67">
        <f t="shared" si="5"/>
        <v>198.57085071653313</v>
      </c>
      <c r="D16" s="67">
        <v>160</v>
      </c>
      <c r="E16" s="67">
        <f t="shared" si="0"/>
        <v>38.57085071653313</v>
      </c>
      <c r="F16" s="67">
        <f t="shared" si="1"/>
        <v>2581.4210593149305</v>
      </c>
      <c r="G16" s="67">
        <f t="shared" si="2"/>
        <v>1195.696372212527</v>
      </c>
      <c r="H16" s="68">
        <f t="shared" si="3"/>
        <v>0.34162753491786485</v>
      </c>
      <c r="I16" s="56"/>
    </row>
    <row r="17" spans="1:9" x14ac:dyDescent="0.25">
      <c r="A17" s="65">
        <v>43006</v>
      </c>
      <c r="B17" s="66">
        <f t="shared" si="4"/>
        <v>15</v>
      </c>
      <c r="C17" s="67">
        <f t="shared" si="5"/>
        <v>198.22922318161525</v>
      </c>
      <c r="D17" s="67">
        <v>160</v>
      </c>
      <c r="E17" s="67">
        <f t="shared" si="0"/>
        <v>38.229223181615254</v>
      </c>
      <c r="F17" s="67">
        <f t="shared" si="1"/>
        <v>2576.9799013609982</v>
      </c>
      <c r="G17" s="67">
        <f t="shared" si="2"/>
        <v>1185.1059186300729</v>
      </c>
      <c r="H17" s="68">
        <f t="shared" si="3"/>
        <v>0.3386016910371637</v>
      </c>
      <c r="I17" s="56"/>
    </row>
    <row r="18" spans="1:9" x14ac:dyDescent="0.25">
      <c r="A18" s="65">
        <v>43007</v>
      </c>
      <c r="B18" s="66">
        <f t="shared" si="4"/>
        <v>16</v>
      </c>
      <c r="C18" s="67">
        <f t="shared" si="5"/>
        <v>197.8906214905781</v>
      </c>
      <c r="D18" s="67">
        <v>160</v>
      </c>
      <c r="E18" s="67">
        <f t="shared" si="0"/>
        <v>37.890621490578098</v>
      </c>
      <c r="F18" s="67">
        <f t="shared" si="1"/>
        <v>2572.5780793775152</v>
      </c>
      <c r="G18" s="67">
        <f t="shared" si="2"/>
        <v>1174.6092662079211</v>
      </c>
      <c r="H18" s="68">
        <f t="shared" si="3"/>
        <v>0.33560264748797747</v>
      </c>
      <c r="I18" s="56"/>
    </row>
    <row r="19" spans="1:9" x14ac:dyDescent="0.25">
      <c r="A19" s="65">
        <v>43008</v>
      </c>
      <c r="B19" s="66">
        <f t="shared" si="4"/>
        <v>17</v>
      </c>
      <c r="C19" s="67">
        <f t="shared" si="5"/>
        <v>197.55501884309012</v>
      </c>
      <c r="D19" s="67">
        <v>160</v>
      </c>
      <c r="E19" s="67">
        <f t="shared" si="0"/>
        <v>37.555018843090124</v>
      </c>
      <c r="F19" s="67">
        <f t="shared" si="1"/>
        <v>2568.2152449601717</v>
      </c>
      <c r="G19" s="67">
        <f t="shared" si="2"/>
        <v>1164.2055841357937</v>
      </c>
      <c r="H19" s="68">
        <f t="shared" si="3"/>
        <v>0.33263016689594105</v>
      </c>
      <c r="I19" s="56"/>
    </row>
    <row r="20" spans="1:9" x14ac:dyDescent="0.25">
      <c r="A20" s="65">
        <v>43009</v>
      </c>
      <c r="B20" s="66">
        <f t="shared" si="4"/>
        <v>18</v>
      </c>
      <c r="C20" s="67">
        <f t="shared" si="5"/>
        <v>197.22238867619419</v>
      </c>
      <c r="D20" s="67">
        <v>160</v>
      </c>
      <c r="E20" s="67">
        <f t="shared" si="0"/>
        <v>37.222388676194186</v>
      </c>
      <c r="F20" s="67">
        <f t="shared" si="1"/>
        <v>2563.8910527905246</v>
      </c>
      <c r="G20" s="67">
        <f t="shared" si="2"/>
        <v>1153.8940489620197</v>
      </c>
      <c r="H20" s="68">
        <f t="shared" si="3"/>
        <v>0.32968401398914848</v>
      </c>
      <c r="I20" s="56"/>
    </row>
    <row r="21" spans="1:9" x14ac:dyDescent="0.25">
      <c r="A21" s="65">
        <v>43010</v>
      </c>
      <c r="B21" s="66">
        <f t="shared" si="4"/>
        <v>19</v>
      </c>
      <c r="C21" s="67">
        <f t="shared" si="5"/>
        <v>196.89270466220503</v>
      </c>
      <c r="D21" s="67">
        <v>160</v>
      </c>
      <c r="E21" s="67">
        <f t="shared" si="0"/>
        <v>36.892704662205034</v>
      </c>
      <c r="F21" s="67">
        <f t="shared" si="1"/>
        <v>2559.6051606086653</v>
      </c>
      <c r="G21" s="67">
        <f t="shared" si="2"/>
        <v>1143.6738445283561</v>
      </c>
      <c r="H21" s="68">
        <f t="shared" si="3"/>
        <v>0.32676395557953031</v>
      </c>
      <c r="I21" s="56"/>
    </row>
    <row r="22" spans="1:9" x14ac:dyDescent="0.25">
      <c r="A22" s="65">
        <v>43011</v>
      </c>
      <c r="B22" s="66">
        <f t="shared" si="4"/>
        <v>20</v>
      </c>
      <c r="C22" s="67">
        <f t="shared" si="5"/>
        <v>196.5659407066255</v>
      </c>
      <c r="D22" s="67">
        <v>160</v>
      </c>
      <c r="E22" s="67">
        <f t="shared" si="0"/>
        <v>36.565940706625497</v>
      </c>
      <c r="F22" s="67">
        <f t="shared" si="1"/>
        <v>2555.3572291861315</v>
      </c>
      <c r="G22" s="67">
        <f t="shared" si="2"/>
        <v>1133.5441619053904</v>
      </c>
      <c r="H22" s="68">
        <f t="shared" si="3"/>
        <v>0.32386976054439726</v>
      </c>
      <c r="I22" s="56"/>
    </row>
    <row r="23" spans="1:9" x14ac:dyDescent="0.25">
      <c r="A23" s="65">
        <v>43012</v>
      </c>
      <c r="B23" s="66">
        <f t="shared" si="4"/>
        <v>21</v>
      </c>
      <c r="C23" s="67">
        <f t="shared" si="5"/>
        <v>196.2420709460811</v>
      </c>
      <c r="D23" s="67">
        <v>160</v>
      </c>
      <c r="E23" s="67">
        <f t="shared" si="0"/>
        <v>36.2420709460811</v>
      </c>
      <c r="F23" s="67">
        <f t="shared" si="1"/>
        <v>2551.1469222990545</v>
      </c>
      <c r="G23" s="67">
        <f t="shared" si="2"/>
        <v>1123.504199328514</v>
      </c>
      <c r="H23" s="68">
        <f t="shared" si="3"/>
        <v>0.32100119980814684</v>
      </c>
      <c r="I23" s="56"/>
    </row>
    <row r="24" spans="1:9" x14ac:dyDescent="0.25">
      <c r="A24" s="65">
        <v>43013</v>
      </c>
      <c r="B24" s="66">
        <f t="shared" si="4"/>
        <v>22</v>
      </c>
      <c r="C24" s="67">
        <f t="shared" si="5"/>
        <v>195.92106974627296</v>
      </c>
      <c r="D24" s="67">
        <v>160</v>
      </c>
      <c r="E24" s="67">
        <f t="shared" si="0"/>
        <v>35.921069746272963</v>
      </c>
      <c r="F24" s="67">
        <f t="shared" si="1"/>
        <v>2546.9739067015485</v>
      </c>
      <c r="G24" s="67">
        <f t="shared" si="2"/>
        <v>1113.5531621344619</v>
      </c>
      <c r="H24" s="68">
        <f t="shared" si="3"/>
        <v>0.31815804632413197</v>
      </c>
      <c r="I24" s="56"/>
    </row>
    <row r="25" spans="1:9" x14ac:dyDescent="0.25">
      <c r="A25" s="65">
        <v>43014</v>
      </c>
      <c r="B25" s="66">
        <f t="shared" si="4"/>
        <v>23</v>
      </c>
      <c r="C25" s="67">
        <f t="shared" si="5"/>
        <v>195.60291169994883</v>
      </c>
      <c r="D25" s="67">
        <v>160</v>
      </c>
      <c r="E25" s="67">
        <f t="shared" si="0"/>
        <v>35.602911699948834</v>
      </c>
      <c r="F25" s="67">
        <f t="shared" si="1"/>
        <v>2542.8378520993347</v>
      </c>
      <c r="G25" s="67">
        <f t="shared" si="2"/>
        <v>1103.6902626984138</v>
      </c>
      <c r="H25" s="68">
        <f t="shared" si="3"/>
        <v>0.31534007505668965</v>
      </c>
      <c r="I25" s="56"/>
    </row>
    <row r="26" spans="1:9" x14ac:dyDescent="0.25">
      <c r="A26" s="65">
        <v>43015</v>
      </c>
      <c r="B26" s="66">
        <f t="shared" si="4"/>
        <v>24</v>
      </c>
      <c r="C26" s="67">
        <f t="shared" si="5"/>
        <v>195.28757162489214</v>
      </c>
      <c r="D26" s="67">
        <v>160</v>
      </c>
      <c r="E26" s="67">
        <f t="shared" si="0"/>
        <v>35.287571624892138</v>
      </c>
      <c r="F26" s="67">
        <f t="shared" si="1"/>
        <v>2538.7384311235978</v>
      </c>
      <c r="G26" s="67">
        <f t="shared" si="2"/>
        <v>1093.9147203716564</v>
      </c>
      <c r="H26" s="68">
        <f t="shared" si="3"/>
        <v>0.3125470629633304</v>
      </c>
      <c r="I26" s="56"/>
    </row>
    <row r="27" spans="1:9" x14ac:dyDescent="0.25">
      <c r="A27" s="65">
        <v>43016</v>
      </c>
      <c r="B27" s="66">
        <f t="shared" si="4"/>
        <v>25</v>
      </c>
      <c r="C27" s="67">
        <f t="shared" si="5"/>
        <v>194.97502456192882</v>
      </c>
      <c r="D27" s="67">
        <v>160</v>
      </c>
      <c r="E27" s="67">
        <f t="shared" si="0"/>
        <v>34.975024561928819</v>
      </c>
      <c r="F27" s="67">
        <f t="shared" si="1"/>
        <v>2534.6753193050745</v>
      </c>
      <c r="G27" s="67">
        <f t="shared" si="2"/>
        <v>1084.2257614197933</v>
      </c>
      <c r="H27" s="68">
        <f t="shared" si="3"/>
        <v>0.30977878897708383</v>
      </c>
      <c r="I27" s="56"/>
    </row>
    <row r="28" spans="1:9" x14ac:dyDescent="0.25">
      <c r="A28" s="65">
        <v>43017</v>
      </c>
      <c r="B28" s="66">
        <f t="shared" si="4"/>
        <v>26</v>
      </c>
      <c r="C28" s="67">
        <f t="shared" si="5"/>
        <v>194.66524577295175</v>
      </c>
      <c r="D28" s="67">
        <v>160</v>
      </c>
      <c r="E28" s="67">
        <f t="shared" si="0"/>
        <v>34.665245772951749</v>
      </c>
      <c r="F28" s="67">
        <f t="shared" si="1"/>
        <v>2530.6481950483726</v>
      </c>
      <c r="G28" s="67">
        <f t="shared" si="2"/>
        <v>1074.6226189615043</v>
      </c>
      <c r="H28" s="68">
        <f t="shared" si="3"/>
        <v>0.30703503398900123</v>
      </c>
      <c r="I28" s="56"/>
    </row>
    <row r="29" spans="1:9" x14ac:dyDescent="0.25">
      <c r="A29" s="65">
        <v>43018</v>
      </c>
      <c r="B29" s="66">
        <f t="shared" si="4"/>
        <v>27</v>
      </c>
      <c r="C29" s="67">
        <f t="shared" si="5"/>
        <v>194.35821073896275</v>
      </c>
      <c r="D29" s="67">
        <v>160</v>
      </c>
      <c r="E29" s="67">
        <f t="shared" si="0"/>
        <v>34.358210738962754</v>
      </c>
      <c r="F29" s="67">
        <f t="shared" si="1"/>
        <v>2526.6567396065157</v>
      </c>
      <c r="G29" s="67">
        <f t="shared" si="2"/>
        <v>1065.1045329078454</v>
      </c>
      <c r="H29" s="68">
        <f t="shared" si="3"/>
        <v>0.30431558083081295</v>
      </c>
      <c r="I29" s="56"/>
    </row>
    <row r="30" spans="1:9" x14ac:dyDescent="0.25">
      <c r="A30" s="65">
        <v>43019</v>
      </c>
      <c r="B30" s="66">
        <f t="shared" si="4"/>
        <v>28</v>
      </c>
      <c r="C30" s="67">
        <f t="shared" si="5"/>
        <v>194.05389515813195</v>
      </c>
      <c r="D30" s="67">
        <v>160</v>
      </c>
      <c r="E30" s="67">
        <f t="shared" si="0"/>
        <v>34.053895158131951</v>
      </c>
      <c r="F30" s="67">
        <f t="shared" si="1"/>
        <v>2522.7006370557156</v>
      </c>
      <c r="G30" s="67">
        <f t="shared" si="2"/>
        <v>1055.6707499020904</v>
      </c>
      <c r="H30" s="68">
        <f t="shared" si="3"/>
        <v>0.3016202142577401</v>
      </c>
      <c r="I30" s="56"/>
    </row>
    <row r="31" spans="1:9" x14ac:dyDescent="0.25">
      <c r="A31" s="65">
        <v>43020</v>
      </c>
      <c r="B31" s="66">
        <f t="shared" si="4"/>
        <v>29</v>
      </c>
      <c r="C31" s="67">
        <f t="shared" si="5"/>
        <v>193.7522749438742</v>
      </c>
      <c r="D31" s="67">
        <v>160</v>
      </c>
      <c r="E31" s="67">
        <f t="shared" si="0"/>
        <v>33.752274943874198</v>
      </c>
      <c r="F31" s="67">
        <f t="shared" si="1"/>
        <v>2518.7795742703647</v>
      </c>
      <c r="G31" s="67">
        <f t="shared" si="2"/>
        <v>1046.3205232601001</v>
      </c>
      <c r="H31" s="68">
        <f t="shared" si="3"/>
        <v>0.29894872093145719</v>
      </c>
      <c r="I31" s="56"/>
    </row>
    <row r="32" spans="1:9" x14ac:dyDescent="0.25">
      <c r="A32" s="65">
        <v>43021</v>
      </c>
      <c r="B32" s="66">
        <f t="shared" si="4"/>
        <v>30</v>
      </c>
      <c r="C32" s="67">
        <f t="shared" si="5"/>
        <v>193.45332622294274</v>
      </c>
      <c r="D32" s="67">
        <v>160</v>
      </c>
      <c r="E32" s="67">
        <f t="shared" si="0"/>
        <v>33.453326222942735</v>
      </c>
      <c r="F32" s="67">
        <f t="shared" si="1"/>
        <v>2514.8932408982555</v>
      </c>
      <c r="G32" s="67">
        <f t="shared" si="2"/>
        <v>1037.0531129112248</v>
      </c>
      <c r="H32" s="68">
        <f t="shared" si="3"/>
        <v>0.29630088940320709</v>
      </c>
      <c r="I32" s="56"/>
    </row>
    <row r="33" spans="1:9" x14ac:dyDescent="0.25">
      <c r="A33" s="65">
        <v>43022</v>
      </c>
      <c r="B33" s="66">
        <f t="shared" si="4"/>
        <v>31</v>
      </c>
      <c r="C33" s="67">
        <f t="shared" si="5"/>
        <v>193.15702533353954</v>
      </c>
      <c r="D33" s="67">
        <v>160</v>
      </c>
      <c r="E33" s="67">
        <f t="shared" si="0"/>
        <v>33.157025333539536</v>
      </c>
      <c r="F33" s="67">
        <f t="shared" si="1"/>
        <v>2511.0413293360139</v>
      </c>
      <c r="G33" s="67">
        <f t="shared" si="2"/>
        <v>1027.8677853397257</v>
      </c>
      <c r="H33" s="68">
        <f t="shared" si="3"/>
        <v>0.29367651009706452</v>
      </c>
      <c r="I33" s="56"/>
    </row>
    <row r="34" spans="1:9" x14ac:dyDescent="0.25">
      <c r="A34" s="65">
        <v>43023</v>
      </c>
      <c r="B34" s="66">
        <f t="shared" si="4"/>
        <v>32</v>
      </c>
      <c r="C34" s="67">
        <f t="shared" si="5"/>
        <v>192.86334882344246</v>
      </c>
      <c r="D34" s="67">
        <v>160</v>
      </c>
      <c r="E34" s="67">
        <f t="shared" si="0"/>
        <v>32.863348823442465</v>
      </c>
      <c r="F34" s="67">
        <f t="shared" si="1"/>
        <v>2507.2235347047522</v>
      </c>
      <c r="G34" s="67">
        <f t="shared" si="2"/>
        <v>1018.7638135267164</v>
      </c>
      <c r="H34" s="68">
        <f t="shared" si="3"/>
        <v>0.29107537529334754</v>
      </c>
      <c r="I34" s="56"/>
    </row>
    <row r="35" spans="1:9" x14ac:dyDescent="0.25">
      <c r="A35" s="65">
        <v>43024</v>
      </c>
      <c r="B35" s="66">
        <f t="shared" si="4"/>
        <v>33</v>
      </c>
      <c r="C35" s="67">
        <f t="shared" si="5"/>
        <v>192.5722734481491</v>
      </c>
      <c r="D35" s="67">
        <v>160</v>
      </c>
      <c r="E35" s="67">
        <f t="shared" si="0"/>
        <v>32.572273448149105</v>
      </c>
      <c r="F35" s="67">
        <f t="shared" si="1"/>
        <v>2503.4395548259386</v>
      </c>
      <c r="G35" s="67">
        <f t="shared" si="2"/>
        <v>1009.7404768926223</v>
      </c>
      <c r="H35" s="68">
        <f t="shared" si="3"/>
        <v>0.28849727911217782</v>
      </c>
      <c r="I35" s="56"/>
    </row>
    <row r="36" spans="1:9" x14ac:dyDescent="0.25">
      <c r="A36" s="65">
        <v>43025</v>
      </c>
      <c r="B36" s="66">
        <f t="shared" si="4"/>
        <v>34</v>
      </c>
      <c r="C36" s="67">
        <f t="shared" si="5"/>
        <v>192.28377616903694</v>
      </c>
      <c r="D36" s="67">
        <v>160</v>
      </c>
      <c r="E36" s="67">
        <f t="shared" si="0"/>
        <v>32.28377616903694</v>
      </c>
      <c r="F36" s="67">
        <f t="shared" si="1"/>
        <v>2499.6890901974803</v>
      </c>
      <c r="G36" s="67">
        <f t="shared" si="2"/>
        <v>1000.7970612401451</v>
      </c>
      <c r="H36" s="68">
        <f t="shared" si="3"/>
        <v>0.28594201749718434</v>
      </c>
      <c r="I36" s="56"/>
    </row>
    <row r="37" spans="1:9" x14ac:dyDescent="0.25">
      <c r="A37" s="65">
        <v>43026</v>
      </c>
      <c r="B37" s="66">
        <f t="shared" si="4"/>
        <v>35</v>
      </c>
      <c r="C37" s="67">
        <f t="shared" si="5"/>
        <v>191.99783415153976</v>
      </c>
      <c r="D37" s="67">
        <v>160</v>
      </c>
      <c r="E37" s="67">
        <f t="shared" si="0"/>
        <v>31.997834151539763</v>
      </c>
      <c r="F37" s="67">
        <f t="shared" si="1"/>
        <v>2495.9718439700168</v>
      </c>
      <c r="G37" s="67">
        <f t="shared" si="2"/>
        <v>991.93285869773263</v>
      </c>
      <c r="H37" s="68">
        <f t="shared" si="3"/>
        <v>0.28340938819935219</v>
      </c>
      <c r="I37" s="56"/>
    </row>
    <row r="38" spans="1:9" x14ac:dyDescent="0.25">
      <c r="A38" s="65">
        <v>43027</v>
      </c>
      <c r="B38" s="66">
        <f t="shared" si="4"/>
        <v>36</v>
      </c>
      <c r="C38" s="67">
        <f t="shared" si="5"/>
        <v>191.71442476334042</v>
      </c>
      <c r="D38" s="67">
        <v>160</v>
      </c>
      <c r="E38" s="67">
        <f t="shared" si="0"/>
        <v>31.714424763340418</v>
      </c>
      <c r="F38" s="67">
        <f t="shared" si="1"/>
        <v>2492.2875219234256</v>
      </c>
      <c r="G38" s="67">
        <f t="shared" si="2"/>
        <v>983.14716766355298</v>
      </c>
      <c r="H38" s="68">
        <f t="shared" si="3"/>
        <v>0.28089919076101516</v>
      </c>
      <c r="I38" s="56"/>
    </row>
    <row r="39" spans="1:9" x14ac:dyDescent="0.25">
      <c r="A39" s="65">
        <v>43028</v>
      </c>
      <c r="B39" s="66">
        <f t="shared" si="4"/>
        <v>37</v>
      </c>
      <c r="C39" s="67">
        <f t="shared" si="5"/>
        <v>191.43352557257941</v>
      </c>
      <c r="D39" s="67">
        <v>160</v>
      </c>
      <c r="E39" s="67">
        <f t="shared" si="0"/>
        <v>31.433525572579413</v>
      </c>
      <c r="F39" s="67">
        <f t="shared" si="1"/>
        <v>2488.6358324435323</v>
      </c>
      <c r="G39" s="67">
        <f t="shared" si="2"/>
        <v>974.43929274996185</v>
      </c>
      <c r="H39" s="68">
        <f t="shared" si="3"/>
        <v>0.27841122649998912</v>
      </c>
      <c r="I39" s="56"/>
    </row>
    <row r="40" spans="1:9" x14ac:dyDescent="0.25">
      <c r="A40" s="65">
        <v>43029</v>
      </c>
      <c r="B40" s="66">
        <f t="shared" si="4"/>
        <v>38</v>
      </c>
      <c r="C40" s="67">
        <f t="shared" si="5"/>
        <v>191.15511434607942</v>
      </c>
      <c r="D40" s="67">
        <v>160</v>
      </c>
      <c r="E40" s="67">
        <f t="shared" si="0"/>
        <v>31.155114346079415</v>
      </c>
      <c r="F40" s="67">
        <f t="shared" si="1"/>
        <v>2485.0164864990325</v>
      </c>
      <c r="G40" s="67">
        <f t="shared" si="2"/>
        <v>965.80854472846181</v>
      </c>
      <c r="H40" s="68">
        <f t="shared" si="3"/>
        <v>0.27594529849384625</v>
      </c>
      <c r="I40" s="56"/>
    </row>
    <row r="41" spans="1:9" x14ac:dyDescent="0.25">
      <c r="A41" s="65">
        <v>43030</v>
      </c>
      <c r="B41" s="66">
        <f t="shared" si="4"/>
        <v>39</v>
      </c>
      <c r="C41" s="67">
        <f t="shared" si="5"/>
        <v>190.87916904758558</v>
      </c>
      <c r="D41" s="67">
        <v>160</v>
      </c>
      <c r="E41" s="67">
        <f t="shared" si="0"/>
        <v>30.879169047585577</v>
      </c>
      <c r="F41" s="67">
        <f t="shared" si="1"/>
        <v>2481.4291976186123</v>
      </c>
      <c r="G41" s="67">
        <f t="shared" si="2"/>
        <v>957.25424047515287</v>
      </c>
      <c r="H41" s="68">
        <f t="shared" si="3"/>
        <v>0.27350121156432938</v>
      </c>
      <c r="I41" s="56"/>
    </row>
    <row r="42" spans="1:9" x14ac:dyDescent="0.25">
      <c r="A42" s="65">
        <v>43031</v>
      </c>
      <c r="B42" s="66">
        <f t="shared" si="4"/>
        <v>40</v>
      </c>
      <c r="C42" s="67">
        <f t="shared" si="5"/>
        <v>190.60566783602124</v>
      </c>
      <c r="D42" s="67">
        <v>160</v>
      </c>
      <c r="E42" s="67">
        <f t="shared" si="0"/>
        <v>30.60566783602124</v>
      </c>
      <c r="F42" s="67">
        <f t="shared" si="1"/>
        <v>2477.873681868276</v>
      </c>
      <c r="G42" s="67">
        <f t="shared" si="2"/>
        <v>948.77570291665847</v>
      </c>
      <c r="H42" s="68">
        <f t="shared" si="3"/>
        <v>0.27107877226190241</v>
      </c>
      <c r="I42" s="56"/>
    </row>
    <row r="43" spans="1:9" x14ac:dyDescent="0.25">
      <c r="A43" s="65">
        <v>43032</v>
      </c>
      <c r="B43" s="66">
        <f t="shared" si="4"/>
        <v>41</v>
      </c>
      <c r="C43" s="67">
        <f t="shared" si="5"/>
        <v>190.33458906375932</v>
      </c>
      <c r="D43" s="67">
        <v>160</v>
      </c>
      <c r="E43" s="67">
        <f t="shared" si="0"/>
        <v>30.334589063759324</v>
      </c>
      <c r="F43" s="67">
        <f t="shared" si="1"/>
        <v>2474.3496578288714</v>
      </c>
      <c r="G43" s="67">
        <f t="shared" si="2"/>
        <v>940.37226097653911</v>
      </c>
      <c r="H43" s="68">
        <f t="shared" si="3"/>
        <v>0.26867778885043975</v>
      </c>
      <c r="I43" s="56"/>
    </row>
    <row r="44" spans="1:9" x14ac:dyDescent="0.25">
      <c r="A44" s="65">
        <v>43033</v>
      </c>
      <c r="B44" s="66">
        <f t="shared" si="4"/>
        <v>42</v>
      </c>
      <c r="C44" s="67">
        <f t="shared" si="5"/>
        <v>190.06591127490887</v>
      </c>
      <c r="D44" s="67">
        <v>160</v>
      </c>
      <c r="E44" s="67">
        <f t="shared" si="0"/>
        <v>30.065911274908871</v>
      </c>
      <c r="F44" s="67">
        <f t="shared" si="1"/>
        <v>2470.8568465738153</v>
      </c>
      <c r="G44" s="67">
        <f t="shared" si="2"/>
        <v>932.04324952217496</v>
      </c>
      <c r="H44" s="68">
        <f t="shared" si="3"/>
        <v>0.26629807129204996</v>
      </c>
      <c r="I44" s="56"/>
    </row>
    <row r="45" spans="1:9" x14ac:dyDescent="0.25">
      <c r="A45" s="65">
        <v>43034</v>
      </c>
      <c r="B45" s="66">
        <f t="shared" si="4"/>
        <v>43</v>
      </c>
      <c r="C45" s="67">
        <f t="shared" si="5"/>
        <v>189.79961320361681</v>
      </c>
      <c r="D45" s="67">
        <v>160</v>
      </c>
      <c r="E45" s="67">
        <f t="shared" si="0"/>
        <v>29.799613203616815</v>
      </c>
      <c r="F45" s="67">
        <f t="shared" si="1"/>
        <v>2467.3949716470188</v>
      </c>
      <c r="G45" s="67">
        <f t="shared" si="2"/>
        <v>923.78800931212129</v>
      </c>
      <c r="H45" s="68">
        <f t="shared" si="3"/>
        <v>0.26393943123203467</v>
      </c>
      <c r="I45" s="56"/>
    </row>
    <row r="46" spans="1:9" x14ac:dyDescent="0.25">
      <c r="A46" s="65">
        <v>43035</v>
      </c>
      <c r="B46" s="66">
        <f t="shared" si="4"/>
        <v>44</v>
      </c>
      <c r="C46" s="67">
        <f t="shared" si="5"/>
        <v>189.53567377238477</v>
      </c>
      <c r="D46" s="67">
        <v>160</v>
      </c>
      <c r="E46" s="67">
        <f t="shared" si="0"/>
        <v>29.535673772384769</v>
      </c>
      <c r="F46" s="67">
        <f t="shared" si="1"/>
        <v>2463.963759041002</v>
      </c>
      <c r="G46" s="67">
        <f t="shared" si="2"/>
        <v>915.60588694392777</v>
      </c>
      <c r="H46" s="68">
        <f t="shared" si="3"/>
        <v>0.26160168198397937</v>
      </c>
      <c r="I46" s="56"/>
    </row>
    <row r="47" spans="1:9" x14ac:dyDescent="0.25">
      <c r="A47" s="65">
        <v>43036</v>
      </c>
      <c r="B47" s="66">
        <f t="shared" si="4"/>
        <v>45</v>
      </c>
      <c r="C47" s="67">
        <f t="shared" si="5"/>
        <v>189.27407209040078</v>
      </c>
      <c r="D47" s="67">
        <v>160</v>
      </c>
      <c r="E47" s="67">
        <f t="shared" si="0"/>
        <v>29.274072090400779</v>
      </c>
      <c r="F47" s="67">
        <f t="shared" si="1"/>
        <v>2460.5629371752102</v>
      </c>
      <c r="G47" s="67">
        <f t="shared" si="2"/>
        <v>907.49623480242417</v>
      </c>
      <c r="H47" s="68">
        <f t="shared" si="3"/>
        <v>0.25928463851497835</v>
      </c>
      <c r="I47" s="56"/>
    </row>
    <row r="48" spans="1:9" x14ac:dyDescent="0.25">
      <c r="A48" s="65">
        <v>43037</v>
      </c>
      <c r="B48" s="66">
        <f t="shared" si="4"/>
        <v>46</v>
      </c>
      <c r="C48" s="67">
        <f t="shared" si="5"/>
        <v>189.01478745188581</v>
      </c>
      <c r="D48" s="67">
        <v>160</v>
      </c>
      <c r="E48" s="67">
        <f t="shared" si="0"/>
        <v>29.014787451885809</v>
      </c>
      <c r="F48" s="67">
        <f t="shared" si="1"/>
        <v>2457.1922368745154</v>
      </c>
      <c r="G48" s="67">
        <f t="shared" si="2"/>
        <v>899.45841100846008</v>
      </c>
      <c r="H48" s="68">
        <f t="shared" si="3"/>
        <v>0.25698811743098859</v>
      </c>
      <c r="I48" s="56"/>
    </row>
    <row r="49" spans="1:9" x14ac:dyDescent="0.25">
      <c r="A49" s="65">
        <v>43038</v>
      </c>
      <c r="B49" s="66">
        <f t="shared" si="4"/>
        <v>47</v>
      </c>
      <c r="C49" s="67">
        <f t="shared" si="5"/>
        <v>188.75779933445483</v>
      </c>
      <c r="D49" s="67">
        <v>160</v>
      </c>
      <c r="E49" s="67">
        <f t="shared" si="0"/>
        <v>28.75779933445483</v>
      </c>
      <c r="F49" s="67">
        <f t="shared" si="1"/>
        <v>2453.8513913479128</v>
      </c>
      <c r="G49" s="67">
        <f t="shared" si="2"/>
        <v>891.49177936809974</v>
      </c>
      <c r="H49" s="68">
        <f t="shared" si="3"/>
        <v>0.2547119369623142</v>
      </c>
      <c r="I49" s="56"/>
    </row>
    <row r="50" spans="1:9" x14ac:dyDescent="0.25">
      <c r="A50" s="65">
        <v>43039</v>
      </c>
      <c r="B50" s="66">
        <f t="shared" si="4"/>
        <v>48</v>
      </c>
      <c r="C50" s="67">
        <f t="shared" si="5"/>
        <v>188.50308739749252</v>
      </c>
      <c r="D50" s="67">
        <v>160</v>
      </c>
      <c r="E50" s="67">
        <f t="shared" si="0"/>
        <v>28.503087397492521</v>
      </c>
      <c r="F50" s="67">
        <f t="shared" si="1"/>
        <v>2450.5401361674026</v>
      </c>
      <c r="G50" s="67">
        <f t="shared" si="2"/>
        <v>883.59570932226814</v>
      </c>
      <c r="H50" s="68">
        <f t="shared" si="3"/>
        <v>0.25245591694921948</v>
      </c>
      <c r="I50" s="56"/>
    </row>
    <row r="51" spans="1:9" x14ac:dyDescent="0.25">
      <c r="A51" s="65">
        <v>43040</v>
      </c>
      <c r="B51" s="66">
        <f t="shared" si="4"/>
        <v>49</v>
      </c>
      <c r="C51" s="67">
        <f t="shared" si="5"/>
        <v>188.25063148054329</v>
      </c>
      <c r="D51" s="67">
        <v>160</v>
      </c>
      <c r="E51" s="67">
        <f t="shared" si="0"/>
        <v>28.250631480543291</v>
      </c>
      <c r="F51" s="67">
        <f t="shared" si="1"/>
        <v>2447.258209247063</v>
      </c>
      <c r="G51" s="67">
        <f t="shared" si="2"/>
        <v>875.76957589684207</v>
      </c>
      <c r="H51" s="68">
        <f t="shared" si="3"/>
        <v>0.25021987882766916</v>
      </c>
      <c r="I51" s="56"/>
    </row>
    <row r="52" spans="1:9" x14ac:dyDescent="0.25">
      <c r="A52" s="65">
        <v>43041</v>
      </c>
      <c r="B52" s="66">
        <f t="shared" si="4"/>
        <v>50</v>
      </c>
      <c r="C52" s="67">
        <f t="shared" si="5"/>
        <v>188.00041160171563</v>
      </c>
      <c r="D52" s="67">
        <v>160</v>
      </c>
      <c r="E52" s="67">
        <f t="shared" si="0"/>
        <v>28.000411601715626</v>
      </c>
      <c r="F52" s="67">
        <f t="shared" si="1"/>
        <v>2444.0053508223032</v>
      </c>
      <c r="G52" s="67">
        <f t="shared" si="2"/>
        <v>868.01275965318439</v>
      </c>
      <c r="H52" s="68">
        <f t="shared" si="3"/>
        <v>0.24800364561519553</v>
      </c>
      <c r="I52" s="56"/>
    </row>
    <row r="53" spans="1:9" x14ac:dyDescent="0.25">
      <c r="A53" s="65">
        <v>43042</v>
      </c>
      <c r="B53" s="66">
        <f t="shared" si="4"/>
        <v>51</v>
      </c>
      <c r="C53" s="67">
        <f t="shared" si="5"/>
        <v>187.75240795610043</v>
      </c>
      <c r="D53" s="67">
        <v>160</v>
      </c>
      <c r="E53" s="67">
        <f t="shared" si="0"/>
        <v>27.752407956100427</v>
      </c>
      <c r="F53" s="67">
        <f t="shared" si="1"/>
        <v>2440.7813034293054</v>
      </c>
      <c r="G53" s="67">
        <f t="shared" si="2"/>
        <v>860.32464663911321</v>
      </c>
      <c r="H53" s="68">
        <f t="shared" si="3"/>
        <v>0.24580704189688948</v>
      </c>
      <c r="I53" s="56"/>
    </row>
    <row r="54" spans="1:9" x14ac:dyDescent="0.25">
      <c r="A54" s="65">
        <v>43043</v>
      </c>
      <c r="B54" s="66">
        <f t="shared" si="4"/>
        <v>52</v>
      </c>
      <c r="C54" s="67">
        <f t="shared" si="5"/>
        <v>187.50660091420355</v>
      </c>
      <c r="D54" s="67">
        <v>160</v>
      </c>
      <c r="E54" s="67">
        <f t="shared" si="0"/>
        <v>27.506600914203545</v>
      </c>
      <c r="F54" s="67">
        <f t="shared" si="1"/>
        <v>2437.5858118846463</v>
      </c>
      <c r="G54" s="67">
        <f t="shared" si="2"/>
        <v>852.70462834030991</v>
      </c>
      <c r="H54" s="68">
        <f t="shared" si="3"/>
        <v>0.24362989381151712</v>
      </c>
      <c r="I54" s="56"/>
    </row>
    <row r="55" spans="1:9" x14ac:dyDescent="0.25">
      <c r="A55" s="65">
        <v>43044</v>
      </c>
      <c r="B55" s="66">
        <f t="shared" si="4"/>
        <v>53</v>
      </c>
      <c r="C55" s="67">
        <f t="shared" si="5"/>
        <v>187.26297102039203</v>
      </c>
      <c r="D55" s="67">
        <v>160</v>
      </c>
      <c r="E55" s="67">
        <f t="shared" si="0"/>
        <v>27.26297102039203</v>
      </c>
      <c r="F55" s="67">
        <f t="shared" si="1"/>
        <v>2434.4186232650964</v>
      </c>
      <c r="G55" s="67">
        <f t="shared" si="2"/>
        <v>845.15210163215295</v>
      </c>
      <c r="H55" s="68">
        <f t="shared" si="3"/>
        <v>0.241472029037758</v>
      </c>
      <c r="I55" s="56"/>
    </row>
    <row r="56" spans="1:9" x14ac:dyDescent="0.25">
      <c r="A56" s="65">
        <v>43045</v>
      </c>
      <c r="B56" s="66">
        <f t="shared" si="4"/>
        <v>54</v>
      </c>
      <c r="C56" s="67">
        <f t="shared" si="5"/>
        <v>187.02149899135426</v>
      </c>
      <c r="D56" s="67">
        <v>160</v>
      </c>
      <c r="E56" s="67">
        <f t="shared" si="0"/>
        <v>27.021498991354264</v>
      </c>
      <c r="F56" s="67">
        <f t="shared" si="1"/>
        <v>2431.2794868876053</v>
      </c>
      <c r="G56" s="67">
        <f t="shared" si="2"/>
        <v>837.66646873198215</v>
      </c>
      <c r="H56" s="68">
        <f t="shared" si="3"/>
        <v>0.23933327678056632</v>
      </c>
      <c r="I56" s="56"/>
    </row>
    <row r="57" spans="1:9" x14ac:dyDescent="0.25">
      <c r="A57" s="65">
        <v>43046</v>
      </c>
      <c r="B57" s="66">
        <f t="shared" si="4"/>
        <v>55</v>
      </c>
      <c r="C57" s="67">
        <f t="shared" si="5"/>
        <v>186.78216571457369</v>
      </c>
      <c r="D57" s="67">
        <v>160</v>
      </c>
      <c r="E57" s="67">
        <f t="shared" si="0"/>
        <v>26.782165714573694</v>
      </c>
      <c r="F57" s="67">
        <f t="shared" si="1"/>
        <v>2428.168154289458</v>
      </c>
      <c r="G57" s="67">
        <f t="shared" si="2"/>
        <v>830.2471371517845</v>
      </c>
      <c r="H57" s="68">
        <f t="shared" si="3"/>
        <v>0.2372134677576527</v>
      </c>
      <c r="I57" s="56"/>
    </row>
    <row r="58" spans="1:9" x14ac:dyDescent="0.25">
      <c r="A58" s="65">
        <v>43047</v>
      </c>
      <c r="B58" s="66">
        <f t="shared" si="4"/>
        <v>56</v>
      </c>
      <c r="C58" s="67">
        <f t="shared" si="5"/>
        <v>186.54495224681605</v>
      </c>
      <c r="D58" s="67">
        <v>160</v>
      </c>
      <c r="E58" s="67">
        <f t="shared" si="0"/>
        <v>26.544952246816052</v>
      </c>
      <c r="F58" s="67">
        <f t="shared" si="1"/>
        <v>2425.0843792086089</v>
      </c>
      <c r="G58" s="67">
        <f t="shared" si="2"/>
        <v>822.89351965129765</v>
      </c>
      <c r="H58" s="68">
        <f t="shared" si="3"/>
        <v>0.23511243418608505</v>
      </c>
      <c r="I58" s="56"/>
    </row>
    <row r="59" spans="1:9" x14ac:dyDescent="0.25">
      <c r="A59" s="65">
        <v>43048</v>
      </c>
      <c r="B59" s="66">
        <f t="shared" si="4"/>
        <v>57</v>
      </c>
      <c r="C59" s="67">
        <f t="shared" si="5"/>
        <v>186.30983981262997</v>
      </c>
      <c r="D59" s="67">
        <v>160</v>
      </c>
      <c r="E59" s="67">
        <f t="shared" si="0"/>
        <v>26.309839812629974</v>
      </c>
      <c r="F59" s="67">
        <f t="shared" si="1"/>
        <v>2422.0279175641895</v>
      </c>
      <c r="G59" s="67">
        <f t="shared" si="2"/>
        <v>815.60503419152917</v>
      </c>
      <c r="H59" s="68">
        <f t="shared" si="3"/>
        <v>0.23303000976900834</v>
      </c>
      <c r="I59" s="56"/>
    </row>
    <row r="60" spans="1:9" x14ac:dyDescent="0.25">
      <c r="A60" s="65">
        <v>43049</v>
      </c>
      <c r="B60" s="66">
        <f t="shared" si="4"/>
        <v>58</v>
      </c>
      <c r="C60" s="67">
        <f t="shared" si="5"/>
        <v>186.07680980286096</v>
      </c>
      <c r="D60" s="67">
        <v>160</v>
      </c>
      <c r="E60" s="67">
        <f t="shared" si="0"/>
        <v>26.076809802860964</v>
      </c>
      <c r="F60" s="67">
        <f t="shared" si="1"/>
        <v>2418.9985274371925</v>
      </c>
      <c r="G60" s="67">
        <f t="shared" si="2"/>
        <v>808.38110388868995</v>
      </c>
      <c r="H60" s="68">
        <f t="shared" si="3"/>
        <v>0.23096602968248284</v>
      </c>
      <c r="I60" s="56"/>
    </row>
    <row r="61" spans="1:9" x14ac:dyDescent="0.25">
      <c r="A61" s="65">
        <v>43050</v>
      </c>
      <c r="B61" s="66">
        <f t="shared" si="4"/>
        <v>59</v>
      </c>
      <c r="C61" s="67">
        <f t="shared" si="5"/>
        <v>185.84584377317847</v>
      </c>
      <c r="D61" s="67">
        <v>160</v>
      </c>
      <c r="E61" s="67">
        <f t="shared" si="0"/>
        <v>25.845843773178473</v>
      </c>
      <c r="F61" s="67">
        <f t="shared" si="1"/>
        <v>2415.9959690513201</v>
      </c>
      <c r="G61" s="67">
        <f t="shared" si="2"/>
        <v>801.22115696853268</v>
      </c>
      <c r="H61" s="68">
        <f t="shared" si="3"/>
        <v>0.22892033056243791</v>
      </c>
      <c r="I61" s="56"/>
    </row>
    <row r="62" spans="1:9" x14ac:dyDescent="0.25">
      <c r="A62" s="65">
        <v>43051</v>
      </c>
      <c r="B62" s="66">
        <f t="shared" si="4"/>
        <v>60</v>
      </c>
      <c r="C62" s="67">
        <f t="shared" si="5"/>
        <v>185.61692344261604</v>
      </c>
      <c r="D62" s="67">
        <v>160</v>
      </c>
      <c r="E62" s="67">
        <f t="shared" si="0"/>
        <v>25.616923442616041</v>
      </c>
      <c r="F62" s="67">
        <f t="shared" si="1"/>
        <v>2413.0200047540084</v>
      </c>
      <c r="G62" s="67">
        <f t="shared" si="2"/>
        <v>794.12462672109723</v>
      </c>
      <c r="H62" s="68">
        <f t="shared" si="3"/>
        <v>0.22689275049174207</v>
      </c>
      <c r="I62" s="56"/>
    </row>
    <row r="63" spans="1:9" x14ac:dyDescent="0.25">
      <c r="A63" s="65">
        <v>43052</v>
      </c>
      <c r="B63" s="66">
        <f t="shared" si="4"/>
        <v>61</v>
      </c>
      <c r="C63" s="67">
        <f t="shared" si="5"/>
        <v>185.3900306921243</v>
      </c>
      <c r="D63" s="67">
        <v>160</v>
      </c>
      <c r="E63" s="67">
        <f t="shared" si="0"/>
        <v>25.390030692124299</v>
      </c>
      <c r="F63" s="67">
        <f t="shared" si="1"/>
        <v>2410.0703989976159</v>
      </c>
      <c r="G63" s="67">
        <f t="shared" si="2"/>
        <v>787.0909514558532</v>
      </c>
      <c r="H63" s="68">
        <f t="shared" si="3"/>
        <v>0.22488312898738663</v>
      </c>
      <c r="I63" s="56"/>
    </row>
    <row r="64" spans="1:9" x14ac:dyDescent="0.25">
      <c r="A64" s="65">
        <v>43053</v>
      </c>
      <c r="B64" s="66">
        <f t="shared" si="4"/>
        <v>62</v>
      </c>
      <c r="C64" s="67">
        <f t="shared" si="5"/>
        <v>185.16514756313691</v>
      </c>
      <c r="D64" s="67">
        <v>160</v>
      </c>
      <c r="E64" s="67">
        <f t="shared" si="0"/>
        <v>25.165147563136912</v>
      </c>
      <c r="F64" s="67">
        <f t="shared" si="1"/>
        <v>2407.1469183207801</v>
      </c>
      <c r="G64" s="67">
        <f t="shared" si="2"/>
        <v>780.11957445724431</v>
      </c>
      <c r="H64" s="68">
        <f t="shared" si="3"/>
        <v>0.22289130698778409</v>
      </c>
      <c r="I64" s="56"/>
    </row>
    <row r="65" spans="1:9" x14ac:dyDescent="0.25">
      <c r="A65" s="65">
        <v>43054</v>
      </c>
      <c r="B65" s="66">
        <f t="shared" si="4"/>
        <v>63</v>
      </c>
      <c r="C65" s="67">
        <f t="shared" si="5"/>
        <v>184.94225625614914</v>
      </c>
      <c r="D65" s="67">
        <v>160</v>
      </c>
      <c r="E65" s="67">
        <f t="shared" si="0"/>
        <v>24.942256256149136</v>
      </c>
      <c r="F65" s="67">
        <f t="shared" si="1"/>
        <v>2404.2493313299387</v>
      </c>
      <c r="G65" s="67">
        <f t="shared" si="2"/>
        <v>773.20994394062325</v>
      </c>
      <c r="H65" s="68">
        <f t="shared" si="3"/>
        <v>0.22091712684017806</v>
      </c>
      <c r="I65" s="56"/>
    </row>
    <row r="66" spans="1:9" x14ac:dyDescent="0.25">
      <c r="A66" s="65">
        <v>43055</v>
      </c>
      <c r="B66" s="66">
        <f t="shared" si="4"/>
        <v>64</v>
      </c>
      <c r="C66" s="67">
        <f t="shared" si="5"/>
        <v>184.72133912930894</v>
      </c>
      <c r="D66" s="67">
        <v>160</v>
      </c>
      <c r="E66" s="67">
        <f t="shared" si="0"/>
        <v>24.721339129308944</v>
      </c>
      <c r="F66" s="67">
        <f t="shared" si="1"/>
        <v>2401.3774086810163</v>
      </c>
      <c r="G66" s="67">
        <f t="shared" si="2"/>
        <v>766.36151300857728</v>
      </c>
      <c r="H66" s="68">
        <f t="shared" si="3"/>
        <v>0.21896043228816495</v>
      </c>
      <c r="I66" s="56"/>
    </row>
    <row r="67" spans="1:9" x14ac:dyDescent="0.25">
      <c r="A67" s="65">
        <v>43056</v>
      </c>
      <c r="B67" s="66">
        <f t="shared" si="4"/>
        <v>65</v>
      </c>
      <c r="C67" s="67">
        <f t="shared" si="5"/>
        <v>184.50237869702079</v>
      </c>
      <c r="D67" s="67">
        <v>160</v>
      </c>
      <c r="E67" s="67">
        <f t="shared" ref="E67:E130" si="6">C67-D67</f>
        <v>24.502378697020788</v>
      </c>
      <c r="F67" s="67">
        <f t="shared" ref="F67:F130" si="7">13*C67</f>
        <v>2398.5309230612702</v>
      </c>
      <c r="G67" s="67">
        <f t="shared" ref="G67:G130" si="8">E67*31</f>
        <v>759.57373960764448</v>
      </c>
      <c r="H67" s="68">
        <f t="shared" ref="H67:H130" si="9">MIN($G67/3500,$F67/3500)</f>
        <v>0.217021068459327</v>
      </c>
      <c r="I67" s="56"/>
    </row>
    <row r="68" spans="1:9" x14ac:dyDescent="0.25">
      <c r="A68" s="65">
        <v>43057</v>
      </c>
      <c r="B68" s="66">
        <f t="shared" ref="B68:B131" si="10">B67+1</f>
        <v>66</v>
      </c>
      <c r="C68" s="67">
        <f t="shared" ref="C68:C131" si="11">C67-H67</f>
        <v>184.28535762856146</v>
      </c>
      <c r="D68" s="67">
        <v>160</v>
      </c>
      <c r="E68" s="67">
        <f t="shared" si="6"/>
        <v>24.285357628561457</v>
      </c>
      <c r="F68" s="67">
        <f t="shared" si="7"/>
        <v>2395.7096491712991</v>
      </c>
      <c r="G68" s="67">
        <f t="shared" si="8"/>
        <v>752.84608648540518</v>
      </c>
      <c r="H68" s="68">
        <f t="shared" si="9"/>
        <v>0.21509888185297291</v>
      </c>
      <c r="I68" s="56"/>
    </row>
    <row r="69" spans="1:9" x14ac:dyDescent="0.25">
      <c r="A69" s="65">
        <v>43058</v>
      </c>
      <c r="B69" s="66">
        <f t="shared" si="10"/>
        <v>67</v>
      </c>
      <c r="C69" s="67">
        <f t="shared" si="11"/>
        <v>184.07025874670848</v>
      </c>
      <c r="D69" s="67">
        <v>160</v>
      </c>
      <c r="E69" s="67">
        <f t="shared" si="6"/>
        <v>24.070258746708475</v>
      </c>
      <c r="F69" s="67">
        <f t="shared" si="7"/>
        <v>2392.91336370721</v>
      </c>
      <c r="G69" s="67">
        <f t="shared" si="8"/>
        <v>746.17802114796268</v>
      </c>
      <c r="H69" s="68">
        <f t="shared" si="9"/>
        <v>0.21319372032798933</v>
      </c>
      <c r="I69" s="56"/>
    </row>
    <row r="70" spans="1:9" x14ac:dyDescent="0.25">
      <c r="A70" s="65">
        <v>43059</v>
      </c>
      <c r="B70" s="66">
        <f t="shared" si="10"/>
        <v>68</v>
      </c>
      <c r="C70" s="67">
        <f t="shared" si="11"/>
        <v>183.8570650263805</v>
      </c>
      <c r="D70" s="67">
        <v>160</v>
      </c>
      <c r="E70" s="67">
        <f t="shared" si="6"/>
        <v>23.857065026380496</v>
      </c>
      <c r="F70" s="67">
        <f t="shared" si="7"/>
        <v>2390.1418453429465</v>
      </c>
      <c r="G70" s="67">
        <f t="shared" si="8"/>
        <v>739.56901581779539</v>
      </c>
      <c r="H70" s="68">
        <f t="shared" si="9"/>
        <v>0.21130543309079869</v>
      </c>
      <c r="I70" s="56"/>
    </row>
    <row r="71" spans="1:9" x14ac:dyDescent="0.25">
      <c r="A71" s="65">
        <v>43060</v>
      </c>
      <c r="B71" s="66">
        <f t="shared" si="10"/>
        <v>69</v>
      </c>
      <c r="C71" s="67">
        <f t="shared" si="11"/>
        <v>183.64575959328971</v>
      </c>
      <c r="D71" s="67">
        <v>160</v>
      </c>
      <c r="E71" s="67">
        <f t="shared" si="6"/>
        <v>23.645759593289711</v>
      </c>
      <c r="F71" s="67">
        <f t="shared" si="7"/>
        <v>2387.3948747127661</v>
      </c>
      <c r="G71" s="67">
        <f t="shared" si="8"/>
        <v>733.01854739198097</v>
      </c>
      <c r="H71" s="68">
        <f t="shared" si="9"/>
        <v>0.20943387068342315</v>
      </c>
      <c r="I71" s="56"/>
    </row>
    <row r="72" spans="1:9" x14ac:dyDescent="0.25">
      <c r="A72" s="65">
        <v>43061</v>
      </c>
      <c r="B72" s="66">
        <f t="shared" si="10"/>
        <v>70</v>
      </c>
      <c r="C72" s="67">
        <f t="shared" si="11"/>
        <v>183.43632572260628</v>
      </c>
      <c r="D72" s="67">
        <v>160</v>
      </c>
      <c r="E72" s="67">
        <f t="shared" si="6"/>
        <v>23.436325722606284</v>
      </c>
      <c r="F72" s="67">
        <f t="shared" si="7"/>
        <v>2384.6722343938818</v>
      </c>
      <c r="G72" s="67">
        <f t="shared" si="8"/>
        <v>726.52609740079481</v>
      </c>
      <c r="H72" s="68">
        <f t="shared" si="9"/>
        <v>0.20757888497165566</v>
      </c>
      <c r="I72" s="56"/>
    </row>
    <row r="73" spans="1:9" x14ac:dyDescent="0.25">
      <c r="A73" s="65">
        <v>43062</v>
      </c>
      <c r="B73" s="66">
        <f t="shared" si="10"/>
        <v>71</v>
      </c>
      <c r="C73" s="67">
        <f t="shared" si="11"/>
        <v>183.22874683763462</v>
      </c>
      <c r="D73" s="67">
        <v>160</v>
      </c>
      <c r="E73" s="67">
        <f t="shared" si="6"/>
        <v>23.228746837634617</v>
      </c>
      <c r="F73" s="67">
        <f t="shared" si="7"/>
        <v>2381.9737088892498</v>
      </c>
      <c r="G73" s="67">
        <f t="shared" si="8"/>
        <v>720.09115196667312</v>
      </c>
      <c r="H73" s="68">
        <f t="shared" si="9"/>
        <v>0.20574032913333518</v>
      </c>
      <c r="I73" s="56"/>
    </row>
    <row r="74" spans="1:9" x14ac:dyDescent="0.25">
      <c r="A74" s="65">
        <v>43063</v>
      </c>
      <c r="B74" s="66">
        <f t="shared" si="10"/>
        <v>72</v>
      </c>
      <c r="C74" s="67">
        <f t="shared" si="11"/>
        <v>183.02300650850128</v>
      </c>
      <c r="D74" s="67">
        <v>160</v>
      </c>
      <c r="E74" s="67">
        <f t="shared" si="6"/>
        <v>23.023006508501282</v>
      </c>
      <c r="F74" s="67">
        <f t="shared" si="7"/>
        <v>2379.2990846105167</v>
      </c>
      <c r="G74" s="67">
        <f t="shared" si="8"/>
        <v>713.7132017635397</v>
      </c>
      <c r="H74" s="68">
        <f t="shared" si="9"/>
        <v>0.20391805764672563</v>
      </c>
      <c r="I74" s="56"/>
    </row>
    <row r="75" spans="1:9" x14ac:dyDescent="0.25">
      <c r="A75" s="65">
        <v>43064</v>
      </c>
      <c r="B75" s="66">
        <f t="shared" si="10"/>
        <v>73</v>
      </c>
      <c r="C75" s="67">
        <f t="shared" si="11"/>
        <v>182.81908845085457</v>
      </c>
      <c r="D75" s="67">
        <v>160</v>
      </c>
      <c r="E75" s="67">
        <f t="shared" si="6"/>
        <v>22.819088450854565</v>
      </c>
      <c r="F75" s="67">
        <f t="shared" si="7"/>
        <v>2376.6481498611092</v>
      </c>
      <c r="G75" s="67">
        <f t="shared" si="8"/>
        <v>707.39174197649152</v>
      </c>
      <c r="H75" s="68">
        <f t="shared" si="9"/>
        <v>0.20211192627899757</v>
      </c>
      <c r="I75" s="56"/>
    </row>
    <row r="76" spans="1:9" x14ac:dyDescent="0.25">
      <c r="A76" s="65">
        <v>43065</v>
      </c>
      <c r="B76" s="66">
        <f t="shared" si="10"/>
        <v>74</v>
      </c>
      <c r="C76" s="67">
        <f t="shared" si="11"/>
        <v>182.61697652457556</v>
      </c>
      <c r="D76" s="67">
        <v>160</v>
      </c>
      <c r="E76" s="67">
        <f t="shared" si="6"/>
        <v>22.616976524575563</v>
      </c>
      <c r="F76" s="67">
        <f t="shared" si="7"/>
        <v>2374.0206948194823</v>
      </c>
      <c r="G76" s="67">
        <f t="shared" si="8"/>
        <v>701.12627226184247</v>
      </c>
      <c r="H76" s="68">
        <f t="shared" si="9"/>
        <v>0.20032179207481213</v>
      </c>
      <c r="I76" s="56"/>
    </row>
    <row r="77" spans="1:9" x14ac:dyDescent="0.25">
      <c r="A77" s="65">
        <v>43066</v>
      </c>
      <c r="B77" s="66">
        <f t="shared" si="10"/>
        <v>75</v>
      </c>
      <c r="C77" s="67">
        <f t="shared" si="11"/>
        <v>182.41665473250075</v>
      </c>
      <c r="D77" s="67">
        <v>160</v>
      </c>
      <c r="E77" s="67">
        <f t="shared" si="6"/>
        <v>22.416654732500746</v>
      </c>
      <c r="F77" s="67">
        <f t="shared" si="7"/>
        <v>2371.4165115225096</v>
      </c>
      <c r="G77" s="67">
        <f t="shared" si="8"/>
        <v>694.91629670752309</v>
      </c>
      <c r="H77" s="68">
        <f t="shared" si="9"/>
        <v>0.19854751334500659</v>
      </c>
      <c r="I77" s="56"/>
    </row>
    <row r="78" spans="1:9" x14ac:dyDescent="0.25">
      <c r="A78" s="65">
        <v>43067</v>
      </c>
      <c r="B78" s="66">
        <f t="shared" si="10"/>
        <v>76</v>
      </c>
      <c r="C78" s="67">
        <f t="shared" si="11"/>
        <v>182.21810721915574</v>
      </c>
      <c r="D78" s="67">
        <v>160</v>
      </c>
      <c r="E78" s="67">
        <f t="shared" si="6"/>
        <v>22.21810721915574</v>
      </c>
      <c r="F78" s="67">
        <f t="shared" si="7"/>
        <v>2368.8353938490245</v>
      </c>
      <c r="G78" s="67">
        <f t="shared" si="8"/>
        <v>688.76132379382796</v>
      </c>
      <c r="H78" s="68">
        <f t="shared" si="9"/>
        <v>0.19678894965537941</v>
      </c>
      <c r="I78" s="56"/>
    </row>
    <row r="79" spans="1:9" x14ac:dyDescent="0.25">
      <c r="A79" s="65">
        <v>43068</v>
      </c>
      <c r="B79" s="66">
        <f t="shared" si="10"/>
        <v>77</v>
      </c>
      <c r="C79" s="67">
        <f t="shared" si="11"/>
        <v>182.02131826950037</v>
      </c>
      <c r="D79" s="67">
        <v>160</v>
      </c>
      <c r="E79" s="67">
        <f t="shared" si="6"/>
        <v>22.02131826950037</v>
      </c>
      <c r="F79" s="67">
        <f t="shared" si="7"/>
        <v>2366.2771375035049</v>
      </c>
      <c r="G79" s="67">
        <f t="shared" si="8"/>
        <v>682.66086635451143</v>
      </c>
      <c r="H79" s="68">
        <f t="shared" si="9"/>
        <v>0.19504596181557468</v>
      </c>
      <c r="I79" s="56"/>
    </row>
    <row r="80" spans="1:9" x14ac:dyDescent="0.25">
      <c r="A80" s="65">
        <v>43069</v>
      </c>
      <c r="B80" s="66">
        <f t="shared" si="10"/>
        <v>78</v>
      </c>
      <c r="C80" s="67">
        <f t="shared" si="11"/>
        <v>181.8262723076848</v>
      </c>
      <c r="D80" s="67">
        <v>160</v>
      </c>
      <c r="E80" s="67">
        <f t="shared" si="6"/>
        <v>21.826272307684803</v>
      </c>
      <c r="F80" s="67">
        <f t="shared" si="7"/>
        <v>2363.7415399999027</v>
      </c>
      <c r="G80" s="67">
        <f t="shared" si="8"/>
        <v>676.6144415382289</v>
      </c>
      <c r="H80" s="68">
        <f t="shared" si="9"/>
        <v>0.19331841186806539</v>
      </c>
      <c r="I80" s="56"/>
    </row>
    <row r="81" spans="1:9" x14ac:dyDescent="0.25">
      <c r="A81" s="65">
        <v>43070</v>
      </c>
      <c r="B81" s="66">
        <f t="shared" si="10"/>
        <v>79</v>
      </c>
      <c r="C81" s="67">
        <f t="shared" si="11"/>
        <v>181.63295389581674</v>
      </c>
      <c r="D81" s="67">
        <v>160</v>
      </c>
      <c r="E81" s="67">
        <f t="shared" si="6"/>
        <v>21.63295389581674</v>
      </c>
      <c r="F81" s="67">
        <f t="shared" si="7"/>
        <v>2361.2284006456175</v>
      </c>
      <c r="G81" s="67">
        <f t="shared" si="8"/>
        <v>670.62157077031895</v>
      </c>
      <c r="H81" s="68">
        <f t="shared" si="9"/>
        <v>0.19160616307723399</v>
      </c>
      <c r="I81" s="56"/>
    </row>
    <row r="82" spans="1:9" x14ac:dyDescent="0.25">
      <c r="A82" s="65">
        <v>43071</v>
      </c>
      <c r="B82" s="66">
        <f t="shared" si="10"/>
        <v>80</v>
      </c>
      <c r="C82" s="67">
        <f t="shared" si="11"/>
        <v>181.4413477327395</v>
      </c>
      <c r="D82" s="67">
        <v>160</v>
      </c>
      <c r="E82" s="67">
        <f t="shared" si="6"/>
        <v>21.441347732739501</v>
      </c>
      <c r="F82" s="67">
        <f t="shared" si="7"/>
        <v>2358.7375205256135</v>
      </c>
      <c r="G82" s="67">
        <f t="shared" si="8"/>
        <v>664.68177971492457</v>
      </c>
      <c r="H82" s="68">
        <f t="shared" si="9"/>
        <v>0.18990907991854988</v>
      </c>
      <c r="I82" s="56"/>
    </row>
    <row r="83" spans="1:9" x14ac:dyDescent="0.25">
      <c r="A83" s="65">
        <v>43072</v>
      </c>
      <c r="B83" s="66">
        <f t="shared" si="10"/>
        <v>81</v>
      </c>
      <c r="C83" s="67">
        <f t="shared" si="11"/>
        <v>181.25143865282095</v>
      </c>
      <c r="D83" s="67">
        <v>160</v>
      </c>
      <c r="E83" s="67">
        <f t="shared" si="6"/>
        <v>21.251438652820951</v>
      </c>
      <c r="F83" s="67">
        <f t="shared" si="7"/>
        <v>2356.2687024866723</v>
      </c>
      <c r="G83" s="67">
        <f t="shared" si="8"/>
        <v>658.79459823744946</v>
      </c>
      <c r="H83" s="68">
        <f t="shared" si="9"/>
        <v>0.18822702806784269</v>
      </c>
      <c r="I83" s="56"/>
    </row>
    <row r="84" spans="1:9" x14ac:dyDescent="0.25">
      <c r="A84" s="65">
        <v>43073</v>
      </c>
      <c r="B84" s="66">
        <f t="shared" si="10"/>
        <v>82</v>
      </c>
      <c r="C84" s="67">
        <f t="shared" si="11"/>
        <v>181.06321162475311</v>
      </c>
      <c r="D84" s="67">
        <v>160</v>
      </c>
      <c r="E84" s="67">
        <f t="shared" si="6"/>
        <v>21.063211624753109</v>
      </c>
      <c r="F84" s="67">
        <f t="shared" si="7"/>
        <v>2353.8217511217904</v>
      </c>
      <c r="G84" s="67">
        <f t="shared" si="8"/>
        <v>652.9595603673464</v>
      </c>
      <c r="H84" s="68">
        <f t="shared" si="9"/>
        <v>0.1865598743906704</v>
      </c>
      <c r="I84" s="56"/>
    </row>
    <row r="85" spans="1:9" x14ac:dyDescent="0.25">
      <c r="A85" s="65">
        <v>43074</v>
      </c>
      <c r="B85" s="66">
        <f t="shared" si="10"/>
        <v>83</v>
      </c>
      <c r="C85" s="67">
        <f t="shared" si="11"/>
        <v>180.87665175036244</v>
      </c>
      <c r="D85" s="67">
        <v>160</v>
      </c>
      <c r="E85" s="67">
        <f t="shared" si="6"/>
        <v>20.876651750362441</v>
      </c>
      <c r="F85" s="67">
        <f t="shared" si="7"/>
        <v>2351.3964727547118</v>
      </c>
      <c r="G85" s="67">
        <f t="shared" si="8"/>
        <v>647.17620426123563</v>
      </c>
      <c r="H85" s="68">
        <f t="shared" si="9"/>
        <v>0.18490748693178161</v>
      </c>
      <c r="I85" s="56"/>
    </row>
    <row r="86" spans="1:9" x14ac:dyDescent="0.25">
      <c r="A86" s="65">
        <v>43075</v>
      </c>
      <c r="B86" s="66">
        <f t="shared" si="10"/>
        <v>84</v>
      </c>
      <c r="C86" s="67">
        <f t="shared" si="11"/>
        <v>180.69174426343065</v>
      </c>
      <c r="D86" s="67">
        <v>160</v>
      </c>
      <c r="E86" s="75">
        <f t="shared" si="6"/>
        <v>20.69174426343065</v>
      </c>
      <c r="F86" s="67">
        <f t="shared" si="7"/>
        <v>2348.9926754245985</v>
      </c>
      <c r="G86" s="75">
        <f t="shared" si="8"/>
        <v>641.44407216635011</v>
      </c>
      <c r="H86" s="68">
        <f t="shared" si="9"/>
        <v>0.18326973490467147</v>
      </c>
      <c r="I86" s="56"/>
    </row>
    <row r="87" spans="1:9" x14ac:dyDescent="0.25">
      <c r="A87" s="65">
        <v>43076</v>
      </c>
      <c r="B87" s="66">
        <f t="shared" si="10"/>
        <v>85</v>
      </c>
      <c r="C87" s="67">
        <f t="shared" si="11"/>
        <v>180.50847452852597</v>
      </c>
      <c r="D87" s="67">
        <v>160</v>
      </c>
      <c r="E87" s="75">
        <f t="shared" si="6"/>
        <v>20.508474528525966</v>
      </c>
      <c r="F87" s="67">
        <f t="shared" si="7"/>
        <v>2346.6101688708377</v>
      </c>
      <c r="G87" s="75">
        <f t="shared" si="8"/>
        <v>635.76271038430491</v>
      </c>
      <c r="H87" s="68">
        <f t="shared" si="9"/>
        <v>0.18164648868122998</v>
      </c>
      <c r="I87" s="56"/>
    </row>
    <row r="88" spans="1:9" ht="13.35" customHeight="1" x14ac:dyDescent="0.25">
      <c r="A88" s="65">
        <v>43077</v>
      </c>
      <c r="B88" s="66">
        <f t="shared" si="10"/>
        <v>86</v>
      </c>
      <c r="C88" s="67">
        <f t="shared" si="11"/>
        <v>180.32682803984474</v>
      </c>
      <c r="D88" s="67">
        <v>160</v>
      </c>
      <c r="E88" s="75">
        <f t="shared" si="6"/>
        <v>20.326828039844742</v>
      </c>
      <c r="F88" s="67">
        <f t="shared" si="7"/>
        <v>2344.2487645179817</v>
      </c>
      <c r="G88" s="75">
        <f t="shared" si="8"/>
        <v>630.13166923518702</v>
      </c>
      <c r="H88" s="68">
        <f t="shared" si="9"/>
        <v>0.180037619781482</v>
      </c>
      <c r="I88" s="56"/>
    </row>
    <row r="89" spans="1:9" x14ac:dyDescent="0.25">
      <c r="A89" s="65">
        <v>43078</v>
      </c>
      <c r="B89" s="66">
        <f t="shared" si="10"/>
        <v>87</v>
      </c>
      <c r="C89" s="67">
        <f t="shared" si="11"/>
        <v>180.14679042006327</v>
      </c>
      <c r="D89" s="67">
        <v>160</v>
      </c>
      <c r="E89" s="75">
        <f t="shared" si="6"/>
        <v>20.146790420063269</v>
      </c>
      <c r="F89" s="67">
        <f t="shared" si="7"/>
        <v>2341.9082754608226</v>
      </c>
      <c r="G89" s="75">
        <f t="shared" si="8"/>
        <v>624.55050302196128</v>
      </c>
      <c r="H89" s="68">
        <f t="shared" si="9"/>
        <v>0.17844300086341749</v>
      </c>
      <c r="I89" s="56"/>
    </row>
    <row r="90" spans="1:9" x14ac:dyDescent="0.25">
      <c r="A90" s="65">
        <v>43079</v>
      </c>
      <c r="B90" s="66">
        <f t="shared" si="10"/>
        <v>88</v>
      </c>
      <c r="C90" s="67">
        <f t="shared" si="11"/>
        <v>179.96834741919986</v>
      </c>
      <c r="D90" s="67">
        <v>160</v>
      </c>
      <c r="E90" s="75">
        <f t="shared" si="6"/>
        <v>19.968347419199858</v>
      </c>
      <c r="F90" s="67">
        <f t="shared" si="7"/>
        <v>2339.588516449598</v>
      </c>
      <c r="G90" s="75">
        <f t="shared" si="8"/>
        <v>619.01876999519561</v>
      </c>
      <c r="H90" s="68">
        <f t="shared" si="9"/>
        <v>0.17686250571291304</v>
      </c>
      <c r="I90" s="56"/>
    </row>
    <row r="91" spans="1:9" x14ac:dyDescent="0.25">
      <c r="A91" s="65">
        <v>43080</v>
      </c>
      <c r="B91" s="66">
        <f t="shared" si="10"/>
        <v>89</v>
      </c>
      <c r="C91" s="67">
        <f t="shared" si="11"/>
        <v>179.79148491348695</v>
      </c>
      <c r="D91" s="67">
        <v>160</v>
      </c>
      <c r="E91" s="75">
        <f t="shared" si="6"/>
        <v>19.791484913486954</v>
      </c>
      <c r="F91" s="67">
        <f t="shared" si="7"/>
        <v>2337.2893038753305</v>
      </c>
      <c r="G91" s="75">
        <f t="shared" si="8"/>
        <v>613.53603231809552</v>
      </c>
      <c r="H91" s="68">
        <f t="shared" si="9"/>
        <v>0.17529600923374158</v>
      </c>
      <c r="I91" s="56"/>
    </row>
    <row r="92" spans="1:9" x14ac:dyDescent="0.25">
      <c r="A92" s="65">
        <v>43081</v>
      </c>
      <c r="B92" s="66">
        <f t="shared" si="10"/>
        <v>90</v>
      </c>
      <c r="C92" s="67">
        <f t="shared" si="11"/>
        <v>179.61618890425322</v>
      </c>
      <c r="D92" s="67">
        <v>160</v>
      </c>
      <c r="E92" s="75">
        <f t="shared" si="6"/>
        <v>19.616188904253221</v>
      </c>
      <c r="F92" s="67">
        <f t="shared" si="7"/>
        <v>2335.0104557552918</v>
      </c>
      <c r="G92" s="75">
        <f t="shared" si="8"/>
        <v>608.10185603184982</v>
      </c>
      <c r="H92" s="68">
        <f t="shared" si="9"/>
        <v>0.17374338743767137</v>
      </c>
      <c r="I92" s="56"/>
    </row>
    <row r="93" spans="1:9" x14ac:dyDescent="0.25">
      <c r="A93" s="65">
        <v>43082</v>
      </c>
      <c r="B93" s="66">
        <f t="shared" si="10"/>
        <v>91</v>
      </c>
      <c r="C93" s="67">
        <f t="shared" si="11"/>
        <v>179.44244551681555</v>
      </c>
      <c r="D93" s="67">
        <v>160</v>
      </c>
      <c r="E93" s="75">
        <f t="shared" si="6"/>
        <v>19.442445516815553</v>
      </c>
      <c r="F93" s="67">
        <f t="shared" si="7"/>
        <v>2332.7517917186024</v>
      </c>
      <c r="G93" s="75">
        <f t="shared" si="8"/>
        <v>602.71581102128221</v>
      </c>
      <c r="H93" s="68">
        <f t="shared" si="9"/>
        <v>0.17220451743465207</v>
      </c>
      <c r="I93" s="56"/>
    </row>
    <row r="94" spans="1:9" x14ac:dyDescent="0.25">
      <c r="A94" s="65">
        <v>43083</v>
      </c>
      <c r="B94" s="66">
        <f t="shared" si="10"/>
        <v>92</v>
      </c>
      <c r="C94" s="67">
        <f t="shared" si="11"/>
        <v>179.27024099938089</v>
      </c>
      <c r="D94" s="67">
        <v>160</v>
      </c>
      <c r="E94" s="75">
        <f t="shared" si="6"/>
        <v>19.270240999380889</v>
      </c>
      <c r="F94" s="67">
        <f t="shared" si="7"/>
        <v>2330.5131329919514</v>
      </c>
      <c r="G94" s="75">
        <f t="shared" si="8"/>
        <v>597.37747098080752</v>
      </c>
      <c r="H94" s="68">
        <f t="shared" si="9"/>
        <v>0.17067927742308786</v>
      </c>
      <c r="I94" s="56"/>
    </row>
    <row r="95" spans="1:9" x14ac:dyDescent="0.25">
      <c r="A95" s="65">
        <v>43084</v>
      </c>
      <c r="B95" s="66">
        <f t="shared" si="10"/>
        <v>93</v>
      </c>
      <c r="C95" s="67">
        <f t="shared" si="11"/>
        <v>179.0995617219578</v>
      </c>
      <c r="D95" s="67">
        <v>160</v>
      </c>
      <c r="E95" s="75">
        <f t="shared" si="6"/>
        <v>19.099561721957798</v>
      </c>
      <c r="F95" s="67">
        <f t="shared" si="7"/>
        <v>2328.2943023854514</v>
      </c>
      <c r="G95" s="75">
        <f t="shared" si="8"/>
        <v>592.08641338069174</v>
      </c>
      <c r="H95" s="68">
        <f t="shared" si="9"/>
        <v>0.16916754668019765</v>
      </c>
      <c r="I95" s="56"/>
    </row>
    <row r="96" spans="1:9" x14ac:dyDescent="0.25">
      <c r="A96" s="65">
        <v>43084</v>
      </c>
      <c r="B96" s="66">
        <f t="shared" si="10"/>
        <v>94</v>
      </c>
      <c r="C96" s="67">
        <f t="shared" si="11"/>
        <v>178.9303941752776</v>
      </c>
      <c r="D96" s="67">
        <v>160</v>
      </c>
      <c r="E96" s="75">
        <f t="shared" si="6"/>
        <v>18.930394175277598</v>
      </c>
      <c r="F96" s="67">
        <f t="shared" si="7"/>
        <v>2326.0951242786086</v>
      </c>
      <c r="G96" s="75">
        <f t="shared" si="8"/>
        <v>586.84221943360558</v>
      </c>
      <c r="H96" s="68">
        <f t="shared" si="9"/>
        <v>0.16766920555245873</v>
      </c>
      <c r="I96" s="56"/>
    </row>
    <row r="97" spans="1:9" x14ac:dyDescent="0.25">
      <c r="A97" s="65">
        <v>43084</v>
      </c>
      <c r="B97" s="66">
        <f t="shared" si="10"/>
        <v>95</v>
      </c>
      <c r="C97" s="67">
        <f t="shared" si="11"/>
        <v>178.76272496972513</v>
      </c>
      <c r="D97" s="67">
        <v>160</v>
      </c>
      <c r="E97" s="75">
        <f t="shared" si="6"/>
        <v>18.762724969725127</v>
      </c>
      <c r="F97" s="67">
        <f t="shared" si="7"/>
        <v>2323.9154246064268</v>
      </c>
      <c r="G97" s="75">
        <f t="shared" si="8"/>
        <v>581.64447406147895</v>
      </c>
      <c r="H97" s="68">
        <f t="shared" si="9"/>
        <v>0.16618413544613683</v>
      </c>
      <c r="I97" s="56"/>
    </row>
    <row r="98" spans="1:9" x14ac:dyDescent="0.25">
      <c r="A98" s="65">
        <v>43084</v>
      </c>
      <c r="B98" s="66">
        <f t="shared" si="10"/>
        <v>96</v>
      </c>
      <c r="C98" s="67">
        <f t="shared" si="11"/>
        <v>178.59654083427898</v>
      </c>
      <c r="D98" s="67">
        <v>160</v>
      </c>
      <c r="E98" s="75">
        <f t="shared" si="6"/>
        <v>18.596540834278983</v>
      </c>
      <c r="F98" s="67">
        <f t="shared" si="7"/>
        <v>2321.7550308456266</v>
      </c>
      <c r="G98" s="75">
        <f t="shared" si="8"/>
        <v>576.49276586264841</v>
      </c>
      <c r="H98" s="68">
        <f t="shared" si="9"/>
        <v>0.16471221881789955</v>
      </c>
      <c r="I98" s="56"/>
    </row>
    <row r="99" spans="1:9" x14ac:dyDescent="0.25">
      <c r="A99" s="65">
        <v>43084</v>
      </c>
      <c r="B99" s="66">
        <f t="shared" si="10"/>
        <v>97</v>
      </c>
      <c r="C99" s="67">
        <f t="shared" si="11"/>
        <v>178.43182861546109</v>
      </c>
      <c r="D99" s="67">
        <v>160</v>
      </c>
      <c r="E99" s="75">
        <f t="shared" si="6"/>
        <v>18.431828615461086</v>
      </c>
      <c r="F99" s="67">
        <f t="shared" si="7"/>
        <v>2319.6137720009942</v>
      </c>
      <c r="G99" s="75">
        <f t="shared" si="8"/>
        <v>571.38668707929367</v>
      </c>
      <c r="H99" s="68">
        <f t="shared" si="9"/>
        <v>0.16325333916551246</v>
      </c>
      <c r="I99" s="56"/>
    </row>
    <row r="100" spans="1:9" x14ac:dyDescent="0.25">
      <c r="A100" s="65">
        <v>43084</v>
      </c>
      <c r="B100" s="66">
        <f t="shared" si="10"/>
        <v>98</v>
      </c>
      <c r="C100" s="67">
        <f t="shared" si="11"/>
        <v>178.26857527629556</v>
      </c>
      <c r="D100" s="67">
        <v>160</v>
      </c>
      <c r="E100" s="75">
        <f t="shared" si="6"/>
        <v>18.268575276295564</v>
      </c>
      <c r="F100" s="67">
        <f t="shared" si="7"/>
        <v>2317.4914785918422</v>
      </c>
      <c r="G100" s="75">
        <f t="shared" si="8"/>
        <v>566.3258335651625</v>
      </c>
      <c r="H100" s="68">
        <f t="shared" si="9"/>
        <v>0.16180738101861786</v>
      </c>
      <c r="I100" s="56"/>
    </row>
    <row r="101" spans="1:9" x14ac:dyDescent="0.25">
      <c r="A101" s="65">
        <v>43084</v>
      </c>
      <c r="B101" s="66">
        <f t="shared" si="10"/>
        <v>99</v>
      </c>
      <c r="C101" s="67">
        <f t="shared" si="11"/>
        <v>178.10676789527696</v>
      </c>
      <c r="D101" s="67">
        <v>160</v>
      </c>
      <c r="E101" s="75">
        <f t="shared" si="6"/>
        <v>18.10676789527696</v>
      </c>
      <c r="F101" s="67">
        <f t="shared" si="7"/>
        <v>2315.3879826386005</v>
      </c>
      <c r="G101" s="75">
        <f t="shared" si="8"/>
        <v>561.30980475358569</v>
      </c>
      <c r="H101" s="68">
        <f t="shared" si="9"/>
        <v>0.16037422992959591</v>
      </c>
      <c r="I101" s="56"/>
    </row>
    <row r="102" spans="1:9" x14ac:dyDescent="0.25">
      <c r="A102" s="65">
        <v>43084</v>
      </c>
      <c r="B102" s="66">
        <f t="shared" si="10"/>
        <v>100</v>
      </c>
      <c r="C102" s="67">
        <f t="shared" si="11"/>
        <v>177.94639366534736</v>
      </c>
      <c r="D102" s="67">
        <v>160</v>
      </c>
      <c r="E102" s="75">
        <f t="shared" si="6"/>
        <v>17.946393665347358</v>
      </c>
      <c r="F102" s="67">
        <f t="shared" si="7"/>
        <v>2313.3031176495156</v>
      </c>
      <c r="G102" s="75">
        <f t="shared" si="8"/>
        <v>556.33820362576807</v>
      </c>
      <c r="H102" s="68">
        <f t="shared" si="9"/>
        <v>0.15895377246450518</v>
      </c>
      <c r="I102" s="56"/>
    </row>
    <row r="103" spans="1:9" x14ac:dyDescent="0.25">
      <c r="A103" s="65">
        <v>43084</v>
      </c>
      <c r="B103" s="66">
        <f t="shared" si="10"/>
        <v>101</v>
      </c>
      <c r="C103" s="67">
        <f t="shared" si="11"/>
        <v>177.78743989288284</v>
      </c>
      <c r="D103" s="67">
        <v>160</v>
      </c>
      <c r="E103" s="75">
        <f t="shared" si="6"/>
        <v>17.787439892882844</v>
      </c>
      <c r="F103" s="67">
        <f t="shared" si="7"/>
        <v>2311.2367186074771</v>
      </c>
      <c r="G103" s="75">
        <f t="shared" si="8"/>
        <v>551.41063667936817</v>
      </c>
      <c r="H103" s="68">
        <f t="shared" si="9"/>
        <v>0.15754589619410519</v>
      </c>
      <c r="I103" s="56"/>
    </row>
    <row r="104" spans="1:9" x14ac:dyDescent="0.25">
      <c r="A104" s="65">
        <v>43084</v>
      </c>
      <c r="B104" s="66">
        <f t="shared" si="10"/>
        <v>102</v>
      </c>
      <c r="C104" s="67">
        <f t="shared" si="11"/>
        <v>177.62989399668874</v>
      </c>
      <c r="D104" s="67">
        <v>160</v>
      </c>
      <c r="E104" s="75">
        <f t="shared" si="6"/>
        <v>17.629893996688736</v>
      </c>
      <c r="F104" s="67">
        <f t="shared" si="7"/>
        <v>2309.1886219569537</v>
      </c>
      <c r="G104" s="75">
        <f t="shared" si="8"/>
        <v>546.52671389735087</v>
      </c>
      <c r="H104" s="68">
        <f t="shared" si="9"/>
        <v>0.1561504896849574</v>
      </c>
      <c r="I104" s="56"/>
    </row>
    <row r="105" spans="1:9" x14ac:dyDescent="0.25">
      <c r="A105" s="65">
        <v>43084</v>
      </c>
      <c r="B105" s="66">
        <f t="shared" si="10"/>
        <v>103</v>
      </c>
      <c r="C105" s="67">
        <f t="shared" si="11"/>
        <v>177.47374350700377</v>
      </c>
      <c r="D105" s="67">
        <v>160</v>
      </c>
      <c r="E105" s="75">
        <f t="shared" si="6"/>
        <v>17.473743507003775</v>
      </c>
      <c r="F105" s="67">
        <f t="shared" si="7"/>
        <v>2307.1586655910492</v>
      </c>
      <c r="G105" s="75">
        <f t="shared" si="8"/>
        <v>541.68604871711705</v>
      </c>
      <c r="H105" s="68">
        <f t="shared" si="9"/>
        <v>0.15476744249060487</v>
      </c>
      <c r="I105" s="56"/>
    </row>
    <row r="106" spans="1:9" x14ac:dyDescent="0.25">
      <c r="A106" s="65">
        <v>43084</v>
      </c>
      <c r="B106" s="66">
        <f t="shared" si="10"/>
        <v>104</v>
      </c>
      <c r="C106" s="67">
        <f t="shared" si="11"/>
        <v>177.31897606451318</v>
      </c>
      <c r="D106" s="67">
        <v>160</v>
      </c>
      <c r="E106" s="75">
        <f t="shared" si="6"/>
        <v>17.31897606451318</v>
      </c>
      <c r="F106" s="67">
        <f t="shared" si="7"/>
        <v>2305.1466888386713</v>
      </c>
      <c r="G106" s="75">
        <f t="shared" si="8"/>
        <v>536.88825799990855</v>
      </c>
      <c r="H106" s="68">
        <f t="shared" si="9"/>
        <v>0.15339664514283102</v>
      </c>
      <c r="I106" s="56"/>
    </row>
    <row r="107" spans="1:9" x14ac:dyDescent="0.25">
      <c r="A107" s="65">
        <v>43084</v>
      </c>
      <c r="B107" s="66">
        <f t="shared" si="10"/>
        <v>105</v>
      </c>
      <c r="C107" s="67">
        <f t="shared" si="11"/>
        <v>177.16557941937035</v>
      </c>
      <c r="D107" s="67">
        <v>160</v>
      </c>
      <c r="E107" s="75">
        <f t="shared" si="6"/>
        <v>17.165579419370346</v>
      </c>
      <c r="F107" s="67">
        <f t="shared" si="7"/>
        <v>2303.1525324518143</v>
      </c>
      <c r="G107" s="75">
        <f t="shared" si="8"/>
        <v>532.13296200048069</v>
      </c>
      <c r="H107" s="68">
        <f t="shared" si="9"/>
        <v>0.15203798914299449</v>
      </c>
      <c r="I107" s="56"/>
    </row>
    <row r="108" spans="1:9" x14ac:dyDescent="0.25">
      <c r="A108" s="65">
        <v>43084</v>
      </c>
      <c r="B108" s="66">
        <f t="shared" si="10"/>
        <v>106</v>
      </c>
      <c r="C108" s="67">
        <f t="shared" si="11"/>
        <v>177.01354143022735</v>
      </c>
      <c r="D108" s="67">
        <v>160</v>
      </c>
      <c r="E108" s="75">
        <f t="shared" si="6"/>
        <v>17.013541430227349</v>
      </c>
      <c r="F108" s="67">
        <f t="shared" si="7"/>
        <v>2301.1760385929556</v>
      </c>
      <c r="G108" s="75">
        <f t="shared" si="8"/>
        <v>527.41978433704776</v>
      </c>
      <c r="H108" s="68">
        <f t="shared" si="9"/>
        <v>0.15069136695344221</v>
      </c>
      <c r="I108" s="56"/>
    </row>
    <row r="109" spans="1:9" x14ac:dyDescent="0.25">
      <c r="A109" s="65">
        <v>43084</v>
      </c>
      <c r="B109" s="66">
        <f t="shared" si="10"/>
        <v>107</v>
      </c>
      <c r="C109" s="67">
        <f t="shared" si="11"/>
        <v>176.8628500632739</v>
      </c>
      <c r="D109" s="67">
        <v>160</v>
      </c>
      <c r="E109" s="75">
        <f t="shared" si="6"/>
        <v>16.862850063273896</v>
      </c>
      <c r="F109" s="67">
        <f t="shared" si="7"/>
        <v>2299.2170508225609</v>
      </c>
      <c r="G109" s="75">
        <f t="shared" si="8"/>
        <v>522.74835196149081</v>
      </c>
      <c r="H109" s="68">
        <f t="shared" si="9"/>
        <v>0.14935667198899738</v>
      </c>
      <c r="I109" s="56"/>
    </row>
    <row r="110" spans="1:9" x14ac:dyDescent="0.25">
      <c r="A110" s="65">
        <v>43084</v>
      </c>
      <c r="B110" s="66">
        <f t="shared" si="10"/>
        <v>108</v>
      </c>
      <c r="C110" s="67">
        <f t="shared" si="11"/>
        <v>176.71349339128489</v>
      </c>
      <c r="D110" s="67">
        <v>160</v>
      </c>
      <c r="E110" s="75">
        <f t="shared" si="6"/>
        <v>16.713493391284885</v>
      </c>
      <c r="F110" s="67">
        <f t="shared" si="7"/>
        <v>2297.2754140867037</v>
      </c>
      <c r="G110" s="75">
        <f t="shared" si="8"/>
        <v>518.11829512983149</v>
      </c>
      <c r="H110" s="68">
        <f t="shared" si="9"/>
        <v>0.14803379860852328</v>
      </c>
      <c r="I110" s="56"/>
    </row>
    <row r="111" spans="1:9" x14ac:dyDescent="0.25">
      <c r="A111" s="65">
        <v>43084</v>
      </c>
      <c r="B111" s="66">
        <f t="shared" si="10"/>
        <v>109</v>
      </c>
      <c r="C111" s="67">
        <f t="shared" si="11"/>
        <v>176.56545959267635</v>
      </c>
      <c r="D111" s="67">
        <v>160</v>
      </c>
      <c r="E111" s="75">
        <f t="shared" si="6"/>
        <v>16.565459592676348</v>
      </c>
      <c r="F111" s="67">
        <f t="shared" si="7"/>
        <v>2295.3509747047924</v>
      </c>
      <c r="G111" s="75">
        <f t="shared" si="8"/>
        <v>513.52924737296678</v>
      </c>
      <c r="H111" s="68">
        <f t="shared" si="9"/>
        <v>0.14672264210656194</v>
      </c>
      <c r="I111" s="56"/>
    </row>
    <row r="112" spans="1:9" x14ac:dyDescent="0.25">
      <c r="A112" s="65">
        <v>43084</v>
      </c>
      <c r="B112" s="66">
        <f t="shared" si="10"/>
        <v>110</v>
      </c>
      <c r="C112" s="67">
        <f t="shared" si="11"/>
        <v>176.41873695056978</v>
      </c>
      <c r="D112" s="67">
        <v>160</v>
      </c>
      <c r="E112" s="75">
        <f t="shared" si="6"/>
        <v>16.41873695056978</v>
      </c>
      <c r="F112" s="67">
        <f t="shared" si="7"/>
        <v>2293.443580357407</v>
      </c>
      <c r="G112" s="75">
        <f t="shared" si="8"/>
        <v>508.98084546766319</v>
      </c>
      <c r="H112" s="68">
        <f t="shared" si="9"/>
        <v>0.14542309870504663</v>
      </c>
      <c r="I112" s="56"/>
    </row>
    <row r="113" spans="1:9" x14ac:dyDescent="0.25">
      <c r="A113" s="65">
        <v>43084</v>
      </c>
      <c r="B113" s="66">
        <f t="shared" si="10"/>
        <v>111</v>
      </c>
      <c r="C113" s="67">
        <f t="shared" si="11"/>
        <v>176.27331385186474</v>
      </c>
      <c r="D113" s="67">
        <v>160</v>
      </c>
      <c r="E113" s="75">
        <f t="shared" si="6"/>
        <v>16.273313851864742</v>
      </c>
      <c r="F113" s="67">
        <f t="shared" si="7"/>
        <v>2291.5530800742417</v>
      </c>
      <c r="G113" s="75">
        <f t="shared" si="8"/>
        <v>504.47272940780704</v>
      </c>
      <c r="H113" s="68">
        <f t="shared" si="9"/>
        <v>0.14413506554508773</v>
      </c>
      <c r="I113" s="56"/>
    </row>
    <row r="114" spans="1:9" x14ac:dyDescent="0.25">
      <c r="A114" s="65">
        <v>43084</v>
      </c>
      <c r="B114" s="66">
        <f t="shared" si="10"/>
        <v>112</v>
      </c>
      <c r="C114" s="67">
        <f t="shared" si="11"/>
        <v>176.12917878631964</v>
      </c>
      <c r="D114" s="67">
        <v>160</v>
      </c>
      <c r="E114" s="75">
        <f t="shared" si="6"/>
        <v>16.129178786319642</v>
      </c>
      <c r="F114" s="67">
        <f t="shared" si="7"/>
        <v>2289.6793242221552</v>
      </c>
      <c r="G114" s="75">
        <f t="shared" si="8"/>
        <v>500.0045423759089</v>
      </c>
      <c r="H114" s="68">
        <f t="shared" si="9"/>
        <v>0.14285844067883111</v>
      </c>
      <c r="I114" s="56"/>
    </row>
    <row r="115" spans="1:9" x14ac:dyDescent="0.25">
      <c r="A115" s="65">
        <v>43084</v>
      </c>
      <c r="B115" s="66">
        <f t="shared" si="10"/>
        <v>113</v>
      </c>
      <c r="C115" s="67">
        <f t="shared" si="11"/>
        <v>175.98632034564082</v>
      </c>
      <c r="D115" s="67">
        <v>160</v>
      </c>
      <c r="E115" s="75">
        <f t="shared" si="6"/>
        <v>15.98632034564082</v>
      </c>
      <c r="F115" s="67">
        <f t="shared" si="7"/>
        <v>2287.8221644933305</v>
      </c>
      <c r="G115" s="75">
        <f t="shared" si="8"/>
        <v>495.57593071486542</v>
      </c>
      <c r="H115" s="68">
        <f t="shared" si="9"/>
        <v>0.14159312306139013</v>
      </c>
      <c r="I115" s="56"/>
    </row>
    <row r="116" spans="1:9" x14ac:dyDescent="0.25">
      <c r="A116" s="65">
        <v>43084</v>
      </c>
      <c r="B116" s="66">
        <f t="shared" si="10"/>
        <v>114</v>
      </c>
      <c r="C116" s="67">
        <f t="shared" si="11"/>
        <v>175.84472722257942</v>
      </c>
      <c r="D116" s="67">
        <v>160</v>
      </c>
      <c r="E116" s="75">
        <f t="shared" si="6"/>
        <v>15.844727222579422</v>
      </c>
      <c r="F116" s="67">
        <f t="shared" si="7"/>
        <v>2285.9814538935325</v>
      </c>
      <c r="G116" s="75">
        <f t="shared" si="8"/>
        <v>491.18654389996209</v>
      </c>
      <c r="H116" s="68">
        <f t="shared" si="9"/>
        <v>0.14033901254284631</v>
      </c>
      <c r="I116" s="56"/>
    </row>
    <row r="117" spans="1:9" x14ac:dyDescent="0.25">
      <c r="A117" s="65">
        <v>43084</v>
      </c>
      <c r="B117" s="66">
        <f t="shared" si="10"/>
        <v>115</v>
      </c>
      <c r="C117" s="67">
        <f t="shared" si="11"/>
        <v>175.70438821003657</v>
      </c>
      <c r="D117" s="67">
        <v>160</v>
      </c>
      <c r="E117" s="75">
        <f t="shared" si="6"/>
        <v>15.704388210036569</v>
      </c>
      <c r="F117" s="67">
        <f t="shared" si="7"/>
        <v>2284.1570467304755</v>
      </c>
      <c r="G117" s="75">
        <f t="shared" si="8"/>
        <v>486.83603451113368</v>
      </c>
      <c r="H117" s="68">
        <f t="shared" si="9"/>
        <v>0.13909600986032392</v>
      </c>
      <c r="I117" s="56"/>
    </row>
    <row r="118" spans="1:9" x14ac:dyDescent="0.25">
      <c r="A118" s="65">
        <v>43084</v>
      </c>
      <c r="B118" s="66">
        <f t="shared" si="10"/>
        <v>116</v>
      </c>
      <c r="C118" s="67">
        <f t="shared" si="11"/>
        <v>175.56529220017626</v>
      </c>
      <c r="D118" s="67">
        <v>160</v>
      </c>
      <c r="E118" s="75">
        <f t="shared" si="6"/>
        <v>15.565292200176259</v>
      </c>
      <c r="F118" s="67">
        <f t="shared" si="7"/>
        <v>2282.3487986022915</v>
      </c>
      <c r="G118" s="75">
        <f t="shared" si="8"/>
        <v>482.52405820546403</v>
      </c>
      <c r="H118" s="68">
        <f t="shared" si="9"/>
        <v>0.13786401663013259</v>
      </c>
      <c r="I118" s="56"/>
    </row>
    <row r="119" spans="1:9" x14ac:dyDescent="0.25">
      <c r="A119" s="65">
        <v>43084</v>
      </c>
      <c r="B119" s="66">
        <f t="shared" si="10"/>
        <v>117</v>
      </c>
      <c r="C119" s="67">
        <f t="shared" si="11"/>
        <v>175.42742818354611</v>
      </c>
      <c r="D119" s="67">
        <v>160</v>
      </c>
      <c r="E119" s="75">
        <f t="shared" si="6"/>
        <v>15.427428183546112</v>
      </c>
      <c r="F119" s="67">
        <f t="shared" si="7"/>
        <v>2280.5565663860993</v>
      </c>
      <c r="G119" s="75">
        <f t="shared" si="8"/>
        <v>478.25027368992949</v>
      </c>
      <c r="H119" s="68">
        <f t="shared" si="9"/>
        <v>0.13664293533997984</v>
      </c>
      <c r="I119" s="56"/>
    </row>
    <row r="120" spans="1:9" x14ac:dyDescent="0.25">
      <c r="A120" s="65">
        <v>43084</v>
      </c>
      <c r="B120" s="66">
        <f t="shared" si="10"/>
        <v>118</v>
      </c>
      <c r="C120" s="67">
        <f t="shared" si="11"/>
        <v>175.29078524820613</v>
      </c>
      <c r="D120" s="67">
        <v>160</v>
      </c>
      <c r="E120" s="75">
        <f t="shared" si="6"/>
        <v>15.290785248206134</v>
      </c>
      <c r="F120" s="67">
        <f t="shared" si="7"/>
        <v>2278.7802082266799</v>
      </c>
      <c r="G120" s="75">
        <f t="shared" si="8"/>
        <v>474.01434269439017</v>
      </c>
      <c r="H120" s="68">
        <f t="shared" si="9"/>
        <v>0.13543266934125434</v>
      </c>
      <c r="I120" s="56"/>
    </row>
    <row r="121" spans="1:9" x14ac:dyDescent="0.25">
      <c r="A121" s="65">
        <v>43084</v>
      </c>
      <c r="B121" s="66">
        <f t="shared" si="10"/>
        <v>119</v>
      </c>
      <c r="C121" s="67">
        <f t="shared" si="11"/>
        <v>175.15535257886489</v>
      </c>
      <c r="D121" s="67">
        <v>160</v>
      </c>
      <c r="E121" s="75">
        <f t="shared" si="6"/>
        <v>15.155352578864893</v>
      </c>
      <c r="F121" s="67">
        <f t="shared" si="7"/>
        <v>2277.0195835252434</v>
      </c>
      <c r="G121" s="75">
        <f t="shared" si="8"/>
        <v>469.81592994481167</v>
      </c>
      <c r="H121" s="68">
        <f t="shared" si="9"/>
        <v>0.13423312284137476</v>
      </c>
      <c r="I121" s="56"/>
    </row>
    <row r="122" spans="1:9" x14ac:dyDescent="0.25">
      <c r="A122" s="65">
        <v>43084</v>
      </c>
      <c r="B122" s="66">
        <f t="shared" si="10"/>
        <v>120</v>
      </c>
      <c r="C122" s="67">
        <f t="shared" si="11"/>
        <v>175.02111945602351</v>
      </c>
      <c r="D122" s="67">
        <v>160</v>
      </c>
      <c r="E122" s="75">
        <f t="shared" si="6"/>
        <v>15.021119456023513</v>
      </c>
      <c r="F122" s="67">
        <f t="shared" si="7"/>
        <v>2275.2745529283056</v>
      </c>
      <c r="G122" s="75">
        <f t="shared" si="8"/>
        <v>465.65470313672893</v>
      </c>
      <c r="H122" s="68">
        <f t="shared" si="9"/>
        <v>0.13304420089620828</v>
      </c>
      <c r="I122" s="56"/>
    </row>
    <row r="123" spans="1:9" x14ac:dyDescent="0.25">
      <c r="A123" s="65">
        <v>43084</v>
      </c>
      <c r="B123" s="66">
        <f t="shared" si="10"/>
        <v>121</v>
      </c>
      <c r="C123" s="67">
        <f t="shared" si="11"/>
        <v>174.88807525512729</v>
      </c>
      <c r="D123" s="67">
        <v>160</v>
      </c>
      <c r="E123" s="75">
        <f t="shared" si="6"/>
        <v>14.888075255127291</v>
      </c>
      <c r="F123" s="67">
        <f t="shared" si="7"/>
        <v>2273.5449783166546</v>
      </c>
      <c r="G123" s="75">
        <f t="shared" si="8"/>
        <v>461.53033290894598</v>
      </c>
      <c r="H123" s="68">
        <f t="shared" si="9"/>
        <v>0.13186580940255599</v>
      </c>
      <c r="I123" s="56"/>
    </row>
    <row r="124" spans="1:9" x14ac:dyDescent="0.25">
      <c r="A124" s="65">
        <v>43084</v>
      </c>
      <c r="B124" s="66">
        <f t="shared" si="10"/>
        <v>122</v>
      </c>
      <c r="C124" s="67">
        <f t="shared" si="11"/>
        <v>174.75620944572472</v>
      </c>
      <c r="D124" s="67">
        <v>160</v>
      </c>
      <c r="E124" s="75">
        <f t="shared" si="6"/>
        <v>14.756209445724721</v>
      </c>
      <c r="F124" s="67">
        <f t="shared" si="7"/>
        <v>2271.8307227944215</v>
      </c>
      <c r="G124" s="75">
        <f t="shared" si="8"/>
        <v>457.44249281746636</v>
      </c>
      <c r="H124" s="68">
        <f t="shared" si="9"/>
        <v>0.13069785509070467</v>
      </c>
      <c r="I124" s="56"/>
    </row>
    <row r="125" spans="1:9" x14ac:dyDescent="0.25">
      <c r="A125" s="65">
        <v>43084</v>
      </c>
      <c r="B125" s="66">
        <f t="shared" si="10"/>
        <v>123</v>
      </c>
      <c r="C125" s="67">
        <f t="shared" si="11"/>
        <v>174.62551159063401</v>
      </c>
      <c r="D125" s="67">
        <v>160</v>
      </c>
      <c r="E125" s="75">
        <f t="shared" si="6"/>
        <v>14.625511590634005</v>
      </c>
      <c r="F125" s="67">
        <f t="shared" si="7"/>
        <v>2270.1316506782423</v>
      </c>
      <c r="G125" s="75">
        <f t="shared" si="8"/>
        <v>453.39085930965416</v>
      </c>
      <c r="H125" s="68">
        <f t="shared" si="9"/>
        <v>0.12954024551704404</v>
      </c>
      <c r="I125" s="56"/>
    </row>
    <row r="126" spans="1:9" x14ac:dyDescent="0.25">
      <c r="A126" s="65">
        <v>43084</v>
      </c>
      <c r="B126" s="66">
        <f t="shared" si="10"/>
        <v>124</v>
      </c>
      <c r="C126" s="67">
        <f t="shared" si="11"/>
        <v>174.49597134511697</v>
      </c>
      <c r="D126" s="67">
        <v>160</v>
      </c>
      <c r="E126" s="75">
        <f t="shared" si="6"/>
        <v>14.49597134511697</v>
      </c>
      <c r="F126" s="67">
        <f t="shared" si="7"/>
        <v>2268.4476274865206</v>
      </c>
      <c r="G126" s="75">
        <f t="shared" si="8"/>
        <v>449.37511169862609</v>
      </c>
      <c r="H126" s="68">
        <f t="shared" si="9"/>
        <v>0.12839288905675031</v>
      </c>
      <c r="I126" s="56"/>
    </row>
    <row r="127" spans="1:9" x14ac:dyDescent="0.25">
      <c r="A127" s="65">
        <v>43084</v>
      </c>
      <c r="B127" s="66">
        <f t="shared" si="10"/>
        <v>125</v>
      </c>
      <c r="C127" s="67">
        <f t="shared" si="11"/>
        <v>174.36757845606022</v>
      </c>
      <c r="D127" s="67">
        <v>160</v>
      </c>
      <c r="E127" s="75">
        <f t="shared" si="6"/>
        <v>14.367578456060215</v>
      </c>
      <c r="F127" s="67">
        <f t="shared" si="7"/>
        <v>2266.7785199287828</v>
      </c>
      <c r="G127" s="75">
        <f t="shared" si="8"/>
        <v>445.3949321378667</v>
      </c>
      <c r="H127" s="68">
        <f t="shared" si="9"/>
        <v>0.12725569489653335</v>
      </c>
      <c r="I127" s="56"/>
    </row>
    <row r="128" spans="1:9" x14ac:dyDescent="0.25">
      <c r="A128" s="65">
        <v>43084</v>
      </c>
      <c r="B128" s="66">
        <f t="shared" si="10"/>
        <v>126</v>
      </c>
      <c r="C128" s="67">
        <f t="shared" si="11"/>
        <v>174.24032276116367</v>
      </c>
      <c r="D128" s="67">
        <v>160</v>
      </c>
      <c r="E128" s="75">
        <f t="shared" si="6"/>
        <v>14.240322761163668</v>
      </c>
      <c r="F128" s="67">
        <f t="shared" si="7"/>
        <v>2265.1241958951277</v>
      </c>
      <c r="G128" s="75">
        <f t="shared" si="8"/>
        <v>441.45000559607371</v>
      </c>
      <c r="H128" s="68">
        <f t="shared" si="9"/>
        <v>0.12612857302744962</v>
      </c>
      <c r="I128" s="56"/>
    </row>
    <row r="129" spans="1:9" x14ac:dyDescent="0.25">
      <c r="A129" s="65">
        <v>43084</v>
      </c>
      <c r="B129" s="66">
        <f t="shared" si="10"/>
        <v>127</v>
      </c>
      <c r="C129" s="67">
        <f t="shared" si="11"/>
        <v>174.11419418813622</v>
      </c>
      <c r="D129" s="67">
        <v>160</v>
      </c>
      <c r="E129" s="75">
        <f t="shared" si="6"/>
        <v>14.114194188136224</v>
      </c>
      <c r="F129" s="67">
        <f t="shared" si="7"/>
        <v>2263.4845244457711</v>
      </c>
      <c r="G129" s="75">
        <f t="shared" si="8"/>
        <v>437.54001983222292</v>
      </c>
      <c r="H129" s="68">
        <f t="shared" si="9"/>
        <v>0.12501143423777797</v>
      </c>
      <c r="I129" s="56"/>
    </row>
    <row r="130" spans="1:9" x14ac:dyDescent="0.25">
      <c r="A130" s="65">
        <v>43084</v>
      </c>
      <c r="B130" s="66">
        <f t="shared" si="10"/>
        <v>128</v>
      </c>
      <c r="C130" s="67">
        <f t="shared" si="11"/>
        <v>173.98918275389843</v>
      </c>
      <c r="D130" s="67">
        <v>160</v>
      </c>
      <c r="E130" s="75">
        <f t="shared" si="6"/>
        <v>13.989182753898433</v>
      </c>
      <c r="F130" s="67">
        <f t="shared" si="7"/>
        <v>2261.8593758006796</v>
      </c>
      <c r="G130" s="75">
        <f t="shared" si="8"/>
        <v>433.66466537085142</v>
      </c>
      <c r="H130" s="68">
        <f t="shared" si="9"/>
        <v>0.12390419010595755</v>
      </c>
      <c r="I130" s="56"/>
    </row>
    <row r="131" spans="1:9" x14ac:dyDescent="0.25">
      <c r="A131" s="65">
        <v>43084</v>
      </c>
      <c r="B131" s="66">
        <f t="shared" si="10"/>
        <v>129</v>
      </c>
      <c r="C131" s="67">
        <f t="shared" si="11"/>
        <v>173.86527856379249</v>
      </c>
      <c r="D131" s="67">
        <v>160</v>
      </c>
      <c r="E131" s="75">
        <f t="shared" ref="E131:E194" si="12">C131-D131</f>
        <v>13.865278563792486</v>
      </c>
      <c r="F131" s="67">
        <f t="shared" ref="F131:F194" si="13">13*C131</f>
        <v>2260.2486213293023</v>
      </c>
      <c r="G131" s="75">
        <f t="shared" ref="G131:G194" si="14">E131*31</f>
        <v>429.82363547756711</v>
      </c>
      <c r="H131" s="68">
        <f t="shared" ref="H131:H194" si="15">MIN($G131/3500,$F131/3500)</f>
        <v>0.1228067529935906</v>
      </c>
      <c r="I131" s="56"/>
    </row>
    <row r="132" spans="1:9" x14ac:dyDescent="0.25">
      <c r="A132" s="65">
        <v>43084</v>
      </c>
      <c r="B132" s="66">
        <f t="shared" ref="B132:B195" si="16">B131+1</f>
        <v>130</v>
      </c>
      <c r="C132" s="67">
        <f t="shared" ref="C132:C195" si="17">C131-H131</f>
        <v>173.74247181079889</v>
      </c>
      <c r="D132" s="67">
        <v>160</v>
      </c>
      <c r="E132" s="75">
        <f t="shared" si="12"/>
        <v>13.742471810798889</v>
      </c>
      <c r="F132" s="67">
        <f t="shared" si="13"/>
        <v>2258.6521335403854</v>
      </c>
      <c r="G132" s="75">
        <f t="shared" si="14"/>
        <v>426.0166261347656</v>
      </c>
      <c r="H132" s="68">
        <f t="shared" si="15"/>
        <v>0.12171903603850445</v>
      </c>
      <c r="I132" s="56"/>
    </row>
    <row r="133" spans="1:9" x14ac:dyDescent="0.25">
      <c r="A133" s="65">
        <v>43084</v>
      </c>
      <c r="B133" s="66">
        <f t="shared" si="16"/>
        <v>131</v>
      </c>
      <c r="C133" s="67">
        <f t="shared" si="17"/>
        <v>173.62075277476038</v>
      </c>
      <c r="D133" s="67">
        <v>160</v>
      </c>
      <c r="E133" s="75">
        <f t="shared" si="12"/>
        <v>13.620752774760376</v>
      </c>
      <c r="F133" s="67">
        <f t="shared" si="13"/>
        <v>2257.0697860718847</v>
      </c>
      <c r="G133" s="75">
        <f t="shared" si="14"/>
        <v>422.24333601757166</v>
      </c>
      <c r="H133" s="68">
        <f t="shared" si="15"/>
        <v>0.12064095314787762</v>
      </c>
      <c r="I133" s="56"/>
    </row>
    <row r="134" spans="1:9" x14ac:dyDescent="0.25">
      <c r="A134" s="65">
        <v>43084</v>
      </c>
      <c r="B134" s="66">
        <f t="shared" si="16"/>
        <v>132</v>
      </c>
      <c r="C134" s="67">
        <f t="shared" si="17"/>
        <v>173.50011182161251</v>
      </c>
      <c r="D134" s="67">
        <v>160</v>
      </c>
      <c r="E134" s="75">
        <f t="shared" si="12"/>
        <v>13.500111821612506</v>
      </c>
      <c r="F134" s="67">
        <f t="shared" si="13"/>
        <v>2255.5014536809626</v>
      </c>
      <c r="G134" s="75">
        <f t="shared" si="14"/>
        <v>418.5034664699877</v>
      </c>
      <c r="H134" s="68">
        <f t="shared" si="15"/>
        <v>0.11957241899142505</v>
      </c>
      <c r="I134" s="56"/>
    </row>
    <row r="135" spans="1:9" x14ac:dyDescent="0.25">
      <c r="A135" s="65">
        <v>43084</v>
      </c>
      <c r="B135" s="66">
        <f t="shared" si="16"/>
        <v>133</v>
      </c>
      <c r="C135" s="67">
        <f t="shared" si="17"/>
        <v>173.38053940262108</v>
      </c>
      <c r="D135" s="67">
        <v>160</v>
      </c>
      <c r="E135" s="75">
        <f t="shared" si="12"/>
        <v>13.380539402621082</v>
      </c>
      <c r="F135" s="67">
        <f t="shared" si="13"/>
        <v>2253.947012234074</v>
      </c>
      <c r="G135" s="75">
        <f t="shared" si="14"/>
        <v>414.79672148125354</v>
      </c>
      <c r="H135" s="68">
        <f t="shared" si="15"/>
        <v>0.11851334899464387</v>
      </c>
      <c r="I135" s="56"/>
    </row>
    <row r="136" spans="1:9" x14ac:dyDescent="0.25">
      <c r="A136" s="65">
        <v>43084</v>
      </c>
      <c r="B136" s="66">
        <f t="shared" si="16"/>
        <v>134</v>
      </c>
      <c r="C136" s="67">
        <f t="shared" si="17"/>
        <v>173.26202605362644</v>
      </c>
      <c r="D136" s="67">
        <v>160</v>
      </c>
      <c r="E136" s="75">
        <f t="shared" si="12"/>
        <v>13.262026053626442</v>
      </c>
      <c r="F136" s="67">
        <f t="shared" si="13"/>
        <v>2252.4063386971438</v>
      </c>
      <c r="G136" s="75">
        <f t="shared" si="14"/>
        <v>411.12280766241975</v>
      </c>
      <c r="H136" s="68">
        <f t="shared" si="15"/>
        <v>0.11746365933211993</v>
      </c>
      <c r="I136" s="56"/>
    </row>
    <row r="137" spans="1:9" x14ac:dyDescent="0.25">
      <c r="A137" s="65">
        <v>43084</v>
      </c>
      <c r="B137" s="66">
        <f t="shared" si="16"/>
        <v>135</v>
      </c>
      <c r="C137" s="67">
        <f t="shared" si="17"/>
        <v>173.14456239429433</v>
      </c>
      <c r="D137" s="67">
        <v>160</v>
      </c>
      <c r="E137" s="75">
        <f t="shared" si="12"/>
        <v>13.144562394294326</v>
      </c>
      <c r="F137" s="67">
        <f t="shared" si="13"/>
        <v>2250.8793111258265</v>
      </c>
      <c r="G137" s="75">
        <f t="shared" si="14"/>
        <v>407.4814342231241</v>
      </c>
      <c r="H137" s="68">
        <f t="shared" si="15"/>
        <v>0.1164232669208926</v>
      </c>
      <c r="I137" s="56"/>
    </row>
    <row r="138" spans="1:9" x14ac:dyDescent="0.25">
      <c r="A138" s="65">
        <v>43084</v>
      </c>
      <c r="B138" s="66">
        <f t="shared" si="16"/>
        <v>136</v>
      </c>
      <c r="C138" s="67">
        <f t="shared" si="17"/>
        <v>173.02813912737344</v>
      </c>
      <c r="D138" s="67">
        <v>160</v>
      </c>
      <c r="E138" s="75">
        <f t="shared" si="12"/>
        <v>13.028139127373436</v>
      </c>
      <c r="F138" s="67">
        <f t="shared" si="13"/>
        <v>2249.3658086558548</v>
      </c>
      <c r="G138" s="75">
        <f t="shared" si="14"/>
        <v>403.87231294857651</v>
      </c>
      <c r="H138" s="68">
        <f t="shared" si="15"/>
        <v>0.115392089413879</v>
      </c>
      <c r="I138" s="56"/>
    </row>
    <row r="139" spans="1:9" x14ac:dyDescent="0.25">
      <c r="A139" s="65">
        <v>43084</v>
      </c>
      <c r="B139" s="66">
        <f t="shared" si="16"/>
        <v>137</v>
      </c>
      <c r="C139" s="67">
        <f t="shared" si="17"/>
        <v>172.91274703795955</v>
      </c>
      <c r="D139" s="67">
        <v>160</v>
      </c>
      <c r="E139" s="75">
        <f t="shared" si="12"/>
        <v>12.912747037959548</v>
      </c>
      <c r="F139" s="67">
        <f t="shared" si="13"/>
        <v>2247.865711493474</v>
      </c>
      <c r="G139" s="75">
        <f t="shared" si="14"/>
        <v>400.29515817674599</v>
      </c>
      <c r="H139" s="68">
        <f t="shared" si="15"/>
        <v>0.114370045193356</v>
      </c>
      <c r="I139" s="56"/>
    </row>
    <row r="140" spans="1:9" x14ac:dyDescent="0.25">
      <c r="A140" s="65">
        <v>43084</v>
      </c>
      <c r="B140" s="66">
        <f t="shared" si="16"/>
        <v>138</v>
      </c>
      <c r="C140" s="67">
        <f t="shared" si="17"/>
        <v>172.79837699276618</v>
      </c>
      <c r="D140" s="67">
        <v>160</v>
      </c>
      <c r="E140" s="75">
        <f t="shared" si="12"/>
        <v>12.79837699276618</v>
      </c>
      <c r="F140" s="67">
        <f t="shared" si="13"/>
        <v>2246.3789009059601</v>
      </c>
      <c r="G140" s="75">
        <f t="shared" si="14"/>
        <v>396.74968677575157</v>
      </c>
      <c r="H140" s="68">
        <f t="shared" si="15"/>
        <v>0.11335705336450044</v>
      </c>
      <c r="I140" s="56"/>
    </row>
    <row r="141" spans="1:9" x14ac:dyDescent="0.25">
      <c r="A141" s="65">
        <v>43084</v>
      </c>
      <c r="B141" s="66">
        <f t="shared" si="16"/>
        <v>139</v>
      </c>
      <c r="C141" s="67">
        <f t="shared" si="17"/>
        <v>172.68501993940168</v>
      </c>
      <c r="D141" s="67">
        <v>160</v>
      </c>
      <c r="E141" s="75">
        <f t="shared" si="12"/>
        <v>12.685019939401684</v>
      </c>
      <c r="F141" s="67">
        <f t="shared" si="13"/>
        <v>2244.9052592122221</v>
      </c>
      <c r="G141" s="75">
        <f t="shared" si="14"/>
        <v>393.23561812145221</v>
      </c>
      <c r="H141" s="68">
        <f t="shared" si="15"/>
        <v>0.11235303374898635</v>
      </c>
      <c r="I141" s="56"/>
    </row>
    <row r="142" spans="1:9" x14ac:dyDescent="0.25">
      <c r="A142" s="65">
        <v>43084</v>
      </c>
      <c r="B142" s="66">
        <f t="shared" si="16"/>
        <v>140</v>
      </c>
      <c r="C142" s="67">
        <f t="shared" si="17"/>
        <v>172.57266690565271</v>
      </c>
      <c r="D142" s="67">
        <v>160</v>
      </c>
      <c r="E142" s="75">
        <f t="shared" si="12"/>
        <v>12.57266690565271</v>
      </c>
      <c r="F142" s="67">
        <f t="shared" si="13"/>
        <v>2243.4446697734852</v>
      </c>
      <c r="G142" s="75">
        <f t="shared" si="14"/>
        <v>389.75267407523404</v>
      </c>
      <c r="H142" s="68">
        <f t="shared" si="15"/>
        <v>0.11135790687863829</v>
      </c>
      <c r="I142" s="56"/>
    </row>
    <row r="143" spans="1:9" x14ac:dyDescent="0.25">
      <c r="A143" s="65">
        <v>43084</v>
      </c>
      <c r="B143" s="66">
        <f t="shared" si="16"/>
        <v>141</v>
      </c>
      <c r="C143" s="67">
        <f t="shared" si="17"/>
        <v>172.46130899877406</v>
      </c>
      <c r="D143" s="67">
        <v>160</v>
      </c>
      <c r="E143" s="75">
        <f t="shared" si="12"/>
        <v>12.461308998774058</v>
      </c>
      <c r="F143" s="67">
        <f t="shared" si="13"/>
        <v>2241.9970169840626</v>
      </c>
      <c r="G143" s="75">
        <f t="shared" si="14"/>
        <v>386.30057896199583</v>
      </c>
      <c r="H143" s="68">
        <f t="shared" si="15"/>
        <v>0.11037159398914166</v>
      </c>
      <c r="I143" s="56"/>
    </row>
    <row r="144" spans="1:9" x14ac:dyDescent="0.25">
      <c r="A144" s="65">
        <v>43084</v>
      </c>
      <c r="B144" s="66">
        <f t="shared" si="16"/>
        <v>142</v>
      </c>
      <c r="C144" s="67">
        <f t="shared" si="17"/>
        <v>172.35093740478493</v>
      </c>
      <c r="D144" s="67">
        <v>160</v>
      </c>
      <c r="E144" s="75">
        <f t="shared" si="12"/>
        <v>12.350937404784929</v>
      </c>
      <c r="F144" s="67">
        <f t="shared" si="13"/>
        <v>2240.5621862622042</v>
      </c>
      <c r="G144" s="75">
        <f t="shared" si="14"/>
        <v>382.8790595483328</v>
      </c>
      <c r="H144" s="68">
        <f t="shared" si="15"/>
        <v>0.10939401701380937</v>
      </c>
      <c r="I144" s="56"/>
    </row>
    <row r="145" spans="1:9" x14ac:dyDescent="0.25">
      <c r="A145" s="65">
        <v>43084</v>
      </c>
      <c r="B145" s="66">
        <f t="shared" si="16"/>
        <v>143</v>
      </c>
      <c r="C145" s="67">
        <f t="shared" si="17"/>
        <v>172.24154338777112</v>
      </c>
      <c r="D145" s="67">
        <v>160</v>
      </c>
      <c r="E145" s="75">
        <f t="shared" si="12"/>
        <v>12.241543387771117</v>
      </c>
      <c r="F145" s="67">
        <f t="shared" si="13"/>
        <v>2239.1400640410247</v>
      </c>
      <c r="G145" s="75">
        <f t="shared" si="14"/>
        <v>379.48784502090462</v>
      </c>
      <c r="H145" s="68">
        <f t="shared" si="15"/>
        <v>0.10842509857740132</v>
      </c>
      <c r="I145" s="56"/>
    </row>
    <row r="146" spans="1:9" x14ac:dyDescent="0.25">
      <c r="A146" s="65">
        <v>43084</v>
      </c>
      <c r="B146" s="66">
        <f t="shared" si="16"/>
        <v>144</v>
      </c>
      <c r="C146" s="67">
        <f t="shared" si="17"/>
        <v>172.1331182891937</v>
      </c>
      <c r="D146" s="67">
        <v>160</v>
      </c>
      <c r="E146" s="75">
        <f t="shared" si="12"/>
        <v>12.133118289193703</v>
      </c>
      <c r="F146" s="67">
        <f t="shared" si="13"/>
        <v>2237.730537759518</v>
      </c>
      <c r="G146" s="75">
        <f t="shared" si="14"/>
        <v>376.1266669650048</v>
      </c>
      <c r="H146" s="68">
        <f t="shared" si="15"/>
        <v>0.10746476199000138</v>
      </c>
      <c r="I146" s="56"/>
    </row>
    <row r="147" spans="1:9" x14ac:dyDescent="0.25">
      <c r="A147" s="65">
        <v>43084</v>
      </c>
      <c r="B147" s="66">
        <f t="shared" si="16"/>
        <v>145</v>
      </c>
      <c r="C147" s="67">
        <f t="shared" si="17"/>
        <v>172.0256535272037</v>
      </c>
      <c r="D147" s="67">
        <v>160</v>
      </c>
      <c r="E147" s="75">
        <f t="shared" si="12"/>
        <v>12.025653527203701</v>
      </c>
      <c r="F147" s="67">
        <f t="shared" si="13"/>
        <v>2236.3334958536479</v>
      </c>
      <c r="G147" s="75">
        <f t="shared" si="14"/>
        <v>372.79525934331474</v>
      </c>
      <c r="H147" s="68">
        <f t="shared" si="15"/>
        <v>0.10651293124094707</v>
      </c>
      <c r="I147" s="56"/>
    </row>
    <row r="148" spans="1:9" x14ac:dyDescent="0.25">
      <c r="A148" s="65">
        <v>43084</v>
      </c>
      <c r="B148" s="66">
        <f t="shared" si="16"/>
        <v>146</v>
      </c>
      <c r="C148" s="67">
        <f t="shared" si="17"/>
        <v>171.91914059596274</v>
      </c>
      <c r="D148" s="67">
        <v>160</v>
      </c>
      <c r="E148" s="75">
        <f t="shared" si="12"/>
        <v>11.919140595962745</v>
      </c>
      <c r="F148" s="67">
        <f t="shared" si="13"/>
        <v>2234.9488277475157</v>
      </c>
      <c r="G148" s="75">
        <f t="shared" si="14"/>
        <v>369.49335847484508</v>
      </c>
      <c r="H148" s="68">
        <f t="shared" si="15"/>
        <v>0.10556953099281288</v>
      </c>
      <c r="I148" s="56"/>
    </row>
    <row r="149" spans="1:9" x14ac:dyDescent="0.25">
      <c r="A149" s="65">
        <v>43084</v>
      </c>
      <c r="B149" s="66">
        <f t="shared" si="16"/>
        <v>147</v>
      </c>
      <c r="C149" s="67">
        <f t="shared" si="17"/>
        <v>171.81357106496992</v>
      </c>
      <c r="D149" s="67">
        <v>160</v>
      </c>
      <c r="E149" s="75">
        <f t="shared" si="12"/>
        <v>11.813571064969921</v>
      </c>
      <c r="F149" s="67">
        <f t="shared" si="13"/>
        <v>2233.5764238446091</v>
      </c>
      <c r="G149" s="75">
        <f t="shared" si="14"/>
        <v>366.22070301406757</v>
      </c>
      <c r="H149" s="68">
        <f t="shared" si="15"/>
        <v>0.10463448657544788</v>
      </c>
      <c r="I149" s="56"/>
    </row>
    <row r="150" spans="1:9" x14ac:dyDescent="0.25">
      <c r="A150" s="65">
        <v>43084</v>
      </c>
      <c r="B150" s="66">
        <f t="shared" si="16"/>
        <v>148</v>
      </c>
      <c r="C150" s="67">
        <f t="shared" si="17"/>
        <v>171.70893657839449</v>
      </c>
      <c r="D150" s="67">
        <v>160</v>
      </c>
      <c r="E150" s="75">
        <f t="shared" si="12"/>
        <v>11.708936578394486</v>
      </c>
      <c r="F150" s="67">
        <f t="shared" si="13"/>
        <v>2232.2161755191282</v>
      </c>
      <c r="G150" s="75">
        <f t="shared" si="14"/>
        <v>362.97703393022903</v>
      </c>
      <c r="H150" s="68">
        <f t="shared" si="15"/>
        <v>0.10370772398006543</v>
      </c>
      <c r="I150" s="56"/>
    </row>
    <row r="151" spans="1:9" x14ac:dyDescent="0.25">
      <c r="A151" s="65">
        <v>43084</v>
      </c>
      <c r="B151" s="66">
        <f t="shared" si="16"/>
        <v>149</v>
      </c>
      <c r="C151" s="67">
        <f t="shared" si="17"/>
        <v>171.60522885441441</v>
      </c>
      <c r="D151" s="67">
        <v>160</v>
      </c>
      <c r="E151" s="75">
        <f t="shared" si="12"/>
        <v>11.605228854414406</v>
      </c>
      <c r="F151" s="67">
        <f t="shared" si="13"/>
        <v>2230.8679751073873</v>
      </c>
      <c r="G151" s="75">
        <f t="shared" si="14"/>
        <v>359.76209448684659</v>
      </c>
      <c r="H151" s="68">
        <f t="shared" si="15"/>
        <v>0.10278916985338474</v>
      </c>
      <c r="I151" s="56"/>
    </row>
    <row r="152" spans="1:9" x14ac:dyDescent="0.25">
      <c r="A152" s="65">
        <v>43084</v>
      </c>
      <c r="B152" s="66">
        <f t="shared" si="16"/>
        <v>150</v>
      </c>
      <c r="C152" s="67">
        <f t="shared" si="17"/>
        <v>171.50243968456101</v>
      </c>
      <c r="D152" s="67">
        <v>160</v>
      </c>
      <c r="E152" s="75">
        <f t="shared" si="12"/>
        <v>11.502439684561011</v>
      </c>
      <c r="F152" s="67">
        <f t="shared" si="13"/>
        <v>2229.531715899293</v>
      </c>
      <c r="G152" s="75">
        <f t="shared" si="14"/>
        <v>356.57563022139135</v>
      </c>
      <c r="H152" s="68">
        <f t="shared" si="15"/>
        <v>0.1018787514918261</v>
      </c>
      <c r="I152" s="56"/>
    </row>
    <row r="153" spans="1:9" x14ac:dyDescent="0.25">
      <c r="A153" s="65">
        <v>43084</v>
      </c>
      <c r="B153" s="66">
        <f t="shared" si="16"/>
        <v>151</v>
      </c>
      <c r="C153" s="67">
        <f t="shared" si="17"/>
        <v>171.40056093306919</v>
      </c>
      <c r="D153" s="67">
        <v>160</v>
      </c>
      <c r="E153" s="75">
        <f t="shared" si="12"/>
        <v>11.400560933069187</v>
      </c>
      <c r="F153" s="67">
        <f t="shared" si="13"/>
        <v>2228.2072921298995</v>
      </c>
      <c r="G153" s="75">
        <f t="shared" si="14"/>
        <v>353.41738892514479</v>
      </c>
      <c r="H153" s="68">
        <f t="shared" si="15"/>
        <v>0.10097639683575566</v>
      </c>
      <c r="I153" s="56"/>
    </row>
    <row r="154" spans="1:9" x14ac:dyDescent="0.25">
      <c r="A154" s="65">
        <v>43084</v>
      </c>
      <c r="B154" s="66">
        <f t="shared" si="16"/>
        <v>152</v>
      </c>
      <c r="C154" s="67">
        <f t="shared" si="17"/>
        <v>171.29958453623343</v>
      </c>
      <c r="D154" s="67">
        <v>160</v>
      </c>
      <c r="E154" s="75">
        <f t="shared" si="12"/>
        <v>11.299584536233425</v>
      </c>
      <c r="F154" s="67">
        <f t="shared" si="13"/>
        <v>2226.8945989710346</v>
      </c>
      <c r="G154" s="75">
        <f t="shared" si="14"/>
        <v>350.28712062323621</v>
      </c>
      <c r="H154" s="68">
        <f t="shared" si="15"/>
        <v>0.10008203446378178</v>
      </c>
      <c r="I154" s="56"/>
    </row>
    <row r="155" spans="1:9" x14ac:dyDescent="0.25">
      <c r="A155" s="65">
        <v>43084</v>
      </c>
      <c r="B155" s="66">
        <f t="shared" si="16"/>
        <v>153</v>
      </c>
      <c r="C155" s="67">
        <f t="shared" si="17"/>
        <v>171.19950250176964</v>
      </c>
      <c r="D155" s="67">
        <v>160</v>
      </c>
      <c r="E155" s="75">
        <f t="shared" si="12"/>
        <v>11.199502501769643</v>
      </c>
      <c r="F155" s="67">
        <f t="shared" si="13"/>
        <v>2225.5935325230053</v>
      </c>
      <c r="G155" s="75">
        <f t="shared" si="14"/>
        <v>347.18457755485895</v>
      </c>
      <c r="H155" s="68">
        <f t="shared" si="15"/>
        <v>9.919559358710256E-2</v>
      </c>
      <c r="I155" s="56"/>
    </row>
    <row r="156" spans="1:9" x14ac:dyDescent="0.25">
      <c r="A156" s="65">
        <v>43084</v>
      </c>
      <c r="B156" s="66">
        <f t="shared" si="16"/>
        <v>154</v>
      </c>
      <c r="C156" s="67">
        <f t="shared" si="17"/>
        <v>171.10030690818255</v>
      </c>
      <c r="D156" s="67">
        <v>160</v>
      </c>
      <c r="E156" s="75">
        <f t="shared" si="12"/>
        <v>11.100306908182546</v>
      </c>
      <c r="F156" s="67">
        <f t="shared" si="13"/>
        <v>2224.303989806373</v>
      </c>
      <c r="G156" s="75">
        <f t="shared" si="14"/>
        <v>344.10951415365889</v>
      </c>
      <c r="H156" s="68">
        <f t="shared" si="15"/>
        <v>9.8317004043902534E-2</v>
      </c>
      <c r="I156" s="56"/>
    </row>
    <row r="157" spans="1:9" x14ac:dyDescent="0.25">
      <c r="A157" s="65">
        <v>43084</v>
      </c>
      <c r="B157" s="66">
        <f t="shared" si="16"/>
        <v>155</v>
      </c>
      <c r="C157" s="67">
        <f t="shared" si="17"/>
        <v>171.00198990413864</v>
      </c>
      <c r="D157" s="67">
        <v>160</v>
      </c>
      <c r="E157" s="75">
        <f t="shared" si="12"/>
        <v>11.00198990413864</v>
      </c>
      <c r="F157" s="67">
        <f t="shared" si="13"/>
        <v>2223.0258687538021</v>
      </c>
      <c r="G157" s="75">
        <f t="shared" si="14"/>
        <v>341.0616870282978</v>
      </c>
      <c r="H157" s="68">
        <f t="shared" si="15"/>
        <v>9.7446196293799373E-2</v>
      </c>
      <c r="I157" s="56"/>
    </row>
    <row r="158" spans="1:9" x14ac:dyDescent="0.25">
      <c r="A158" s="65">
        <v>43084</v>
      </c>
      <c r="B158" s="66">
        <f t="shared" si="16"/>
        <v>156</v>
      </c>
      <c r="C158" s="67">
        <f t="shared" si="17"/>
        <v>170.90454370784485</v>
      </c>
      <c r="D158" s="67">
        <v>160</v>
      </c>
      <c r="E158" s="75">
        <f t="shared" si="12"/>
        <v>10.904543707844851</v>
      </c>
      <c r="F158" s="67">
        <f t="shared" si="13"/>
        <v>2221.7590682019832</v>
      </c>
      <c r="G158" s="75">
        <f t="shared" si="14"/>
        <v>338.04085494319042</v>
      </c>
      <c r="H158" s="68">
        <f t="shared" si="15"/>
        <v>9.6583101412340125E-2</v>
      </c>
      <c r="I158" s="56"/>
    </row>
    <row r="159" spans="1:9" x14ac:dyDescent="0.25">
      <c r="A159" s="65">
        <v>43084</v>
      </c>
      <c r="B159" s="66">
        <f t="shared" si="16"/>
        <v>157</v>
      </c>
      <c r="C159" s="67">
        <f t="shared" si="17"/>
        <v>170.80796060643252</v>
      </c>
      <c r="D159" s="67">
        <v>160</v>
      </c>
      <c r="E159" s="75">
        <f t="shared" si="12"/>
        <v>10.807960606432516</v>
      </c>
      <c r="F159" s="67">
        <f t="shared" si="13"/>
        <v>2220.5034878836227</v>
      </c>
      <c r="G159" s="75">
        <f t="shared" si="14"/>
        <v>335.046778799408</v>
      </c>
      <c r="H159" s="68">
        <f t="shared" si="15"/>
        <v>9.5727651085545137E-2</v>
      </c>
      <c r="I159" s="56"/>
    </row>
    <row r="160" spans="1:9" x14ac:dyDescent="0.25">
      <c r="A160" s="65">
        <v>43084</v>
      </c>
      <c r="B160" s="66">
        <f t="shared" si="16"/>
        <v>158</v>
      </c>
      <c r="C160" s="67">
        <f t="shared" si="17"/>
        <v>170.71223295534696</v>
      </c>
      <c r="D160" s="67">
        <v>160</v>
      </c>
      <c r="E160" s="75">
        <f t="shared" si="12"/>
        <v>10.712232955346963</v>
      </c>
      <c r="F160" s="67">
        <f t="shared" si="13"/>
        <v>2219.2590284195103</v>
      </c>
      <c r="G160" s="75">
        <f t="shared" si="14"/>
        <v>332.07922161575584</v>
      </c>
      <c r="H160" s="68">
        <f t="shared" si="15"/>
        <v>9.4879777604501669E-2</v>
      </c>
      <c r="I160" s="56"/>
    </row>
    <row r="161" spans="1:9" x14ac:dyDescent="0.25">
      <c r="A161" s="65">
        <v>43084</v>
      </c>
      <c r="B161" s="66">
        <f t="shared" si="16"/>
        <v>159</v>
      </c>
      <c r="C161" s="67">
        <f t="shared" si="17"/>
        <v>170.61735317774247</v>
      </c>
      <c r="D161" s="67">
        <v>160</v>
      </c>
      <c r="E161" s="75">
        <f t="shared" si="12"/>
        <v>10.617353177742473</v>
      </c>
      <c r="F161" s="67">
        <f t="shared" si="13"/>
        <v>2218.0255913106521</v>
      </c>
      <c r="G161" s="75">
        <f t="shared" si="14"/>
        <v>329.13794851001666</v>
      </c>
      <c r="H161" s="68">
        <f t="shared" si="15"/>
        <v>9.4039413860004764E-2</v>
      </c>
      <c r="I161" s="56"/>
    </row>
    <row r="162" spans="1:9" x14ac:dyDescent="0.25">
      <c r="A162" s="65">
        <v>43084</v>
      </c>
      <c r="B162" s="66">
        <f t="shared" si="16"/>
        <v>160</v>
      </c>
      <c r="C162" s="67">
        <f t="shared" si="17"/>
        <v>170.52331376388247</v>
      </c>
      <c r="D162" s="67">
        <v>160</v>
      </c>
      <c r="E162" s="75">
        <f t="shared" si="12"/>
        <v>10.52331376388247</v>
      </c>
      <c r="F162" s="67">
        <f t="shared" si="13"/>
        <v>2216.8030789304721</v>
      </c>
      <c r="G162" s="75">
        <f t="shared" si="14"/>
        <v>326.22272668035657</v>
      </c>
      <c r="H162" s="68">
        <f t="shared" si="15"/>
        <v>9.3206493337244734E-2</v>
      </c>
      <c r="I162" s="56"/>
    </row>
    <row r="163" spans="1:9" x14ac:dyDescent="0.25">
      <c r="A163" s="65">
        <v>43084</v>
      </c>
      <c r="B163" s="66">
        <f t="shared" si="16"/>
        <v>161</v>
      </c>
      <c r="C163" s="67">
        <f t="shared" si="17"/>
        <v>170.43010727054522</v>
      </c>
      <c r="D163" s="67">
        <v>160</v>
      </c>
      <c r="E163" s="75">
        <f t="shared" si="12"/>
        <v>10.430107270545221</v>
      </c>
      <c r="F163" s="67">
        <f t="shared" si="13"/>
        <v>2215.5913945170878</v>
      </c>
      <c r="G163" s="75">
        <f t="shared" si="14"/>
        <v>323.33332538690183</v>
      </c>
      <c r="H163" s="68">
        <f t="shared" si="15"/>
        <v>9.2380950110543383E-2</v>
      </c>
      <c r="I163" s="56"/>
    </row>
    <row r="164" spans="1:9" x14ac:dyDescent="0.25">
      <c r="A164" s="65">
        <v>43084</v>
      </c>
      <c r="B164" s="66">
        <f t="shared" si="16"/>
        <v>162</v>
      </c>
      <c r="C164" s="67">
        <f t="shared" si="17"/>
        <v>170.33772632043468</v>
      </c>
      <c r="D164" s="67">
        <v>160</v>
      </c>
      <c r="E164" s="75">
        <f t="shared" si="12"/>
        <v>10.337726320434683</v>
      </c>
      <c r="F164" s="67">
        <f t="shared" si="13"/>
        <v>2214.3904421656507</v>
      </c>
      <c r="G164" s="75">
        <f t="shared" si="14"/>
        <v>320.46951593347518</v>
      </c>
      <c r="H164" s="68">
        <f t="shared" si="15"/>
        <v>9.156271883813577E-2</v>
      </c>
      <c r="I164" s="56"/>
    </row>
    <row r="165" spans="1:9" x14ac:dyDescent="0.25">
      <c r="A165" s="65">
        <v>43084</v>
      </c>
      <c r="B165" s="66">
        <f t="shared" si="16"/>
        <v>163</v>
      </c>
      <c r="C165" s="67">
        <f t="shared" si="17"/>
        <v>170.24616360159655</v>
      </c>
      <c r="D165" s="67">
        <v>160</v>
      </c>
      <c r="E165" s="75">
        <f t="shared" si="12"/>
        <v>10.24616360159655</v>
      </c>
      <c r="F165" s="67">
        <f t="shared" si="13"/>
        <v>2213.200126820755</v>
      </c>
      <c r="G165" s="75">
        <f t="shared" si="14"/>
        <v>317.63107164949304</v>
      </c>
      <c r="H165" s="68">
        <f t="shared" si="15"/>
        <v>9.0751734756998007E-2</v>
      </c>
      <c r="I165" s="56"/>
    </row>
    <row r="166" spans="1:9" x14ac:dyDescent="0.25">
      <c r="A166" s="65">
        <v>43084</v>
      </c>
      <c r="B166" s="66">
        <f t="shared" si="16"/>
        <v>164</v>
      </c>
      <c r="C166" s="67">
        <f t="shared" si="17"/>
        <v>170.15541186683956</v>
      </c>
      <c r="D166" s="67">
        <v>160</v>
      </c>
      <c r="E166" s="75">
        <f t="shared" si="12"/>
        <v>10.155411866839557</v>
      </c>
      <c r="F166" s="67">
        <f t="shared" si="13"/>
        <v>2212.0203542689142</v>
      </c>
      <c r="G166" s="75">
        <f t="shared" si="14"/>
        <v>314.81776787202625</v>
      </c>
      <c r="H166" s="68">
        <f t="shared" si="15"/>
        <v>8.9947933677721789E-2</v>
      </c>
      <c r="I166" s="56"/>
    </row>
    <row r="167" spans="1:9" x14ac:dyDescent="0.25">
      <c r="A167" s="65">
        <v>43084</v>
      </c>
      <c r="B167" s="66">
        <f t="shared" si="16"/>
        <v>165</v>
      </c>
      <c r="C167" s="67">
        <f t="shared" si="17"/>
        <v>170.06546393316182</v>
      </c>
      <c r="D167" s="67">
        <v>160</v>
      </c>
      <c r="E167" s="75">
        <f t="shared" si="12"/>
        <v>10.065463933161823</v>
      </c>
      <c r="F167" s="67">
        <f t="shared" si="13"/>
        <v>2210.8510311311038</v>
      </c>
      <c r="G167" s="75">
        <f t="shared" si="14"/>
        <v>312.02938192801651</v>
      </c>
      <c r="H167" s="68">
        <f t="shared" si="15"/>
        <v>8.9151251979433285E-2</v>
      </c>
      <c r="I167" s="56"/>
    </row>
    <row r="168" spans="1:9" x14ac:dyDescent="0.25">
      <c r="A168" s="65">
        <v>43084</v>
      </c>
      <c r="B168" s="66">
        <f t="shared" si="16"/>
        <v>166</v>
      </c>
      <c r="C168" s="67">
        <f t="shared" si="17"/>
        <v>169.97631268118238</v>
      </c>
      <c r="D168" s="67">
        <v>160</v>
      </c>
      <c r="E168" s="75">
        <f t="shared" si="12"/>
        <v>9.9763126811823781</v>
      </c>
      <c r="F168" s="67">
        <f t="shared" si="13"/>
        <v>2209.692064855371</v>
      </c>
      <c r="G168" s="75">
        <f t="shared" si="14"/>
        <v>309.26569311665372</v>
      </c>
      <c r="H168" s="68">
        <f t="shared" si="15"/>
        <v>8.8361626604758201E-2</v>
      </c>
      <c r="I168" s="56"/>
    </row>
    <row r="169" spans="1:9" x14ac:dyDescent="0.25">
      <c r="A169" s="65">
        <v>43084</v>
      </c>
      <c r="B169" s="66">
        <f t="shared" si="16"/>
        <v>167</v>
      </c>
      <c r="C169" s="67">
        <f t="shared" si="17"/>
        <v>169.88795105457763</v>
      </c>
      <c r="D169" s="67">
        <v>160</v>
      </c>
      <c r="E169" s="75">
        <f t="shared" si="12"/>
        <v>9.887951054577627</v>
      </c>
      <c r="F169" s="67">
        <f t="shared" si="13"/>
        <v>2208.5433637095093</v>
      </c>
      <c r="G169" s="75">
        <f t="shared" si="14"/>
        <v>306.52648269190644</v>
      </c>
      <c r="H169" s="68">
        <f t="shared" si="15"/>
        <v>8.7578995054830411E-2</v>
      </c>
      <c r="I169" s="56"/>
    </row>
    <row r="170" spans="1:9" x14ac:dyDescent="0.25">
      <c r="A170" s="65">
        <v>43084</v>
      </c>
      <c r="B170" s="66">
        <f t="shared" si="16"/>
        <v>168</v>
      </c>
      <c r="C170" s="67">
        <f t="shared" si="17"/>
        <v>169.8003720595228</v>
      </c>
      <c r="D170" s="67">
        <v>160</v>
      </c>
      <c r="E170" s="75">
        <f t="shared" si="12"/>
        <v>9.8003720595228003</v>
      </c>
      <c r="F170" s="67">
        <f t="shared" si="13"/>
        <v>2207.4048367737964</v>
      </c>
      <c r="G170" s="75">
        <f t="shared" si="14"/>
        <v>303.81153384520678</v>
      </c>
      <c r="H170" s="68">
        <f t="shared" si="15"/>
        <v>8.6803295384344795E-2</v>
      </c>
      <c r="I170" s="56"/>
    </row>
    <row r="171" spans="1:9" x14ac:dyDescent="0.25">
      <c r="A171" s="65">
        <v>43084</v>
      </c>
      <c r="B171" s="66">
        <f t="shared" si="16"/>
        <v>169</v>
      </c>
      <c r="C171" s="67">
        <f t="shared" si="17"/>
        <v>169.71356876413844</v>
      </c>
      <c r="D171" s="67">
        <v>160</v>
      </c>
      <c r="E171" s="75">
        <f t="shared" si="12"/>
        <v>9.7135687641384436</v>
      </c>
      <c r="F171" s="67">
        <f t="shared" si="13"/>
        <v>2206.2763939337997</v>
      </c>
      <c r="G171" s="75">
        <f t="shared" si="14"/>
        <v>301.12063168829172</v>
      </c>
      <c r="H171" s="68">
        <f t="shared" si="15"/>
        <v>8.603446619665478E-2</v>
      </c>
      <c r="I171" s="56"/>
    </row>
    <row r="172" spans="1:9" x14ac:dyDescent="0.25">
      <c r="A172" s="65">
        <v>43084</v>
      </c>
      <c r="B172" s="66">
        <f t="shared" si="16"/>
        <v>170</v>
      </c>
      <c r="C172" s="67">
        <f t="shared" si="17"/>
        <v>169.62753429794179</v>
      </c>
      <c r="D172" s="67">
        <v>160</v>
      </c>
      <c r="E172" s="75">
        <f t="shared" si="12"/>
        <v>9.6275342979417928</v>
      </c>
      <c r="F172" s="67">
        <f t="shared" si="13"/>
        <v>2205.1579458732431</v>
      </c>
      <c r="G172" s="75">
        <f t="shared" si="14"/>
        <v>298.45356323619558</v>
      </c>
      <c r="H172" s="68">
        <f t="shared" si="15"/>
        <v>8.5272446638913021E-2</v>
      </c>
      <c r="I172" s="56"/>
    </row>
    <row r="173" spans="1:9" x14ac:dyDescent="0.25">
      <c r="A173" s="65">
        <v>43084</v>
      </c>
      <c r="B173" s="66">
        <f t="shared" si="16"/>
        <v>171</v>
      </c>
      <c r="C173" s="67">
        <f t="shared" si="17"/>
        <v>169.54226185130287</v>
      </c>
      <c r="D173" s="67">
        <v>160</v>
      </c>
      <c r="E173" s="75">
        <f t="shared" si="12"/>
        <v>9.5422618513028681</v>
      </c>
      <c r="F173" s="67">
        <f t="shared" si="13"/>
        <v>2204.0494040669373</v>
      </c>
      <c r="G173" s="75">
        <f t="shared" si="14"/>
        <v>295.81011739038888</v>
      </c>
      <c r="H173" s="68">
        <f t="shared" si="15"/>
        <v>8.4517176397253965E-2</v>
      </c>
      <c r="I173" s="56"/>
    </row>
    <row r="174" spans="1:9" x14ac:dyDescent="0.25">
      <c r="A174" s="65">
        <v>43084</v>
      </c>
      <c r="B174" s="66">
        <f t="shared" si="16"/>
        <v>172</v>
      </c>
      <c r="C174" s="67">
        <f t="shared" si="17"/>
        <v>169.45774467490563</v>
      </c>
      <c r="D174" s="67">
        <v>160</v>
      </c>
      <c r="E174" s="75">
        <f t="shared" si="12"/>
        <v>9.4577446749056264</v>
      </c>
      <c r="F174" s="67">
        <f t="shared" si="13"/>
        <v>2202.950680773773</v>
      </c>
      <c r="G174" s="75">
        <f t="shared" si="14"/>
        <v>293.19008492207445</v>
      </c>
      <c r="H174" s="68">
        <f t="shared" si="15"/>
        <v>8.3768595692021275E-2</v>
      </c>
      <c r="I174" s="56"/>
    </row>
    <row r="175" spans="1:9" x14ac:dyDescent="0.25">
      <c r="A175" s="65">
        <v>43084</v>
      </c>
      <c r="B175" s="66">
        <f t="shared" si="16"/>
        <v>173</v>
      </c>
      <c r="C175" s="67">
        <f t="shared" si="17"/>
        <v>169.37397607921361</v>
      </c>
      <c r="D175" s="67">
        <v>160</v>
      </c>
      <c r="E175" s="75">
        <f t="shared" si="12"/>
        <v>9.3739760792136053</v>
      </c>
      <c r="F175" s="67">
        <f t="shared" si="13"/>
        <v>2201.8616890297767</v>
      </c>
      <c r="G175" s="75">
        <f t="shared" si="14"/>
        <v>290.59325845562176</v>
      </c>
      <c r="H175" s="68">
        <f t="shared" si="15"/>
        <v>8.3026645273034785E-2</v>
      </c>
      <c r="I175" s="56"/>
    </row>
    <row r="176" spans="1:9" x14ac:dyDescent="0.25">
      <c r="A176" s="65">
        <v>43084</v>
      </c>
      <c r="B176" s="66">
        <f t="shared" si="16"/>
        <v>174</v>
      </c>
      <c r="C176" s="67">
        <f t="shared" si="17"/>
        <v>169.29094943394057</v>
      </c>
      <c r="D176" s="67">
        <v>160</v>
      </c>
      <c r="E176" s="75">
        <f t="shared" si="12"/>
        <v>9.2909494339405683</v>
      </c>
      <c r="F176" s="67">
        <f t="shared" si="13"/>
        <v>2200.7823426412274</v>
      </c>
      <c r="G176" s="75">
        <f t="shared" si="14"/>
        <v>288.01943245215762</v>
      </c>
      <c r="H176" s="68">
        <f t="shared" si="15"/>
        <v>8.229126641490217E-2</v>
      </c>
      <c r="I176" s="56"/>
    </row>
    <row r="177" spans="1:9" x14ac:dyDescent="0.25">
      <c r="A177" s="65">
        <v>43084</v>
      </c>
      <c r="B177" s="66">
        <f t="shared" si="16"/>
        <v>175</v>
      </c>
      <c r="C177" s="67">
        <f t="shared" si="17"/>
        <v>169.20865816752567</v>
      </c>
      <c r="D177" s="67">
        <v>160</v>
      </c>
      <c r="E177" s="75">
        <f t="shared" si="12"/>
        <v>9.2086581675256696</v>
      </c>
      <c r="F177" s="67">
        <f t="shared" si="13"/>
        <v>2199.7125561778339</v>
      </c>
      <c r="G177" s="75">
        <f t="shared" si="14"/>
        <v>285.46840319329579</v>
      </c>
      <c r="H177" s="68">
        <f t="shared" si="15"/>
        <v>8.1562400912370228E-2</v>
      </c>
      <c r="I177" s="56"/>
    </row>
    <row r="178" spans="1:9" x14ac:dyDescent="0.25">
      <c r="A178" s="65">
        <v>43084</v>
      </c>
      <c r="B178" s="66">
        <f t="shared" si="16"/>
        <v>176</v>
      </c>
      <c r="C178" s="67">
        <f t="shared" si="17"/>
        <v>169.12709576661331</v>
      </c>
      <c r="D178" s="67">
        <v>160</v>
      </c>
      <c r="E178" s="75">
        <f t="shared" si="12"/>
        <v>9.1270957666133086</v>
      </c>
      <c r="F178" s="67">
        <f t="shared" si="13"/>
        <v>2198.6522449659728</v>
      </c>
      <c r="G178" s="75">
        <f t="shared" si="14"/>
        <v>282.93996876501257</v>
      </c>
      <c r="H178" s="68">
        <f t="shared" si="15"/>
        <v>8.0839991075717876E-2</v>
      </c>
      <c r="I178" s="56"/>
    </row>
    <row r="179" spans="1:9" x14ac:dyDescent="0.25">
      <c r="A179" s="65">
        <v>43084</v>
      </c>
      <c r="B179" s="66">
        <f t="shared" si="16"/>
        <v>177</v>
      </c>
      <c r="C179" s="67">
        <f t="shared" si="17"/>
        <v>169.04625577553759</v>
      </c>
      <c r="D179" s="67">
        <v>160</v>
      </c>
      <c r="E179" s="75">
        <f t="shared" si="12"/>
        <v>9.0462557755375883</v>
      </c>
      <c r="F179" s="67">
        <f t="shared" si="13"/>
        <v>2197.6013250819888</v>
      </c>
      <c r="G179" s="75">
        <f t="shared" si="14"/>
        <v>280.43392904166524</v>
      </c>
      <c r="H179" s="68">
        <f t="shared" si="15"/>
        <v>8.0123979726190064E-2</v>
      </c>
      <c r="I179" s="56"/>
    </row>
    <row r="180" spans="1:9" x14ac:dyDescent="0.25">
      <c r="A180" s="65">
        <v>43084</v>
      </c>
      <c r="B180" s="66">
        <f t="shared" si="16"/>
        <v>178</v>
      </c>
      <c r="C180" s="67">
        <f t="shared" si="17"/>
        <v>168.96613179581141</v>
      </c>
      <c r="D180" s="67">
        <v>160</v>
      </c>
      <c r="E180" s="75">
        <f t="shared" si="12"/>
        <v>8.9661317958114068</v>
      </c>
      <c r="F180" s="67">
        <f t="shared" si="13"/>
        <v>2196.5597133455485</v>
      </c>
      <c r="G180" s="75">
        <f t="shared" si="14"/>
        <v>277.95008567015361</v>
      </c>
      <c r="H180" s="68">
        <f t="shared" si="15"/>
        <v>7.9414310191472465E-2</v>
      </c>
      <c r="I180" s="56"/>
    </row>
    <row r="181" spans="1:9" x14ac:dyDescent="0.25">
      <c r="A181" s="65">
        <v>43084</v>
      </c>
      <c r="B181" s="66">
        <f t="shared" si="16"/>
        <v>179</v>
      </c>
      <c r="C181" s="67">
        <f t="shared" si="17"/>
        <v>168.88671748561993</v>
      </c>
      <c r="D181" s="67">
        <v>160</v>
      </c>
      <c r="E181" s="75">
        <f t="shared" si="12"/>
        <v>8.8867174856199256</v>
      </c>
      <c r="F181" s="67">
        <f t="shared" si="13"/>
        <v>2195.5273273130592</v>
      </c>
      <c r="G181" s="75">
        <f t="shared" si="14"/>
        <v>275.48824205421772</v>
      </c>
      <c r="H181" s="68">
        <f t="shared" si="15"/>
        <v>7.8710926301205061E-2</v>
      </c>
      <c r="I181" s="56"/>
    </row>
    <row r="182" spans="1:9" x14ac:dyDescent="0.25">
      <c r="A182" s="65">
        <v>43084</v>
      </c>
      <c r="B182" s="66">
        <f t="shared" si="16"/>
        <v>180</v>
      </c>
      <c r="C182" s="67">
        <f t="shared" si="17"/>
        <v>168.80800655931873</v>
      </c>
      <c r="D182" s="67">
        <v>160</v>
      </c>
      <c r="E182" s="75">
        <f t="shared" si="12"/>
        <v>8.8080065593187271</v>
      </c>
      <c r="F182" s="67">
        <f t="shared" si="13"/>
        <v>2194.5040852711436</v>
      </c>
      <c r="G182" s="75">
        <f t="shared" si="14"/>
        <v>273.04820333888051</v>
      </c>
      <c r="H182" s="68">
        <f t="shared" si="15"/>
        <v>7.8013772382537289E-2</v>
      </c>
      <c r="I182" s="56"/>
    </row>
    <row r="183" spans="1:9" x14ac:dyDescent="0.25">
      <c r="A183" s="65">
        <v>43084</v>
      </c>
      <c r="B183" s="66">
        <f t="shared" si="16"/>
        <v>181</v>
      </c>
      <c r="C183" s="67">
        <f t="shared" si="17"/>
        <v>168.72999278693618</v>
      </c>
      <c r="D183" s="67">
        <v>160</v>
      </c>
      <c r="E183" s="75">
        <f t="shared" si="12"/>
        <v>8.7299927869361795</v>
      </c>
      <c r="F183" s="67">
        <f t="shared" si="13"/>
        <v>2193.4899062301702</v>
      </c>
      <c r="G183" s="75">
        <f t="shared" si="14"/>
        <v>270.62977639502157</v>
      </c>
      <c r="H183" s="68">
        <f t="shared" si="15"/>
        <v>7.7322793255720446E-2</v>
      </c>
      <c r="I183" s="56"/>
    </row>
    <row r="184" spans="1:9" x14ac:dyDescent="0.25">
      <c r="A184" s="65">
        <v>43084</v>
      </c>
      <c r="B184" s="66">
        <f t="shared" si="16"/>
        <v>182</v>
      </c>
      <c r="C184" s="67">
        <f t="shared" si="17"/>
        <v>168.65266999368046</v>
      </c>
      <c r="D184" s="67">
        <v>160</v>
      </c>
      <c r="E184" s="75">
        <f t="shared" si="12"/>
        <v>8.6526699936804619</v>
      </c>
      <c r="F184" s="67">
        <f t="shared" si="13"/>
        <v>2192.484709917846</v>
      </c>
      <c r="G184" s="75">
        <f t="shared" si="14"/>
        <v>268.23276980409435</v>
      </c>
      <c r="H184" s="68">
        <f t="shared" si="15"/>
        <v>7.6637934229741245E-2</v>
      </c>
      <c r="I184" s="56"/>
    </row>
    <row r="185" spans="1:9" x14ac:dyDescent="0.25">
      <c r="A185" s="65">
        <v>43084</v>
      </c>
      <c r="B185" s="66">
        <f t="shared" si="16"/>
        <v>183</v>
      </c>
      <c r="C185" s="67">
        <f t="shared" si="17"/>
        <v>168.57603205945071</v>
      </c>
      <c r="D185" s="67">
        <v>160</v>
      </c>
      <c r="E185" s="75">
        <f t="shared" si="12"/>
        <v>8.5760320594507107</v>
      </c>
      <c r="F185" s="67">
        <f t="shared" si="13"/>
        <v>2191.4884167728592</v>
      </c>
      <c r="G185" s="75">
        <f t="shared" si="14"/>
        <v>265.85699384297203</v>
      </c>
      <c r="H185" s="68">
        <f t="shared" si="15"/>
        <v>7.5959141097992011E-2</v>
      </c>
      <c r="I185" s="56"/>
    </row>
    <row r="186" spans="1:9" x14ac:dyDescent="0.25">
      <c r="A186" s="65">
        <v>43084</v>
      </c>
      <c r="B186" s="66">
        <f t="shared" si="16"/>
        <v>184</v>
      </c>
      <c r="C186" s="67">
        <f t="shared" si="17"/>
        <v>168.50007291835271</v>
      </c>
      <c r="D186" s="67">
        <v>160</v>
      </c>
      <c r="E186" s="75">
        <f t="shared" si="12"/>
        <v>8.5000729183527142</v>
      </c>
      <c r="F186" s="67">
        <f t="shared" si="13"/>
        <v>2190.5009479385853</v>
      </c>
      <c r="G186" s="75">
        <f t="shared" si="14"/>
        <v>263.50226046893414</v>
      </c>
      <c r="H186" s="68">
        <f t="shared" si="15"/>
        <v>7.5286360133981184E-2</v>
      </c>
      <c r="I186" s="56"/>
    </row>
    <row r="187" spans="1:9" x14ac:dyDescent="0.25">
      <c r="A187" s="65">
        <v>43084</v>
      </c>
      <c r="B187" s="66">
        <f t="shared" si="16"/>
        <v>185</v>
      </c>
      <c r="C187" s="67">
        <f t="shared" si="17"/>
        <v>168.42478655821873</v>
      </c>
      <c r="D187" s="67">
        <v>160</v>
      </c>
      <c r="E187" s="75">
        <f t="shared" si="12"/>
        <v>8.4247865582187274</v>
      </c>
      <c r="F187" s="67">
        <f t="shared" si="13"/>
        <v>2189.5222252568433</v>
      </c>
      <c r="G187" s="75">
        <f t="shared" si="14"/>
        <v>261.16838330478055</v>
      </c>
      <c r="H187" s="68">
        <f t="shared" si="15"/>
        <v>7.4619538087080162E-2</v>
      </c>
      <c r="I187" s="56"/>
    </row>
    <row r="188" spans="1:9" x14ac:dyDescent="0.25">
      <c r="A188" s="65">
        <v>43084</v>
      </c>
      <c r="B188" s="66">
        <f t="shared" si="16"/>
        <v>186</v>
      </c>
      <c r="C188" s="67">
        <f t="shared" si="17"/>
        <v>168.35016702013164</v>
      </c>
      <c r="D188" s="67">
        <v>160</v>
      </c>
      <c r="E188" s="75">
        <f t="shared" si="12"/>
        <v>8.3501670201316358</v>
      </c>
      <c r="F188" s="67">
        <f t="shared" si="13"/>
        <v>2188.5521712617115</v>
      </c>
      <c r="G188" s="75">
        <f t="shared" si="14"/>
        <v>258.85517762408074</v>
      </c>
      <c r="H188" s="68">
        <f t="shared" si="15"/>
        <v>7.3958622178308786E-2</v>
      </c>
      <c r="I188" s="56"/>
    </row>
    <row r="189" spans="1:9" x14ac:dyDescent="0.25">
      <c r="A189" s="65">
        <v>43084</v>
      </c>
      <c r="B189" s="66">
        <f t="shared" si="16"/>
        <v>187</v>
      </c>
      <c r="C189" s="67">
        <f t="shared" si="17"/>
        <v>168.27620839795333</v>
      </c>
      <c r="D189" s="67">
        <v>160</v>
      </c>
      <c r="E189" s="75">
        <f t="shared" si="12"/>
        <v>8.2762083979533259</v>
      </c>
      <c r="F189" s="67">
        <f t="shared" si="13"/>
        <v>2187.5907091733934</v>
      </c>
      <c r="G189" s="75">
        <f t="shared" si="14"/>
        <v>256.5624603365531</v>
      </c>
      <c r="H189" s="68">
        <f t="shared" si="15"/>
        <v>7.330356009615803E-2</v>
      </c>
      <c r="I189" s="56"/>
    </row>
    <row r="190" spans="1:9" x14ac:dyDescent="0.25">
      <c r="A190" s="65">
        <v>43084</v>
      </c>
      <c r="B190" s="66">
        <f t="shared" si="16"/>
        <v>188</v>
      </c>
      <c r="C190" s="67">
        <f t="shared" si="17"/>
        <v>168.20290483785718</v>
      </c>
      <c r="D190" s="67">
        <v>160</v>
      </c>
      <c r="E190" s="75">
        <f t="shared" si="12"/>
        <v>8.2029048378571758</v>
      </c>
      <c r="F190" s="67">
        <f t="shared" si="13"/>
        <v>2186.6377628921432</v>
      </c>
      <c r="G190" s="75">
        <f t="shared" si="14"/>
        <v>254.29004997357245</v>
      </c>
      <c r="H190" s="68">
        <f t="shared" si="15"/>
        <v>7.2654299992449267E-2</v>
      </c>
      <c r="I190" s="56"/>
    </row>
    <row r="191" spans="1:9" x14ac:dyDescent="0.25">
      <c r="A191" s="65">
        <v>43084</v>
      </c>
      <c r="B191" s="66">
        <f t="shared" si="16"/>
        <v>189</v>
      </c>
      <c r="C191" s="67">
        <f t="shared" si="17"/>
        <v>168.13025053786473</v>
      </c>
      <c r="D191" s="67">
        <v>160</v>
      </c>
      <c r="E191" s="75">
        <f t="shared" si="12"/>
        <v>8.1302505378647254</v>
      </c>
      <c r="F191" s="67">
        <f t="shared" si="13"/>
        <v>2185.6932569922415</v>
      </c>
      <c r="G191" s="75">
        <f t="shared" si="14"/>
        <v>252.03776667380649</v>
      </c>
      <c r="H191" s="68">
        <f t="shared" si="15"/>
        <v>7.2010790478230419E-2</v>
      </c>
      <c r="I191" s="56"/>
    </row>
    <row r="192" spans="1:9" x14ac:dyDescent="0.25">
      <c r="A192" s="65">
        <v>43084</v>
      </c>
      <c r="B192" s="66">
        <f t="shared" si="16"/>
        <v>190</v>
      </c>
      <c r="C192" s="67">
        <f t="shared" si="17"/>
        <v>168.05823974738649</v>
      </c>
      <c r="D192" s="67">
        <v>160</v>
      </c>
      <c r="E192" s="75">
        <f t="shared" si="12"/>
        <v>8.0582397473864944</v>
      </c>
      <c r="F192" s="67">
        <f t="shared" si="13"/>
        <v>2184.7571167160245</v>
      </c>
      <c r="G192" s="75">
        <f t="shared" si="14"/>
        <v>249.80543216898133</v>
      </c>
      <c r="H192" s="68">
        <f t="shared" si="15"/>
        <v>7.1372980619708953E-2</v>
      </c>
      <c r="I192" s="56"/>
    </row>
    <row r="193" spans="1:9" x14ac:dyDescent="0.25">
      <c r="A193" s="65">
        <v>43084</v>
      </c>
      <c r="B193" s="66">
        <f t="shared" si="16"/>
        <v>191</v>
      </c>
      <c r="C193" s="67">
        <f t="shared" si="17"/>
        <v>167.98686676676678</v>
      </c>
      <c r="D193" s="67">
        <v>160</v>
      </c>
      <c r="E193" s="75">
        <f t="shared" si="12"/>
        <v>7.9868667667667808</v>
      </c>
      <c r="F193" s="67">
        <f t="shared" si="13"/>
        <v>2183.829267967968</v>
      </c>
      <c r="G193" s="75">
        <f t="shared" si="14"/>
        <v>247.5928697697702</v>
      </c>
      <c r="H193" s="68">
        <f t="shared" si="15"/>
        <v>7.0740819934220059E-2</v>
      </c>
      <c r="I193" s="56"/>
    </row>
    <row r="194" spans="1:9" x14ac:dyDescent="0.25">
      <c r="A194" s="65">
        <v>43084</v>
      </c>
      <c r="B194" s="66">
        <f t="shared" si="16"/>
        <v>192</v>
      </c>
      <c r="C194" s="67">
        <f t="shared" si="17"/>
        <v>167.91612594683255</v>
      </c>
      <c r="D194" s="67">
        <v>160</v>
      </c>
      <c r="E194" s="75">
        <f t="shared" si="12"/>
        <v>7.9161259468325511</v>
      </c>
      <c r="F194" s="67">
        <f t="shared" si="13"/>
        <v>2182.9096373088232</v>
      </c>
      <c r="G194" s="75">
        <f t="shared" si="14"/>
        <v>245.39990435180908</v>
      </c>
      <c r="H194" s="68">
        <f t="shared" si="15"/>
        <v>7.0114258386231171E-2</v>
      </c>
      <c r="I194" s="56"/>
    </row>
    <row r="195" spans="1:9" x14ac:dyDescent="0.25">
      <c r="A195" s="65">
        <v>43084</v>
      </c>
      <c r="B195" s="66">
        <f t="shared" si="16"/>
        <v>193</v>
      </c>
      <c r="C195" s="67">
        <f t="shared" si="17"/>
        <v>167.84601168844631</v>
      </c>
      <c r="D195" s="67">
        <v>160</v>
      </c>
      <c r="E195" s="75">
        <f t="shared" ref="E195:E258" si="18">C195-D195</f>
        <v>7.8460116884463105</v>
      </c>
      <c r="F195" s="67">
        <f t="shared" ref="F195:F258" si="19">13*C195</f>
        <v>2181.9981519498019</v>
      </c>
      <c r="G195" s="75">
        <f t="shared" ref="G195:G258" si="20">E195*31</f>
        <v>243.22636234183562</v>
      </c>
      <c r="H195" s="68">
        <f t="shared" ref="H195:H258" si="21">MIN($G195/3500,$F195/3500)</f>
        <v>6.9493246383381613E-2</v>
      </c>
      <c r="I195" s="56"/>
    </row>
    <row r="196" spans="1:9" x14ac:dyDescent="0.25">
      <c r="A196" s="65">
        <v>43084</v>
      </c>
      <c r="B196" s="66">
        <f t="shared" ref="B196:B259" si="22">B195+1</f>
        <v>194</v>
      </c>
      <c r="C196" s="67">
        <f t="shared" ref="C196:C259" si="23">C195-H195</f>
        <v>167.77651844206292</v>
      </c>
      <c r="D196" s="67">
        <v>160</v>
      </c>
      <c r="E196" s="75">
        <f t="shared" si="18"/>
        <v>7.7765184420629225</v>
      </c>
      <c r="F196" s="67">
        <f t="shared" si="19"/>
        <v>2181.094739746818</v>
      </c>
      <c r="G196" s="75">
        <f t="shared" si="20"/>
        <v>241.0720717039506</v>
      </c>
      <c r="H196" s="68">
        <f t="shared" si="21"/>
        <v>6.887773477255732E-2</v>
      </c>
      <c r="I196" s="56"/>
    </row>
    <row r="197" spans="1:9" x14ac:dyDescent="0.25">
      <c r="A197" s="65">
        <v>43084</v>
      </c>
      <c r="B197" s="66">
        <f t="shared" si="22"/>
        <v>195</v>
      </c>
      <c r="C197" s="67">
        <f t="shared" si="23"/>
        <v>167.70764070729035</v>
      </c>
      <c r="D197" s="67">
        <v>160</v>
      </c>
      <c r="E197" s="75">
        <f t="shared" si="18"/>
        <v>7.7076407072903521</v>
      </c>
      <c r="F197" s="67">
        <f t="shared" si="19"/>
        <v>2180.1993291947747</v>
      </c>
      <c r="G197" s="75">
        <f t="shared" si="20"/>
        <v>238.93686192600092</v>
      </c>
      <c r="H197" s="68">
        <f t="shared" si="21"/>
        <v>6.8267674836000256E-2</v>
      </c>
      <c r="I197" s="56"/>
    </row>
    <row r="198" spans="1:9" x14ac:dyDescent="0.25">
      <c r="A198" s="65">
        <v>43084</v>
      </c>
      <c r="B198" s="66">
        <f t="shared" si="22"/>
        <v>196</v>
      </c>
      <c r="C198" s="67">
        <f t="shared" si="23"/>
        <v>167.63937303245436</v>
      </c>
      <c r="D198" s="67">
        <v>160</v>
      </c>
      <c r="E198" s="75">
        <f t="shared" si="18"/>
        <v>7.6393730324543583</v>
      </c>
      <c r="F198" s="67">
        <f t="shared" si="19"/>
        <v>2179.3118494219066</v>
      </c>
      <c r="G198" s="75">
        <f t="shared" si="20"/>
        <v>236.82056400608511</v>
      </c>
      <c r="H198" s="68">
        <f t="shared" si="21"/>
        <v>6.7663018287452886E-2</v>
      </c>
      <c r="I198" s="56"/>
    </row>
    <row r="199" spans="1:9" x14ac:dyDescent="0.25">
      <c r="A199" s="65">
        <v>43084</v>
      </c>
      <c r="B199" s="66">
        <f t="shared" si="22"/>
        <v>197</v>
      </c>
      <c r="C199" s="67">
        <f t="shared" si="23"/>
        <v>167.57171001416691</v>
      </c>
      <c r="D199" s="67">
        <v>160</v>
      </c>
      <c r="E199" s="75">
        <f t="shared" si="18"/>
        <v>7.5717100141669107</v>
      </c>
      <c r="F199" s="67">
        <f t="shared" si="19"/>
        <v>2178.4322301841698</v>
      </c>
      <c r="G199" s="75">
        <f t="shared" si="20"/>
        <v>234.72301043917423</v>
      </c>
      <c r="H199" s="68">
        <f t="shared" si="21"/>
        <v>6.7063717268335502E-2</v>
      </c>
      <c r="I199" s="56"/>
    </row>
    <row r="200" spans="1:9" x14ac:dyDescent="0.25">
      <c r="A200" s="65">
        <v>43084</v>
      </c>
      <c r="B200" s="66">
        <f t="shared" si="22"/>
        <v>198</v>
      </c>
      <c r="C200" s="67">
        <f t="shared" si="23"/>
        <v>167.50464629689858</v>
      </c>
      <c r="D200" s="67">
        <v>160</v>
      </c>
      <c r="E200" s="75">
        <f t="shared" si="18"/>
        <v>7.504646296898585</v>
      </c>
      <c r="F200" s="67">
        <f t="shared" si="19"/>
        <v>2177.5604018596814</v>
      </c>
      <c r="G200" s="75">
        <f t="shared" si="20"/>
        <v>232.64403520385613</v>
      </c>
      <c r="H200" s="68">
        <f t="shared" si="21"/>
        <v>6.6469724343958897E-2</v>
      </c>
      <c r="I200" s="56"/>
    </row>
    <row r="201" spans="1:9" x14ac:dyDescent="0.25">
      <c r="A201" s="65">
        <v>43084</v>
      </c>
      <c r="B201" s="66">
        <f t="shared" si="22"/>
        <v>199</v>
      </c>
      <c r="C201" s="67">
        <f t="shared" si="23"/>
        <v>167.43817657255462</v>
      </c>
      <c r="D201" s="67">
        <v>160</v>
      </c>
      <c r="E201" s="75">
        <f t="shared" si="18"/>
        <v>7.4381765725546245</v>
      </c>
      <c r="F201" s="67">
        <f t="shared" si="19"/>
        <v>2176.6962954432101</v>
      </c>
      <c r="G201" s="75">
        <f t="shared" si="20"/>
        <v>230.58347374919336</v>
      </c>
      <c r="H201" s="68">
        <f t="shared" si="21"/>
        <v>6.5880992499769531E-2</v>
      </c>
      <c r="I201" s="56"/>
    </row>
    <row r="202" spans="1:9" x14ac:dyDescent="0.25">
      <c r="A202" s="65">
        <v>43084</v>
      </c>
      <c r="B202" s="66">
        <f t="shared" si="22"/>
        <v>200</v>
      </c>
      <c r="C202" s="67">
        <f t="shared" si="23"/>
        <v>167.37229558005487</v>
      </c>
      <c r="D202" s="67">
        <v>160</v>
      </c>
      <c r="E202" s="75">
        <f t="shared" si="18"/>
        <v>7.3722955800548675</v>
      </c>
      <c r="F202" s="67">
        <f t="shared" si="19"/>
        <v>2175.8398425407131</v>
      </c>
      <c r="G202" s="75">
        <f t="shared" si="20"/>
        <v>228.54116298170089</v>
      </c>
      <c r="H202" s="68">
        <f t="shared" si="21"/>
        <v>6.5297475137628833E-2</v>
      </c>
      <c r="I202" s="56"/>
    </row>
    <row r="203" spans="1:9" x14ac:dyDescent="0.25">
      <c r="A203" s="65">
        <v>43084</v>
      </c>
      <c r="B203" s="66">
        <f t="shared" si="22"/>
        <v>201</v>
      </c>
      <c r="C203" s="67">
        <f t="shared" si="23"/>
        <v>167.30699810491723</v>
      </c>
      <c r="D203" s="67">
        <v>160</v>
      </c>
      <c r="E203" s="75">
        <f t="shared" si="18"/>
        <v>7.306998104917227</v>
      </c>
      <c r="F203" s="67">
        <f t="shared" si="19"/>
        <v>2174.990975363924</v>
      </c>
      <c r="G203" s="75">
        <f t="shared" si="20"/>
        <v>226.51694125243404</v>
      </c>
      <c r="H203" s="68">
        <f t="shared" si="21"/>
        <v>6.4719126072124017E-2</v>
      </c>
      <c r="I203" s="56"/>
    </row>
    <row r="204" spans="1:9" x14ac:dyDescent="0.25">
      <c r="A204" s="65">
        <v>43084</v>
      </c>
      <c r="B204" s="66">
        <f t="shared" si="22"/>
        <v>202</v>
      </c>
      <c r="C204" s="67">
        <f t="shared" si="23"/>
        <v>167.24227897884509</v>
      </c>
      <c r="D204" s="67">
        <v>160</v>
      </c>
      <c r="E204" s="75">
        <f t="shared" si="18"/>
        <v>7.2422789788450928</v>
      </c>
      <c r="F204" s="67">
        <f t="shared" si="19"/>
        <v>2174.1496267249863</v>
      </c>
      <c r="G204" s="75">
        <f t="shared" si="20"/>
        <v>224.51064834419788</v>
      </c>
      <c r="H204" s="68">
        <f t="shared" si="21"/>
        <v>6.4145899526913686E-2</v>
      </c>
      <c r="I204" s="56"/>
    </row>
    <row r="205" spans="1:9" x14ac:dyDescent="0.25">
      <c r="A205" s="65">
        <v>43084</v>
      </c>
      <c r="B205" s="66">
        <f t="shared" si="22"/>
        <v>203</v>
      </c>
      <c r="C205" s="67">
        <f t="shared" si="23"/>
        <v>167.17813307931817</v>
      </c>
      <c r="D205" s="67">
        <v>160</v>
      </c>
      <c r="E205" s="75">
        <f t="shared" si="18"/>
        <v>7.1781330793181723</v>
      </c>
      <c r="F205" s="67">
        <f t="shared" si="19"/>
        <v>2173.3157300311364</v>
      </c>
      <c r="G205" s="75">
        <f t="shared" si="20"/>
        <v>222.52212545886334</v>
      </c>
      <c r="H205" s="68">
        <f t="shared" si="21"/>
        <v>6.3577750131103811E-2</v>
      </c>
      <c r="I205" s="56"/>
    </row>
    <row r="206" spans="1:9" x14ac:dyDescent="0.25">
      <c r="A206" s="65">
        <v>43084</v>
      </c>
      <c r="B206" s="66">
        <f t="shared" si="22"/>
        <v>204</v>
      </c>
      <c r="C206" s="67">
        <f t="shared" si="23"/>
        <v>167.11455532918706</v>
      </c>
      <c r="D206" s="67">
        <v>160</v>
      </c>
      <c r="E206" s="75">
        <f t="shared" si="18"/>
        <v>7.1145553291870556</v>
      </c>
      <c r="F206" s="67">
        <f t="shared" si="19"/>
        <v>2172.4892192794318</v>
      </c>
      <c r="G206" s="75">
        <f t="shared" si="20"/>
        <v>220.55121520479872</v>
      </c>
      <c r="H206" s="68">
        <f t="shared" si="21"/>
        <v>6.3014632915656774E-2</v>
      </c>
      <c r="I206" s="56"/>
    </row>
    <row r="207" spans="1:9" x14ac:dyDescent="0.25">
      <c r="A207" s="65">
        <v>43084</v>
      </c>
      <c r="B207" s="66">
        <f t="shared" si="22"/>
        <v>205</v>
      </c>
      <c r="C207" s="67">
        <f t="shared" si="23"/>
        <v>167.05154069627139</v>
      </c>
      <c r="D207" s="67">
        <v>160</v>
      </c>
      <c r="E207" s="75">
        <f t="shared" si="18"/>
        <v>7.0515406962713882</v>
      </c>
      <c r="F207" s="67">
        <f t="shared" si="19"/>
        <v>2171.6700290515282</v>
      </c>
      <c r="G207" s="75">
        <f t="shared" si="20"/>
        <v>218.59776158441304</v>
      </c>
      <c r="H207" s="68">
        <f t="shared" si="21"/>
        <v>6.2456503309832295E-2</v>
      </c>
      <c r="I207" s="56"/>
    </row>
    <row r="208" spans="1:9" x14ac:dyDescent="0.25">
      <c r="A208" s="65">
        <v>43084</v>
      </c>
      <c r="B208" s="66">
        <f t="shared" si="22"/>
        <v>206</v>
      </c>
      <c r="C208" s="67">
        <f t="shared" si="23"/>
        <v>166.98908419296154</v>
      </c>
      <c r="D208" s="67">
        <v>160</v>
      </c>
      <c r="E208" s="75">
        <f t="shared" si="18"/>
        <v>6.9890841929615419</v>
      </c>
      <c r="F208" s="67">
        <f t="shared" si="19"/>
        <v>2170.8580945085</v>
      </c>
      <c r="G208" s="75">
        <f t="shared" si="20"/>
        <v>216.6616099818078</v>
      </c>
      <c r="H208" s="68">
        <f t="shared" si="21"/>
        <v>6.1903317137659369E-2</v>
      </c>
      <c r="I208" s="56"/>
    </row>
    <row r="209" spans="1:9" x14ac:dyDescent="0.25">
      <c r="A209" s="65">
        <v>43084</v>
      </c>
      <c r="B209" s="66">
        <f t="shared" si="22"/>
        <v>207</v>
      </c>
      <c r="C209" s="67">
        <f t="shared" si="23"/>
        <v>166.92718087582389</v>
      </c>
      <c r="D209" s="67">
        <v>160</v>
      </c>
      <c r="E209" s="75">
        <f t="shared" si="18"/>
        <v>6.9271808758238933</v>
      </c>
      <c r="F209" s="67">
        <f t="shared" si="19"/>
        <v>2170.0533513857108</v>
      </c>
      <c r="G209" s="75">
        <f t="shared" si="20"/>
        <v>214.74260715054069</v>
      </c>
      <c r="H209" s="68">
        <f t="shared" si="21"/>
        <v>6.1355030614440198E-2</v>
      </c>
      <c r="I209" s="56"/>
    </row>
    <row r="210" spans="1:9" x14ac:dyDescent="0.25">
      <c r="A210" s="65">
        <v>43084</v>
      </c>
      <c r="B210" s="66">
        <f t="shared" si="22"/>
        <v>208</v>
      </c>
      <c r="C210" s="67">
        <f t="shared" si="23"/>
        <v>166.86582584520946</v>
      </c>
      <c r="D210" s="67">
        <v>160</v>
      </c>
      <c r="E210" s="75">
        <f t="shared" si="18"/>
        <v>6.8658258452094572</v>
      </c>
      <c r="F210" s="67">
        <f t="shared" si="19"/>
        <v>2169.2557359877228</v>
      </c>
      <c r="G210" s="75">
        <f t="shared" si="20"/>
        <v>212.84060120149317</v>
      </c>
      <c r="H210" s="68">
        <f t="shared" si="21"/>
        <v>6.0811600343283763E-2</v>
      </c>
      <c r="I210" s="56"/>
    </row>
    <row r="211" spans="1:9" x14ac:dyDescent="0.25">
      <c r="A211" s="65">
        <v>43084</v>
      </c>
      <c r="B211" s="66">
        <f t="shared" si="22"/>
        <v>209</v>
      </c>
      <c r="C211" s="67">
        <f t="shared" si="23"/>
        <v>166.80501424486619</v>
      </c>
      <c r="D211" s="67">
        <v>160</v>
      </c>
      <c r="E211" s="75">
        <f t="shared" si="18"/>
        <v>6.8050142448661859</v>
      </c>
      <c r="F211" s="67">
        <f t="shared" si="19"/>
        <v>2168.4651851832605</v>
      </c>
      <c r="G211" s="75">
        <f t="shared" si="20"/>
        <v>210.95544159085176</v>
      </c>
      <c r="H211" s="68">
        <f t="shared" si="21"/>
        <v>6.0272983311671934E-2</v>
      </c>
      <c r="I211" s="56"/>
    </row>
    <row r="212" spans="1:9" x14ac:dyDescent="0.25">
      <c r="A212" s="65">
        <v>43084</v>
      </c>
      <c r="B212" s="66">
        <f t="shared" si="22"/>
        <v>210</v>
      </c>
      <c r="C212" s="67">
        <f t="shared" si="23"/>
        <v>166.74474126155451</v>
      </c>
      <c r="D212" s="67">
        <v>160</v>
      </c>
      <c r="E212" s="75">
        <f t="shared" si="18"/>
        <v>6.744741261554509</v>
      </c>
      <c r="F212" s="67">
        <f t="shared" si="19"/>
        <v>2167.6816364002088</v>
      </c>
      <c r="G212" s="75">
        <f t="shared" si="20"/>
        <v>209.08697910818978</v>
      </c>
      <c r="H212" s="68">
        <f t="shared" si="21"/>
        <v>5.9739136888054226E-2</v>
      </c>
      <c r="I212" s="56"/>
    </row>
    <row r="213" spans="1:9" x14ac:dyDescent="0.25">
      <c r="A213" s="65">
        <v>43084</v>
      </c>
      <c r="B213" s="66">
        <f t="shared" si="22"/>
        <v>211</v>
      </c>
      <c r="C213" s="67">
        <f t="shared" si="23"/>
        <v>166.68500212466645</v>
      </c>
      <c r="D213" s="67">
        <v>160</v>
      </c>
      <c r="E213" s="75">
        <f t="shared" si="18"/>
        <v>6.6850021246664539</v>
      </c>
      <c r="F213" s="67">
        <f t="shared" si="19"/>
        <v>2166.905027620664</v>
      </c>
      <c r="G213" s="75">
        <f t="shared" si="20"/>
        <v>207.23506586466007</v>
      </c>
      <c r="H213" s="68">
        <f t="shared" si="21"/>
        <v>5.9210018818474305E-2</v>
      </c>
      <c r="I213" s="56"/>
    </row>
    <row r="214" spans="1:9" x14ac:dyDescent="0.25">
      <c r="A214" s="65">
        <v>43084</v>
      </c>
      <c r="B214" s="66">
        <f t="shared" si="22"/>
        <v>212</v>
      </c>
      <c r="C214" s="67">
        <f t="shared" si="23"/>
        <v>166.62579210584798</v>
      </c>
      <c r="D214" s="67">
        <v>160</v>
      </c>
      <c r="E214" s="75">
        <f t="shared" si="18"/>
        <v>6.6257921058479781</v>
      </c>
      <c r="F214" s="67">
        <f t="shared" si="19"/>
        <v>2166.1352973760236</v>
      </c>
      <c r="G214" s="75">
        <f t="shared" si="20"/>
        <v>205.39955528128732</v>
      </c>
      <c r="H214" s="68">
        <f t="shared" si="21"/>
        <v>5.868558722322495E-2</v>
      </c>
      <c r="I214" s="56"/>
    </row>
    <row r="215" spans="1:9" x14ac:dyDescent="0.25">
      <c r="A215" s="65">
        <v>43084</v>
      </c>
      <c r="B215" s="66">
        <f t="shared" si="22"/>
        <v>213</v>
      </c>
      <c r="C215" s="67">
        <f t="shared" si="23"/>
        <v>166.56710651862474</v>
      </c>
      <c r="D215" s="67">
        <v>160</v>
      </c>
      <c r="E215" s="75">
        <f t="shared" si="18"/>
        <v>6.5671065186247404</v>
      </c>
      <c r="F215" s="67">
        <f t="shared" si="19"/>
        <v>2165.3723847421215</v>
      </c>
      <c r="G215" s="75">
        <f t="shared" si="20"/>
        <v>203.58030207736695</v>
      </c>
      <c r="H215" s="68">
        <f t="shared" si="21"/>
        <v>5.8165800593533414E-2</v>
      </c>
      <c r="I215" s="56"/>
    </row>
    <row r="216" spans="1:9" x14ac:dyDescent="0.25">
      <c r="A216" s="65">
        <v>43084</v>
      </c>
      <c r="B216" s="66">
        <f t="shared" si="22"/>
        <v>214</v>
      </c>
      <c r="C216" s="67">
        <f t="shared" si="23"/>
        <v>166.5089407180312</v>
      </c>
      <c r="D216" s="67">
        <v>160</v>
      </c>
      <c r="E216" s="75">
        <f t="shared" si="18"/>
        <v>6.508940718031198</v>
      </c>
      <c r="F216" s="67">
        <f t="shared" si="19"/>
        <v>2164.6162293344055</v>
      </c>
      <c r="G216" s="75">
        <f t="shared" si="20"/>
        <v>201.77716225896714</v>
      </c>
      <c r="H216" s="68">
        <f t="shared" si="21"/>
        <v>5.7650617788276327E-2</v>
      </c>
      <c r="I216" s="56"/>
    </row>
    <row r="217" spans="1:9" x14ac:dyDescent="0.25">
      <c r="A217" s="65">
        <v>43084</v>
      </c>
      <c r="B217" s="66">
        <f t="shared" si="22"/>
        <v>215</v>
      </c>
      <c r="C217" s="67">
        <f t="shared" si="23"/>
        <v>166.45129010024291</v>
      </c>
      <c r="D217" s="67">
        <v>160</v>
      </c>
      <c r="E217" s="75">
        <f t="shared" si="18"/>
        <v>6.4512901002429146</v>
      </c>
      <c r="F217" s="67">
        <f t="shared" si="19"/>
        <v>2163.8667713031577</v>
      </c>
      <c r="G217" s="75">
        <f t="shared" si="20"/>
        <v>199.98999310753035</v>
      </c>
      <c r="H217" s="68">
        <f t="shared" si="21"/>
        <v>5.7139998030722956E-2</v>
      </c>
      <c r="I217" s="56"/>
    </row>
    <row r="218" spans="1:9" x14ac:dyDescent="0.25">
      <c r="A218" s="65">
        <v>43084</v>
      </c>
      <c r="B218" s="66">
        <f t="shared" si="22"/>
        <v>216</v>
      </c>
      <c r="C218" s="67">
        <f t="shared" si="23"/>
        <v>166.39415010221219</v>
      </c>
      <c r="D218" s="67">
        <v>160</v>
      </c>
      <c r="E218" s="75">
        <f t="shared" si="18"/>
        <v>6.394150102212194</v>
      </c>
      <c r="F218" s="67">
        <f t="shared" si="19"/>
        <v>2163.1239513287587</v>
      </c>
      <c r="G218" s="75">
        <f t="shared" si="20"/>
        <v>198.21865316857802</v>
      </c>
      <c r="H218" s="68">
        <f t="shared" si="21"/>
        <v>5.6633900905308003E-2</v>
      </c>
      <c r="I218" s="56"/>
    </row>
    <row r="219" spans="1:9" x14ac:dyDescent="0.25">
      <c r="A219" s="65">
        <v>43084</v>
      </c>
      <c r="B219" s="66">
        <f t="shared" si="22"/>
        <v>217</v>
      </c>
      <c r="C219" s="67">
        <f t="shared" si="23"/>
        <v>166.3375162013069</v>
      </c>
      <c r="D219" s="67">
        <v>160</v>
      </c>
      <c r="E219" s="75">
        <f t="shared" si="18"/>
        <v>6.3375162013068973</v>
      </c>
      <c r="F219" s="67">
        <f t="shared" si="19"/>
        <v>2162.3877106169898</v>
      </c>
      <c r="G219" s="75">
        <f t="shared" si="20"/>
        <v>196.46300224051382</v>
      </c>
      <c r="H219" s="68">
        <f t="shared" si="21"/>
        <v>5.6132286354432522E-2</v>
      </c>
      <c r="I219" s="56"/>
    </row>
    <row r="220" spans="1:9" x14ac:dyDescent="0.25">
      <c r="A220" s="65">
        <v>43084</v>
      </c>
      <c r="B220" s="66">
        <f t="shared" si="22"/>
        <v>218</v>
      </c>
      <c r="C220" s="67">
        <f t="shared" si="23"/>
        <v>166.28138391495247</v>
      </c>
      <c r="D220" s="67">
        <v>160</v>
      </c>
      <c r="E220" s="75">
        <f t="shared" si="18"/>
        <v>6.2813839149524711</v>
      </c>
      <c r="F220" s="67">
        <f t="shared" si="19"/>
        <v>2161.6579908943822</v>
      </c>
      <c r="G220" s="75">
        <f t="shared" si="20"/>
        <v>194.7229013635266</v>
      </c>
      <c r="H220" s="68">
        <f t="shared" si="21"/>
        <v>5.5635114675293314E-2</v>
      </c>
      <c r="I220" s="56"/>
    </row>
    <row r="221" spans="1:9" x14ac:dyDescent="0.25">
      <c r="A221" s="65">
        <v>43084</v>
      </c>
      <c r="B221" s="66">
        <f t="shared" si="22"/>
        <v>219</v>
      </c>
      <c r="C221" s="67">
        <f t="shared" si="23"/>
        <v>166.22574880027719</v>
      </c>
      <c r="D221" s="67">
        <v>160</v>
      </c>
      <c r="E221" s="75">
        <f t="shared" si="18"/>
        <v>6.2257488002771879</v>
      </c>
      <c r="F221" s="67">
        <f t="shared" si="19"/>
        <v>2160.9347344036032</v>
      </c>
      <c r="G221" s="75">
        <f t="shared" si="20"/>
        <v>192.99821280859283</v>
      </c>
      <c r="H221" s="68">
        <f t="shared" si="21"/>
        <v>5.5142346516740805E-2</v>
      </c>
      <c r="I221" s="56"/>
    </row>
    <row r="222" spans="1:9" x14ac:dyDescent="0.25">
      <c r="A222" s="65">
        <v>43084</v>
      </c>
      <c r="B222" s="66">
        <f t="shared" si="22"/>
        <v>220</v>
      </c>
      <c r="C222" s="67">
        <f t="shared" si="23"/>
        <v>166.17060645376046</v>
      </c>
      <c r="D222" s="67">
        <v>160</v>
      </c>
      <c r="E222" s="75">
        <f t="shared" si="18"/>
        <v>6.1706064537604561</v>
      </c>
      <c r="F222" s="67">
        <f t="shared" si="19"/>
        <v>2160.2178838988857</v>
      </c>
      <c r="G222" s="75">
        <f t="shared" si="20"/>
        <v>191.28880006657414</v>
      </c>
      <c r="H222" s="68">
        <f t="shared" si="21"/>
        <v>5.4653942876164041E-2</v>
      </c>
      <c r="I222" s="56"/>
    </row>
    <row r="223" spans="1:9" x14ac:dyDescent="0.25">
      <c r="A223" s="65">
        <v>43084</v>
      </c>
      <c r="B223" s="66">
        <f t="shared" si="22"/>
        <v>221</v>
      </c>
      <c r="C223" s="67">
        <f t="shared" si="23"/>
        <v>166.11595251088428</v>
      </c>
      <c r="D223" s="67">
        <v>160</v>
      </c>
      <c r="E223" s="75">
        <f t="shared" si="18"/>
        <v>6.1159525108842843</v>
      </c>
      <c r="F223" s="67">
        <f t="shared" si="19"/>
        <v>2159.5073826414955</v>
      </c>
      <c r="G223" s="75">
        <f t="shared" si="20"/>
        <v>189.59452783741281</v>
      </c>
      <c r="H223" s="68">
        <f t="shared" si="21"/>
        <v>5.416986509640366E-2</v>
      </c>
      <c r="I223" s="56"/>
    </row>
    <row r="224" spans="1:9" x14ac:dyDescent="0.25">
      <c r="A224" s="65">
        <v>43084</v>
      </c>
      <c r="B224" s="66">
        <f t="shared" si="22"/>
        <v>222</v>
      </c>
      <c r="C224" s="67">
        <f t="shared" si="23"/>
        <v>166.06178264578787</v>
      </c>
      <c r="D224" s="67">
        <v>160</v>
      </c>
      <c r="E224" s="75">
        <f t="shared" si="18"/>
        <v>6.0617826457878721</v>
      </c>
      <c r="F224" s="67">
        <f t="shared" si="19"/>
        <v>2158.8031743952424</v>
      </c>
      <c r="G224" s="75">
        <f t="shared" si="20"/>
        <v>187.91526201942403</v>
      </c>
      <c r="H224" s="68">
        <f t="shared" si="21"/>
        <v>5.3690074862692581E-2</v>
      </c>
      <c r="I224" s="56"/>
    </row>
    <row r="225" spans="1:9" x14ac:dyDescent="0.25">
      <c r="A225" s="65">
        <v>43084</v>
      </c>
      <c r="B225" s="66">
        <f t="shared" si="22"/>
        <v>223</v>
      </c>
      <c r="C225" s="67">
        <f t="shared" si="23"/>
        <v>166.00809257092519</v>
      </c>
      <c r="D225" s="67">
        <v>160</v>
      </c>
      <c r="E225" s="75">
        <f t="shared" si="18"/>
        <v>6.0080925709251858</v>
      </c>
      <c r="F225" s="67">
        <f t="shared" si="19"/>
        <v>2158.1052034220274</v>
      </c>
      <c r="G225" s="75">
        <f t="shared" si="20"/>
        <v>186.25086969868076</v>
      </c>
      <c r="H225" s="68">
        <f t="shared" si="21"/>
        <v>5.3214534199623076E-2</v>
      </c>
      <c r="I225" s="56"/>
    </row>
    <row r="226" spans="1:9" x14ac:dyDescent="0.25">
      <c r="A226" s="65">
        <v>43084</v>
      </c>
      <c r="B226" s="66">
        <f t="shared" si="22"/>
        <v>224</v>
      </c>
      <c r="C226" s="67">
        <f t="shared" si="23"/>
        <v>165.95487803672557</v>
      </c>
      <c r="D226" s="67">
        <v>160</v>
      </c>
      <c r="E226" s="75">
        <f t="shared" si="18"/>
        <v>5.9548780367255745</v>
      </c>
      <c r="F226" s="67">
        <f t="shared" si="19"/>
        <v>2157.4134144774325</v>
      </c>
      <c r="G226" s="75">
        <f t="shared" si="20"/>
        <v>184.60121913849281</v>
      </c>
      <c r="H226" s="68">
        <f t="shared" si="21"/>
        <v>5.2743205468140805E-2</v>
      </c>
      <c r="I226" s="56"/>
    </row>
    <row r="227" spans="1:9" x14ac:dyDescent="0.25">
      <c r="A227" s="65">
        <v>43084</v>
      </c>
      <c r="B227" s="66">
        <f t="shared" si="22"/>
        <v>225</v>
      </c>
      <c r="C227" s="67">
        <f t="shared" si="23"/>
        <v>165.90213483125743</v>
      </c>
      <c r="D227" s="67">
        <v>160</v>
      </c>
      <c r="E227" s="75">
        <f t="shared" si="18"/>
        <v>5.9021348312574275</v>
      </c>
      <c r="F227" s="67">
        <f t="shared" si="19"/>
        <v>2156.7277528063464</v>
      </c>
      <c r="G227" s="75">
        <f t="shared" si="20"/>
        <v>182.96617976898025</v>
      </c>
      <c r="H227" s="68">
        <f t="shared" si="21"/>
        <v>5.2276051362565787E-2</v>
      </c>
      <c r="I227" s="56"/>
    </row>
    <row r="228" spans="1:9" x14ac:dyDescent="0.25">
      <c r="A228" s="65">
        <v>43084</v>
      </c>
      <c r="B228" s="66">
        <f t="shared" si="22"/>
        <v>226</v>
      </c>
      <c r="C228" s="67">
        <f t="shared" si="23"/>
        <v>165.84985877989487</v>
      </c>
      <c r="D228" s="67">
        <v>160</v>
      </c>
      <c r="E228" s="75">
        <f t="shared" si="18"/>
        <v>5.8498587798948734</v>
      </c>
      <c r="F228" s="67">
        <f t="shared" si="19"/>
        <v>2156.0481641386332</v>
      </c>
      <c r="G228" s="75">
        <f t="shared" si="20"/>
        <v>181.34562217674107</v>
      </c>
      <c r="H228" s="68">
        <f t="shared" si="21"/>
        <v>5.1813034907640304E-2</v>
      </c>
      <c r="I228" s="56"/>
    </row>
    <row r="229" spans="1:9" x14ac:dyDescent="0.25">
      <c r="A229" s="65">
        <v>43084</v>
      </c>
      <c r="B229" s="66">
        <f t="shared" si="22"/>
        <v>227</v>
      </c>
      <c r="C229" s="67">
        <f t="shared" si="23"/>
        <v>165.79804574498723</v>
      </c>
      <c r="D229" s="67">
        <v>160</v>
      </c>
      <c r="E229" s="75">
        <f t="shared" si="18"/>
        <v>5.7980457449872347</v>
      </c>
      <c r="F229" s="67">
        <f t="shared" si="19"/>
        <v>2155.3745946848339</v>
      </c>
      <c r="G229" s="75">
        <f t="shared" si="20"/>
        <v>179.73941809460428</v>
      </c>
      <c r="H229" s="68">
        <f t="shared" si="21"/>
        <v>5.135411945560122E-2</v>
      </c>
      <c r="I229" s="56"/>
    </row>
    <row r="230" spans="1:9" x14ac:dyDescent="0.25">
      <c r="A230" s="65">
        <v>43084</v>
      </c>
      <c r="B230" s="66">
        <f t="shared" si="22"/>
        <v>228</v>
      </c>
      <c r="C230" s="67">
        <f t="shared" si="23"/>
        <v>165.74669162553164</v>
      </c>
      <c r="D230" s="67">
        <v>160</v>
      </c>
      <c r="E230" s="75">
        <f t="shared" si="18"/>
        <v>5.7466916255316391</v>
      </c>
      <c r="F230" s="67">
        <f t="shared" si="19"/>
        <v>2154.7069911319113</v>
      </c>
      <c r="G230" s="75">
        <f t="shared" si="20"/>
        <v>178.14744039148081</v>
      </c>
      <c r="H230" s="68">
        <f t="shared" si="21"/>
        <v>5.0899268683280235E-2</v>
      </c>
      <c r="I230" s="56"/>
    </row>
    <row r="231" spans="1:9" x14ac:dyDescent="0.25">
      <c r="A231" s="65">
        <v>43084</v>
      </c>
      <c r="B231" s="66">
        <f t="shared" si="22"/>
        <v>229</v>
      </c>
      <c r="C231" s="67">
        <f t="shared" si="23"/>
        <v>165.69579235684836</v>
      </c>
      <c r="D231" s="67">
        <v>160</v>
      </c>
      <c r="E231" s="75">
        <f t="shared" si="18"/>
        <v>5.6957923568483579</v>
      </c>
      <c r="F231" s="67">
        <f t="shared" si="19"/>
        <v>2154.0453006390285</v>
      </c>
      <c r="G231" s="75">
        <f t="shared" si="20"/>
        <v>176.5695630622991</v>
      </c>
      <c r="H231" s="68">
        <f t="shared" si="21"/>
        <v>5.0448446589228313E-2</v>
      </c>
      <c r="I231" s="56"/>
    </row>
    <row r="232" spans="1:9" x14ac:dyDescent="0.25">
      <c r="A232" s="65">
        <v>43084</v>
      </c>
      <c r="B232" s="66">
        <f t="shared" si="22"/>
        <v>230</v>
      </c>
      <c r="C232" s="67">
        <f t="shared" si="23"/>
        <v>165.64534391025913</v>
      </c>
      <c r="D232" s="67">
        <v>160</v>
      </c>
      <c r="E232" s="75">
        <f t="shared" si="18"/>
        <v>5.645343910259129</v>
      </c>
      <c r="F232" s="67">
        <f t="shared" si="19"/>
        <v>2153.3894708333687</v>
      </c>
      <c r="G232" s="75">
        <f t="shared" si="20"/>
        <v>175.005661218033</v>
      </c>
      <c r="H232" s="68">
        <f t="shared" si="21"/>
        <v>5.0001617490866568E-2</v>
      </c>
      <c r="I232" s="56"/>
    </row>
    <row r="233" spans="1:9" x14ac:dyDescent="0.25">
      <c r="A233" s="65">
        <v>43084</v>
      </c>
      <c r="B233" s="66">
        <f t="shared" si="22"/>
        <v>231</v>
      </c>
      <c r="C233" s="67">
        <f t="shared" si="23"/>
        <v>165.59534229276827</v>
      </c>
      <c r="D233" s="67">
        <v>160</v>
      </c>
      <c r="E233" s="75">
        <f t="shared" si="18"/>
        <v>5.5953422927682652</v>
      </c>
      <c r="F233" s="67">
        <f t="shared" si="19"/>
        <v>2152.7394498059875</v>
      </c>
      <c r="G233" s="75">
        <f t="shared" si="20"/>
        <v>173.45561107581622</v>
      </c>
      <c r="H233" s="68">
        <f t="shared" si="21"/>
        <v>4.9558746021661777E-2</v>
      </c>
      <c r="I233" s="56"/>
    </row>
    <row r="234" spans="1:9" x14ac:dyDescent="0.25">
      <c r="A234" s="65">
        <v>43084</v>
      </c>
      <c r="B234" s="66">
        <f t="shared" si="22"/>
        <v>232</v>
      </c>
      <c r="C234" s="67">
        <f t="shared" si="23"/>
        <v>165.54578354674661</v>
      </c>
      <c r="D234" s="67">
        <v>160</v>
      </c>
      <c r="E234" s="75">
        <f t="shared" si="18"/>
        <v>5.5457835467466055</v>
      </c>
      <c r="F234" s="67">
        <f t="shared" si="19"/>
        <v>2152.095186107706</v>
      </c>
      <c r="G234" s="75">
        <f t="shared" si="20"/>
        <v>171.91928994914477</v>
      </c>
      <c r="H234" s="68">
        <f t="shared" si="21"/>
        <v>4.9119797128327078E-2</v>
      </c>
      <c r="I234" s="56"/>
    </row>
    <row r="235" spans="1:9" x14ac:dyDescent="0.25">
      <c r="A235" s="65">
        <v>43084</v>
      </c>
      <c r="B235" s="66">
        <f t="shared" si="22"/>
        <v>233</v>
      </c>
      <c r="C235" s="67">
        <f t="shared" si="23"/>
        <v>165.49666374961828</v>
      </c>
      <c r="D235" s="67">
        <v>160</v>
      </c>
      <c r="E235" s="75">
        <f t="shared" si="18"/>
        <v>5.4966637496182784</v>
      </c>
      <c r="F235" s="67">
        <f t="shared" si="19"/>
        <v>2151.4566287450375</v>
      </c>
      <c r="G235" s="75">
        <f t="shared" si="20"/>
        <v>170.39657623816663</v>
      </c>
      <c r="H235" s="68">
        <f t="shared" si="21"/>
        <v>4.8684736068047609E-2</v>
      </c>
      <c r="I235" s="56"/>
    </row>
    <row r="236" spans="1:9" x14ac:dyDescent="0.25">
      <c r="A236" s="65">
        <v>43084</v>
      </c>
      <c r="B236" s="66">
        <f t="shared" si="22"/>
        <v>234</v>
      </c>
      <c r="C236" s="67">
        <f t="shared" si="23"/>
        <v>165.44797901355022</v>
      </c>
      <c r="D236" s="67">
        <v>160</v>
      </c>
      <c r="E236" s="75">
        <f t="shared" si="18"/>
        <v>5.4479790135502242</v>
      </c>
      <c r="F236" s="67">
        <f t="shared" si="19"/>
        <v>2150.8237271761527</v>
      </c>
      <c r="G236" s="75">
        <f t="shared" si="20"/>
        <v>168.88734942005695</v>
      </c>
      <c r="H236" s="68">
        <f t="shared" si="21"/>
        <v>4.8253528405730557E-2</v>
      </c>
      <c r="I236" s="56"/>
    </row>
    <row r="237" spans="1:9" x14ac:dyDescent="0.25">
      <c r="A237" s="65">
        <v>43084</v>
      </c>
      <c r="B237" s="66">
        <f t="shared" si="22"/>
        <v>235</v>
      </c>
      <c r="C237" s="67">
        <f t="shared" si="23"/>
        <v>165.3997254851445</v>
      </c>
      <c r="D237" s="67">
        <v>160</v>
      </c>
      <c r="E237" s="75">
        <f t="shared" si="18"/>
        <v>5.3997254851445007</v>
      </c>
      <c r="F237" s="67">
        <f t="shared" si="19"/>
        <v>2150.1964313068784</v>
      </c>
      <c r="G237" s="75">
        <f t="shared" si="20"/>
        <v>167.39149003947952</v>
      </c>
      <c r="H237" s="68">
        <f t="shared" si="21"/>
        <v>4.7826140011279862E-2</v>
      </c>
      <c r="I237" s="56"/>
    </row>
    <row r="238" spans="1:9" x14ac:dyDescent="0.25">
      <c r="A238" s="65">
        <v>43084</v>
      </c>
      <c r="B238" s="66">
        <f t="shared" si="22"/>
        <v>236</v>
      </c>
      <c r="C238" s="67">
        <f t="shared" si="23"/>
        <v>165.35189934513323</v>
      </c>
      <c r="D238" s="67">
        <v>160</v>
      </c>
      <c r="E238" s="75">
        <f t="shared" si="18"/>
        <v>5.3518993451332335</v>
      </c>
      <c r="F238" s="67">
        <f t="shared" si="19"/>
        <v>2149.5746914867323</v>
      </c>
      <c r="G238" s="75">
        <f t="shared" si="20"/>
        <v>165.90887969913024</v>
      </c>
      <c r="H238" s="68">
        <f t="shared" si="21"/>
        <v>4.7402537056894352E-2</v>
      </c>
      <c r="I238" s="56"/>
    </row>
    <row r="239" spans="1:9" x14ac:dyDescent="0.25">
      <c r="A239" s="65">
        <v>43084</v>
      </c>
      <c r="B239" s="66">
        <f t="shared" si="22"/>
        <v>237</v>
      </c>
      <c r="C239" s="67">
        <f t="shared" si="23"/>
        <v>165.30449680807635</v>
      </c>
      <c r="D239" s="67">
        <v>160</v>
      </c>
      <c r="E239" s="75">
        <f t="shared" si="18"/>
        <v>5.304496808076351</v>
      </c>
      <c r="F239" s="67">
        <f t="shared" si="19"/>
        <v>2148.9584585049924</v>
      </c>
      <c r="G239" s="75">
        <f t="shared" si="20"/>
        <v>164.43940105036688</v>
      </c>
      <c r="H239" s="68">
        <f t="shared" si="21"/>
        <v>4.698268601439054E-2</v>
      </c>
      <c r="I239" s="56"/>
    </row>
    <row r="240" spans="1:9" x14ac:dyDescent="0.25">
      <c r="A240" s="65">
        <v>43084</v>
      </c>
      <c r="B240" s="66">
        <f t="shared" si="22"/>
        <v>238</v>
      </c>
      <c r="C240" s="67">
        <f t="shared" si="23"/>
        <v>165.25751412206196</v>
      </c>
      <c r="D240" s="67">
        <v>160</v>
      </c>
      <c r="E240" s="75">
        <f t="shared" si="18"/>
        <v>5.2575141220619628</v>
      </c>
      <c r="F240" s="67">
        <f t="shared" si="19"/>
        <v>2148.3476835868055</v>
      </c>
      <c r="G240" s="75">
        <f t="shared" si="20"/>
        <v>162.98293778392085</v>
      </c>
      <c r="H240" s="68">
        <f t="shared" si="21"/>
        <v>4.656655365254881E-2</v>
      </c>
      <c r="I240" s="56"/>
    </row>
    <row r="241" spans="1:9" x14ac:dyDescent="0.25">
      <c r="A241" s="65">
        <v>43084</v>
      </c>
      <c r="B241" s="66">
        <f t="shared" si="22"/>
        <v>239</v>
      </c>
      <c r="C241" s="67">
        <f t="shared" si="23"/>
        <v>165.21094756840941</v>
      </c>
      <c r="D241" s="67">
        <v>160</v>
      </c>
      <c r="E241" s="75">
        <f t="shared" si="18"/>
        <v>5.2109475684094093</v>
      </c>
      <c r="F241" s="67">
        <f t="shared" si="19"/>
        <v>2147.7423183893225</v>
      </c>
      <c r="G241" s="75">
        <f t="shared" si="20"/>
        <v>161.53937462069169</v>
      </c>
      <c r="H241" s="68">
        <f t="shared" si="21"/>
        <v>4.615410703448334E-2</v>
      </c>
      <c r="I241" s="56"/>
    </row>
    <row r="242" spans="1:9" x14ac:dyDescent="0.25">
      <c r="A242" s="65">
        <v>43084</v>
      </c>
      <c r="B242" s="66">
        <f t="shared" si="22"/>
        <v>240</v>
      </c>
      <c r="C242" s="67">
        <f t="shared" si="23"/>
        <v>165.16479346137493</v>
      </c>
      <c r="D242" s="67">
        <v>160</v>
      </c>
      <c r="E242" s="75">
        <f t="shared" si="18"/>
        <v>5.1647934613749271</v>
      </c>
      <c r="F242" s="67">
        <f t="shared" si="19"/>
        <v>2147.1423149978741</v>
      </c>
      <c r="G242" s="75">
        <f t="shared" si="20"/>
        <v>160.10859730262274</v>
      </c>
      <c r="H242" s="68">
        <f t="shared" si="21"/>
        <v>4.5745313515035066E-2</v>
      </c>
      <c r="I242" s="56"/>
    </row>
    <row r="243" spans="1:9" x14ac:dyDescent="0.25">
      <c r="A243" s="65">
        <v>43084</v>
      </c>
      <c r="B243" s="66">
        <f t="shared" si="22"/>
        <v>241</v>
      </c>
      <c r="C243" s="67">
        <f t="shared" si="23"/>
        <v>165.1190481478599</v>
      </c>
      <c r="D243" s="67">
        <v>160</v>
      </c>
      <c r="E243" s="75">
        <f t="shared" si="18"/>
        <v>5.1190481478598997</v>
      </c>
      <c r="F243" s="67">
        <f t="shared" si="19"/>
        <v>2146.5476259221787</v>
      </c>
      <c r="G243" s="75">
        <f t="shared" si="20"/>
        <v>158.69049258365689</v>
      </c>
      <c r="H243" s="68">
        <f t="shared" si="21"/>
        <v>4.5340140738187686E-2</v>
      </c>
      <c r="I243" s="56"/>
    </row>
    <row r="244" spans="1:9" x14ac:dyDescent="0.25">
      <c r="A244" s="65">
        <v>43084</v>
      </c>
      <c r="B244" s="66">
        <f t="shared" si="22"/>
        <v>242</v>
      </c>
      <c r="C244" s="67">
        <f t="shared" si="23"/>
        <v>165.07370800712172</v>
      </c>
      <c r="D244" s="67">
        <v>160</v>
      </c>
      <c r="E244" s="75">
        <f t="shared" si="18"/>
        <v>5.0737080071217235</v>
      </c>
      <c r="F244" s="67">
        <f t="shared" si="19"/>
        <v>2145.9582040925825</v>
      </c>
      <c r="G244" s="75">
        <f t="shared" si="20"/>
        <v>157.28494822077343</v>
      </c>
      <c r="H244" s="68">
        <f t="shared" si="21"/>
        <v>4.4938556634506695E-2</v>
      </c>
      <c r="I244" s="56"/>
    </row>
    <row r="245" spans="1:9" x14ac:dyDescent="0.25">
      <c r="A245" s="65">
        <v>43084</v>
      </c>
      <c r="B245" s="66">
        <f t="shared" si="22"/>
        <v>243</v>
      </c>
      <c r="C245" s="67">
        <f t="shared" si="23"/>
        <v>165.0287694504872</v>
      </c>
      <c r="D245" s="67">
        <v>160</v>
      </c>
      <c r="E245" s="75">
        <f t="shared" si="18"/>
        <v>5.0287694504872036</v>
      </c>
      <c r="F245" s="67">
        <f t="shared" si="19"/>
        <v>2145.3740028563338</v>
      </c>
      <c r="G245" s="75">
        <f t="shared" si="20"/>
        <v>155.89185296510331</v>
      </c>
      <c r="H245" s="68">
        <f t="shared" si="21"/>
        <v>4.4540529418600948E-2</v>
      </c>
      <c r="I245" s="56"/>
    </row>
    <row r="246" spans="1:9" x14ac:dyDescent="0.25">
      <c r="A246" s="65">
        <v>43084</v>
      </c>
      <c r="B246" s="66">
        <f t="shared" si="22"/>
        <v>244</v>
      </c>
      <c r="C246" s="67">
        <f t="shared" si="23"/>
        <v>164.98422892106859</v>
      </c>
      <c r="D246" s="67">
        <v>160</v>
      </c>
      <c r="E246" s="75">
        <f t="shared" si="18"/>
        <v>4.9842289210685919</v>
      </c>
      <c r="F246" s="67">
        <f t="shared" si="19"/>
        <v>2144.7949759738917</v>
      </c>
      <c r="G246" s="75">
        <f t="shared" si="20"/>
        <v>154.51109655312635</v>
      </c>
      <c r="H246" s="68">
        <f t="shared" si="21"/>
        <v>4.4146027586607531E-2</v>
      </c>
      <c r="I246" s="56"/>
    </row>
    <row r="247" spans="1:9" x14ac:dyDescent="0.25">
      <c r="A247" s="65">
        <v>43084</v>
      </c>
      <c r="B247" s="66">
        <f t="shared" si="22"/>
        <v>245</v>
      </c>
      <c r="C247" s="67">
        <f t="shared" si="23"/>
        <v>164.94008289348199</v>
      </c>
      <c r="D247" s="67">
        <v>160</v>
      </c>
      <c r="E247" s="75">
        <f t="shared" si="18"/>
        <v>4.9400828934819856</v>
      </c>
      <c r="F247" s="67">
        <f t="shared" si="19"/>
        <v>2144.221077615266</v>
      </c>
      <c r="G247" s="75">
        <f t="shared" si="20"/>
        <v>153.14256969794155</v>
      </c>
      <c r="H247" s="68">
        <f t="shared" si="21"/>
        <v>4.3755019913697589E-2</v>
      </c>
      <c r="I247" s="56"/>
    </row>
    <row r="248" spans="1:9" x14ac:dyDescent="0.25">
      <c r="A248" s="65">
        <v>43084</v>
      </c>
      <c r="B248" s="66">
        <f t="shared" si="22"/>
        <v>246</v>
      </c>
      <c r="C248" s="67">
        <f t="shared" si="23"/>
        <v>164.89632787356828</v>
      </c>
      <c r="D248" s="67">
        <v>160</v>
      </c>
      <c r="E248" s="75">
        <f t="shared" si="18"/>
        <v>4.896327873568282</v>
      </c>
      <c r="F248" s="67">
        <f t="shared" si="19"/>
        <v>2143.6522623563878</v>
      </c>
      <c r="G248" s="75">
        <f t="shared" si="20"/>
        <v>151.78616408061674</v>
      </c>
      <c r="H248" s="68">
        <f t="shared" si="21"/>
        <v>4.3367475451604784E-2</v>
      </c>
      <c r="I248" s="56"/>
    </row>
    <row r="249" spans="1:9" x14ac:dyDescent="0.25">
      <c r="A249" s="65">
        <v>43084</v>
      </c>
      <c r="B249" s="66">
        <f t="shared" si="22"/>
        <v>247</v>
      </c>
      <c r="C249" s="67">
        <f t="shared" si="23"/>
        <v>164.85296039811666</v>
      </c>
      <c r="D249" s="67">
        <v>160</v>
      </c>
      <c r="E249" s="75">
        <f t="shared" si="18"/>
        <v>4.8529603981166645</v>
      </c>
      <c r="F249" s="67">
        <f t="shared" si="19"/>
        <v>2143.0884851755168</v>
      </c>
      <c r="G249" s="75">
        <f t="shared" si="20"/>
        <v>150.4417723416166</v>
      </c>
      <c r="H249" s="68">
        <f t="shared" si="21"/>
        <v>4.2983363526176169E-2</v>
      </c>
      <c r="I249" s="56"/>
    </row>
    <row r="250" spans="1:9" x14ac:dyDescent="0.25">
      <c r="A250" s="65">
        <v>43084</v>
      </c>
      <c r="B250" s="66">
        <f t="shared" si="22"/>
        <v>248</v>
      </c>
      <c r="C250" s="67">
        <f t="shared" si="23"/>
        <v>164.80997703459047</v>
      </c>
      <c r="D250" s="67">
        <v>160</v>
      </c>
      <c r="E250" s="75">
        <f t="shared" si="18"/>
        <v>4.8099770345904744</v>
      </c>
      <c r="F250" s="67">
        <f t="shared" si="19"/>
        <v>2142.5297014496764</v>
      </c>
      <c r="G250" s="75">
        <f t="shared" si="20"/>
        <v>149.10928807230471</v>
      </c>
      <c r="H250" s="68">
        <f t="shared" si="21"/>
        <v>4.26026537349442E-2</v>
      </c>
      <c r="I250" s="56"/>
    </row>
    <row r="251" spans="1:9" x14ac:dyDescent="0.25">
      <c r="A251" s="65">
        <v>43084</v>
      </c>
      <c r="B251" s="66">
        <f t="shared" si="22"/>
        <v>249</v>
      </c>
      <c r="C251" s="67">
        <f t="shared" si="23"/>
        <v>164.76737438085553</v>
      </c>
      <c r="D251" s="67">
        <v>160</v>
      </c>
      <c r="E251" s="75">
        <f t="shared" si="18"/>
        <v>4.7673743808555287</v>
      </c>
      <c r="F251" s="67">
        <f t="shared" si="19"/>
        <v>2141.975866951122</v>
      </c>
      <c r="G251" s="75">
        <f t="shared" si="20"/>
        <v>147.78860580652139</v>
      </c>
      <c r="H251" s="68">
        <f t="shared" si="21"/>
        <v>4.2225315944720399E-2</v>
      </c>
      <c r="I251" s="56"/>
    </row>
    <row r="252" spans="1:9" x14ac:dyDescent="0.25">
      <c r="A252" s="65">
        <v>43084</v>
      </c>
      <c r="B252" s="66">
        <f t="shared" si="22"/>
        <v>250</v>
      </c>
      <c r="C252" s="67">
        <f t="shared" si="23"/>
        <v>164.7251490649108</v>
      </c>
      <c r="D252" s="67">
        <v>160</v>
      </c>
      <c r="E252" s="75">
        <f t="shared" si="18"/>
        <v>4.725149064910795</v>
      </c>
      <c r="F252" s="67">
        <f t="shared" si="19"/>
        <v>2141.4269378438403</v>
      </c>
      <c r="G252" s="75">
        <f t="shared" si="20"/>
        <v>146.47962101223465</v>
      </c>
      <c r="H252" s="68">
        <f t="shared" si="21"/>
        <v>4.1851320289209896E-2</v>
      </c>
      <c r="I252" s="56"/>
    </row>
    <row r="253" spans="1:9" x14ac:dyDescent="0.25">
      <c r="A253" s="65">
        <v>43084</v>
      </c>
      <c r="B253" s="66">
        <f t="shared" si="22"/>
        <v>251</v>
      </c>
      <c r="C253" s="67">
        <f t="shared" si="23"/>
        <v>164.6832977446216</v>
      </c>
      <c r="D253" s="67">
        <v>160</v>
      </c>
      <c r="E253" s="75">
        <f t="shared" si="18"/>
        <v>4.6832977446215978</v>
      </c>
      <c r="F253" s="67">
        <f t="shared" si="19"/>
        <v>2140.8828706800809</v>
      </c>
      <c r="G253" s="75">
        <f t="shared" si="20"/>
        <v>145.18223008326953</v>
      </c>
      <c r="H253" s="68">
        <f t="shared" si="21"/>
        <v>4.1480637166648439E-2</v>
      </c>
      <c r="I253" s="56"/>
    </row>
    <row r="254" spans="1:9" x14ac:dyDescent="0.25">
      <c r="A254" s="65">
        <v>43084</v>
      </c>
      <c r="B254" s="66">
        <f t="shared" si="22"/>
        <v>252</v>
      </c>
      <c r="C254" s="67">
        <f t="shared" si="23"/>
        <v>164.64181710745495</v>
      </c>
      <c r="D254" s="67">
        <v>160</v>
      </c>
      <c r="E254" s="75">
        <f t="shared" si="18"/>
        <v>4.6418171074549548</v>
      </c>
      <c r="F254" s="67">
        <f t="shared" si="19"/>
        <v>2140.3436223969143</v>
      </c>
      <c r="G254" s="75">
        <f t="shared" si="20"/>
        <v>143.8963303311036</v>
      </c>
      <c r="H254" s="68">
        <f t="shared" si="21"/>
        <v>4.1113237237458168E-2</v>
      </c>
      <c r="I254" s="56"/>
    </row>
    <row r="255" spans="1:9" x14ac:dyDescent="0.25">
      <c r="A255" s="65">
        <v>43084</v>
      </c>
      <c r="B255" s="66">
        <f t="shared" si="22"/>
        <v>253</v>
      </c>
      <c r="C255" s="67">
        <f t="shared" si="23"/>
        <v>164.6007038702175</v>
      </c>
      <c r="D255" s="67">
        <v>160</v>
      </c>
      <c r="E255" s="75">
        <f t="shared" si="18"/>
        <v>4.6007038702175009</v>
      </c>
      <c r="F255" s="67">
        <f t="shared" si="19"/>
        <v>2139.8091503128276</v>
      </c>
      <c r="G255" s="75">
        <f t="shared" si="20"/>
        <v>142.62181997674253</v>
      </c>
      <c r="H255" s="68">
        <f t="shared" si="21"/>
        <v>4.0749091421926439E-2</v>
      </c>
      <c r="I255" s="56"/>
    </row>
    <row r="256" spans="1:9" x14ac:dyDescent="0.25">
      <c r="A256" s="65">
        <v>43084</v>
      </c>
      <c r="B256" s="66">
        <f t="shared" si="22"/>
        <v>254</v>
      </c>
      <c r="C256" s="67">
        <f t="shared" si="23"/>
        <v>164.55995477879557</v>
      </c>
      <c r="D256" s="67">
        <v>160</v>
      </c>
      <c r="E256" s="75">
        <f t="shared" si="18"/>
        <v>4.5599547787955714</v>
      </c>
      <c r="F256" s="67">
        <f t="shared" si="19"/>
        <v>2139.2794121243423</v>
      </c>
      <c r="G256" s="75">
        <f t="shared" si="20"/>
        <v>141.35859814266271</v>
      </c>
      <c r="H256" s="68">
        <f t="shared" si="21"/>
        <v>4.0388170897903634E-2</v>
      </c>
      <c r="I256" s="56"/>
    </row>
    <row r="257" spans="1:9" x14ac:dyDescent="0.25">
      <c r="A257" s="65">
        <v>43084</v>
      </c>
      <c r="B257" s="66">
        <f t="shared" si="22"/>
        <v>255</v>
      </c>
      <c r="C257" s="67">
        <f t="shared" si="23"/>
        <v>164.51956660789767</v>
      </c>
      <c r="D257" s="67">
        <v>160</v>
      </c>
      <c r="E257" s="75">
        <f t="shared" si="18"/>
        <v>4.5195666078976728</v>
      </c>
      <c r="F257" s="67">
        <f t="shared" si="19"/>
        <v>2138.7543659026696</v>
      </c>
      <c r="G257" s="75">
        <f t="shared" si="20"/>
        <v>140.10656484482786</v>
      </c>
      <c r="H257" s="68">
        <f t="shared" si="21"/>
        <v>4.0030447098522243E-2</v>
      </c>
      <c r="I257" s="56"/>
    </row>
    <row r="258" spans="1:9" x14ac:dyDescent="0.25">
      <c r="A258" s="65">
        <v>43084</v>
      </c>
      <c r="B258" s="66">
        <f t="shared" si="22"/>
        <v>256</v>
      </c>
      <c r="C258" s="67">
        <f t="shared" si="23"/>
        <v>164.47953616079914</v>
      </c>
      <c r="D258" s="67">
        <v>160</v>
      </c>
      <c r="E258" s="75">
        <f t="shared" si="18"/>
        <v>4.4795361607991424</v>
      </c>
      <c r="F258" s="67">
        <f t="shared" si="19"/>
        <v>2138.233970090389</v>
      </c>
      <c r="G258" s="75">
        <f t="shared" si="20"/>
        <v>138.86562098477341</v>
      </c>
      <c r="H258" s="68">
        <f t="shared" si="21"/>
        <v>3.9675891709935261E-2</v>
      </c>
      <c r="I258" s="56"/>
    </row>
    <row r="259" spans="1:9" x14ac:dyDescent="0.25">
      <c r="A259" s="65">
        <v>43084</v>
      </c>
      <c r="B259" s="66">
        <f t="shared" si="22"/>
        <v>257</v>
      </c>
      <c r="C259" s="67">
        <f t="shared" si="23"/>
        <v>164.43986026908919</v>
      </c>
      <c r="D259" s="67">
        <v>160</v>
      </c>
      <c r="E259" s="75">
        <f t="shared" ref="E259:E322" si="24">C259-D259</f>
        <v>4.4398602690891948</v>
      </c>
      <c r="F259" s="67">
        <f t="shared" ref="F259:F322" si="25">13*C259</f>
        <v>2137.7181834981593</v>
      </c>
      <c r="G259" s="75">
        <f t="shared" ref="G259:G322" si="26">E259*31</f>
        <v>137.63566834176504</v>
      </c>
      <c r="H259" s="68">
        <f t="shared" ref="H259:H322" si="27">MIN($G259/3500,$F259/3500)</f>
        <v>3.9324476669075722E-2</v>
      </c>
      <c r="I259" s="56"/>
    </row>
    <row r="260" spans="1:9" x14ac:dyDescent="0.25">
      <c r="A260" s="65">
        <v>43084</v>
      </c>
      <c r="B260" s="66">
        <f t="shared" ref="B260:B323" si="28">B259+1</f>
        <v>258</v>
      </c>
      <c r="C260" s="67">
        <f t="shared" ref="C260:C323" si="29">C259-H259</f>
        <v>164.40053579242013</v>
      </c>
      <c r="D260" s="67">
        <v>160</v>
      </c>
      <c r="E260" s="75">
        <f t="shared" si="24"/>
        <v>4.4005357924201292</v>
      </c>
      <c r="F260" s="67">
        <f t="shared" si="25"/>
        <v>2137.2069653014619</v>
      </c>
      <c r="G260" s="75">
        <f t="shared" si="26"/>
        <v>136.416609565024</v>
      </c>
      <c r="H260" s="68">
        <f t="shared" si="27"/>
        <v>3.897617416143543E-2</v>
      </c>
      <c r="I260" s="56"/>
    </row>
    <row r="261" spans="1:9" x14ac:dyDescent="0.25">
      <c r="A261" s="65">
        <v>43084</v>
      </c>
      <c r="B261" s="66">
        <f t="shared" si="28"/>
        <v>259</v>
      </c>
      <c r="C261" s="67">
        <f t="shared" si="29"/>
        <v>164.3615596182587</v>
      </c>
      <c r="D261" s="67">
        <v>160</v>
      </c>
      <c r="E261" s="75">
        <f t="shared" si="24"/>
        <v>4.3615596182586955</v>
      </c>
      <c r="F261" s="67">
        <f t="shared" si="25"/>
        <v>2136.7002750373631</v>
      </c>
      <c r="G261" s="75">
        <f t="shared" si="26"/>
        <v>135.20834816601956</v>
      </c>
      <c r="H261" s="68">
        <f t="shared" si="27"/>
        <v>3.8630956618862733E-2</v>
      </c>
      <c r="I261" s="56"/>
    </row>
    <row r="262" spans="1:9" x14ac:dyDescent="0.25">
      <c r="A262" s="65">
        <v>43084</v>
      </c>
      <c r="B262" s="66">
        <f t="shared" si="28"/>
        <v>260</v>
      </c>
      <c r="C262" s="67">
        <f t="shared" si="29"/>
        <v>164.32292866163982</v>
      </c>
      <c r="D262" s="67">
        <v>160</v>
      </c>
      <c r="E262" s="75">
        <f t="shared" si="24"/>
        <v>4.3229286616398213</v>
      </c>
      <c r="F262" s="67">
        <f t="shared" si="25"/>
        <v>2136.1980726013176</v>
      </c>
      <c r="G262" s="75">
        <f t="shared" si="26"/>
        <v>134.01078851083446</v>
      </c>
      <c r="H262" s="68">
        <f t="shared" si="27"/>
        <v>3.8288796717381272E-2</v>
      </c>
      <c r="I262" s="56"/>
    </row>
    <row r="263" spans="1:9" x14ac:dyDescent="0.25">
      <c r="A263" s="65">
        <v>43084</v>
      </c>
      <c r="B263" s="66">
        <f t="shared" si="28"/>
        <v>261</v>
      </c>
      <c r="C263" s="67">
        <f t="shared" si="29"/>
        <v>164.28463986492244</v>
      </c>
      <c r="D263" s="67">
        <v>160</v>
      </c>
      <c r="E263" s="75">
        <f t="shared" si="24"/>
        <v>4.2846398649224398</v>
      </c>
      <c r="F263" s="67">
        <f t="shared" si="25"/>
        <v>2135.7003182439917</v>
      </c>
      <c r="G263" s="75">
        <f t="shared" si="26"/>
        <v>132.82383581259563</v>
      </c>
      <c r="H263" s="68">
        <f t="shared" si="27"/>
        <v>3.7949667375027321E-2</v>
      </c>
      <c r="I263" s="56"/>
    </row>
    <row r="264" spans="1:9" x14ac:dyDescent="0.25">
      <c r="A264" s="65">
        <v>43084</v>
      </c>
      <c r="B264" s="66">
        <f t="shared" si="28"/>
        <v>262</v>
      </c>
      <c r="C264" s="67">
        <f t="shared" si="29"/>
        <v>164.24669019754742</v>
      </c>
      <c r="D264" s="67">
        <v>160</v>
      </c>
      <c r="E264" s="75">
        <f t="shared" si="24"/>
        <v>4.2466901975474229</v>
      </c>
      <c r="F264" s="67">
        <f t="shared" si="25"/>
        <v>2135.2069725681167</v>
      </c>
      <c r="G264" s="75">
        <f t="shared" si="26"/>
        <v>131.64739612397011</v>
      </c>
      <c r="H264" s="68">
        <f t="shared" si="27"/>
        <v>3.7613541749705749E-2</v>
      </c>
      <c r="I264" s="56"/>
    </row>
    <row r="265" spans="1:9" x14ac:dyDescent="0.25">
      <c r="A265" s="65">
        <v>43084</v>
      </c>
      <c r="B265" s="66">
        <f t="shared" si="28"/>
        <v>263</v>
      </c>
      <c r="C265" s="67">
        <f t="shared" si="29"/>
        <v>164.20907665579773</v>
      </c>
      <c r="D265" s="67">
        <v>160</v>
      </c>
      <c r="E265" s="75">
        <f t="shared" si="24"/>
        <v>4.2090766557977304</v>
      </c>
      <c r="F265" s="67">
        <f t="shared" si="25"/>
        <v>2134.7179965253704</v>
      </c>
      <c r="G265" s="75">
        <f t="shared" si="26"/>
        <v>130.48137632972964</v>
      </c>
      <c r="H265" s="68">
        <f t="shared" si="27"/>
        <v>3.7280393237065612E-2</v>
      </c>
      <c r="I265" s="56"/>
    </row>
    <row r="266" spans="1:9" x14ac:dyDescent="0.25">
      <c r="A266" s="65">
        <v>43084</v>
      </c>
      <c r="B266" s="66">
        <f t="shared" si="28"/>
        <v>264</v>
      </c>
      <c r="C266" s="67">
        <f t="shared" si="29"/>
        <v>164.17179626256066</v>
      </c>
      <c r="D266" s="67">
        <v>160</v>
      </c>
      <c r="E266" s="75">
        <f t="shared" si="24"/>
        <v>4.1717962625606617</v>
      </c>
      <c r="F266" s="67">
        <f t="shared" si="25"/>
        <v>2134.2333514132888</v>
      </c>
      <c r="G266" s="75">
        <f t="shared" si="26"/>
        <v>129.32568413938051</v>
      </c>
      <c r="H266" s="68">
        <f t="shared" si="27"/>
        <v>3.6950195468394433E-2</v>
      </c>
      <c r="I266" s="56"/>
    </row>
    <row r="267" spans="1:9" x14ac:dyDescent="0.25">
      <c r="A267" s="65">
        <v>43084</v>
      </c>
      <c r="B267" s="66">
        <f t="shared" si="28"/>
        <v>265</v>
      </c>
      <c r="C267" s="67">
        <f t="shared" si="29"/>
        <v>164.13484606709227</v>
      </c>
      <c r="D267" s="67">
        <v>160</v>
      </c>
      <c r="E267" s="75">
        <f t="shared" si="24"/>
        <v>4.1348460670922691</v>
      </c>
      <c r="F267" s="67">
        <f t="shared" si="25"/>
        <v>2133.7529988721994</v>
      </c>
      <c r="G267" s="75">
        <f t="shared" si="26"/>
        <v>128.18022807986034</v>
      </c>
      <c r="H267" s="68">
        <f t="shared" si="27"/>
        <v>3.6622922308531529E-2</v>
      </c>
      <c r="I267" s="56"/>
    </row>
    <row r="268" spans="1:9" x14ac:dyDescent="0.25">
      <c r="A268" s="65">
        <v>43084</v>
      </c>
      <c r="B268" s="66">
        <f t="shared" si="28"/>
        <v>266</v>
      </c>
      <c r="C268" s="67">
        <f t="shared" si="29"/>
        <v>164.09822314478373</v>
      </c>
      <c r="D268" s="67">
        <v>160</v>
      </c>
      <c r="E268" s="75">
        <f t="shared" si="24"/>
        <v>4.0982231447837307</v>
      </c>
      <c r="F268" s="67">
        <f t="shared" si="25"/>
        <v>2133.2769008821883</v>
      </c>
      <c r="G268" s="75">
        <f t="shared" si="26"/>
        <v>127.04491748829565</v>
      </c>
      <c r="H268" s="68">
        <f t="shared" si="27"/>
        <v>3.6298547853798761E-2</v>
      </c>
      <c r="I268" s="56"/>
    </row>
    <row r="269" spans="1:9" x14ac:dyDescent="0.25">
      <c r="A269" s="65">
        <v>43084</v>
      </c>
      <c r="B269" s="66">
        <f t="shared" si="28"/>
        <v>267</v>
      </c>
      <c r="C269" s="67">
        <f t="shared" si="29"/>
        <v>164.06192459692994</v>
      </c>
      <c r="D269" s="67">
        <v>160</v>
      </c>
      <c r="E269" s="75">
        <f t="shared" si="24"/>
        <v>4.0619245969299413</v>
      </c>
      <c r="F269" s="67">
        <f t="shared" si="25"/>
        <v>2132.8050197600892</v>
      </c>
      <c r="G269" s="75">
        <f t="shared" si="26"/>
        <v>125.91966250482818</v>
      </c>
      <c r="H269" s="68">
        <f t="shared" si="27"/>
        <v>3.5977046429950907E-2</v>
      </c>
      <c r="I269" s="56"/>
    </row>
    <row r="270" spans="1:9" x14ac:dyDescent="0.25">
      <c r="A270" s="65">
        <v>43084</v>
      </c>
      <c r="B270" s="66">
        <f t="shared" si="28"/>
        <v>268</v>
      </c>
      <c r="C270" s="67">
        <f t="shared" si="29"/>
        <v>164.02594755049998</v>
      </c>
      <c r="D270" s="67">
        <v>160</v>
      </c>
      <c r="E270" s="75">
        <f t="shared" si="24"/>
        <v>4.0259475504999784</v>
      </c>
      <c r="F270" s="67">
        <f t="shared" si="25"/>
        <v>2132.3373181564998</v>
      </c>
      <c r="G270" s="75">
        <f t="shared" si="26"/>
        <v>124.80437406549933</v>
      </c>
      <c r="H270" s="68">
        <f t="shared" si="27"/>
        <v>3.5658392590142668E-2</v>
      </c>
      <c r="I270" s="56"/>
    </row>
    <row r="271" spans="1:9" x14ac:dyDescent="0.25">
      <c r="A271" s="65">
        <v>43084</v>
      </c>
      <c r="B271" s="66">
        <f t="shared" si="28"/>
        <v>269</v>
      </c>
      <c r="C271" s="67">
        <f t="shared" si="29"/>
        <v>163.99028915790984</v>
      </c>
      <c r="D271" s="67">
        <v>160</v>
      </c>
      <c r="E271" s="75">
        <f t="shared" si="24"/>
        <v>3.9902891579098423</v>
      </c>
      <c r="F271" s="67">
        <f t="shared" si="25"/>
        <v>2131.8737590528281</v>
      </c>
      <c r="G271" s="75">
        <f t="shared" si="26"/>
        <v>123.69896389520511</v>
      </c>
      <c r="H271" s="68">
        <f t="shared" si="27"/>
        <v>3.5342561112915748E-2</v>
      </c>
      <c r="I271" s="56"/>
    </row>
    <row r="272" spans="1:9" x14ac:dyDescent="0.25">
      <c r="A272" s="65">
        <v>43084</v>
      </c>
      <c r="B272" s="66">
        <f t="shared" si="28"/>
        <v>270</v>
      </c>
      <c r="C272" s="67">
        <f t="shared" si="29"/>
        <v>163.95494659679693</v>
      </c>
      <c r="D272" s="67">
        <v>160</v>
      </c>
      <c r="E272" s="75">
        <f t="shared" si="24"/>
        <v>3.9549465967969297</v>
      </c>
      <c r="F272" s="67">
        <f t="shared" si="25"/>
        <v>2131.4143057583601</v>
      </c>
      <c r="G272" s="75">
        <f t="shared" si="26"/>
        <v>122.60334450070482</v>
      </c>
      <c r="H272" s="68">
        <f t="shared" si="27"/>
        <v>3.5029527000201378E-2</v>
      </c>
      <c r="I272" s="56"/>
    </row>
    <row r="273" spans="1:9" x14ac:dyDescent="0.25">
      <c r="A273" s="65">
        <v>43084</v>
      </c>
      <c r="B273" s="66">
        <f t="shared" si="28"/>
        <v>271</v>
      </c>
      <c r="C273" s="67">
        <f t="shared" si="29"/>
        <v>163.91991706979672</v>
      </c>
      <c r="D273" s="67">
        <v>160</v>
      </c>
      <c r="E273" s="75">
        <f t="shared" si="24"/>
        <v>3.9199170697967247</v>
      </c>
      <c r="F273" s="67">
        <f t="shared" si="25"/>
        <v>2130.9589219073573</v>
      </c>
      <c r="G273" s="75">
        <f t="shared" si="26"/>
        <v>121.51742916369847</v>
      </c>
      <c r="H273" s="68">
        <f t="shared" si="27"/>
        <v>3.4719265475342417E-2</v>
      </c>
      <c r="I273" s="56"/>
    </row>
    <row r="274" spans="1:9" x14ac:dyDescent="0.25">
      <c r="A274" s="65">
        <v>43084</v>
      </c>
      <c r="B274" s="66">
        <f t="shared" si="28"/>
        <v>272</v>
      </c>
      <c r="C274" s="67">
        <f t="shared" si="29"/>
        <v>163.88519780432139</v>
      </c>
      <c r="D274" s="67">
        <v>160</v>
      </c>
      <c r="E274" s="75">
        <f t="shared" si="24"/>
        <v>3.8851978043213933</v>
      </c>
      <c r="F274" s="67">
        <f t="shared" si="25"/>
        <v>2130.5075714561781</v>
      </c>
      <c r="G274" s="75">
        <f t="shared" si="26"/>
        <v>120.44113193396319</v>
      </c>
      <c r="H274" s="68">
        <f t="shared" si="27"/>
        <v>3.4411751981132339E-2</v>
      </c>
      <c r="I274" s="56"/>
    </row>
    <row r="275" spans="1:9" x14ac:dyDescent="0.25">
      <c r="A275" s="65">
        <v>43084</v>
      </c>
      <c r="B275" s="66">
        <f t="shared" si="28"/>
        <v>273</v>
      </c>
      <c r="C275" s="67">
        <f t="shared" si="29"/>
        <v>163.85078605234025</v>
      </c>
      <c r="D275" s="67">
        <v>160</v>
      </c>
      <c r="E275" s="75">
        <f t="shared" si="24"/>
        <v>3.8507860523402542</v>
      </c>
      <c r="F275" s="67">
        <f t="shared" si="25"/>
        <v>2130.0602186804235</v>
      </c>
      <c r="G275" s="75">
        <f t="shared" si="26"/>
        <v>119.37436762254788</v>
      </c>
      <c r="H275" s="68">
        <f t="shared" si="27"/>
        <v>3.410696217787082E-2</v>
      </c>
      <c r="I275" s="56"/>
    </row>
    <row r="276" spans="1:9" x14ac:dyDescent="0.25">
      <c r="A276" s="65">
        <v>43084</v>
      </c>
      <c r="B276" s="66">
        <f t="shared" si="28"/>
        <v>274</v>
      </c>
      <c r="C276" s="67">
        <f t="shared" si="29"/>
        <v>163.81667909016238</v>
      </c>
      <c r="D276" s="67">
        <v>160</v>
      </c>
      <c r="E276" s="75">
        <f t="shared" si="24"/>
        <v>3.8166790901623813</v>
      </c>
      <c r="F276" s="67">
        <f t="shared" si="25"/>
        <v>2129.6168281721111</v>
      </c>
      <c r="G276" s="75">
        <f t="shared" si="26"/>
        <v>118.31705179503382</v>
      </c>
      <c r="H276" s="68">
        <f t="shared" si="27"/>
        <v>3.3804871941438233E-2</v>
      </c>
      <c r="I276" s="56"/>
    </row>
    <row r="277" spans="1:9" x14ac:dyDescent="0.25">
      <c r="A277" s="65">
        <v>43084</v>
      </c>
      <c r="B277" s="66">
        <f t="shared" si="28"/>
        <v>275</v>
      </c>
      <c r="C277" s="67">
        <f t="shared" si="29"/>
        <v>163.78287421822094</v>
      </c>
      <c r="D277" s="67">
        <v>160</v>
      </c>
      <c r="E277" s="75">
        <f t="shared" si="24"/>
        <v>3.7828742182209396</v>
      </c>
      <c r="F277" s="67">
        <f t="shared" si="25"/>
        <v>2129.1773648368721</v>
      </c>
      <c r="G277" s="75">
        <f t="shared" si="26"/>
        <v>117.26910076484913</v>
      </c>
      <c r="H277" s="68">
        <f t="shared" si="27"/>
        <v>3.3505457361385466E-2</v>
      </c>
      <c r="I277" s="56"/>
    </row>
    <row r="278" spans="1:9" x14ac:dyDescent="0.25">
      <c r="A278" s="65">
        <v>43084</v>
      </c>
      <c r="B278" s="66">
        <f t="shared" si="28"/>
        <v>276</v>
      </c>
      <c r="C278" s="67">
        <f t="shared" si="29"/>
        <v>163.74936876085957</v>
      </c>
      <c r="D278" s="67">
        <v>160</v>
      </c>
      <c r="E278" s="75">
        <f t="shared" si="24"/>
        <v>3.7493687608595678</v>
      </c>
      <c r="F278" s="67">
        <f t="shared" si="25"/>
        <v>2128.7417938911744</v>
      </c>
      <c r="G278" s="75">
        <f t="shared" si="26"/>
        <v>116.2304315866466</v>
      </c>
      <c r="H278" s="68">
        <f t="shared" si="27"/>
        <v>3.3208694739041887E-2</v>
      </c>
      <c r="I278" s="56"/>
    </row>
    <row r="279" spans="1:9" x14ac:dyDescent="0.25">
      <c r="A279" s="65">
        <v>43084</v>
      </c>
      <c r="B279" s="66">
        <f t="shared" si="28"/>
        <v>277</v>
      </c>
      <c r="C279" s="67">
        <f t="shared" si="29"/>
        <v>163.71616006612052</v>
      </c>
      <c r="D279" s="67">
        <v>160</v>
      </c>
      <c r="E279" s="75">
        <f t="shared" si="24"/>
        <v>3.7161600661205227</v>
      </c>
      <c r="F279" s="67">
        <f t="shared" si="25"/>
        <v>2128.3100808595668</v>
      </c>
      <c r="G279" s="75">
        <f t="shared" si="26"/>
        <v>115.20096204973621</v>
      </c>
      <c r="H279" s="68">
        <f t="shared" si="27"/>
        <v>3.2914560585638915E-2</v>
      </c>
      <c r="I279" s="56"/>
    </row>
    <row r="280" spans="1:9" x14ac:dyDescent="0.25">
      <c r="A280" s="65">
        <v>43084</v>
      </c>
      <c r="B280" s="66">
        <f t="shared" si="28"/>
        <v>278</v>
      </c>
      <c r="C280" s="67">
        <f t="shared" si="29"/>
        <v>163.68324550553487</v>
      </c>
      <c r="D280" s="67">
        <v>160</v>
      </c>
      <c r="E280" s="75">
        <f t="shared" si="24"/>
        <v>3.6832455055348703</v>
      </c>
      <c r="F280" s="67">
        <f t="shared" si="25"/>
        <v>2127.8821915719532</v>
      </c>
      <c r="G280" s="75">
        <f t="shared" si="26"/>
        <v>114.18061067158098</v>
      </c>
      <c r="H280" s="68">
        <f t="shared" si="27"/>
        <v>3.2623031620451708E-2</v>
      </c>
      <c r="I280" s="56"/>
    </row>
    <row r="281" spans="1:9" x14ac:dyDescent="0.25">
      <c r="A281" s="65">
        <v>43084</v>
      </c>
      <c r="B281" s="66">
        <f t="shared" si="28"/>
        <v>279</v>
      </c>
      <c r="C281" s="67">
        <f t="shared" si="29"/>
        <v>163.65062247391441</v>
      </c>
      <c r="D281" s="67">
        <v>160</v>
      </c>
      <c r="E281" s="75">
        <f t="shared" si="24"/>
        <v>3.6506224739144102</v>
      </c>
      <c r="F281" s="67">
        <f t="shared" si="25"/>
        <v>2127.4580921608872</v>
      </c>
      <c r="G281" s="75">
        <f t="shared" si="26"/>
        <v>113.16929669134672</v>
      </c>
      <c r="H281" s="68">
        <f t="shared" si="27"/>
        <v>3.2334084768956203E-2</v>
      </c>
      <c r="I281" s="56"/>
    </row>
    <row r="282" spans="1:9" x14ac:dyDescent="0.25">
      <c r="A282" s="65">
        <v>43084</v>
      </c>
      <c r="B282" s="66">
        <f t="shared" si="28"/>
        <v>280</v>
      </c>
      <c r="C282" s="67">
        <f t="shared" si="29"/>
        <v>163.61828838914545</v>
      </c>
      <c r="D282" s="67">
        <v>160</v>
      </c>
      <c r="E282" s="75">
        <f t="shared" si="24"/>
        <v>3.618288389145448</v>
      </c>
      <c r="F282" s="67">
        <f t="shared" si="25"/>
        <v>2127.0377490588908</v>
      </c>
      <c r="G282" s="75">
        <f t="shared" si="26"/>
        <v>112.16694006350889</v>
      </c>
      <c r="H282" s="68">
        <f t="shared" si="27"/>
        <v>3.2047697161002538E-2</v>
      </c>
      <c r="I282" s="56"/>
    </row>
    <row r="283" spans="1:9" x14ac:dyDescent="0.25">
      <c r="A283" s="65">
        <v>43084</v>
      </c>
      <c r="B283" s="66">
        <f t="shared" si="28"/>
        <v>281</v>
      </c>
      <c r="C283" s="67">
        <f t="shared" si="29"/>
        <v>163.58624069198444</v>
      </c>
      <c r="D283" s="67">
        <v>160</v>
      </c>
      <c r="E283" s="75">
        <f t="shared" si="24"/>
        <v>3.5862406919844432</v>
      </c>
      <c r="F283" s="67">
        <f t="shared" si="25"/>
        <v>2126.6211289957978</v>
      </c>
      <c r="G283" s="75">
        <f t="shared" si="26"/>
        <v>111.17346145151774</v>
      </c>
      <c r="H283" s="68">
        <f t="shared" si="27"/>
        <v>3.1763846129005069E-2</v>
      </c>
      <c r="I283" s="56"/>
    </row>
    <row r="284" spans="1:9" x14ac:dyDescent="0.25">
      <c r="A284" s="65">
        <v>43084</v>
      </c>
      <c r="B284" s="66">
        <f t="shared" si="28"/>
        <v>282</v>
      </c>
      <c r="C284" s="67">
        <f t="shared" si="29"/>
        <v>163.55447684585545</v>
      </c>
      <c r="D284" s="67">
        <v>160</v>
      </c>
      <c r="E284" s="75">
        <f t="shared" si="24"/>
        <v>3.5544768458554472</v>
      </c>
      <c r="F284" s="67">
        <f t="shared" si="25"/>
        <v>2126.2081989961207</v>
      </c>
      <c r="G284" s="75">
        <f t="shared" si="26"/>
        <v>110.18878222151886</v>
      </c>
      <c r="H284" s="68">
        <f t="shared" si="27"/>
        <v>3.148250920614825E-2</v>
      </c>
      <c r="I284" s="56"/>
    </row>
    <row r="285" spans="1:9" x14ac:dyDescent="0.25">
      <c r="A285" s="65">
        <v>43084</v>
      </c>
      <c r="B285" s="66">
        <f t="shared" si="28"/>
        <v>283</v>
      </c>
      <c r="C285" s="67">
        <f t="shared" si="29"/>
        <v>163.5229943366493</v>
      </c>
      <c r="D285" s="67">
        <v>160</v>
      </c>
      <c r="E285" s="75">
        <f t="shared" si="24"/>
        <v>3.5229943366493046</v>
      </c>
      <c r="F285" s="67">
        <f t="shared" si="25"/>
        <v>2125.7989263764412</v>
      </c>
      <c r="G285" s="75">
        <f t="shared" si="26"/>
        <v>109.21282443612844</v>
      </c>
      <c r="H285" s="68">
        <f t="shared" si="27"/>
        <v>3.1203664124608125E-2</v>
      </c>
      <c r="I285" s="56"/>
    </row>
    <row r="286" spans="1:9" x14ac:dyDescent="0.25">
      <c r="A286" s="65">
        <v>43084</v>
      </c>
      <c r="B286" s="66">
        <f t="shared" si="28"/>
        <v>284</v>
      </c>
      <c r="C286" s="67">
        <f t="shared" si="29"/>
        <v>163.4917906725247</v>
      </c>
      <c r="D286" s="67">
        <v>160</v>
      </c>
      <c r="E286" s="75">
        <f t="shared" si="24"/>
        <v>3.4917906725247008</v>
      </c>
      <c r="F286" s="67">
        <f t="shared" si="25"/>
        <v>2125.3932787428212</v>
      </c>
      <c r="G286" s="75">
        <f t="shared" si="26"/>
        <v>108.24551084826572</v>
      </c>
      <c r="H286" s="68">
        <f t="shared" si="27"/>
        <v>3.0927288813790206E-2</v>
      </c>
      <c r="I286" s="56"/>
    </row>
    <row r="287" spans="1:9" x14ac:dyDescent="0.25">
      <c r="A287" s="65">
        <v>43084</v>
      </c>
      <c r="B287" s="66">
        <f t="shared" si="28"/>
        <v>285</v>
      </c>
      <c r="C287" s="67">
        <f t="shared" si="29"/>
        <v>163.46086338371092</v>
      </c>
      <c r="D287" s="67">
        <v>160</v>
      </c>
      <c r="E287" s="75">
        <f t="shared" si="24"/>
        <v>3.4608633837109153</v>
      </c>
      <c r="F287" s="67">
        <f t="shared" si="25"/>
        <v>2124.9912239882419</v>
      </c>
      <c r="G287" s="75">
        <f t="shared" si="26"/>
        <v>107.28676489503837</v>
      </c>
      <c r="H287" s="68">
        <f t="shared" si="27"/>
        <v>3.0653361398582393E-2</v>
      </c>
      <c r="I287" s="56"/>
    </row>
    <row r="288" spans="1:9" x14ac:dyDescent="0.25">
      <c r="A288" s="65">
        <v>43084</v>
      </c>
      <c r="B288" s="66">
        <f t="shared" si="28"/>
        <v>286</v>
      </c>
      <c r="C288" s="67">
        <f t="shared" si="29"/>
        <v>163.43021002231234</v>
      </c>
      <c r="D288" s="67">
        <v>160</v>
      </c>
      <c r="E288" s="75">
        <f t="shared" si="24"/>
        <v>3.4302100223123375</v>
      </c>
      <c r="F288" s="67">
        <f t="shared" si="25"/>
        <v>2124.5927302900604</v>
      </c>
      <c r="G288" s="75">
        <f t="shared" si="26"/>
        <v>106.33651069168246</v>
      </c>
      <c r="H288" s="68">
        <f t="shared" si="27"/>
        <v>3.038186019762356E-2</v>
      </c>
      <c r="I288" s="56"/>
    </row>
    <row r="289" spans="1:9" x14ac:dyDescent="0.25">
      <c r="A289" s="65">
        <v>43084</v>
      </c>
      <c r="B289" s="66">
        <f t="shared" si="28"/>
        <v>287</v>
      </c>
      <c r="C289" s="67">
        <f t="shared" si="29"/>
        <v>163.39982816211472</v>
      </c>
      <c r="D289" s="67">
        <v>160</v>
      </c>
      <c r="E289" s="75">
        <f t="shared" si="24"/>
        <v>3.3998281621147157</v>
      </c>
      <c r="F289" s="67">
        <f t="shared" si="25"/>
        <v>2124.1977661074911</v>
      </c>
      <c r="G289" s="75">
        <f t="shared" si="26"/>
        <v>105.39467302555619</v>
      </c>
      <c r="H289" s="68">
        <f t="shared" si="27"/>
        <v>3.0112763721587481E-2</v>
      </c>
      <c r="I289" s="56"/>
    </row>
    <row r="290" spans="1:9" x14ac:dyDescent="0.25">
      <c r="A290" s="65">
        <v>43084</v>
      </c>
      <c r="B290" s="66">
        <f t="shared" si="28"/>
        <v>288</v>
      </c>
      <c r="C290" s="67">
        <f t="shared" si="29"/>
        <v>163.36971539839314</v>
      </c>
      <c r="D290" s="67">
        <v>160</v>
      </c>
      <c r="E290" s="75">
        <f t="shared" si="24"/>
        <v>3.36971539839314</v>
      </c>
      <c r="F290" s="67">
        <f t="shared" si="25"/>
        <v>2123.8063001791106</v>
      </c>
      <c r="G290" s="75">
        <f t="shared" si="26"/>
        <v>104.46117735018734</v>
      </c>
      <c r="H290" s="68">
        <f t="shared" si="27"/>
        <v>2.9846050671482098E-2</v>
      </c>
      <c r="I290" s="56"/>
    </row>
    <row r="291" spans="1:9" x14ac:dyDescent="0.25">
      <c r="A291" s="65">
        <v>43084</v>
      </c>
      <c r="B291" s="66">
        <f t="shared" si="28"/>
        <v>289</v>
      </c>
      <c r="C291" s="67">
        <f t="shared" si="29"/>
        <v>163.33986934772165</v>
      </c>
      <c r="D291" s="67">
        <v>160</v>
      </c>
      <c r="E291" s="75">
        <f t="shared" si="24"/>
        <v>3.3398693477216455</v>
      </c>
      <c r="F291" s="67">
        <f t="shared" si="25"/>
        <v>2123.4183015203812</v>
      </c>
      <c r="G291" s="75">
        <f t="shared" si="26"/>
        <v>103.53594977937101</v>
      </c>
      <c r="H291" s="68">
        <f t="shared" si="27"/>
        <v>2.9581699936963145E-2</v>
      </c>
      <c r="I291" s="56"/>
    </row>
    <row r="292" spans="1:9" x14ac:dyDescent="0.25">
      <c r="A292" s="65">
        <v>43084</v>
      </c>
      <c r="B292" s="66">
        <f t="shared" si="28"/>
        <v>290</v>
      </c>
      <c r="C292" s="67">
        <f t="shared" si="29"/>
        <v>163.31028764778469</v>
      </c>
      <c r="D292" s="67">
        <v>160</v>
      </c>
      <c r="E292" s="75">
        <f t="shared" si="24"/>
        <v>3.3102876477846905</v>
      </c>
      <c r="F292" s="67">
        <f t="shared" si="25"/>
        <v>2123.0337394212011</v>
      </c>
      <c r="G292" s="75">
        <f t="shared" si="26"/>
        <v>102.61891708132541</v>
      </c>
      <c r="H292" s="68">
        <f t="shared" si="27"/>
        <v>2.9319690594664403E-2</v>
      </c>
      <c r="I292" s="56"/>
    </row>
    <row r="293" spans="1:9" x14ac:dyDescent="0.25">
      <c r="A293" s="65">
        <v>43084</v>
      </c>
      <c r="B293" s="66">
        <f t="shared" si="28"/>
        <v>291</v>
      </c>
      <c r="C293" s="67">
        <f t="shared" si="29"/>
        <v>163.28096795719003</v>
      </c>
      <c r="D293" s="67">
        <v>160</v>
      </c>
      <c r="E293" s="75">
        <f t="shared" si="24"/>
        <v>3.280967957190029</v>
      </c>
      <c r="F293" s="67">
        <f t="shared" si="25"/>
        <v>2122.6525834434706</v>
      </c>
      <c r="G293" s="75">
        <f t="shared" si="26"/>
        <v>101.7100066728909</v>
      </c>
      <c r="H293" s="68">
        <f t="shared" si="27"/>
        <v>2.9060001906540258E-2</v>
      </c>
      <c r="I293" s="56"/>
    </row>
    <row r="294" spans="1:9" x14ac:dyDescent="0.25">
      <c r="A294" s="65">
        <v>43084</v>
      </c>
      <c r="B294" s="66">
        <f t="shared" si="28"/>
        <v>292</v>
      </c>
      <c r="C294" s="67">
        <f t="shared" si="29"/>
        <v>163.25190795528349</v>
      </c>
      <c r="D294" s="67">
        <v>160</v>
      </c>
      <c r="E294" s="75">
        <f t="shared" si="24"/>
        <v>3.2519079552834853</v>
      </c>
      <c r="F294" s="67">
        <f t="shared" si="25"/>
        <v>2122.2748034186852</v>
      </c>
      <c r="G294" s="75">
        <f t="shared" si="26"/>
        <v>100.80914661378804</v>
      </c>
      <c r="H294" s="68">
        <f t="shared" si="27"/>
        <v>2.8802613318225156E-2</v>
      </c>
      <c r="I294" s="56"/>
    </row>
    <row r="295" spans="1:9" x14ac:dyDescent="0.25">
      <c r="A295" s="65">
        <v>43084</v>
      </c>
      <c r="B295" s="66">
        <f t="shared" si="28"/>
        <v>293</v>
      </c>
      <c r="C295" s="67">
        <f t="shared" si="29"/>
        <v>163.22310534196527</v>
      </c>
      <c r="D295" s="67">
        <v>160</v>
      </c>
      <c r="E295" s="75">
        <f t="shared" si="24"/>
        <v>3.2231053419652653</v>
      </c>
      <c r="F295" s="67">
        <f t="shared" si="25"/>
        <v>2121.9003694455487</v>
      </c>
      <c r="G295" s="75">
        <f t="shared" si="26"/>
        <v>99.916265600923225</v>
      </c>
      <c r="H295" s="68">
        <f t="shared" si="27"/>
        <v>2.8547504457406635E-2</v>
      </c>
      <c r="I295" s="56"/>
    </row>
    <row r="296" spans="1:9" x14ac:dyDescent="0.25">
      <c r="A296" s="65">
        <v>43084</v>
      </c>
      <c r="B296" s="66">
        <f t="shared" si="28"/>
        <v>294</v>
      </c>
      <c r="C296" s="67">
        <f t="shared" si="29"/>
        <v>163.19455783750786</v>
      </c>
      <c r="D296" s="67">
        <v>160</v>
      </c>
      <c r="E296" s="75">
        <f t="shared" si="24"/>
        <v>3.1945578375078583</v>
      </c>
      <c r="F296" s="67">
        <f t="shared" si="25"/>
        <v>2121.5292518876022</v>
      </c>
      <c r="G296" s="75">
        <f t="shared" si="26"/>
        <v>99.031292962743606</v>
      </c>
      <c r="H296" s="68">
        <f t="shared" si="27"/>
        <v>2.8294655132212458E-2</v>
      </c>
      <c r="I296" s="56"/>
    </row>
    <row r="297" spans="1:9" x14ac:dyDescent="0.25">
      <c r="A297" s="65">
        <v>43084</v>
      </c>
      <c r="B297" s="66">
        <f t="shared" si="28"/>
        <v>295</v>
      </c>
      <c r="C297" s="67">
        <f t="shared" si="29"/>
        <v>163.16626318237564</v>
      </c>
      <c r="D297" s="67">
        <v>160</v>
      </c>
      <c r="E297" s="75">
        <f t="shared" si="24"/>
        <v>3.1662631823756442</v>
      </c>
      <c r="F297" s="67">
        <f t="shared" si="25"/>
        <v>2121.1614213708835</v>
      </c>
      <c r="G297" s="75">
        <f t="shared" si="26"/>
        <v>98.15415865364497</v>
      </c>
      <c r="H297" s="68">
        <f t="shared" si="27"/>
        <v>2.8044045329612848E-2</v>
      </c>
      <c r="I297" s="56"/>
    </row>
    <row r="298" spans="1:9" x14ac:dyDescent="0.25">
      <c r="A298" s="65">
        <v>43084</v>
      </c>
      <c r="B298" s="66">
        <f t="shared" si="28"/>
        <v>296</v>
      </c>
      <c r="C298" s="67">
        <f t="shared" si="29"/>
        <v>163.13821913704604</v>
      </c>
      <c r="D298" s="67">
        <v>160</v>
      </c>
      <c r="E298" s="75">
        <f t="shared" si="24"/>
        <v>3.1382191370460362</v>
      </c>
      <c r="F298" s="67">
        <f t="shared" si="25"/>
        <v>2120.7968487815983</v>
      </c>
      <c r="G298" s="75">
        <f t="shared" si="26"/>
        <v>97.284793248427121</v>
      </c>
      <c r="H298" s="68">
        <f t="shared" si="27"/>
        <v>2.7795655213836319E-2</v>
      </c>
      <c r="I298" s="56"/>
    </row>
    <row r="299" spans="1:9" x14ac:dyDescent="0.25">
      <c r="A299" s="65">
        <v>43084</v>
      </c>
      <c r="B299" s="66">
        <f t="shared" si="28"/>
        <v>297</v>
      </c>
      <c r="C299" s="67">
        <f t="shared" si="29"/>
        <v>163.11042348183219</v>
      </c>
      <c r="D299" s="67">
        <v>160</v>
      </c>
      <c r="E299" s="75">
        <f t="shared" si="24"/>
        <v>3.1104234818321856</v>
      </c>
      <c r="F299" s="67">
        <f t="shared" si="25"/>
        <v>2120.4355052638184</v>
      </c>
      <c r="G299" s="75">
        <f t="shared" si="26"/>
        <v>96.423127936797755</v>
      </c>
      <c r="H299" s="68">
        <f t="shared" si="27"/>
        <v>2.7549465124799357E-2</v>
      </c>
      <c r="I299" s="56"/>
    </row>
    <row r="300" spans="1:9" x14ac:dyDescent="0.25">
      <c r="A300" s="65">
        <v>43084</v>
      </c>
      <c r="B300" s="66">
        <f t="shared" si="28"/>
        <v>298</v>
      </c>
      <c r="C300" s="67">
        <f t="shared" si="29"/>
        <v>163.08287401670739</v>
      </c>
      <c r="D300" s="67">
        <v>160</v>
      </c>
      <c r="E300" s="75">
        <f t="shared" si="24"/>
        <v>3.0828740167073931</v>
      </c>
      <c r="F300" s="67">
        <f t="shared" si="25"/>
        <v>2120.077362217196</v>
      </c>
      <c r="G300" s="75">
        <f t="shared" si="26"/>
        <v>95.569094517929187</v>
      </c>
      <c r="H300" s="68">
        <f t="shared" si="27"/>
        <v>2.7305455576551195E-2</v>
      </c>
      <c r="I300" s="56"/>
    </row>
    <row r="301" spans="1:9" x14ac:dyDescent="0.25">
      <c r="A301" s="65">
        <v>43084</v>
      </c>
      <c r="B301" s="66">
        <f t="shared" si="28"/>
        <v>299</v>
      </c>
      <c r="C301" s="67">
        <f t="shared" si="29"/>
        <v>163.05556856113085</v>
      </c>
      <c r="D301" s="67">
        <v>160</v>
      </c>
      <c r="E301" s="75">
        <f t="shared" si="24"/>
        <v>3.0555685611308547</v>
      </c>
      <c r="F301" s="67">
        <f t="shared" si="25"/>
        <v>2119.7223912947011</v>
      </c>
      <c r="G301" s="75">
        <f t="shared" si="26"/>
        <v>94.722625395056497</v>
      </c>
      <c r="H301" s="68">
        <f t="shared" si="27"/>
        <v>2.7063607255730426E-2</v>
      </c>
      <c r="I301" s="56"/>
    </row>
    <row r="302" spans="1:9" x14ac:dyDescent="0.25">
      <c r="A302" s="65">
        <v>43084</v>
      </c>
      <c r="B302" s="66">
        <f t="shared" si="28"/>
        <v>300</v>
      </c>
      <c r="C302" s="67">
        <f t="shared" si="29"/>
        <v>163.02850495387511</v>
      </c>
      <c r="D302" s="67">
        <v>160</v>
      </c>
      <c r="E302" s="75">
        <f t="shared" si="24"/>
        <v>3.0285049538751139</v>
      </c>
      <c r="F302" s="67">
        <f t="shared" si="25"/>
        <v>2119.3705644003767</v>
      </c>
      <c r="G302" s="75">
        <f t="shared" si="26"/>
        <v>93.88365357012853</v>
      </c>
      <c r="H302" s="68">
        <f t="shared" si="27"/>
        <v>2.6823901020036723E-2</v>
      </c>
      <c r="I302" s="56"/>
    </row>
    <row r="303" spans="1:9" x14ac:dyDescent="0.25">
      <c r="A303" s="65">
        <v>43084</v>
      </c>
      <c r="B303" s="66">
        <f t="shared" si="28"/>
        <v>301</v>
      </c>
      <c r="C303" s="67">
        <f t="shared" si="29"/>
        <v>163.00168105285508</v>
      </c>
      <c r="D303" s="67">
        <v>160</v>
      </c>
      <c r="E303" s="75">
        <f t="shared" si="24"/>
        <v>3.0016810528550764</v>
      </c>
      <c r="F303" s="67">
        <f t="shared" si="25"/>
        <v>2119.0218536871162</v>
      </c>
      <c r="G303" s="75">
        <f t="shared" si="26"/>
        <v>93.052112638507367</v>
      </c>
      <c r="H303" s="68">
        <f t="shared" si="27"/>
        <v>2.658631789671639E-2</v>
      </c>
      <c r="I303" s="56"/>
    </row>
    <row r="304" spans="1:9" x14ac:dyDescent="0.25">
      <c r="A304" s="65">
        <v>43084</v>
      </c>
      <c r="B304" s="66">
        <f t="shared" si="28"/>
        <v>302</v>
      </c>
      <c r="C304" s="67">
        <f t="shared" si="29"/>
        <v>162.97509473495836</v>
      </c>
      <c r="D304" s="67">
        <v>160</v>
      </c>
      <c r="E304" s="75">
        <f t="shared" si="24"/>
        <v>2.9750947349583612</v>
      </c>
      <c r="F304" s="67">
        <f t="shared" si="25"/>
        <v>2118.6762315544588</v>
      </c>
      <c r="G304" s="75">
        <f t="shared" si="26"/>
        <v>92.227936783709197</v>
      </c>
      <c r="H304" s="68">
        <f t="shared" si="27"/>
        <v>2.6350839081059771E-2</v>
      </c>
      <c r="I304" s="56"/>
    </row>
    <row r="305" spans="1:9" x14ac:dyDescent="0.25">
      <c r="A305" s="65">
        <v>43084</v>
      </c>
      <c r="B305" s="66">
        <f t="shared" si="28"/>
        <v>303</v>
      </c>
      <c r="C305" s="67">
        <f t="shared" si="29"/>
        <v>162.9487438958773</v>
      </c>
      <c r="D305" s="67">
        <v>160</v>
      </c>
      <c r="E305" s="75">
        <f t="shared" si="24"/>
        <v>2.9487438958772998</v>
      </c>
      <c r="F305" s="67">
        <f t="shared" si="25"/>
        <v>2118.3336706464047</v>
      </c>
      <c r="G305" s="75">
        <f t="shared" si="26"/>
        <v>91.411060772196294</v>
      </c>
      <c r="H305" s="68">
        <f t="shared" si="27"/>
        <v>2.6117445934913226E-2</v>
      </c>
      <c r="I305" s="56"/>
    </row>
    <row r="306" spans="1:9" x14ac:dyDescent="0.25">
      <c r="A306" s="65">
        <v>43084</v>
      </c>
      <c r="B306" s="66">
        <f t="shared" si="28"/>
        <v>304</v>
      </c>
      <c r="C306" s="67">
        <f t="shared" si="29"/>
        <v>162.92262644994238</v>
      </c>
      <c r="D306" s="67">
        <v>160</v>
      </c>
      <c r="E306" s="75">
        <f t="shared" si="24"/>
        <v>2.9226264499423849</v>
      </c>
      <c r="F306" s="67">
        <f t="shared" si="25"/>
        <v>2117.994143849251</v>
      </c>
      <c r="G306" s="75">
        <f t="shared" si="26"/>
        <v>90.60141994821393</v>
      </c>
      <c r="H306" s="68">
        <f t="shared" si="27"/>
        <v>2.588611998520398E-2</v>
      </c>
      <c r="I306" s="56"/>
    </row>
    <row r="307" spans="1:9" x14ac:dyDescent="0.25">
      <c r="A307" s="65">
        <v>43084</v>
      </c>
      <c r="B307" s="66">
        <f t="shared" si="28"/>
        <v>305</v>
      </c>
      <c r="C307" s="67">
        <f t="shared" si="29"/>
        <v>162.89674032995717</v>
      </c>
      <c r="D307" s="67">
        <v>160</v>
      </c>
      <c r="E307" s="75">
        <f t="shared" si="24"/>
        <v>2.8967403299571686</v>
      </c>
      <c r="F307" s="67">
        <f t="shared" si="25"/>
        <v>2117.657624289443</v>
      </c>
      <c r="G307" s="75">
        <f t="shared" si="26"/>
        <v>89.798950228672226</v>
      </c>
      <c r="H307" s="68">
        <f t="shared" si="27"/>
        <v>2.5656842922477777E-2</v>
      </c>
      <c r="I307" s="56"/>
    </row>
    <row r="308" spans="1:9" x14ac:dyDescent="0.25">
      <c r="A308" s="65">
        <v>43084</v>
      </c>
      <c r="B308" s="66">
        <f t="shared" si="28"/>
        <v>306</v>
      </c>
      <c r="C308" s="67">
        <f t="shared" si="29"/>
        <v>162.8710834870347</v>
      </c>
      <c r="D308" s="67">
        <v>160</v>
      </c>
      <c r="E308" s="75">
        <f t="shared" si="24"/>
        <v>2.8710834870346957</v>
      </c>
      <c r="F308" s="67">
        <f t="shared" si="25"/>
        <v>2117.324085331451</v>
      </c>
      <c r="G308" s="75">
        <f t="shared" si="26"/>
        <v>89.003588098075568</v>
      </c>
      <c r="H308" s="68">
        <f t="shared" si="27"/>
        <v>2.5429596599450162E-2</v>
      </c>
      <c r="I308" s="56"/>
    </row>
    <row r="309" spans="1:9" x14ac:dyDescent="0.25">
      <c r="A309" s="65">
        <v>43084</v>
      </c>
      <c r="B309" s="66">
        <f t="shared" si="28"/>
        <v>307</v>
      </c>
      <c r="C309" s="67">
        <f t="shared" si="29"/>
        <v>162.84565389043524</v>
      </c>
      <c r="D309" s="67">
        <v>160</v>
      </c>
      <c r="E309" s="75">
        <f t="shared" si="24"/>
        <v>2.8456538904352442</v>
      </c>
      <c r="F309" s="67">
        <f t="shared" si="25"/>
        <v>2116.9935005756583</v>
      </c>
      <c r="G309" s="75">
        <f t="shared" si="26"/>
        <v>88.21527060349257</v>
      </c>
      <c r="H309" s="68">
        <f t="shared" si="27"/>
        <v>2.5204363029569306E-2</v>
      </c>
      <c r="I309" s="56"/>
    </row>
    <row r="310" spans="1:9" x14ac:dyDescent="0.25">
      <c r="A310" s="65">
        <v>43084</v>
      </c>
      <c r="B310" s="66">
        <f t="shared" si="28"/>
        <v>308</v>
      </c>
      <c r="C310" s="67">
        <f t="shared" si="29"/>
        <v>162.82044952740569</v>
      </c>
      <c r="D310" s="67">
        <v>160</v>
      </c>
      <c r="E310" s="75">
        <f t="shared" si="24"/>
        <v>2.8204495274056853</v>
      </c>
      <c r="F310" s="67">
        <f t="shared" si="25"/>
        <v>2116.665843856274</v>
      </c>
      <c r="G310" s="75">
        <f t="shared" si="26"/>
        <v>87.433935349576245</v>
      </c>
      <c r="H310" s="68">
        <f t="shared" si="27"/>
        <v>2.4981124385593214E-2</v>
      </c>
      <c r="I310" s="56"/>
    </row>
    <row r="311" spans="1:9" x14ac:dyDescent="0.25">
      <c r="A311" s="65">
        <v>43084</v>
      </c>
      <c r="B311" s="66">
        <f t="shared" si="28"/>
        <v>309</v>
      </c>
      <c r="C311" s="67">
        <f t="shared" si="29"/>
        <v>162.7954684030201</v>
      </c>
      <c r="D311" s="67">
        <v>160</v>
      </c>
      <c r="E311" s="75">
        <f t="shared" si="24"/>
        <v>2.7954684030200951</v>
      </c>
      <c r="F311" s="67">
        <f t="shared" si="25"/>
        <v>2116.3410892392612</v>
      </c>
      <c r="G311" s="75">
        <f t="shared" si="26"/>
        <v>86.659520493622949</v>
      </c>
      <c r="H311" s="68">
        <f t="shared" si="27"/>
        <v>2.4759862998177985E-2</v>
      </c>
      <c r="I311" s="56"/>
    </row>
    <row r="312" spans="1:9" x14ac:dyDescent="0.25">
      <c r="A312" s="65">
        <v>43084</v>
      </c>
      <c r="B312" s="66">
        <f t="shared" si="28"/>
        <v>310</v>
      </c>
      <c r="C312" s="67">
        <f t="shared" si="29"/>
        <v>162.77070854002193</v>
      </c>
      <c r="D312" s="67">
        <v>160</v>
      </c>
      <c r="E312" s="75">
        <f t="shared" si="24"/>
        <v>2.7707085400219285</v>
      </c>
      <c r="F312" s="67">
        <f t="shared" si="25"/>
        <v>2116.0192110202852</v>
      </c>
      <c r="G312" s="75">
        <f t="shared" si="26"/>
        <v>85.891964740679782</v>
      </c>
      <c r="H312" s="68">
        <f t="shared" si="27"/>
        <v>2.4540561354479937E-2</v>
      </c>
      <c r="I312" s="56"/>
    </row>
    <row r="313" spans="1:9" x14ac:dyDescent="0.25">
      <c r="A313" s="65">
        <v>43084</v>
      </c>
      <c r="B313" s="66">
        <f t="shared" si="28"/>
        <v>311</v>
      </c>
      <c r="C313" s="67">
        <f t="shared" si="29"/>
        <v>162.74616797866744</v>
      </c>
      <c r="D313" s="67">
        <v>160</v>
      </c>
      <c r="E313" s="75">
        <f t="shared" si="24"/>
        <v>2.7461679786674438</v>
      </c>
      <c r="F313" s="67">
        <f t="shared" si="25"/>
        <v>2115.7001837226767</v>
      </c>
      <c r="G313" s="75">
        <f t="shared" si="26"/>
        <v>85.131207338690757</v>
      </c>
      <c r="H313" s="68">
        <f t="shared" si="27"/>
        <v>2.4323202096768786E-2</v>
      </c>
      <c r="I313" s="56"/>
    </row>
    <row r="314" spans="1:9" x14ac:dyDescent="0.25">
      <c r="A314" s="65">
        <v>43084</v>
      </c>
      <c r="B314" s="66">
        <f t="shared" si="28"/>
        <v>312</v>
      </c>
      <c r="C314" s="67">
        <f t="shared" si="29"/>
        <v>162.72184477657066</v>
      </c>
      <c r="D314" s="67">
        <v>160</v>
      </c>
      <c r="E314" s="75">
        <f t="shared" si="24"/>
        <v>2.7218447765706628</v>
      </c>
      <c r="F314" s="67">
        <f t="shared" si="25"/>
        <v>2115.3839820954186</v>
      </c>
      <c r="G314" s="75">
        <f t="shared" si="26"/>
        <v>84.377188073690547</v>
      </c>
      <c r="H314" s="68">
        <f t="shared" si="27"/>
        <v>2.4107768021054441E-2</v>
      </c>
      <c r="I314" s="56"/>
    </row>
    <row r="315" spans="1:9" x14ac:dyDescent="0.25">
      <c r="A315" s="65">
        <v>43084</v>
      </c>
      <c r="B315" s="66">
        <f t="shared" si="28"/>
        <v>313</v>
      </c>
      <c r="C315" s="67">
        <f t="shared" si="29"/>
        <v>162.69773700854961</v>
      </c>
      <c r="D315" s="67">
        <v>160</v>
      </c>
      <c r="E315" s="75">
        <f t="shared" si="24"/>
        <v>2.6977370085496091</v>
      </c>
      <c r="F315" s="67">
        <f t="shared" si="25"/>
        <v>2115.0705811111447</v>
      </c>
      <c r="G315" s="75">
        <f t="shared" si="26"/>
        <v>83.629847265037881</v>
      </c>
      <c r="H315" s="68">
        <f t="shared" si="27"/>
        <v>2.389424207572511E-2</v>
      </c>
      <c r="I315" s="56"/>
    </row>
    <row r="316" spans="1:9" x14ac:dyDescent="0.25">
      <c r="A316" s="65">
        <v>43084</v>
      </c>
      <c r="B316" s="66">
        <f t="shared" si="28"/>
        <v>314</v>
      </c>
      <c r="C316" s="67">
        <f t="shared" si="29"/>
        <v>162.67384276647388</v>
      </c>
      <c r="D316" s="67">
        <v>160</v>
      </c>
      <c r="E316" s="75">
        <f t="shared" si="24"/>
        <v>2.6738427664738822</v>
      </c>
      <c r="F316" s="67">
        <f t="shared" si="25"/>
        <v>2114.7599559641603</v>
      </c>
      <c r="G316" s="75">
        <f t="shared" si="26"/>
        <v>82.889125760690348</v>
      </c>
      <c r="H316" s="68">
        <f t="shared" si="27"/>
        <v>2.3682607360197241E-2</v>
      </c>
      <c r="I316" s="56"/>
    </row>
    <row r="317" spans="1:9" x14ac:dyDescent="0.25">
      <c r="A317" s="65">
        <v>43084</v>
      </c>
      <c r="B317" s="66">
        <f t="shared" si="28"/>
        <v>315</v>
      </c>
      <c r="C317" s="67">
        <f t="shared" si="29"/>
        <v>162.65016015911368</v>
      </c>
      <c r="D317" s="67">
        <v>160</v>
      </c>
      <c r="E317" s="75">
        <f t="shared" si="24"/>
        <v>2.6501601591136819</v>
      </c>
      <c r="F317" s="67">
        <f t="shared" si="25"/>
        <v>2114.4520820684779</v>
      </c>
      <c r="G317" s="75">
        <f t="shared" si="26"/>
        <v>82.154964932524138</v>
      </c>
      <c r="H317" s="68">
        <f t="shared" si="27"/>
        <v>2.3472847123578326E-2</v>
      </c>
      <c r="I317" s="56"/>
    </row>
    <row r="318" spans="1:9" x14ac:dyDescent="0.25">
      <c r="A318" s="65">
        <v>43084</v>
      </c>
      <c r="B318" s="66">
        <f t="shared" si="28"/>
        <v>316</v>
      </c>
      <c r="C318" s="67">
        <f t="shared" si="29"/>
        <v>162.62668731199011</v>
      </c>
      <c r="D318" s="67">
        <v>160</v>
      </c>
      <c r="E318" s="75">
        <f t="shared" si="24"/>
        <v>2.6266873119901106</v>
      </c>
      <c r="F318" s="67">
        <f t="shared" si="25"/>
        <v>2114.1469350558714</v>
      </c>
      <c r="G318" s="75">
        <f t="shared" si="26"/>
        <v>81.42730667169343</v>
      </c>
      <c r="H318" s="68">
        <f t="shared" si="27"/>
        <v>2.326494476334098E-2</v>
      </c>
      <c r="I318" s="56"/>
    </row>
    <row r="319" spans="1:9" x14ac:dyDescent="0.25">
      <c r="A319" s="65">
        <v>43084</v>
      </c>
      <c r="B319" s="66">
        <f t="shared" si="28"/>
        <v>317</v>
      </c>
      <c r="C319" s="67">
        <f t="shared" si="29"/>
        <v>162.60342236722676</v>
      </c>
      <c r="D319" s="67">
        <v>160</v>
      </c>
      <c r="E319" s="75">
        <f t="shared" si="24"/>
        <v>2.6034223672267558</v>
      </c>
      <c r="F319" s="67">
        <f t="shared" si="25"/>
        <v>2113.8444907739477</v>
      </c>
      <c r="G319" s="75">
        <f t="shared" si="26"/>
        <v>80.70609338402943</v>
      </c>
      <c r="H319" s="68">
        <f t="shared" si="27"/>
        <v>2.3058883824008409E-2</v>
      </c>
      <c r="I319" s="56"/>
    </row>
    <row r="320" spans="1:9" x14ac:dyDescent="0.25">
      <c r="A320" s="65">
        <v>43084</v>
      </c>
      <c r="B320" s="66">
        <f t="shared" si="28"/>
        <v>318</v>
      </c>
      <c r="C320" s="67">
        <f t="shared" si="29"/>
        <v>162.58036348340275</v>
      </c>
      <c r="D320" s="67">
        <v>160</v>
      </c>
      <c r="E320" s="75">
        <f t="shared" si="24"/>
        <v>2.5803634834027491</v>
      </c>
      <c r="F320" s="67">
        <f t="shared" si="25"/>
        <v>2113.5447252842359</v>
      </c>
      <c r="G320" s="75">
        <f t="shared" si="26"/>
        <v>79.991267985485223</v>
      </c>
      <c r="H320" s="68">
        <f t="shared" si="27"/>
        <v>2.285464799585292E-2</v>
      </c>
      <c r="I320" s="56"/>
    </row>
    <row r="321" spans="1:9" x14ac:dyDescent="0.25">
      <c r="A321" s="65">
        <v>43084</v>
      </c>
      <c r="B321" s="66">
        <f t="shared" si="28"/>
        <v>319</v>
      </c>
      <c r="C321" s="67">
        <f t="shared" si="29"/>
        <v>162.55750883540691</v>
      </c>
      <c r="D321" s="67">
        <v>160</v>
      </c>
      <c r="E321" s="75">
        <f t="shared" si="24"/>
        <v>2.5575088354069067</v>
      </c>
      <c r="F321" s="67">
        <f t="shared" si="25"/>
        <v>2113.24761486029</v>
      </c>
      <c r="G321" s="75">
        <f t="shared" si="26"/>
        <v>79.282773897614106</v>
      </c>
      <c r="H321" s="68">
        <f t="shared" si="27"/>
        <v>2.2652221113604029E-2</v>
      </c>
      <c r="I321" s="56"/>
    </row>
    <row r="322" spans="1:9" x14ac:dyDescent="0.25">
      <c r="A322" s="65">
        <v>43084</v>
      </c>
      <c r="B322" s="66">
        <f t="shared" si="28"/>
        <v>320</v>
      </c>
      <c r="C322" s="67">
        <f t="shared" si="29"/>
        <v>162.53485661429329</v>
      </c>
      <c r="D322" s="67">
        <v>160</v>
      </c>
      <c r="E322" s="75">
        <f t="shared" si="24"/>
        <v>2.5348566142932896</v>
      </c>
      <c r="F322" s="67">
        <f t="shared" si="25"/>
        <v>2112.9531359858129</v>
      </c>
      <c r="G322" s="75">
        <f t="shared" si="26"/>
        <v>78.580555043091977</v>
      </c>
      <c r="H322" s="68">
        <f t="shared" si="27"/>
        <v>2.2451587155169137E-2</v>
      </c>
      <c r="I322" s="56"/>
    </row>
    <row r="323" spans="1:9" x14ac:dyDescent="0.25">
      <c r="A323" s="65">
        <v>43084</v>
      </c>
      <c r="B323" s="66">
        <f t="shared" si="28"/>
        <v>321</v>
      </c>
      <c r="C323" s="67">
        <f t="shared" si="29"/>
        <v>162.51240502713813</v>
      </c>
      <c r="D323" s="67">
        <v>160</v>
      </c>
      <c r="E323" s="75">
        <f t="shared" ref="E323:E386" si="30">C323-D323</f>
        <v>2.5124050271381293</v>
      </c>
      <c r="F323" s="67">
        <f t="shared" ref="F323:F388" si="31">13*C323</f>
        <v>2112.6612653527955</v>
      </c>
      <c r="G323" s="75">
        <f t="shared" ref="G323:G388" si="32">E323*31</f>
        <v>77.884555841282008</v>
      </c>
      <c r="H323" s="68">
        <f t="shared" ref="H323:H388" si="33">MIN($G323/3500,$F323/3500)</f>
        <v>2.2252730240366288E-2</v>
      </c>
      <c r="I323" s="56"/>
    </row>
    <row r="324" spans="1:9" x14ac:dyDescent="0.25">
      <c r="A324" s="65">
        <v>43084</v>
      </c>
      <c r="B324" s="66">
        <f t="shared" ref="B324:B388" si="34">B323+1</f>
        <v>322</v>
      </c>
      <c r="C324" s="67">
        <f t="shared" ref="C324:C388" si="35">C323-H323</f>
        <v>162.49015229689778</v>
      </c>
      <c r="D324" s="67">
        <v>160</v>
      </c>
      <c r="E324" s="75">
        <f t="shared" si="30"/>
        <v>2.4901522968977758</v>
      </c>
      <c r="F324" s="67">
        <f t="shared" si="31"/>
        <v>2112.3719798596712</v>
      </c>
      <c r="G324" s="75">
        <f t="shared" si="32"/>
        <v>77.194721203831051</v>
      </c>
      <c r="H324" s="68">
        <f t="shared" si="33"/>
        <v>2.2055634629666015E-2</v>
      </c>
      <c r="I324" s="56"/>
    </row>
    <row r="325" spans="1:9" x14ac:dyDescent="0.25">
      <c r="A325" s="65">
        <v>43084</v>
      </c>
      <c r="B325" s="66">
        <f t="shared" si="34"/>
        <v>323</v>
      </c>
      <c r="C325" s="67">
        <f t="shared" si="35"/>
        <v>162.46809666226812</v>
      </c>
      <c r="D325" s="67">
        <v>160</v>
      </c>
      <c r="E325" s="75">
        <f t="shared" si="30"/>
        <v>2.468096662268124</v>
      </c>
      <c r="F325" s="67">
        <f t="shared" si="31"/>
        <v>2112.0852566094854</v>
      </c>
      <c r="G325" s="75">
        <f t="shared" si="32"/>
        <v>76.510996530311843</v>
      </c>
      <c r="H325" s="68">
        <f t="shared" si="33"/>
        <v>2.1860284722946242E-2</v>
      </c>
      <c r="I325" s="56"/>
    </row>
    <row r="326" spans="1:9" x14ac:dyDescent="0.25">
      <c r="A326" s="65">
        <v>43084</v>
      </c>
      <c r="B326" s="66">
        <f t="shared" si="34"/>
        <v>324</v>
      </c>
      <c r="C326" s="67">
        <f t="shared" si="35"/>
        <v>162.44623637754518</v>
      </c>
      <c r="D326" s="67">
        <v>160</v>
      </c>
      <c r="E326" s="75">
        <f t="shared" si="30"/>
        <v>2.4462363775451763</v>
      </c>
      <c r="F326" s="67">
        <f t="shared" si="31"/>
        <v>2111.8010729080875</v>
      </c>
      <c r="G326" s="75">
        <f t="shared" si="32"/>
        <v>75.833327703900466</v>
      </c>
      <c r="H326" s="68">
        <f t="shared" si="33"/>
        <v>2.1666665058257276E-2</v>
      </c>
      <c r="I326" s="56"/>
    </row>
    <row r="327" spans="1:9" x14ac:dyDescent="0.25">
      <c r="A327" s="65">
        <v>43084</v>
      </c>
      <c r="B327" s="66">
        <f t="shared" si="34"/>
        <v>325</v>
      </c>
      <c r="C327" s="67">
        <f t="shared" si="35"/>
        <v>162.42456971248691</v>
      </c>
      <c r="D327" s="67">
        <v>160</v>
      </c>
      <c r="E327" s="75">
        <f t="shared" si="30"/>
        <v>2.4245697124869139</v>
      </c>
      <c r="F327" s="67">
        <f t="shared" si="31"/>
        <v>2111.51940626233</v>
      </c>
      <c r="G327" s="75">
        <f t="shared" si="32"/>
        <v>75.16166108709433</v>
      </c>
      <c r="H327" s="68">
        <f t="shared" si="33"/>
        <v>2.1474760310598379E-2</v>
      </c>
      <c r="I327" s="56"/>
    </row>
    <row r="328" spans="1:9" x14ac:dyDescent="0.25">
      <c r="A328" s="65">
        <v>43084</v>
      </c>
      <c r="B328" s="66">
        <f t="shared" si="34"/>
        <v>326</v>
      </c>
      <c r="C328" s="67">
        <f t="shared" si="35"/>
        <v>162.4030949521763</v>
      </c>
      <c r="D328" s="67">
        <v>160</v>
      </c>
      <c r="E328" s="75">
        <f t="shared" si="30"/>
        <v>2.4030949521763034</v>
      </c>
      <c r="F328" s="67">
        <f t="shared" si="31"/>
        <v>2111.2402343782919</v>
      </c>
      <c r="G328" s="75">
        <f t="shared" si="32"/>
        <v>74.495943517465406</v>
      </c>
      <c r="H328" s="68">
        <f t="shared" si="33"/>
        <v>2.1284555290704402E-2</v>
      </c>
      <c r="I328" s="56"/>
    </row>
    <row r="329" spans="1:9" x14ac:dyDescent="0.25">
      <c r="A329" s="65">
        <v>43084</v>
      </c>
      <c r="B329" s="66">
        <f t="shared" si="34"/>
        <v>327</v>
      </c>
      <c r="C329" s="67">
        <f t="shared" si="35"/>
        <v>162.38181039688561</v>
      </c>
      <c r="D329" s="67">
        <v>160</v>
      </c>
      <c r="E329" s="75">
        <f t="shared" si="30"/>
        <v>2.3818103968856121</v>
      </c>
      <c r="F329" s="67">
        <f t="shared" si="31"/>
        <v>2110.963535159513</v>
      </c>
      <c r="G329" s="75">
        <f t="shared" si="32"/>
        <v>73.836122303453976</v>
      </c>
      <c r="H329" s="68">
        <f t="shared" si="33"/>
        <v>2.1096034943843992E-2</v>
      </c>
      <c r="I329" s="56"/>
    </row>
    <row r="330" spans="1:9" x14ac:dyDescent="0.25">
      <c r="A330" s="65">
        <v>43084</v>
      </c>
      <c r="B330" s="66">
        <f t="shared" si="34"/>
        <v>328</v>
      </c>
      <c r="C330" s="67">
        <f t="shared" si="35"/>
        <v>162.36071436194177</v>
      </c>
      <c r="D330" s="67">
        <v>160</v>
      </c>
      <c r="E330" s="75">
        <f t="shared" si="30"/>
        <v>2.3607143619417741</v>
      </c>
      <c r="F330" s="67">
        <f t="shared" si="31"/>
        <v>2110.6892867052429</v>
      </c>
      <c r="G330" s="75">
        <f t="shared" si="32"/>
        <v>73.182145220194997</v>
      </c>
      <c r="H330" s="68">
        <f t="shared" si="33"/>
        <v>2.0909184348627142E-2</v>
      </c>
      <c r="I330" s="56"/>
    </row>
    <row r="331" spans="1:9" x14ac:dyDescent="0.25">
      <c r="A331" s="65">
        <v>43084</v>
      </c>
      <c r="B331" s="66">
        <f t="shared" si="34"/>
        <v>329</v>
      </c>
      <c r="C331" s="67">
        <f t="shared" si="35"/>
        <v>162.33980517759315</v>
      </c>
      <c r="D331" s="67">
        <v>160</v>
      </c>
      <c r="E331" s="75">
        <f t="shared" si="30"/>
        <v>2.3398051775931492</v>
      </c>
      <c r="F331" s="67">
        <f t="shared" si="31"/>
        <v>2110.4174673087109</v>
      </c>
      <c r="G331" s="75">
        <f t="shared" si="32"/>
        <v>72.533960505387626</v>
      </c>
      <c r="H331" s="68">
        <f t="shared" si="33"/>
        <v>2.0723988715825037E-2</v>
      </c>
      <c r="I331" s="56"/>
    </row>
    <row r="332" spans="1:9" x14ac:dyDescent="0.25">
      <c r="A332" s="65">
        <v>43084</v>
      </c>
      <c r="B332" s="66">
        <f t="shared" si="34"/>
        <v>330</v>
      </c>
      <c r="C332" s="67">
        <f t="shared" si="35"/>
        <v>162.31908118887733</v>
      </c>
      <c r="D332" s="67">
        <v>160</v>
      </c>
      <c r="E332" s="75">
        <f t="shared" si="30"/>
        <v>2.3190811888773339</v>
      </c>
      <c r="F332" s="67">
        <f t="shared" si="31"/>
        <v>2110.1480554554055</v>
      </c>
      <c r="G332" s="75">
        <f t="shared" si="32"/>
        <v>71.891516855197352</v>
      </c>
      <c r="H332" s="68">
        <f t="shared" si="33"/>
        <v>2.0540433387199245E-2</v>
      </c>
      <c r="I332" s="56"/>
    </row>
    <row r="333" spans="1:9" x14ac:dyDescent="0.25">
      <c r="A333" s="65">
        <v>43084</v>
      </c>
      <c r="B333" s="66">
        <f t="shared" si="34"/>
        <v>331</v>
      </c>
      <c r="C333" s="67">
        <f t="shared" si="35"/>
        <v>162.29854075549014</v>
      </c>
      <c r="D333" s="67">
        <v>160</v>
      </c>
      <c r="E333" s="75">
        <f t="shared" si="30"/>
        <v>2.2985407554901371</v>
      </c>
      <c r="F333" s="67">
        <f t="shared" si="31"/>
        <v>2109.8810298213716</v>
      </c>
      <c r="G333" s="75">
        <f t="shared" si="32"/>
        <v>71.254763420194251</v>
      </c>
      <c r="H333" s="68">
        <f t="shared" si="33"/>
        <v>2.0358503834341214E-2</v>
      </c>
      <c r="I333" s="56"/>
    </row>
    <row r="334" spans="1:9" x14ac:dyDescent="0.25">
      <c r="A334" s="65">
        <v>43084</v>
      </c>
      <c r="B334" s="66">
        <f t="shared" si="34"/>
        <v>332</v>
      </c>
      <c r="C334" s="67">
        <f t="shared" si="35"/>
        <v>162.27818225165581</v>
      </c>
      <c r="D334" s="67">
        <v>160</v>
      </c>
      <c r="E334" s="75">
        <f t="shared" si="30"/>
        <v>2.2781822516558066</v>
      </c>
      <c r="F334" s="67">
        <f t="shared" si="31"/>
        <v>2109.6163692715254</v>
      </c>
      <c r="G334" s="75">
        <f t="shared" si="32"/>
        <v>70.623649801330004</v>
      </c>
      <c r="H334" s="68">
        <f t="shared" si="33"/>
        <v>2.0178185657522857E-2</v>
      </c>
      <c r="I334" s="56"/>
    </row>
    <row r="335" spans="1:9" x14ac:dyDescent="0.25">
      <c r="A335" s="65">
        <v>43084</v>
      </c>
      <c r="B335" s="66">
        <f t="shared" si="34"/>
        <v>333</v>
      </c>
      <c r="C335" s="67">
        <f t="shared" si="35"/>
        <v>162.25800406599828</v>
      </c>
      <c r="D335" s="67">
        <v>160</v>
      </c>
      <c r="E335" s="75">
        <f t="shared" si="30"/>
        <v>2.2580040659982785</v>
      </c>
      <c r="F335" s="67">
        <f t="shared" si="31"/>
        <v>2109.3540528579774</v>
      </c>
      <c r="G335" s="75">
        <f t="shared" si="32"/>
        <v>69.998126045946634</v>
      </c>
      <c r="H335" s="68">
        <f t="shared" si="33"/>
        <v>1.9999464584556183E-2</v>
      </c>
      <c r="I335" s="56"/>
    </row>
    <row r="336" spans="1:9" x14ac:dyDescent="0.25">
      <c r="A336" s="65">
        <v>43084</v>
      </c>
      <c r="B336" s="66">
        <f t="shared" si="34"/>
        <v>334</v>
      </c>
      <c r="C336" s="67">
        <f t="shared" si="35"/>
        <v>162.23800460141373</v>
      </c>
      <c r="D336" s="67">
        <v>160</v>
      </c>
      <c r="E336" s="75">
        <f t="shared" si="30"/>
        <v>2.2380046014137349</v>
      </c>
      <c r="F336" s="67">
        <f t="shared" si="31"/>
        <v>2109.0940598183784</v>
      </c>
      <c r="G336" s="75">
        <f t="shared" si="32"/>
        <v>69.378142643825782</v>
      </c>
      <c r="H336" s="68">
        <f t="shared" si="33"/>
        <v>1.982232646966451E-2</v>
      </c>
      <c r="I336" s="56"/>
    </row>
    <row r="337" spans="1:9" x14ac:dyDescent="0.25">
      <c r="A337" s="65">
        <v>43084</v>
      </c>
      <c r="B337" s="66">
        <f t="shared" si="34"/>
        <v>335</v>
      </c>
      <c r="C337" s="67">
        <f t="shared" si="35"/>
        <v>162.21818227494407</v>
      </c>
      <c r="D337" s="67">
        <v>160</v>
      </c>
      <c r="E337" s="75">
        <f t="shared" si="30"/>
        <v>2.2181822749440698</v>
      </c>
      <c r="F337" s="67">
        <f t="shared" si="31"/>
        <v>2108.8363695742728</v>
      </c>
      <c r="G337" s="75">
        <f t="shared" si="32"/>
        <v>68.763650523266165</v>
      </c>
      <c r="H337" s="68">
        <f t="shared" si="33"/>
        <v>1.9646757292361761E-2</v>
      </c>
      <c r="I337" s="56"/>
    </row>
    <row r="338" spans="1:9" x14ac:dyDescent="0.25">
      <c r="A338" s="65">
        <v>43084</v>
      </c>
      <c r="B338" s="66">
        <f t="shared" si="34"/>
        <v>336</v>
      </c>
      <c r="C338" s="67">
        <f t="shared" si="35"/>
        <v>162.19853551765172</v>
      </c>
      <c r="D338" s="67">
        <v>160</v>
      </c>
      <c r="E338" s="75">
        <f t="shared" si="30"/>
        <v>2.1985355176517203</v>
      </c>
      <c r="F338" s="67">
        <f t="shared" si="31"/>
        <v>2108.5809617294722</v>
      </c>
      <c r="G338" s="75">
        <f t="shared" si="32"/>
        <v>68.154601047203329</v>
      </c>
      <c r="H338" s="68">
        <f t="shared" si="33"/>
        <v>1.9472743156343807E-2</v>
      </c>
      <c r="I338" s="56"/>
    </row>
    <row r="339" spans="1:9" x14ac:dyDescent="0.25">
      <c r="A339" s="65">
        <v>43084</v>
      </c>
      <c r="B339" s="66">
        <f t="shared" si="34"/>
        <v>337</v>
      </c>
      <c r="C339" s="67">
        <f t="shared" si="35"/>
        <v>162.17906277449538</v>
      </c>
      <c r="D339" s="67">
        <v>160</v>
      </c>
      <c r="E339" s="75">
        <f t="shared" si="30"/>
        <v>2.1790627744953781</v>
      </c>
      <c r="F339" s="67">
        <f t="shared" si="31"/>
        <v>2108.3278160684399</v>
      </c>
      <c r="G339" s="75">
        <f t="shared" si="32"/>
        <v>67.550946009356721</v>
      </c>
      <c r="H339" s="68">
        <f t="shared" si="33"/>
        <v>1.9300270288387635E-2</v>
      </c>
      <c r="I339" s="56"/>
    </row>
    <row r="340" spans="1:9" x14ac:dyDescent="0.25">
      <c r="A340" s="65">
        <v>43084</v>
      </c>
      <c r="B340" s="66">
        <f t="shared" si="34"/>
        <v>338</v>
      </c>
      <c r="C340" s="67">
        <f t="shared" si="35"/>
        <v>162.15976250420698</v>
      </c>
      <c r="D340" s="67">
        <v>160</v>
      </c>
      <c r="E340" s="75">
        <f t="shared" si="30"/>
        <v>2.1597625042069808</v>
      </c>
      <c r="F340" s="67">
        <f t="shared" si="31"/>
        <v>2108.0769125546908</v>
      </c>
      <c r="G340" s="75">
        <f t="shared" si="32"/>
        <v>66.952637630416405</v>
      </c>
      <c r="H340" s="68">
        <f t="shared" si="33"/>
        <v>1.9129325037261832E-2</v>
      </c>
      <c r="I340" s="56"/>
    </row>
    <row r="341" spans="1:9" x14ac:dyDescent="0.25">
      <c r="A341" s="65">
        <v>43084</v>
      </c>
      <c r="B341" s="66">
        <f t="shared" si="34"/>
        <v>339</v>
      </c>
      <c r="C341" s="67">
        <f t="shared" si="35"/>
        <v>162.14063317916973</v>
      </c>
      <c r="D341" s="67">
        <v>160</v>
      </c>
      <c r="E341" s="75">
        <f t="shared" si="30"/>
        <v>2.1406331791697255</v>
      </c>
      <c r="F341" s="67">
        <f t="shared" si="31"/>
        <v>2107.8282313292066</v>
      </c>
      <c r="G341" s="75">
        <f t="shared" si="32"/>
        <v>66.359628554261491</v>
      </c>
      <c r="H341" s="68">
        <f t="shared" si="33"/>
        <v>1.8959893872646141E-2</v>
      </c>
      <c r="I341" s="56"/>
    </row>
    <row r="342" spans="1:9" x14ac:dyDescent="0.25">
      <c r="A342" s="65">
        <v>43084</v>
      </c>
      <c r="B342" s="66">
        <f t="shared" si="34"/>
        <v>340</v>
      </c>
      <c r="C342" s="67">
        <f t="shared" si="35"/>
        <v>162.12167328529708</v>
      </c>
      <c r="D342" s="67">
        <v>160</v>
      </c>
      <c r="E342" s="75">
        <f t="shared" si="30"/>
        <v>2.1216732852970779</v>
      </c>
      <c r="F342" s="67">
        <f t="shared" si="31"/>
        <v>2107.581752708862</v>
      </c>
      <c r="G342" s="75">
        <f t="shared" si="32"/>
        <v>65.771871844209414</v>
      </c>
      <c r="H342" s="68">
        <f t="shared" si="33"/>
        <v>1.8791963384059834E-2</v>
      </c>
      <c r="I342" s="56"/>
    </row>
    <row r="343" spans="1:9" x14ac:dyDescent="0.25">
      <c r="A343" s="65">
        <v>43084</v>
      </c>
      <c r="B343" s="66">
        <f t="shared" si="34"/>
        <v>341</v>
      </c>
      <c r="C343" s="67">
        <f t="shared" si="35"/>
        <v>162.10288132191303</v>
      </c>
      <c r="D343" s="67">
        <v>160</v>
      </c>
      <c r="E343" s="75">
        <f t="shared" si="30"/>
        <v>2.1028813219130313</v>
      </c>
      <c r="F343" s="67">
        <f t="shared" si="31"/>
        <v>2107.3374571848694</v>
      </c>
      <c r="G343" s="75">
        <f t="shared" si="32"/>
        <v>65.189320979303972</v>
      </c>
      <c r="H343" s="68">
        <f t="shared" si="33"/>
        <v>1.8625520279801133E-2</v>
      </c>
      <c r="I343" s="56"/>
    </row>
    <row r="344" spans="1:9" x14ac:dyDescent="0.25">
      <c r="A344" s="65">
        <v>43084</v>
      </c>
      <c r="B344" s="66">
        <f t="shared" si="34"/>
        <v>342</v>
      </c>
      <c r="C344" s="67">
        <f t="shared" si="35"/>
        <v>162.08425580163322</v>
      </c>
      <c r="D344" s="67">
        <v>160</v>
      </c>
      <c r="E344" s="75">
        <f t="shared" si="30"/>
        <v>2.0842558016332191</v>
      </c>
      <c r="F344" s="67">
        <f t="shared" si="31"/>
        <v>2107.0953254212318</v>
      </c>
      <c r="G344" s="75">
        <f t="shared" si="32"/>
        <v>64.611929850629792</v>
      </c>
      <c r="H344" s="68">
        <f t="shared" si="33"/>
        <v>1.8460551385894225E-2</v>
      </c>
      <c r="I344" s="56"/>
    </row>
    <row r="345" spans="1:9" x14ac:dyDescent="0.25">
      <c r="A345" s="65">
        <v>43084</v>
      </c>
      <c r="B345" s="66">
        <f t="shared" si="34"/>
        <v>343</v>
      </c>
      <c r="C345" s="67">
        <f t="shared" si="35"/>
        <v>162.06579525024733</v>
      </c>
      <c r="D345" s="67">
        <v>160</v>
      </c>
      <c r="E345" s="75">
        <f t="shared" si="30"/>
        <v>2.0657952502473336</v>
      </c>
      <c r="F345" s="67">
        <f t="shared" si="31"/>
        <v>2106.8553382532155</v>
      </c>
      <c r="G345" s="75">
        <f t="shared" si="32"/>
        <v>64.039652757667341</v>
      </c>
      <c r="H345" s="68">
        <f t="shared" si="33"/>
        <v>1.8297043645047813E-2</v>
      </c>
      <c r="I345" s="56"/>
    </row>
    <row r="346" spans="1:9" x14ac:dyDescent="0.25">
      <c r="A346" s="65">
        <v>43084</v>
      </c>
      <c r="B346" s="66">
        <f t="shared" si="34"/>
        <v>344</v>
      </c>
      <c r="C346" s="67">
        <f t="shared" si="35"/>
        <v>162.04749820660228</v>
      </c>
      <c r="D346" s="67">
        <v>160</v>
      </c>
      <c r="E346" s="75">
        <f t="shared" si="30"/>
        <v>2.0474982066022847</v>
      </c>
      <c r="F346" s="67">
        <f t="shared" si="31"/>
        <v>2106.6174766858298</v>
      </c>
      <c r="G346" s="75">
        <f t="shared" si="32"/>
        <v>63.472444404670824</v>
      </c>
      <c r="H346" s="68">
        <f t="shared" si="33"/>
        <v>1.8134984115620235E-2</v>
      </c>
      <c r="I346" s="56"/>
    </row>
    <row r="347" spans="1:9" x14ac:dyDescent="0.25">
      <c r="A347" s="65">
        <v>43084</v>
      </c>
      <c r="B347" s="66">
        <f t="shared" si="34"/>
        <v>345</v>
      </c>
      <c r="C347" s="67">
        <f t="shared" si="35"/>
        <v>162.02936322248667</v>
      </c>
      <c r="D347" s="67">
        <v>160</v>
      </c>
      <c r="E347" s="75">
        <f t="shared" si="30"/>
        <v>2.0293632224866656</v>
      </c>
      <c r="F347" s="67">
        <f t="shared" si="31"/>
        <v>2106.3817218923268</v>
      </c>
      <c r="G347" s="75">
        <f t="shared" si="32"/>
        <v>62.910259897086632</v>
      </c>
      <c r="H347" s="68">
        <f t="shared" si="33"/>
        <v>1.7974359970596182E-2</v>
      </c>
      <c r="I347" s="56"/>
    </row>
    <row r="348" spans="1:9" x14ac:dyDescent="0.25">
      <c r="A348" s="65">
        <v>43084</v>
      </c>
      <c r="B348" s="66">
        <f t="shared" si="34"/>
        <v>346</v>
      </c>
      <c r="C348" s="67">
        <f t="shared" si="35"/>
        <v>162.01138886251607</v>
      </c>
      <c r="D348" s="67">
        <v>160</v>
      </c>
      <c r="E348" s="75">
        <f t="shared" si="30"/>
        <v>2.0113888625160712</v>
      </c>
      <c r="F348" s="67">
        <f t="shared" si="31"/>
        <v>2106.1480552127091</v>
      </c>
      <c r="G348" s="75">
        <f t="shared" si="32"/>
        <v>62.353054737998207</v>
      </c>
      <c r="H348" s="68">
        <f t="shared" si="33"/>
        <v>1.7815158496570917E-2</v>
      </c>
      <c r="I348" s="56"/>
    </row>
    <row r="349" spans="1:9" x14ac:dyDescent="0.25">
      <c r="A349" s="65">
        <v>43084</v>
      </c>
      <c r="B349" s="66">
        <f t="shared" si="34"/>
        <v>347</v>
      </c>
      <c r="C349" s="67">
        <f t="shared" si="35"/>
        <v>161.9935737040195</v>
      </c>
      <c r="D349" s="67">
        <v>160</v>
      </c>
      <c r="E349" s="75">
        <f t="shared" si="30"/>
        <v>1.9935737040194965</v>
      </c>
      <c r="F349" s="67">
        <f t="shared" si="31"/>
        <v>2105.9164581522537</v>
      </c>
      <c r="G349" s="75">
        <f t="shared" si="32"/>
        <v>61.800784824604392</v>
      </c>
      <c r="H349" s="68">
        <f t="shared" si="33"/>
        <v>1.7657367092744111E-2</v>
      </c>
      <c r="I349" s="56"/>
    </row>
    <row r="350" spans="1:9" x14ac:dyDescent="0.25">
      <c r="A350" s="65">
        <v>43084</v>
      </c>
      <c r="B350" s="66">
        <f t="shared" si="34"/>
        <v>348</v>
      </c>
      <c r="C350" s="67">
        <f t="shared" si="35"/>
        <v>161.97591633692676</v>
      </c>
      <c r="D350" s="67">
        <v>160</v>
      </c>
      <c r="E350" s="75">
        <f t="shared" si="30"/>
        <v>1.9759163369267583</v>
      </c>
      <c r="F350" s="67">
        <f t="shared" si="31"/>
        <v>2105.6869123800479</v>
      </c>
      <c r="G350" s="75">
        <f t="shared" si="32"/>
        <v>61.253406444729507</v>
      </c>
      <c r="H350" s="68">
        <f t="shared" si="33"/>
        <v>1.7500973269922716E-2</v>
      </c>
      <c r="I350" s="56"/>
    </row>
    <row r="351" spans="1:9" x14ac:dyDescent="0.25">
      <c r="A351" s="65">
        <v>43084</v>
      </c>
      <c r="B351" s="66">
        <f t="shared" si="34"/>
        <v>349</v>
      </c>
      <c r="C351" s="67">
        <f t="shared" si="35"/>
        <v>161.95841536365683</v>
      </c>
      <c r="D351" s="67">
        <v>160</v>
      </c>
      <c r="E351" s="75">
        <f t="shared" si="30"/>
        <v>1.958415363656826</v>
      </c>
      <c r="F351" s="67">
        <f t="shared" si="31"/>
        <v>2105.4593997275388</v>
      </c>
      <c r="G351" s="75">
        <f t="shared" si="32"/>
        <v>60.710876273361606</v>
      </c>
      <c r="H351" s="68">
        <f t="shared" si="33"/>
        <v>1.7345964649531889E-2</v>
      </c>
      <c r="I351" s="56"/>
    </row>
    <row r="352" spans="1:9" x14ac:dyDescent="0.25">
      <c r="A352" s="65">
        <v>43084</v>
      </c>
      <c r="B352" s="66">
        <f t="shared" si="34"/>
        <v>350</v>
      </c>
      <c r="C352" s="67">
        <f t="shared" si="35"/>
        <v>161.94106939900729</v>
      </c>
      <c r="D352" s="67">
        <v>160</v>
      </c>
      <c r="E352" s="75">
        <f t="shared" si="30"/>
        <v>1.94106939900729</v>
      </c>
      <c r="F352" s="67">
        <f t="shared" si="31"/>
        <v>2105.2339021870948</v>
      </c>
      <c r="G352" s="75">
        <f t="shared" si="32"/>
        <v>60.173151369225991</v>
      </c>
      <c r="H352" s="68">
        <f t="shared" si="33"/>
        <v>1.7192328962635998E-2</v>
      </c>
      <c r="I352" s="56"/>
    </row>
    <row r="353" spans="1:9" x14ac:dyDescent="0.25">
      <c r="A353" s="65">
        <v>43084</v>
      </c>
      <c r="B353" s="66">
        <f t="shared" si="34"/>
        <v>351</v>
      </c>
      <c r="C353" s="67">
        <f t="shared" si="35"/>
        <v>161.92387707004465</v>
      </c>
      <c r="D353" s="67">
        <v>160</v>
      </c>
      <c r="E353" s="75">
        <f t="shared" si="30"/>
        <v>1.9238770700446537</v>
      </c>
      <c r="F353" s="67">
        <f t="shared" si="31"/>
        <v>2105.0104019105806</v>
      </c>
      <c r="G353" s="75">
        <f t="shared" si="32"/>
        <v>59.640189171384264</v>
      </c>
      <c r="H353" s="68">
        <f t="shared" si="33"/>
        <v>1.7040054048966934E-2</v>
      </c>
      <c r="I353" s="56"/>
    </row>
    <row r="354" spans="1:9" x14ac:dyDescent="0.25">
      <c r="A354" s="65">
        <v>43084</v>
      </c>
      <c r="B354" s="66">
        <f t="shared" si="34"/>
        <v>352</v>
      </c>
      <c r="C354" s="67">
        <f t="shared" si="35"/>
        <v>161.90683701599568</v>
      </c>
      <c r="D354" s="67">
        <v>160</v>
      </c>
      <c r="E354" s="75">
        <f t="shared" si="30"/>
        <v>1.9068370159956771</v>
      </c>
      <c r="F354" s="67">
        <f t="shared" si="31"/>
        <v>2104.7888812079436</v>
      </c>
      <c r="G354" s="75">
        <f t="shared" si="32"/>
        <v>59.111947495865991</v>
      </c>
      <c r="H354" s="68">
        <f t="shared" si="33"/>
        <v>1.6889127855961712E-2</v>
      </c>
      <c r="I354" s="56"/>
    </row>
    <row r="355" spans="1:9" x14ac:dyDescent="0.25">
      <c r="A355" s="65">
        <v>43084</v>
      </c>
      <c r="B355" s="66">
        <f t="shared" si="34"/>
        <v>353</v>
      </c>
      <c r="C355" s="67">
        <f t="shared" si="35"/>
        <v>161.88994788813972</v>
      </c>
      <c r="D355" s="67">
        <v>160</v>
      </c>
      <c r="E355" s="75">
        <f t="shared" si="30"/>
        <v>1.8899478881397158</v>
      </c>
      <c r="F355" s="67">
        <f t="shared" si="31"/>
        <v>2104.5693225458162</v>
      </c>
      <c r="G355" s="75">
        <f t="shared" si="32"/>
        <v>58.58838453233119</v>
      </c>
      <c r="H355" s="68">
        <f t="shared" si="33"/>
        <v>1.6739538437808912E-2</v>
      </c>
      <c r="I355" s="56"/>
    </row>
    <row r="356" spans="1:9" x14ac:dyDescent="0.25">
      <c r="A356" s="65">
        <v>43084</v>
      </c>
      <c r="B356" s="66">
        <f t="shared" si="34"/>
        <v>354</v>
      </c>
      <c r="C356" s="67">
        <f t="shared" si="35"/>
        <v>161.87320834970191</v>
      </c>
      <c r="D356" s="67">
        <v>160</v>
      </c>
      <c r="E356" s="75">
        <f t="shared" si="30"/>
        <v>1.8732083497019119</v>
      </c>
      <c r="F356" s="67">
        <f t="shared" si="31"/>
        <v>2104.3517085461249</v>
      </c>
      <c r="G356" s="75">
        <f t="shared" si="32"/>
        <v>58.069458840759268</v>
      </c>
      <c r="H356" s="68">
        <f t="shared" si="33"/>
        <v>1.6591273954502647E-2</v>
      </c>
      <c r="I356" s="56"/>
    </row>
    <row r="357" spans="1:9" x14ac:dyDescent="0.25">
      <c r="A357" s="65">
        <v>43084</v>
      </c>
      <c r="B357" s="66">
        <f t="shared" si="34"/>
        <v>355</v>
      </c>
      <c r="C357" s="67">
        <f t="shared" si="35"/>
        <v>161.85661707574741</v>
      </c>
      <c r="D357" s="67">
        <v>160</v>
      </c>
      <c r="E357" s="75">
        <f t="shared" si="30"/>
        <v>1.8566170757474083</v>
      </c>
      <c r="F357" s="67">
        <f t="shared" si="31"/>
        <v>2104.1360219847165</v>
      </c>
      <c r="G357" s="75">
        <f t="shared" si="32"/>
        <v>57.555129348169658</v>
      </c>
      <c r="H357" s="68">
        <f t="shared" si="33"/>
        <v>1.6444322670905617E-2</v>
      </c>
      <c r="I357" s="56"/>
    </row>
    <row r="358" spans="1:9" x14ac:dyDescent="0.25">
      <c r="A358" s="65">
        <v>43084</v>
      </c>
      <c r="B358" s="66">
        <f t="shared" si="34"/>
        <v>356</v>
      </c>
      <c r="C358" s="67">
        <f t="shared" si="35"/>
        <v>161.8401727530765</v>
      </c>
      <c r="D358" s="67">
        <v>160</v>
      </c>
      <c r="E358" s="75">
        <f t="shared" si="30"/>
        <v>1.8401727530765015</v>
      </c>
      <c r="F358" s="67">
        <f t="shared" si="31"/>
        <v>2103.9222457899946</v>
      </c>
      <c r="G358" s="75">
        <f t="shared" si="32"/>
        <v>57.045355345371547</v>
      </c>
      <c r="H358" s="68">
        <f t="shared" si="33"/>
        <v>1.629867295582044E-2</v>
      </c>
      <c r="I358" s="56"/>
    </row>
    <row r="359" spans="1:9" x14ac:dyDescent="0.25">
      <c r="A359" s="65">
        <v>43084</v>
      </c>
      <c r="B359" s="66">
        <f t="shared" si="34"/>
        <v>357</v>
      </c>
      <c r="C359" s="67">
        <f t="shared" si="35"/>
        <v>161.82387408012067</v>
      </c>
      <c r="D359" s="67">
        <v>160</v>
      </c>
      <c r="E359" s="75">
        <f t="shared" si="30"/>
        <v>1.8238740801206745</v>
      </c>
      <c r="F359" s="67">
        <f t="shared" si="31"/>
        <v>2103.7103630415686</v>
      </c>
      <c r="G359" s="75">
        <f t="shared" si="32"/>
        <v>56.540096483740911</v>
      </c>
      <c r="H359" s="68">
        <f t="shared" si="33"/>
        <v>1.6154313281068831E-2</v>
      </c>
      <c r="I359" s="56"/>
    </row>
    <row r="360" spans="1:9" x14ac:dyDescent="0.25">
      <c r="A360" s="65">
        <v>43084</v>
      </c>
      <c r="B360" s="66">
        <f t="shared" si="34"/>
        <v>358</v>
      </c>
      <c r="C360" s="67">
        <f t="shared" si="35"/>
        <v>161.8077197668396</v>
      </c>
      <c r="D360" s="67">
        <v>160</v>
      </c>
      <c r="E360" s="75">
        <f t="shared" si="30"/>
        <v>1.8077197668395968</v>
      </c>
      <c r="F360" s="67">
        <f t="shared" si="31"/>
        <v>2103.5003569689147</v>
      </c>
      <c r="G360" s="75">
        <f t="shared" si="32"/>
        <v>56.0393127720275</v>
      </c>
      <c r="H360" s="68">
        <f t="shared" si="33"/>
        <v>1.6011232220579284E-2</v>
      </c>
      <c r="I360" s="56"/>
    </row>
    <row r="361" spans="1:9" x14ac:dyDescent="0.25">
      <c r="A361" s="65">
        <v>43084</v>
      </c>
      <c r="B361" s="66">
        <f t="shared" si="34"/>
        <v>359</v>
      </c>
      <c r="C361" s="67">
        <f t="shared" si="35"/>
        <v>161.791708534619</v>
      </c>
      <c r="D361" s="67">
        <v>160</v>
      </c>
      <c r="E361" s="75">
        <f t="shared" si="30"/>
        <v>1.7917085346190049</v>
      </c>
      <c r="F361" s="67">
        <f t="shared" si="31"/>
        <v>2103.2922109500469</v>
      </c>
      <c r="G361" s="75">
        <f t="shared" si="32"/>
        <v>55.542964573189153</v>
      </c>
      <c r="H361" s="68">
        <f t="shared" si="33"/>
        <v>1.5869418449482614E-2</v>
      </c>
      <c r="I361" s="56"/>
    </row>
    <row r="362" spans="1:9" x14ac:dyDescent="0.25">
      <c r="A362" s="65">
        <v>43084</v>
      </c>
      <c r="B362" s="66">
        <f t="shared" si="34"/>
        <v>360</v>
      </c>
      <c r="C362" s="67">
        <f t="shared" si="35"/>
        <v>161.77583911616952</v>
      </c>
      <c r="D362" s="67">
        <v>160</v>
      </c>
      <c r="E362" s="75">
        <f t="shared" si="30"/>
        <v>1.7758391161695215</v>
      </c>
      <c r="F362" s="67">
        <f t="shared" si="31"/>
        <v>2103.0859085102038</v>
      </c>
      <c r="G362" s="75">
        <f t="shared" si="32"/>
        <v>55.051012601255167</v>
      </c>
      <c r="H362" s="68">
        <f t="shared" si="33"/>
        <v>1.5728860743215761E-2</v>
      </c>
      <c r="I362" s="56"/>
    </row>
    <row r="363" spans="1:9" x14ac:dyDescent="0.25">
      <c r="A363" s="65">
        <v>43084</v>
      </c>
      <c r="B363" s="66">
        <f t="shared" si="34"/>
        <v>361</v>
      </c>
      <c r="C363" s="67">
        <f t="shared" si="35"/>
        <v>161.7601102554263</v>
      </c>
      <c r="D363" s="67">
        <v>160</v>
      </c>
      <c r="E363" s="75">
        <f t="shared" si="30"/>
        <v>1.760110255426298</v>
      </c>
      <c r="F363" s="67">
        <f t="shared" si="31"/>
        <v>2102.8814333205419</v>
      </c>
      <c r="G363" s="75">
        <f t="shared" si="32"/>
        <v>54.563417918215237</v>
      </c>
      <c r="H363" s="68">
        <f t="shared" si="33"/>
        <v>1.5589547976632924E-2</v>
      </c>
      <c r="I363" s="56"/>
    </row>
    <row r="364" spans="1:9" x14ac:dyDescent="0.25">
      <c r="A364" s="65">
        <v>43084</v>
      </c>
      <c r="B364" s="66">
        <f t="shared" si="34"/>
        <v>362</v>
      </c>
      <c r="C364" s="67">
        <f t="shared" si="35"/>
        <v>161.74452070744965</v>
      </c>
      <c r="D364" s="67">
        <v>160</v>
      </c>
      <c r="E364" s="75">
        <f t="shared" si="30"/>
        <v>1.7445207074496523</v>
      </c>
      <c r="F364" s="67">
        <f t="shared" si="31"/>
        <v>2102.6787691968457</v>
      </c>
      <c r="G364" s="75">
        <f t="shared" si="32"/>
        <v>54.08014193093922</v>
      </c>
      <c r="H364" s="68">
        <f t="shared" si="33"/>
        <v>1.5451469123125491E-2</v>
      </c>
      <c r="I364" s="56"/>
    </row>
    <row r="365" spans="1:9" x14ac:dyDescent="0.25">
      <c r="A365" s="65">
        <v>43084</v>
      </c>
      <c r="B365" s="66">
        <f t="shared" si="34"/>
        <v>363</v>
      </c>
      <c r="C365" s="67">
        <f t="shared" si="35"/>
        <v>161.72906923832653</v>
      </c>
      <c r="D365" s="67">
        <v>160</v>
      </c>
      <c r="E365" s="75">
        <f t="shared" si="30"/>
        <v>1.7290692383265309</v>
      </c>
      <c r="F365" s="67">
        <f t="shared" si="31"/>
        <v>2102.4779000982448</v>
      </c>
      <c r="G365" s="75">
        <f t="shared" si="32"/>
        <v>53.601146388122459</v>
      </c>
      <c r="H365" s="68">
        <f t="shared" si="33"/>
        <v>1.5314613253749275E-2</v>
      </c>
      <c r="I365" s="56"/>
    </row>
    <row r="366" spans="1:9" x14ac:dyDescent="0.25">
      <c r="A366" s="65">
        <v>43084</v>
      </c>
      <c r="B366" s="66">
        <f t="shared" si="34"/>
        <v>364</v>
      </c>
      <c r="C366" s="67">
        <f t="shared" si="35"/>
        <v>161.7137546250728</v>
      </c>
      <c r="D366" s="67">
        <v>160</v>
      </c>
      <c r="E366" s="75">
        <f t="shared" si="30"/>
        <v>1.7137546250727951</v>
      </c>
      <c r="F366" s="67">
        <f t="shared" si="31"/>
        <v>2102.2788101259462</v>
      </c>
      <c r="G366" s="75">
        <f t="shared" si="32"/>
        <v>53.126393377256647</v>
      </c>
      <c r="H366" s="68">
        <f t="shared" si="33"/>
        <v>1.5178969536359043E-2</v>
      </c>
      <c r="I366" s="56"/>
    </row>
    <row r="367" spans="1:9" x14ac:dyDescent="0.25">
      <c r="A367" s="65">
        <v>43084</v>
      </c>
      <c r="B367" s="66">
        <f t="shared" si="34"/>
        <v>365</v>
      </c>
      <c r="C367" s="67">
        <f t="shared" si="35"/>
        <v>161.69857565553644</v>
      </c>
      <c r="D367" s="67">
        <v>160</v>
      </c>
      <c r="E367" s="75">
        <f t="shared" si="30"/>
        <v>1.6985756555364446</v>
      </c>
      <c r="F367" s="67">
        <f t="shared" si="31"/>
        <v>2102.081483521974</v>
      </c>
      <c r="G367" s="75">
        <f t="shared" si="32"/>
        <v>52.655845321629783</v>
      </c>
      <c r="H367" s="68">
        <f t="shared" si="33"/>
        <v>1.5044527234751366E-2</v>
      </c>
      <c r="I367" s="56"/>
    </row>
    <row r="368" spans="1:9" x14ac:dyDescent="0.25">
      <c r="A368" s="65">
        <v>43084</v>
      </c>
      <c r="B368" s="66">
        <f t="shared" si="34"/>
        <v>366</v>
      </c>
      <c r="C368" s="67">
        <f t="shared" si="35"/>
        <v>161.68353112830169</v>
      </c>
      <c r="D368" s="67">
        <v>160</v>
      </c>
      <c r="E368" s="75">
        <f t="shared" si="30"/>
        <v>1.6835311283016949</v>
      </c>
      <c r="F368" s="67">
        <f t="shared" si="31"/>
        <v>2101.8859046679222</v>
      </c>
      <c r="G368" s="75">
        <f t="shared" si="32"/>
        <v>52.189464977352543</v>
      </c>
      <c r="H368" s="68">
        <f t="shared" si="33"/>
        <v>1.4911275707815013E-2</v>
      </c>
      <c r="I368" s="56"/>
    </row>
    <row r="369" spans="1:9" x14ac:dyDescent="0.25">
      <c r="A369" s="65">
        <v>43084</v>
      </c>
      <c r="B369" s="66">
        <f t="shared" si="34"/>
        <v>367</v>
      </c>
      <c r="C369" s="67">
        <f t="shared" si="35"/>
        <v>161.66861985259388</v>
      </c>
      <c r="D369" s="67">
        <v>160</v>
      </c>
      <c r="E369" s="75">
        <f t="shared" si="30"/>
        <v>1.6686198525938778</v>
      </c>
      <c r="F369" s="67">
        <f t="shared" si="31"/>
        <v>2101.6920580837204</v>
      </c>
      <c r="G369" s="75">
        <f t="shared" si="32"/>
        <v>51.727215430410212</v>
      </c>
      <c r="H369" s="68">
        <f t="shared" si="33"/>
        <v>1.4779204408688632E-2</v>
      </c>
      <c r="I369" s="56"/>
    </row>
    <row r="370" spans="1:9" x14ac:dyDescent="0.25">
      <c r="A370" s="65">
        <v>43084</v>
      </c>
      <c r="B370" s="66">
        <f t="shared" si="34"/>
        <v>368</v>
      </c>
      <c r="C370" s="67">
        <f t="shared" si="35"/>
        <v>161.6538406481852</v>
      </c>
      <c r="D370" s="67">
        <v>160</v>
      </c>
      <c r="E370" s="75">
        <f t="shared" si="30"/>
        <v>1.6538406481851951</v>
      </c>
      <c r="F370" s="67">
        <f t="shared" si="31"/>
        <v>2101.4999284264077</v>
      </c>
      <c r="G370" s="75">
        <f t="shared" si="32"/>
        <v>51.269060093741047</v>
      </c>
      <c r="H370" s="68">
        <f t="shared" si="33"/>
        <v>1.4648302883926012E-2</v>
      </c>
      <c r="I370" s="56"/>
    </row>
    <row r="371" spans="1:9" x14ac:dyDescent="0.25">
      <c r="A371" s="65">
        <v>43084</v>
      </c>
      <c r="B371" s="66">
        <f t="shared" si="34"/>
        <v>369</v>
      </c>
      <c r="C371" s="67">
        <f t="shared" si="35"/>
        <v>161.63919234530127</v>
      </c>
      <c r="D371" s="67">
        <v>160</v>
      </c>
      <c r="E371" s="75">
        <f t="shared" si="30"/>
        <v>1.639192345301268</v>
      </c>
      <c r="F371" s="67">
        <f t="shared" si="31"/>
        <v>2101.3095004889165</v>
      </c>
      <c r="G371" s="75">
        <f t="shared" si="32"/>
        <v>50.814962704339308</v>
      </c>
      <c r="H371" s="68">
        <f t="shared" si="33"/>
        <v>1.4518560772668374E-2</v>
      </c>
      <c r="I371" s="56"/>
    </row>
    <row r="372" spans="1:9" x14ac:dyDescent="0.25">
      <c r="A372" s="65">
        <v>43084</v>
      </c>
      <c r="B372" s="66">
        <f t="shared" si="34"/>
        <v>370</v>
      </c>
      <c r="C372" s="67">
        <f t="shared" si="35"/>
        <v>161.6246737845286</v>
      </c>
      <c r="D372" s="67">
        <v>160</v>
      </c>
      <c r="E372" s="75">
        <f t="shared" si="30"/>
        <v>1.6246737845285963</v>
      </c>
      <c r="F372" s="67">
        <f t="shared" si="31"/>
        <v>2101.1207591988718</v>
      </c>
      <c r="G372" s="75">
        <f t="shared" si="32"/>
        <v>50.364887320386487</v>
      </c>
      <c r="H372" s="68">
        <f t="shared" si="33"/>
        <v>1.4389967805824711E-2</v>
      </c>
      <c r="I372" s="56"/>
    </row>
    <row r="373" spans="1:9" x14ac:dyDescent="0.25">
      <c r="A373" s="65">
        <v>43084</v>
      </c>
      <c r="B373" s="66">
        <f t="shared" si="34"/>
        <v>371</v>
      </c>
      <c r="C373" s="67">
        <f t="shared" si="35"/>
        <v>161.61028381672278</v>
      </c>
      <c r="D373" s="67">
        <v>160</v>
      </c>
      <c r="E373" s="75">
        <f t="shared" si="30"/>
        <v>1.6102838167227844</v>
      </c>
      <c r="F373" s="67">
        <f t="shared" si="31"/>
        <v>2100.9336896173963</v>
      </c>
      <c r="G373" s="75">
        <f t="shared" si="32"/>
        <v>49.918798318406317</v>
      </c>
      <c r="H373" s="68">
        <f t="shared" si="33"/>
        <v>1.4262513805258947E-2</v>
      </c>
      <c r="I373" s="56"/>
    </row>
    <row r="374" spans="1:9" x14ac:dyDescent="0.25">
      <c r="A374" s="65">
        <v>43084</v>
      </c>
      <c r="B374" s="66">
        <f t="shared" si="34"/>
        <v>372</v>
      </c>
      <c r="C374" s="67">
        <f t="shared" si="35"/>
        <v>161.59602130291753</v>
      </c>
      <c r="D374" s="67">
        <v>160</v>
      </c>
      <c r="E374" s="75">
        <f t="shared" si="30"/>
        <v>1.596021302917535</v>
      </c>
      <c r="F374" s="67">
        <f t="shared" si="31"/>
        <v>2100.748276937928</v>
      </c>
      <c r="G374" s="75">
        <f t="shared" si="32"/>
        <v>49.476660390443584</v>
      </c>
      <c r="H374" s="68">
        <f t="shared" si="33"/>
        <v>1.413618868298388E-2</v>
      </c>
      <c r="I374" s="56"/>
    </row>
    <row r="375" spans="1:9" x14ac:dyDescent="0.25">
      <c r="A375" s="65">
        <v>43084</v>
      </c>
      <c r="B375" s="66">
        <f t="shared" si="34"/>
        <v>373</v>
      </c>
      <c r="C375" s="67">
        <f t="shared" si="35"/>
        <v>161.58188511423455</v>
      </c>
      <c r="D375" s="67">
        <v>160</v>
      </c>
      <c r="E375" s="75">
        <f t="shared" si="30"/>
        <v>1.5818851142345522</v>
      </c>
      <c r="F375" s="67">
        <f t="shared" si="31"/>
        <v>2100.5645064850492</v>
      </c>
      <c r="G375" s="75">
        <f t="shared" si="32"/>
        <v>49.03843854127112</v>
      </c>
      <c r="H375" s="68">
        <f t="shared" si="33"/>
        <v>1.4010982440363176E-2</v>
      </c>
      <c r="I375" s="56"/>
    </row>
    <row r="376" spans="1:9" x14ac:dyDescent="0.25">
      <c r="A376" s="65">
        <v>43084</v>
      </c>
      <c r="B376" s="66">
        <f t="shared" si="34"/>
        <v>374</v>
      </c>
      <c r="C376" s="67">
        <f t="shared" si="35"/>
        <v>161.56787413179418</v>
      </c>
      <c r="D376" s="67">
        <v>160</v>
      </c>
      <c r="E376" s="75">
        <f t="shared" si="30"/>
        <v>1.5678741317941842</v>
      </c>
      <c r="F376" s="67">
        <f t="shared" si="31"/>
        <v>2100.3823637133246</v>
      </c>
      <c r="G376" s="75">
        <f t="shared" si="32"/>
        <v>48.604098085619711</v>
      </c>
      <c r="H376" s="68">
        <f t="shared" si="33"/>
        <v>1.3886885167319918E-2</v>
      </c>
      <c r="I376" s="56"/>
    </row>
    <row r="377" spans="1:9" x14ac:dyDescent="0.25">
      <c r="A377" s="65">
        <v>43084</v>
      </c>
      <c r="B377" s="66">
        <f t="shared" si="34"/>
        <v>375</v>
      </c>
      <c r="C377" s="67">
        <f t="shared" si="35"/>
        <v>161.55398724662686</v>
      </c>
      <c r="D377" s="67">
        <v>160</v>
      </c>
      <c r="E377" s="75">
        <f t="shared" si="30"/>
        <v>1.5539872466268605</v>
      </c>
      <c r="F377" s="67">
        <f t="shared" si="31"/>
        <v>2100.2018342061492</v>
      </c>
      <c r="G377" s="75">
        <f t="shared" si="32"/>
        <v>48.173604645432675</v>
      </c>
      <c r="H377" s="68">
        <f t="shared" si="33"/>
        <v>1.3763887041552193E-2</v>
      </c>
      <c r="I377" s="56"/>
    </row>
    <row r="378" spans="1:9" x14ac:dyDescent="0.25">
      <c r="A378" s="65">
        <v>43084</v>
      </c>
      <c r="B378" s="66">
        <f t="shared" si="34"/>
        <v>376</v>
      </c>
      <c r="C378" s="67">
        <f t="shared" si="35"/>
        <v>161.5402233595853</v>
      </c>
      <c r="D378" s="67">
        <v>160</v>
      </c>
      <c r="E378" s="75">
        <f t="shared" si="30"/>
        <v>1.5402233595852977</v>
      </c>
      <c r="F378" s="67">
        <f t="shared" si="31"/>
        <v>2100.0229036746086</v>
      </c>
      <c r="G378" s="75">
        <f t="shared" si="32"/>
        <v>47.746924147144227</v>
      </c>
      <c r="H378" s="68">
        <f t="shared" si="33"/>
        <v>1.3641978327755494E-2</v>
      </c>
      <c r="I378" s="56"/>
    </row>
    <row r="379" spans="1:9" x14ac:dyDescent="0.25">
      <c r="A379" s="65">
        <v>43084</v>
      </c>
      <c r="B379" s="66">
        <f t="shared" si="34"/>
        <v>377</v>
      </c>
      <c r="C379" s="67">
        <f t="shared" si="35"/>
        <v>161.52658138125753</v>
      </c>
      <c r="D379" s="67">
        <v>160</v>
      </c>
      <c r="E379" s="75">
        <f t="shared" si="30"/>
        <v>1.5265813812575288</v>
      </c>
      <c r="F379" s="67">
        <f t="shared" si="31"/>
        <v>2099.8455579563479</v>
      </c>
      <c r="G379" s="75">
        <f t="shared" si="32"/>
        <v>47.324022818983394</v>
      </c>
      <c r="H379" s="68">
        <f t="shared" si="33"/>
        <v>1.3521149376852398E-2</v>
      </c>
      <c r="I379" s="56"/>
    </row>
    <row r="380" spans="1:9" x14ac:dyDescent="0.25">
      <c r="A380" s="65">
        <v>43084</v>
      </c>
      <c r="B380" s="66">
        <f t="shared" si="34"/>
        <v>378</v>
      </c>
      <c r="C380" s="67">
        <f t="shared" si="35"/>
        <v>161.51306023188067</v>
      </c>
      <c r="D380" s="67">
        <v>160</v>
      </c>
      <c r="E380" s="75">
        <f t="shared" si="30"/>
        <v>1.5130602318806723</v>
      </c>
      <c r="F380" s="67">
        <f t="shared" si="31"/>
        <v>2099.6697830144485</v>
      </c>
      <c r="G380" s="75">
        <f t="shared" si="32"/>
        <v>46.904867188300841</v>
      </c>
      <c r="H380" s="68">
        <f t="shared" si="33"/>
        <v>1.3401390625228812E-2</v>
      </c>
      <c r="I380" s="56"/>
    </row>
    <row r="381" spans="1:9" x14ac:dyDescent="0.25">
      <c r="A381" s="65">
        <v>43084</v>
      </c>
      <c r="B381" s="66">
        <f t="shared" si="34"/>
        <v>379</v>
      </c>
      <c r="C381" s="67">
        <f t="shared" si="35"/>
        <v>161.49965884125544</v>
      </c>
      <c r="D381" s="67">
        <v>160</v>
      </c>
      <c r="E381" s="75">
        <f t="shared" si="30"/>
        <v>1.4996588412554388</v>
      </c>
      <c r="F381" s="67">
        <f t="shared" si="31"/>
        <v>2099.4955649363205</v>
      </c>
      <c r="G381" s="75">
        <f t="shared" si="32"/>
        <v>46.489424078918603</v>
      </c>
      <c r="H381" s="68">
        <f t="shared" si="33"/>
        <v>1.3282692593976743E-2</v>
      </c>
      <c r="I381" s="56"/>
    </row>
    <row r="382" spans="1:9" x14ac:dyDescent="0.25">
      <c r="A382" s="65">
        <v>43084</v>
      </c>
      <c r="B382" s="66">
        <f t="shared" si="34"/>
        <v>380</v>
      </c>
      <c r="C382" s="67">
        <f t="shared" si="35"/>
        <v>161.48637614866146</v>
      </c>
      <c r="D382" s="67">
        <v>160</v>
      </c>
      <c r="E382" s="75">
        <f t="shared" si="30"/>
        <v>1.4863761486614635</v>
      </c>
      <c r="F382" s="67">
        <f t="shared" si="31"/>
        <v>2099.3228899325991</v>
      </c>
      <c r="G382" s="75">
        <f t="shared" si="32"/>
        <v>46.077660608505369</v>
      </c>
      <c r="H382" s="68">
        <f t="shared" si="33"/>
        <v>1.3165045888144392E-2</v>
      </c>
      <c r="I382" s="56"/>
    </row>
    <row r="383" spans="1:9" x14ac:dyDescent="0.25">
      <c r="A383" s="65">
        <v>43084</v>
      </c>
      <c r="B383" s="66">
        <f t="shared" si="34"/>
        <v>381</v>
      </c>
      <c r="C383" s="67">
        <f t="shared" si="35"/>
        <v>161.47321110277332</v>
      </c>
      <c r="D383" s="67">
        <v>160</v>
      </c>
      <c r="E383" s="75">
        <f t="shared" si="30"/>
        <v>1.4732111027733197</v>
      </c>
      <c r="F383" s="67">
        <f t="shared" si="31"/>
        <v>2099.1517443360531</v>
      </c>
      <c r="G383" s="75">
        <f t="shared" si="32"/>
        <v>45.66954418597291</v>
      </c>
      <c r="H383" s="68">
        <f t="shared" si="33"/>
        <v>1.304844119599226E-2</v>
      </c>
      <c r="I383" s="56"/>
    </row>
    <row r="384" spans="1:9" x14ac:dyDescent="0.25">
      <c r="A384" s="65">
        <v>43084</v>
      </c>
      <c r="B384" s="66">
        <f t="shared" si="34"/>
        <v>382</v>
      </c>
      <c r="C384" s="67">
        <f t="shared" si="35"/>
        <v>161.46016266157733</v>
      </c>
      <c r="D384" s="67">
        <v>160</v>
      </c>
      <c r="E384" s="75">
        <f t="shared" si="30"/>
        <v>1.4601626615773284</v>
      </c>
      <c r="F384" s="67">
        <f t="shared" si="31"/>
        <v>2098.9821146005052</v>
      </c>
      <c r="G384" s="75">
        <f t="shared" si="32"/>
        <v>45.265042508897182</v>
      </c>
      <c r="H384" s="68">
        <f t="shared" si="33"/>
        <v>1.2932869288256337E-2</v>
      </c>
      <c r="I384" s="56"/>
    </row>
    <row r="385" spans="1:9" x14ac:dyDescent="0.25">
      <c r="A385" s="65">
        <v>43084</v>
      </c>
      <c r="B385" s="66">
        <f t="shared" si="34"/>
        <v>383</v>
      </c>
      <c r="C385" s="67">
        <f t="shared" si="35"/>
        <v>161.44722979228908</v>
      </c>
      <c r="D385" s="67">
        <v>160</v>
      </c>
      <c r="E385" s="75">
        <f t="shared" si="30"/>
        <v>1.4472297922890789</v>
      </c>
      <c r="F385" s="67">
        <f t="shared" si="31"/>
        <v>2098.8139872997581</v>
      </c>
      <c r="G385" s="75">
        <f t="shared" si="32"/>
        <v>44.864123560961445</v>
      </c>
      <c r="H385" s="68">
        <f t="shared" si="33"/>
        <v>1.2818321017417556E-2</v>
      </c>
      <c r="I385" s="56"/>
    </row>
    <row r="386" spans="1:9" x14ac:dyDescent="0.25">
      <c r="A386" s="65">
        <v>43084</v>
      </c>
      <c r="B386" s="66">
        <f t="shared" si="34"/>
        <v>384</v>
      </c>
      <c r="C386" s="67">
        <f t="shared" si="35"/>
        <v>161.43441147127166</v>
      </c>
      <c r="D386" s="67">
        <v>160</v>
      </c>
      <c r="E386" s="75">
        <f t="shared" si="30"/>
        <v>1.4344114712716589</v>
      </c>
      <c r="F386" s="67">
        <f t="shared" si="31"/>
        <v>2098.6473491265315</v>
      </c>
      <c r="G386" s="75">
        <f t="shared" si="32"/>
        <v>44.466755609421426</v>
      </c>
      <c r="H386" s="68">
        <f t="shared" si="33"/>
        <v>1.270478731697755E-2</v>
      </c>
      <c r="I386" s="56"/>
    </row>
    <row r="387" spans="1:9" x14ac:dyDescent="0.25">
      <c r="A387" s="65">
        <v>43084</v>
      </c>
      <c r="B387" s="66">
        <f t="shared" si="34"/>
        <v>385</v>
      </c>
      <c r="C387" s="67">
        <f t="shared" si="35"/>
        <v>161.42170668395468</v>
      </c>
      <c r="D387" s="67">
        <v>160</v>
      </c>
      <c r="E387" s="75">
        <f t="shared" ref="E387:E388" si="36">C387-D387</f>
        <v>1.4217066839546817</v>
      </c>
      <c r="F387" s="67">
        <f t="shared" si="31"/>
        <v>2098.4821868914109</v>
      </c>
      <c r="G387" s="75">
        <f t="shared" si="32"/>
        <v>44.072907202595133</v>
      </c>
      <c r="H387" s="68">
        <f t="shared" si="33"/>
        <v>1.2592259200741467E-2</v>
      </c>
      <c r="I387" s="56"/>
    </row>
    <row r="388" spans="1:9" x14ac:dyDescent="0.25">
      <c r="A388" s="114">
        <v>43084</v>
      </c>
      <c r="B388" s="79">
        <f t="shared" si="34"/>
        <v>386</v>
      </c>
      <c r="C388" s="80">
        <f t="shared" si="35"/>
        <v>161.40911442475394</v>
      </c>
      <c r="D388" s="80">
        <v>160</v>
      </c>
      <c r="E388" s="81">
        <f t="shared" si="36"/>
        <v>1.4091144247539376</v>
      </c>
      <c r="F388" s="80">
        <f t="shared" si="31"/>
        <v>2098.3184875218012</v>
      </c>
      <c r="G388" s="81">
        <f t="shared" si="32"/>
        <v>43.682547167372064</v>
      </c>
      <c r="H388" s="84">
        <f t="shared" si="33"/>
        <v>1.2480727762106304E-2</v>
      </c>
      <c r="I388" s="56"/>
    </row>
  </sheetData>
  <sheetProtection sheet="1" objects="1" scenarios="1"/>
  <mergeCells count="3">
    <mergeCell ref="J1:M1"/>
    <mergeCell ref="N1:Q1"/>
    <mergeCell ref="S1:X1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zoomScale="160" zoomScaleNormal="160" workbookViewId="0">
      <selection activeCell="B10" activeCellId="1" sqref="B195:C196 B10"/>
    </sheetView>
  </sheetViews>
  <sheetFormatPr defaultRowHeight="15" x14ac:dyDescent="0.25"/>
  <cols>
    <col min="1" max="1" width="19.28515625" customWidth="1"/>
    <col min="2" max="3" width="8.7109375" customWidth="1"/>
    <col min="4" max="4" width="6.28515625" customWidth="1"/>
    <col min="5" max="1025" width="8.7109375" customWidth="1"/>
  </cols>
  <sheetData>
    <row r="1" spans="1:9" ht="18.75" x14ac:dyDescent="0.3">
      <c r="A1" s="6" t="s">
        <v>19</v>
      </c>
    </row>
    <row r="2" spans="1:9" x14ac:dyDescent="0.25">
      <c r="A2" s="7" t="s">
        <v>20</v>
      </c>
    </row>
    <row r="4" spans="1:9" x14ac:dyDescent="0.25">
      <c r="A4" t="s">
        <v>21</v>
      </c>
      <c r="B4" s="8">
        <f>$B$11*$D$18</f>
        <v>2529.6625000000004</v>
      </c>
      <c r="C4" t="s">
        <v>22</v>
      </c>
    </row>
    <row r="5" spans="1:9" x14ac:dyDescent="0.25">
      <c r="A5" t="s">
        <v>23</v>
      </c>
      <c r="B5" s="9">
        <f>$B$4/Measured!B5</f>
        <v>12.443002951303493</v>
      </c>
      <c r="C5" t="s">
        <v>24</v>
      </c>
    </row>
    <row r="7" spans="1:9" x14ac:dyDescent="0.25">
      <c r="A7" s="10" t="s">
        <v>25</v>
      </c>
      <c r="B7" s="11">
        <f>Measured!B6*2.54</f>
        <v>179.07</v>
      </c>
      <c r="C7" s="10" t="s">
        <v>26</v>
      </c>
      <c r="D7" s="10"/>
      <c r="E7" s="10"/>
    </row>
    <row r="8" spans="1:9" x14ac:dyDescent="0.25">
      <c r="A8" s="10" t="s">
        <v>27</v>
      </c>
      <c r="B8" s="11">
        <f>Measured!B5/2.2</f>
        <v>92.409090909090907</v>
      </c>
      <c r="C8" s="10" t="s">
        <v>26</v>
      </c>
      <c r="D8" s="10"/>
      <c r="E8" s="10"/>
    </row>
    <row r="9" spans="1:9" x14ac:dyDescent="0.25">
      <c r="A9" s="12"/>
      <c r="B9" s="12" t="s">
        <v>2</v>
      </c>
      <c r="C9" s="12" t="s">
        <v>28</v>
      </c>
      <c r="D9" s="12"/>
      <c r="E9" s="10"/>
    </row>
    <row r="10" spans="1:9" x14ac:dyDescent="0.25">
      <c r="A10" s="12" t="s">
        <v>29</v>
      </c>
      <c r="B10" s="13">
        <f>66+(13.7*$B$8)+(5*$B$7)-(6.8*Measured!$B$4)</f>
        <v>1839.7545454545457</v>
      </c>
      <c r="C10" s="13">
        <f>655+(9.6*$B$8)+(1.8*$B$7)-(4.7*Measured!$B$4)</f>
        <v>1596.5532727272725</v>
      </c>
      <c r="D10" s="12"/>
      <c r="E10" s="10"/>
    </row>
    <row r="11" spans="1:9" x14ac:dyDescent="0.25">
      <c r="A11" s="12" t="s">
        <v>30</v>
      </c>
      <c r="B11" s="13">
        <f>IF(Measured!$B$3="Male",$B$10,$C$10)</f>
        <v>1839.7545454545457</v>
      </c>
      <c r="C11" s="13"/>
      <c r="D11" s="12"/>
      <c r="E11" s="10"/>
    </row>
    <row r="12" spans="1:9" x14ac:dyDescent="0.25">
      <c r="A12" s="12"/>
      <c r="B12" s="12"/>
      <c r="C12" s="12"/>
      <c r="D12" s="12"/>
      <c r="E12" s="10"/>
    </row>
    <row r="13" spans="1:9" x14ac:dyDescent="0.25">
      <c r="A13" s="12" t="s">
        <v>31</v>
      </c>
      <c r="B13" s="14" t="b">
        <f>IF(Measured!$B$12=$A13,1)</f>
        <v>0</v>
      </c>
      <c r="C13" s="12">
        <v>1.2</v>
      </c>
      <c r="D13" s="12">
        <f>IF(B13,C13,0)</f>
        <v>0</v>
      </c>
      <c r="E13" s="10"/>
      <c r="I13" s="15"/>
    </row>
    <row r="14" spans="1:9" x14ac:dyDescent="0.25">
      <c r="A14" s="12" t="s">
        <v>15</v>
      </c>
      <c r="B14" s="14">
        <f>IF(Measured!$B$12=$A14,1)</f>
        <v>1</v>
      </c>
      <c r="C14" s="12">
        <v>1.375</v>
      </c>
      <c r="D14" s="12">
        <f>IF(B14,C14,0)</f>
        <v>1.375</v>
      </c>
      <c r="E14" s="10"/>
      <c r="I14" s="15"/>
    </row>
    <row r="15" spans="1:9" x14ac:dyDescent="0.25">
      <c r="A15" s="12" t="s">
        <v>32</v>
      </c>
      <c r="B15" s="14" t="b">
        <f>IF(Measured!$B$12=$A15,1)</f>
        <v>0</v>
      </c>
      <c r="C15" s="12">
        <v>1.55</v>
      </c>
      <c r="D15" s="12">
        <f>IF(B15,C15,0)</f>
        <v>0</v>
      </c>
      <c r="E15" s="10"/>
      <c r="I15" s="15"/>
    </row>
    <row r="16" spans="1:9" x14ac:dyDescent="0.25">
      <c r="A16" s="12" t="s">
        <v>33</v>
      </c>
      <c r="B16" s="14" t="b">
        <f>IF(Measured!$B$12=$A16,1)</f>
        <v>0</v>
      </c>
      <c r="C16" s="12">
        <v>1.7250000000000001</v>
      </c>
      <c r="D16" s="12">
        <f>IF(B16,C16,0)</f>
        <v>0</v>
      </c>
      <c r="E16" s="10"/>
      <c r="I16" s="15"/>
    </row>
    <row r="17" spans="1:9" x14ac:dyDescent="0.25">
      <c r="A17" s="12" t="s">
        <v>34</v>
      </c>
      <c r="B17" s="14" t="b">
        <f>IF(Measured!$B$12=$A17,1)</f>
        <v>0</v>
      </c>
      <c r="C17" s="12">
        <v>1.9</v>
      </c>
      <c r="D17" s="12">
        <f>IF(B17,C17,0)</f>
        <v>0</v>
      </c>
      <c r="E17" s="10"/>
      <c r="I17" s="15"/>
    </row>
    <row r="18" spans="1:9" x14ac:dyDescent="0.25">
      <c r="A18" s="12"/>
      <c r="B18" s="12"/>
      <c r="C18" s="12"/>
      <c r="D18" s="12">
        <f>MAX(D13:D17)</f>
        <v>1.375</v>
      </c>
      <c r="E18" s="10"/>
    </row>
  </sheetData>
  <hyperlinks>
    <hyperlink ref="A2" r:id="rId1"/>
  </hyperlinks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5"/>
  <sheetViews>
    <sheetView zoomScale="160" zoomScaleNormal="160" workbookViewId="0">
      <selection activeCell="D11" activeCellId="1" sqref="B195:C196 D11"/>
    </sheetView>
  </sheetViews>
  <sheetFormatPr defaultRowHeight="15" x14ac:dyDescent="0.25"/>
  <cols>
    <col min="1" max="1" width="14" style="1" customWidth="1"/>
    <col min="2" max="2" width="5.5703125" style="1" customWidth="1"/>
    <col min="3" max="3" width="7.28515625" style="1" customWidth="1"/>
    <col min="4" max="4" width="12.85546875" style="1" customWidth="1"/>
    <col min="5" max="1025" width="8.7109375" style="1" customWidth="1"/>
  </cols>
  <sheetData>
    <row r="1" spans="1:7" ht="18.75" x14ac:dyDescent="0.3">
      <c r="A1" s="2" t="s">
        <v>35</v>
      </c>
    </row>
    <row r="2" spans="1:7" x14ac:dyDescent="0.25">
      <c r="A2" s="7" t="s">
        <v>36</v>
      </c>
    </row>
    <row r="4" spans="1:7" x14ac:dyDescent="0.25">
      <c r="A4" s="16" t="s">
        <v>37</v>
      </c>
      <c r="B4" s="17">
        <f>IF(Measured!$B$3="Male",$B$13,$B$14)</f>
        <v>25.837024607811365</v>
      </c>
    </row>
    <row r="5" spans="1:7" x14ac:dyDescent="0.25">
      <c r="A5" s="1" t="s">
        <v>38</v>
      </c>
      <c r="B5" s="18">
        <f>Measured!$B$5</f>
        <v>203.3</v>
      </c>
      <c r="C5" s="1" t="s">
        <v>6</v>
      </c>
      <c r="D5" s="1" t="s">
        <v>39</v>
      </c>
    </row>
    <row r="6" spans="1:7" x14ac:dyDescent="0.25">
      <c r="A6" s="1" t="s">
        <v>40</v>
      </c>
      <c r="B6" s="18">
        <f>$B$5*(1-($B$4/100))</f>
        <v>150.77332897231949</v>
      </c>
      <c r="C6" s="1" t="s">
        <v>6</v>
      </c>
      <c r="D6" s="1" t="s">
        <v>41</v>
      </c>
    </row>
    <row r="8" spans="1:7" x14ac:dyDescent="0.25">
      <c r="A8" s="19" t="s">
        <v>7</v>
      </c>
      <c r="B8" s="19">
        <f>Measured!$B$6</f>
        <v>70.5</v>
      </c>
      <c r="C8" s="19" t="s">
        <v>39</v>
      </c>
      <c r="D8" s="19"/>
      <c r="E8" s="19"/>
    </row>
    <row r="9" spans="1:7" x14ac:dyDescent="0.25">
      <c r="A9" s="19" t="s">
        <v>9</v>
      </c>
      <c r="B9" s="19">
        <f>Measured!$B$7</f>
        <v>15.75</v>
      </c>
      <c r="C9" s="19" t="s">
        <v>39</v>
      </c>
      <c r="D9" s="19"/>
      <c r="E9" s="19"/>
    </row>
    <row r="10" spans="1:7" x14ac:dyDescent="0.25">
      <c r="A10" s="19" t="s">
        <v>10</v>
      </c>
      <c r="B10" s="19">
        <f>Measured!$B$8</f>
        <v>39</v>
      </c>
      <c r="C10" s="19" t="s">
        <v>39</v>
      </c>
      <c r="D10" s="19"/>
      <c r="E10" s="19"/>
    </row>
    <row r="11" spans="1:7" x14ac:dyDescent="0.25">
      <c r="A11" s="19" t="s">
        <v>13</v>
      </c>
      <c r="B11" s="19">
        <f>Measured!$B$11</f>
        <v>50</v>
      </c>
      <c r="C11" s="19" t="s">
        <v>39</v>
      </c>
      <c r="D11" s="19"/>
      <c r="E11" s="19"/>
    </row>
    <row r="12" spans="1:7" x14ac:dyDescent="0.25">
      <c r="A12" s="19"/>
      <c r="B12" s="19"/>
      <c r="C12" s="19"/>
      <c r="D12" s="19"/>
      <c r="E12" s="19"/>
    </row>
    <row r="13" spans="1:7" x14ac:dyDescent="0.25">
      <c r="A13" s="19" t="s">
        <v>2</v>
      </c>
      <c r="B13" s="20">
        <f>86.01*(LOG10($B$10-$B$9))-70.041*LOG10($B$8)+37.76</f>
        <v>25.837024607811365</v>
      </c>
      <c r="C13" s="19" t="s">
        <v>42</v>
      </c>
      <c r="D13" s="19"/>
      <c r="E13" s="19"/>
      <c r="G13" s="1">
        <v>-78.387</v>
      </c>
    </row>
    <row r="14" spans="1:7" x14ac:dyDescent="0.25">
      <c r="A14" s="19" t="s">
        <v>28</v>
      </c>
      <c r="B14" s="20">
        <f>(163.205*LOG10($B$11+$B$10-$B$9))-(97.684*LOG10($B$8))-78.387</f>
        <v>45.42042339102457</v>
      </c>
      <c r="C14" s="19" t="s">
        <v>43</v>
      </c>
      <c r="D14" s="19"/>
      <c r="E14" s="19"/>
      <c r="G14" s="1">
        <f>163.205*LOG10($B$11+$B$10-$B$9)</f>
        <v>304.34592909521234</v>
      </c>
    </row>
    <row r="15" spans="1:7" x14ac:dyDescent="0.25">
      <c r="G15" s="1">
        <f>-(97.684*LOG10($B$8))</f>
        <v>-180.53850570418777</v>
      </c>
    </row>
  </sheetData>
  <hyperlinks>
    <hyperlink ref="A2" r:id="rId1"/>
  </hyperlinks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zoomScale="160" zoomScaleNormal="160" workbookViewId="0">
      <selection activeCell="A8" sqref="A8"/>
    </sheetView>
  </sheetViews>
  <sheetFormatPr defaultRowHeight="15" x14ac:dyDescent="0.25"/>
  <cols>
    <col min="1" max="1" width="16.140625" customWidth="1"/>
    <col min="2" max="2" width="6.28515625" customWidth="1"/>
    <col min="3" max="3" width="6.7109375" customWidth="1"/>
    <col min="4" max="4" width="5.42578125" customWidth="1"/>
    <col min="5" max="1025" width="8.7109375" customWidth="1"/>
  </cols>
  <sheetData>
    <row r="1" spans="1:6" x14ac:dyDescent="0.25">
      <c r="A1" s="21" t="s">
        <v>44</v>
      </c>
    </row>
    <row r="2" spans="1:6" x14ac:dyDescent="0.25">
      <c r="A2" t="s">
        <v>45</v>
      </c>
    </row>
    <row r="4" spans="1:6" x14ac:dyDescent="0.25">
      <c r="A4" t="s">
        <v>46</v>
      </c>
      <c r="B4" s="22">
        <f>MAX(D8:D12)</f>
        <v>0.8</v>
      </c>
      <c r="C4" t="s">
        <v>47</v>
      </c>
    </row>
    <row r="5" spans="1:6" x14ac:dyDescent="0.25">
      <c r="A5" t="s">
        <v>48</v>
      </c>
      <c r="B5" s="23">
        <f>BF_DoD!B6</f>
        <v>150.77332897231949</v>
      </c>
      <c r="C5" t="s">
        <v>49</v>
      </c>
    </row>
    <row r="6" spans="1:6" x14ac:dyDescent="0.25">
      <c r="A6" t="s">
        <v>44</v>
      </c>
      <c r="B6" s="23">
        <f>B5*B4</f>
        <v>120.61866317785559</v>
      </c>
      <c r="C6" t="s">
        <v>50</v>
      </c>
    </row>
    <row r="7" spans="1:6" x14ac:dyDescent="0.25">
      <c r="A7" s="24"/>
      <c r="B7" s="24"/>
      <c r="C7" s="24"/>
      <c r="D7" s="24"/>
      <c r="E7" s="24"/>
      <c r="F7" s="24"/>
    </row>
    <row r="8" spans="1:6" x14ac:dyDescent="0.25">
      <c r="A8" s="24" t="s">
        <v>31</v>
      </c>
      <c r="B8" s="24">
        <v>0.69</v>
      </c>
      <c r="C8" s="25">
        <f>IF(A8=Measured!$B$12,1,0)</f>
        <v>0</v>
      </c>
      <c r="D8" s="24">
        <f>IF(C8=1,B8,0)</f>
        <v>0</v>
      </c>
      <c r="E8" s="24"/>
      <c r="F8" s="24"/>
    </row>
    <row r="9" spans="1:6" x14ac:dyDescent="0.25">
      <c r="A9" s="24" t="s">
        <v>15</v>
      </c>
      <c r="B9" s="24">
        <v>0.8</v>
      </c>
      <c r="C9" s="25">
        <f>IF(A9=Measured!$B$12,1,0)</f>
        <v>1</v>
      </c>
      <c r="D9" s="24">
        <f>IF(C9=1,B9,0)</f>
        <v>0.8</v>
      </c>
      <c r="E9" s="24"/>
      <c r="F9" s="24"/>
    </row>
    <row r="10" spans="1:6" x14ac:dyDescent="0.25">
      <c r="A10" s="24" t="s">
        <v>32</v>
      </c>
      <c r="B10" s="24">
        <v>0.9</v>
      </c>
      <c r="C10" s="25">
        <f>IF(A10=Measured!$B$12,1,0)</f>
        <v>0</v>
      </c>
      <c r="D10" s="24">
        <f>IF(C10=1,B10,0)</f>
        <v>0</v>
      </c>
      <c r="E10" s="24"/>
      <c r="F10" s="24"/>
    </row>
    <row r="11" spans="1:6" x14ac:dyDescent="0.25">
      <c r="A11" s="24" t="s">
        <v>33</v>
      </c>
      <c r="B11" s="24">
        <v>1</v>
      </c>
      <c r="C11" s="25">
        <f>IF(A11=Measured!$B$12,1,0)</f>
        <v>0</v>
      </c>
      <c r="D11" s="24">
        <f>IF(C11=1,B11,0)</f>
        <v>0</v>
      </c>
      <c r="E11" s="24"/>
      <c r="F11" s="24"/>
    </row>
    <row r="12" spans="1:6" x14ac:dyDescent="0.25">
      <c r="A12" s="24" t="s">
        <v>34</v>
      </c>
      <c r="B12" s="24">
        <v>1.2</v>
      </c>
      <c r="C12" s="25">
        <f>IF(A12=Measured!$B$12,1,0)</f>
        <v>0</v>
      </c>
      <c r="D12" s="24">
        <f>IF(C12=1,B12,0)</f>
        <v>0</v>
      </c>
      <c r="E12" s="24"/>
      <c r="F12" s="24"/>
    </row>
  </sheetData>
  <hyperlinks>
    <hyperlink ref="A2" r:id="rId1"/>
  </hyperlinks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zoomScale="160" zoomScaleNormal="160" workbookViewId="0">
      <selection activeCell="B4" activeCellId="1" sqref="B195:C196 B4"/>
    </sheetView>
  </sheetViews>
  <sheetFormatPr defaultRowHeight="15" x14ac:dyDescent="0.25"/>
  <cols>
    <col min="1" max="1" width="17.140625" customWidth="1"/>
    <col min="2" max="2" width="8.7109375" customWidth="1"/>
    <col min="3" max="3" width="3.85546875" customWidth="1"/>
    <col min="4" max="4" width="8.7109375" customWidth="1"/>
    <col min="5" max="5" width="25.28515625" customWidth="1"/>
    <col min="6" max="1025" width="8.7109375" customWidth="1"/>
  </cols>
  <sheetData>
    <row r="1" spans="1:5" ht="18.75" x14ac:dyDescent="0.3">
      <c r="A1" s="26" t="s">
        <v>51</v>
      </c>
      <c r="B1" s="27"/>
      <c r="C1" s="27"/>
    </row>
    <row r="2" spans="1:5" x14ac:dyDescent="0.25">
      <c r="A2" s="28" t="s">
        <v>52</v>
      </c>
      <c r="B2" s="27"/>
      <c r="C2" s="27"/>
    </row>
    <row r="4" spans="1:5" x14ac:dyDescent="0.25">
      <c r="A4" s="27" t="s">
        <v>53</v>
      </c>
      <c r="B4" s="29">
        <f>($B$7^1.5)*((SQRT($B$9)/22.667) + (SQRT($B$8)/17.0104))*(($B$10/224)+1)</f>
        <v>191.13431410606762</v>
      </c>
      <c r="C4" s="27" t="s">
        <v>6</v>
      </c>
      <c r="E4" s="30"/>
    </row>
    <row r="5" spans="1:5" x14ac:dyDescent="0.25">
      <c r="A5" s="27" t="s">
        <v>54</v>
      </c>
      <c r="B5" s="31">
        <f>(1+(B10/100))*B4</f>
        <v>219.80446122197776</v>
      </c>
      <c r="C5" s="27" t="s">
        <v>6</v>
      </c>
    </row>
    <row r="7" spans="1:5" x14ac:dyDescent="0.25">
      <c r="A7" s="32" t="s">
        <v>55</v>
      </c>
      <c r="B7" s="32">
        <f>Measured!B6</f>
        <v>70.5</v>
      </c>
      <c r="C7" s="32" t="s">
        <v>56</v>
      </c>
    </row>
    <row r="8" spans="1:5" x14ac:dyDescent="0.25">
      <c r="A8" s="32" t="s">
        <v>11</v>
      </c>
      <c r="B8" s="32">
        <f>Measured!B9</f>
        <v>10</v>
      </c>
      <c r="C8" s="32" t="s">
        <v>56</v>
      </c>
    </row>
    <row r="9" spans="1:5" x14ac:dyDescent="0.25">
      <c r="A9" s="32" t="s">
        <v>12</v>
      </c>
      <c r="B9" s="32">
        <f>Measured!B10</f>
        <v>7</v>
      </c>
      <c r="C9" s="32" t="s">
        <v>56</v>
      </c>
    </row>
    <row r="10" spans="1:5" x14ac:dyDescent="0.25">
      <c r="A10" s="32" t="s">
        <v>57</v>
      </c>
      <c r="B10" s="32">
        <f>Measured!B16</f>
        <v>15</v>
      </c>
      <c r="C10" s="32" t="s">
        <v>18</v>
      </c>
    </row>
  </sheetData>
  <hyperlinks>
    <hyperlink ref="A2" r:id="rId1"/>
  </hyperlinks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11"/>
  <sheetViews>
    <sheetView topLeftCell="B1" zoomScale="160" zoomScaleNormal="160" workbookViewId="0">
      <pane ySplit="2" topLeftCell="A18" activePane="bottomLeft" state="frozen"/>
      <selection activeCell="N1" sqref="N1"/>
      <selection pane="bottomLeft" activeCell="Q22" sqref="Q22"/>
    </sheetView>
  </sheetViews>
  <sheetFormatPr defaultRowHeight="15" x14ac:dyDescent="0.25"/>
  <cols>
    <col min="1" max="1" width="11.7109375" customWidth="1"/>
    <col min="2" max="2" width="6" customWidth="1"/>
    <col min="3" max="3" width="7.5703125" customWidth="1"/>
    <col min="4" max="4" width="6" customWidth="1"/>
    <col min="5" max="5" width="6.7109375" customWidth="1"/>
    <col min="6" max="6" width="1.7109375" customWidth="1"/>
    <col min="7" max="7" width="7" customWidth="1"/>
    <col min="8" max="8" width="10.85546875" customWidth="1"/>
    <col min="9" max="9" width="7" customWidth="1"/>
    <col min="10" max="10" width="7.5703125" customWidth="1"/>
    <col min="11" max="11" width="5.7109375" customWidth="1"/>
    <col min="12" max="12" width="5" customWidth="1"/>
    <col min="13" max="13" width="7.5703125" customWidth="1"/>
    <col min="14" max="16" width="6" customWidth="1"/>
    <col min="17" max="17" width="7" customWidth="1"/>
    <col min="18" max="18" width="1.42578125" customWidth="1"/>
    <col min="19" max="19" width="7.140625" style="33" customWidth="1"/>
    <col min="20" max="20" width="5.140625" style="33" customWidth="1"/>
    <col min="21" max="21" width="7.5703125" style="33" customWidth="1"/>
    <col min="22" max="22" width="8.140625" style="33" customWidth="1"/>
    <col min="23" max="23" width="6.5703125" style="33" customWidth="1"/>
    <col min="24" max="24" width="5.5703125" style="33" customWidth="1"/>
    <col min="25" max="25" width="7.5703125" style="33" customWidth="1"/>
    <col min="26" max="26" width="8.140625" style="33" customWidth="1"/>
    <col min="27" max="27" width="7.5703125" customWidth="1"/>
    <col min="28" max="28" width="7" style="33" customWidth="1"/>
    <col min="29" max="1025" width="8.7109375" customWidth="1"/>
  </cols>
  <sheetData>
    <row r="1" spans="1:1024" x14ac:dyDescent="0.25">
      <c r="A1" s="21" t="s">
        <v>58</v>
      </c>
      <c r="B1" s="23">
        <f>BF_DoD!B6*(1+(Measured!B16/100))</f>
        <v>173.3893283181674</v>
      </c>
      <c r="C1" s="34"/>
      <c r="D1" s="34"/>
      <c r="E1" s="34"/>
      <c r="F1" s="34"/>
      <c r="G1" s="115" t="s">
        <v>59</v>
      </c>
      <c r="H1" s="115"/>
      <c r="I1" s="115"/>
      <c r="J1" s="115"/>
      <c r="K1" s="115"/>
      <c r="L1" s="115"/>
      <c r="M1" s="115"/>
      <c r="N1" s="115"/>
      <c r="O1" s="115"/>
      <c r="P1" s="115"/>
      <c r="Q1" s="115"/>
      <c r="S1" s="116" t="s">
        <v>60</v>
      </c>
      <c r="T1" s="116"/>
      <c r="U1" s="116"/>
      <c r="V1" s="116"/>
      <c r="W1" s="117" t="s">
        <v>61</v>
      </c>
      <c r="X1" s="117"/>
      <c r="Y1" s="117"/>
      <c r="Z1" s="117"/>
      <c r="AB1" s="35" t="s">
        <v>62</v>
      </c>
    </row>
    <row r="2" spans="1:1024" s="51" customFormat="1" ht="45" x14ac:dyDescent="0.25">
      <c r="A2" s="36" t="s">
        <v>63</v>
      </c>
      <c r="B2" s="37" t="s">
        <v>64</v>
      </c>
      <c r="C2" s="37" t="s">
        <v>5</v>
      </c>
      <c r="D2" s="37" t="s">
        <v>48</v>
      </c>
      <c r="E2" s="38" t="s">
        <v>65</v>
      </c>
      <c r="F2" s="39"/>
      <c r="G2" s="40" t="s">
        <v>66</v>
      </c>
      <c r="H2" s="41" t="s">
        <v>67</v>
      </c>
      <c r="I2" s="41" t="s">
        <v>68</v>
      </c>
      <c r="J2" s="41" t="s">
        <v>69</v>
      </c>
      <c r="K2" s="41" t="s">
        <v>70</v>
      </c>
      <c r="L2" s="41" t="s">
        <v>71</v>
      </c>
      <c r="M2" s="41" t="s">
        <v>72</v>
      </c>
      <c r="N2" s="41" t="s">
        <v>73</v>
      </c>
      <c r="O2" s="41" t="s">
        <v>74</v>
      </c>
      <c r="P2" s="41" t="s">
        <v>75</v>
      </c>
      <c r="Q2" s="42" t="s">
        <v>76</v>
      </c>
      <c r="R2" s="43"/>
      <c r="S2" s="44" t="str">
        <f>FoodLog!$G$1</f>
        <v>Fat
(Cal)</v>
      </c>
      <c r="T2" s="45" t="str">
        <f>FoodLog!$H$1</f>
        <v>Carb
(Cal)</v>
      </c>
      <c r="U2" s="45" t="str">
        <f>FoodLog!$I$1</f>
        <v>Protein
(Cal)</v>
      </c>
      <c r="V2" s="46" t="str">
        <f>FoodLog!$J$1</f>
        <v>Total
Calories</v>
      </c>
      <c r="W2" s="47" t="str">
        <f>FoodLog!$G$1</f>
        <v>Fat
(Cal)</v>
      </c>
      <c r="X2" s="48" t="str">
        <f>FoodLog!$H$1</f>
        <v>Carb
(Cal)</v>
      </c>
      <c r="Y2" s="48" t="str">
        <f>FoodLog!$I$1</f>
        <v>Protein
(Cal)</v>
      </c>
      <c r="Z2" s="49" t="str">
        <f>FoodLog!$J$1</f>
        <v>Total
Calories</v>
      </c>
      <c r="AA2" s="50" t="s">
        <v>77</v>
      </c>
      <c r="AB2" s="47" t="s">
        <v>5</v>
      </c>
      <c r="AC2" s="50" t="s">
        <v>78</v>
      </c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 x14ac:dyDescent="0.25">
      <c r="A3" s="52">
        <v>42992</v>
      </c>
      <c r="B3" s="53">
        <v>1</v>
      </c>
      <c r="C3" s="54">
        <f>Measured!B5</f>
        <v>203.3</v>
      </c>
      <c r="D3" s="54">
        <f>BF_DoD!B6</f>
        <v>150.77332897231949</v>
      </c>
      <c r="E3" s="55">
        <f t="shared" ref="E3:E34" si="0">C3-D3</f>
        <v>52.526671027680521</v>
      </c>
      <c r="F3" s="56"/>
      <c r="G3" s="57">
        <f>C3*TDEE!$B$5</f>
        <v>2529.6625000000004</v>
      </c>
      <c r="H3" s="54">
        <f>E3*31</f>
        <v>1628.3268018580961</v>
      </c>
      <c r="I3" s="54">
        <f>G3-H3</f>
        <v>901.33569814190423</v>
      </c>
      <c r="J3" s="58">
        <f t="shared" ref="J3:J34" si="1">H3/3500</f>
        <v>0.46523622910231316</v>
      </c>
      <c r="K3" s="54">
        <f t="shared" ref="K3:K34" si="2">N3/9</f>
        <v>37.651227270053546</v>
      </c>
      <c r="L3" s="54">
        <v>20</v>
      </c>
      <c r="M3" s="54">
        <f>Protein_Amt!$B$6</f>
        <v>120.61866317785559</v>
      </c>
      <c r="N3" s="54">
        <f t="shared" ref="N3:N34" si="3">MAX(0,I3-(O3+P3))</f>
        <v>338.86104543048191</v>
      </c>
      <c r="O3" s="54">
        <f t="shared" ref="O3:O34" si="4">4*L3</f>
        <v>80</v>
      </c>
      <c r="P3" s="54">
        <f t="shared" ref="P3:P34" si="5">4*M3</f>
        <v>482.47465271142238</v>
      </c>
      <c r="Q3" s="55">
        <f t="shared" ref="Q3:Q34" si="6">SUM(N3:P3)</f>
        <v>901.33569814190423</v>
      </c>
      <c r="S3" s="59">
        <f>FoodLog!G6</f>
        <v>171</v>
      </c>
      <c r="T3" s="60">
        <f>FoodLog!H6</f>
        <v>52</v>
      </c>
      <c r="U3" s="60">
        <f>FoodLog!I6</f>
        <v>455.6</v>
      </c>
      <c r="V3" s="60">
        <f>FoodLog!J6</f>
        <v>678.6</v>
      </c>
      <c r="W3" s="60">
        <f t="shared" ref="W3:Y6" si="7">-N3+S3</f>
        <v>-167.86104543048191</v>
      </c>
      <c r="X3" s="60">
        <f t="shared" si="7"/>
        <v>-28</v>
      </c>
      <c r="Y3" s="60">
        <f t="shared" si="7"/>
        <v>-26.874652711422357</v>
      </c>
      <c r="Z3" s="61">
        <f>SUM(W3:Y3)</f>
        <v>-222.73569814190427</v>
      </c>
      <c r="AA3" s="62">
        <f t="shared" ref="AA3:AA34" si="8">MIN($H3,($H3+Z3))/3500</f>
        <v>0.40159745820462622</v>
      </c>
      <c r="AB3" s="63">
        <f>Scale!C3</f>
        <v>202.8</v>
      </c>
      <c r="AC3" s="64">
        <f t="shared" ref="AC3:AC20" si="9">C3-AB3</f>
        <v>0.5</v>
      </c>
    </row>
    <row r="4" spans="1:1024" x14ac:dyDescent="0.25">
      <c r="A4" s="65">
        <f t="shared" ref="A4:A35" si="10">A3+1</f>
        <v>42993</v>
      </c>
      <c r="B4" s="66">
        <f t="shared" ref="B4:B35" si="11">B3+1</f>
        <v>2</v>
      </c>
      <c r="C4" s="67">
        <f t="shared" ref="C4:C35" si="12">C3-AA3</f>
        <v>202.89840254179538</v>
      </c>
      <c r="D4" s="67">
        <f t="shared" ref="D4:D35" si="13">$D$3</f>
        <v>150.77332897231949</v>
      </c>
      <c r="E4" s="68">
        <f t="shared" si="0"/>
        <v>52.125073569475887</v>
      </c>
      <c r="F4" s="56"/>
      <c r="G4" s="69">
        <f>C4*TDEE!$B$5</f>
        <v>2524.665421642324</v>
      </c>
      <c r="H4" s="67">
        <f t="shared" ref="H4:H35" si="14">$E4*31</f>
        <v>1615.8772806537525</v>
      </c>
      <c r="I4" s="67">
        <f t="shared" ref="I4:I35" si="15">$G4-$H4</f>
        <v>908.78814098857151</v>
      </c>
      <c r="J4" s="58">
        <f t="shared" si="1"/>
        <v>0.46167922304392928</v>
      </c>
      <c r="K4" s="67">
        <f t="shared" si="2"/>
        <v>38.479276475238798</v>
      </c>
      <c r="L4" s="67">
        <v>20</v>
      </c>
      <c r="M4" s="54">
        <f>Protein_Amt!$B$6</f>
        <v>120.61866317785559</v>
      </c>
      <c r="N4" s="67">
        <f t="shared" si="3"/>
        <v>346.31348827714919</v>
      </c>
      <c r="O4" s="67">
        <f t="shared" si="4"/>
        <v>80</v>
      </c>
      <c r="P4" s="67">
        <f t="shared" si="5"/>
        <v>482.47465271142238</v>
      </c>
      <c r="Q4" s="68">
        <f t="shared" si="6"/>
        <v>908.78814098857151</v>
      </c>
      <c r="S4" s="70">
        <f>FoodLog!G11</f>
        <v>173.60999999999999</v>
      </c>
      <c r="T4" s="71">
        <f>FoodLog!H11</f>
        <v>0</v>
      </c>
      <c r="U4" s="71">
        <f>FoodLog!I11</f>
        <v>402.24</v>
      </c>
      <c r="V4" s="71">
        <f>FoodLog!J11</f>
        <v>575.84999999999991</v>
      </c>
      <c r="W4" s="72">
        <f t="shared" si="7"/>
        <v>-172.70348827714921</v>
      </c>
      <c r="X4" s="72">
        <f t="shared" si="7"/>
        <v>-80</v>
      </c>
      <c r="Y4" s="72">
        <f t="shared" si="7"/>
        <v>-80.23465271142237</v>
      </c>
      <c r="Z4" s="73">
        <f>SUM(W4:Y4)</f>
        <v>-332.9381409885716</v>
      </c>
      <c r="AA4" s="62">
        <f t="shared" si="8"/>
        <v>0.36655403990433738</v>
      </c>
      <c r="AB4" s="63">
        <f>Scale!C4</f>
        <v>200.2</v>
      </c>
      <c r="AC4" s="64">
        <f t="shared" si="9"/>
        <v>2.6984025417953887</v>
      </c>
    </row>
    <row r="5" spans="1:1024" x14ac:dyDescent="0.25">
      <c r="A5" s="65">
        <f t="shared" si="10"/>
        <v>42994</v>
      </c>
      <c r="B5" s="66">
        <f t="shared" si="11"/>
        <v>3</v>
      </c>
      <c r="C5" s="67">
        <f t="shared" si="12"/>
        <v>202.53184850189103</v>
      </c>
      <c r="D5" s="67">
        <f t="shared" si="13"/>
        <v>150.77332897231949</v>
      </c>
      <c r="E5" s="68">
        <f t="shared" si="0"/>
        <v>51.758519529571544</v>
      </c>
      <c r="F5" s="56"/>
      <c r="G5" s="69">
        <f>C5*TDEE!$B$5</f>
        <v>2520.104388641982</v>
      </c>
      <c r="H5" s="67">
        <f t="shared" si="14"/>
        <v>1604.5141054167179</v>
      </c>
      <c r="I5" s="67">
        <f t="shared" si="15"/>
        <v>915.5902832252641</v>
      </c>
      <c r="J5" s="58">
        <f t="shared" si="1"/>
        <v>0.45843260154763371</v>
      </c>
      <c r="K5" s="67">
        <f t="shared" si="2"/>
        <v>39.23507005709353</v>
      </c>
      <c r="L5" s="67">
        <v>20</v>
      </c>
      <c r="M5" s="54">
        <f>Protein_Amt!$B$6</f>
        <v>120.61866317785559</v>
      </c>
      <c r="N5" s="67">
        <f t="shared" si="3"/>
        <v>353.11563051384178</v>
      </c>
      <c r="O5" s="67">
        <f t="shared" si="4"/>
        <v>80</v>
      </c>
      <c r="P5" s="67">
        <f t="shared" si="5"/>
        <v>482.47465271142238</v>
      </c>
      <c r="Q5" s="68">
        <f t="shared" si="6"/>
        <v>915.5902832252641</v>
      </c>
      <c r="S5" s="70">
        <f>FoodLog!G17</f>
        <v>282.59999999999997</v>
      </c>
      <c r="T5" s="71">
        <f>FoodLog!H17</f>
        <v>28</v>
      </c>
      <c r="U5" s="71">
        <f>FoodLog!I17</f>
        <v>387.2</v>
      </c>
      <c r="V5" s="71">
        <f>FoodLog!J17</f>
        <v>697.8</v>
      </c>
      <c r="W5" s="72">
        <f t="shared" si="7"/>
        <v>-70.515630513841813</v>
      </c>
      <c r="X5" s="72">
        <f t="shared" si="7"/>
        <v>-52</v>
      </c>
      <c r="Y5" s="72">
        <f t="shared" si="7"/>
        <v>-95.274652711422391</v>
      </c>
      <c r="Z5" s="73">
        <f>SUM(W5:Y5)</f>
        <v>-217.7902832252642</v>
      </c>
      <c r="AA5" s="62">
        <f t="shared" si="8"/>
        <v>0.39620680634041539</v>
      </c>
      <c r="AB5" s="63">
        <f>Scale!C5</f>
        <v>198.4</v>
      </c>
      <c r="AC5" s="64">
        <f t="shared" si="9"/>
        <v>4.131848501891028</v>
      </c>
    </row>
    <row r="6" spans="1:1024" x14ac:dyDescent="0.25">
      <c r="A6" s="65">
        <f t="shared" si="10"/>
        <v>42995</v>
      </c>
      <c r="B6" s="66">
        <f t="shared" si="11"/>
        <v>4</v>
      </c>
      <c r="C6" s="67">
        <f t="shared" si="12"/>
        <v>202.13564169555062</v>
      </c>
      <c r="D6" s="67">
        <f t="shared" si="13"/>
        <v>150.77332897231949</v>
      </c>
      <c r="E6" s="68">
        <f t="shared" si="0"/>
        <v>51.362312723231128</v>
      </c>
      <c r="F6" s="56"/>
      <c r="G6" s="69">
        <f>C6*TDEE!$B$5</f>
        <v>2515.1743861813616</v>
      </c>
      <c r="H6" s="67">
        <f t="shared" si="14"/>
        <v>1592.231694420165</v>
      </c>
      <c r="I6" s="67">
        <f t="shared" si="15"/>
        <v>922.94269176119656</v>
      </c>
      <c r="J6" s="58">
        <f t="shared" si="1"/>
        <v>0.45492334126290429</v>
      </c>
      <c r="K6" s="67">
        <f t="shared" si="2"/>
        <v>40.052004338863803</v>
      </c>
      <c r="L6" s="67">
        <v>20</v>
      </c>
      <c r="M6" s="54">
        <f>Protein_Amt!$B$6</f>
        <v>120.61866317785559</v>
      </c>
      <c r="N6" s="67">
        <f t="shared" si="3"/>
        <v>360.46803904977423</v>
      </c>
      <c r="O6" s="67">
        <f t="shared" si="4"/>
        <v>80</v>
      </c>
      <c r="P6" s="67">
        <f t="shared" si="5"/>
        <v>482.47465271142238</v>
      </c>
      <c r="Q6" s="68">
        <f t="shared" si="6"/>
        <v>922.94269176119656</v>
      </c>
      <c r="S6" s="70">
        <f>FoodLog!G24</f>
        <v>175.85999999999999</v>
      </c>
      <c r="T6" s="71">
        <f>FoodLog!H24</f>
        <v>56</v>
      </c>
      <c r="U6" s="71">
        <f>FoodLog!I24</f>
        <v>535.84</v>
      </c>
      <c r="V6" s="71">
        <f>FoodLog!J24</f>
        <v>767.7</v>
      </c>
      <c r="W6" s="72">
        <f t="shared" si="7"/>
        <v>-184.60803904977425</v>
      </c>
      <c r="X6" s="72">
        <f t="shared" si="7"/>
        <v>-24</v>
      </c>
      <c r="Y6" s="72">
        <f t="shared" si="7"/>
        <v>53.365347288577652</v>
      </c>
      <c r="Z6" s="73">
        <f>SUM(W6:Y6)</f>
        <v>-155.2426917611966</v>
      </c>
      <c r="AA6" s="62">
        <f t="shared" si="8"/>
        <v>0.41056828647399102</v>
      </c>
      <c r="AB6" s="63">
        <f>Scale!C6</f>
        <v>199.4</v>
      </c>
      <c r="AC6" s="64">
        <f t="shared" si="9"/>
        <v>2.735641695550612</v>
      </c>
    </row>
    <row r="7" spans="1:1024" x14ac:dyDescent="0.25">
      <c r="A7" s="65">
        <f t="shared" si="10"/>
        <v>42996</v>
      </c>
      <c r="B7" s="66">
        <f t="shared" si="11"/>
        <v>5</v>
      </c>
      <c r="C7" s="67">
        <f t="shared" si="12"/>
        <v>201.72507340907663</v>
      </c>
      <c r="D7" s="67">
        <f t="shared" si="13"/>
        <v>150.77332897231949</v>
      </c>
      <c r="E7" s="68">
        <f t="shared" si="0"/>
        <v>50.951744436757139</v>
      </c>
      <c r="F7" s="56"/>
      <c r="G7" s="69">
        <f>C7*TDEE!$B$5</f>
        <v>2510.0656837810543</v>
      </c>
      <c r="H7" s="67">
        <f t="shared" si="14"/>
        <v>1579.5040775394714</v>
      </c>
      <c r="I7" s="67">
        <f t="shared" si="15"/>
        <v>930.56160624158292</v>
      </c>
      <c r="J7" s="58">
        <f t="shared" si="1"/>
        <v>0.45128687929699185</v>
      </c>
      <c r="K7" s="67">
        <f t="shared" si="2"/>
        <v>40.898550392240068</v>
      </c>
      <c r="L7" s="67">
        <v>20</v>
      </c>
      <c r="M7" s="54">
        <f>Protein_Amt!$B$6</f>
        <v>120.61866317785559</v>
      </c>
      <c r="N7" s="67">
        <f t="shared" si="3"/>
        <v>368.0869535301606</v>
      </c>
      <c r="O7" s="67">
        <f t="shared" si="4"/>
        <v>80</v>
      </c>
      <c r="P7" s="67">
        <f t="shared" si="5"/>
        <v>482.47465271142238</v>
      </c>
      <c r="Q7" s="68">
        <f t="shared" si="6"/>
        <v>930.56160624158292</v>
      </c>
      <c r="S7" s="70">
        <f>FoodLog!G34</f>
        <v>235.62</v>
      </c>
      <c r="T7" s="71">
        <f>FoodLog!H34</f>
        <v>58.857142857142861</v>
      </c>
      <c r="U7" s="71">
        <f>FoodLog!I34</f>
        <v>531.74857142857138</v>
      </c>
      <c r="V7" s="71">
        <f>FoodLog!J34</f>
        <v>826.22571428571428</v>
      </c>
      <c r="W7" s="71">
        <f>FoodLog!G36</f>
        <v>132.46695353016059</v>
      </c>
      <c r="X7" s="71">
        <f>FoodLog!H36</f>
        <v>21.142857142857139</v>
      </c>
      <c r="Y7" s="71">
        <f>FoodLog!I36</f>
        <v>-49.273918717149002</v>
      </c>
      <c r="Z7" s="74">
        <f>FoodLog!J36</f>
        <v>104.33589195586865</v>
      </c>
      <c r="AA7" s="62">
        <f t="shared" si="8"/>
        <v>0.45128687929699185</v>
      </c>
      <c r="AB7" s="63">
        <f>Scale!C7</f>
        <v>200.3</v>
      </c>
      <c r="AC7" s="64">
        <f t="shared" si="9"/>
        <v>1.4250734090766173</v>
      </c>
    </row>
    <row r="8" spans="1:1024" x14ac:dyDescent="0.25">
      <c r="A8" s="65">
        <f t="shared" si="10"/>
        <v>42997</v>
      </c>
      <c r="B8" s="66">
        <f t="shared" si="11"/>
        <v>6</v>
      </c>
      <c r="C8" s="67">
        <f t="shared" si="12"/>
        <v>201.27378652977964</v>
      </c>
      <c r="D8" s="67">
        <f t="shared" si="13"/>
        <v>150.77332897231949</v>
      </c>
      <c r="E8" s="68">
        <f t="shared" si="0"/>
        <v>50.500457557460152</v>
      </c>
      <c r="F8" s="56"/>
      <c r="G8" s="69">
        <f>C8*TDEE!$B$5</f>
        <v>2504.4503198100774</v>
      </c>
      <c r="H8" s="67">
        <f t="shared" si="14"/>
        <v>1565.5141842812648</v>
      </c>
      <c r="I8" s="67">
        <f t="shared" si="15"/>
        <v>938.93613552881266</v>
      </c>
      <c r="J8" s="58">
        <f t="shared" si="1"/>
        <v>0.44728976693750422</v>
      </c>
      <c r="K8" s="67">
        <f t="shared" si="2"/>
        <v>41.829053646376707</v>
      </c>
      <c r="L8" s="67">
        <v>20</v>
      </c>
      <c r="M8" s="54">
        <f>Protein_Amt!$B$6</f>
        <v>120.61866317785559</v>
      </c>
      <c r="N8" s="67">
        <f t="shared" si="3"/>
        <v>376.46148281739033</v>
      </c>
      <c r="O8" s="67">
        <f t="shared" si="4"/>
        <v>80</v>
      </c>
      <c r="P8" s="67">
        <f t="shared" si="5"/>
        <v>482.47465271142238</v>
      </c>
      <c r="Q8" s="68">
        <f t="shared" si="6"/>
        <v>938.93613552881266</v>
      </c>
      <c r="S8" s="70">
        <f>FoodLog!G44</f>
        <v>238.5</v>
      </c>
      <c r="T8" s="70">
        <f>FoodLog!H44</f>
        <v>56.8</v>
      </c>
      <c r="U8" s="70">
        <f>FoodLog!I44</f>
        <v>537.91999999999996</v>
      </c>
      <c r="V8" s="70">
        <f>FoodLog!J44</f>
        <v>833.22</v>
      </c>
      <c r="W8" s="70">
        <f>FoodLog!G46</f>
        <v>137.96148281739033</v>
      </c>
      <c r="X8" s="70">
        <f>FoodLog!H46</f>
        <v>23.200000000000003</v>
      </c>
      <c r="Y8" s="70">
        <f>FoodLog!I46</f>
        <v>-55.44534728857758</v>
      </c>
      <c r="Z8" s="70">
        <f>FoodLog!J46</f>
        <v>105.71613552881263</v>
      </c>
      <c r="AA8" s="62">
        <f t="shared" si="8"/>
        <v>0.44728976693750422</v>
      </c>
      <c r="AB8" s="63">
        <f>Scale!C8</f>
        <v>200.4</v>
      </c>
      <c r="AC8" s="64">
        <f t="shared" si="9"/>
        <v>0.87378652977963611</v>
      </c>
    </row>
    <row r="9" spans="1:1024" x14ac:dyDescent="0.25">
      <c r="A9" s="65">
        <f t="shared" si="10"/>
        <v>42998</v>
      </c>
      <c r="B9" s="66">
        <f t="shared" si="11"/>
        <v>7</v>
      </c>
      <c r="C9" s="67">
        <f t="shared" si="12"/>
        <v>200.82649676284214</v>
      </c>
      <c r="D9" s="67">
        <f t="shared" si="13"/>
        <v>150.77332897231949</v>
      </c>
      <c r="E9" s="68">
        <f t="shared" si="0"/>
        <v>50.05316779052265</v>
      </c>
      <c r="F9" s="56"/>
      <c r="G9" s="69">
        <f>C9*TDEE!$B$5</f>
        <v>2498.8846919199859</v>
      </c>
      <c r="H9" s="67">
        <f t="shared" si="14"/>
        <v>1551.6482015062022</v>
      </c>
      <c r="I9" s="67">
        <f t="shared" si="15"/>
        <v>947.23649041378371</v>
      </c>
      <c r="J9" s="58">
        <f t="shared" si="1"/>
        <v>0.44332805757320065</v>
      </c>
      <c r="K9" s="67">
        <f t="shared" si="2"/>
        <v>42.751315300262377</v>
      </c>
      <c r="L9" s="67">
        <v>20</v>
      </c>
      <c r="M9" s="54">
        <f>Protein_Amt!$B$6</f>
        <v>120.61866317785559</v>
      </c>
      <c r="N9" s="67">
        <f t="shared" si="3"/>
        <v>384.76183770236139</v>
      </c>
      <c r="O9" s="67">
        <f t="shared" si="4"/>
        <v>80</v>
      </c>
      <c r="P9" s="67">
        <f t="shared" si="5"/>
        <v>482.47465271142238</v>
      </c>
      <c r="Q9" s="68">
        <f t="shared" si="6"/>
        <v>947.23649041378371</v>
      </c>
      <c r="S9" s="70">
        <f>FoodLog!G56</f>
        <v>401.4</v>
      </c>
      <c r="T9" s="70">
        <f>FoodLog!H56</f>
        <v>64.571428571428569</v>
      </c>
      <c r="U9" s="70">
        <f>FoodLog!I56</f>
        <v>550.60571428571427</v>
      </c>
      <c r="V9" s="70">
        <f>FoodLog!J56</f>
        <v>1016.5771428571428</v>
      </c>
      <c r="W9" s="70">
        <f>FoodLog!G58</f>
        <v>-16.638162297638587</v>
      </c>
      <c r="X9" s="70">
        <f>FoodLog!H58</f>
        <v>15.428571428571431</v>
      </c>
      <c r="Y9" s="70">
        <f>FoodLog!I58</f>
        <v>-68.131061574291891</v>
      </c>
      <c r="Z9" s="70">
        <f>FoodLog!J58</f>
        <v>-69.34065244335909</v>
      </c>
      <c r="AA9" s="62">
        <f t="shared" si="8"/>
        <v>0.4235164425893837</v>
      </c>
      <c r="AB9" s="63">
        <f>Scale!C9</f>
        <v>199.8</v>
      </c>
      <c r="AC9" s="64">
        <f t="shared" si="9"/>
        <v>1.0264967628421289</v>
      </c>
    </row>
    <row r="10" spans="1:1024" x14ac:dyDescent="0.25">
      <c r="A10" s="65">
        <f t="shared" si="10"/>
        <v>42999</v>
      </c>
      <c r="B10" s="66">
        <f t="shared" si="11"/>
        <v>8</v>
      </c>
      <c r="C10" s="67">
        <f t="shared" si="12"/>
        <v>200.40298032025277</v>
      </c>
      <c r="D10" s="67">
        <f t="shared" si="13"/>
        <v>150.77332897231949</v>
      </c>
      <c r="E10" s="68">
        <f t="shared" si="0"/>
        <v>49.629651347933276</v>
      </c>
      <c r="F10" s="56"/>
      <c r="G10" s="69">
        <f>C10*TDEE!$B$5</f>
        <v>2493.6148755749209</v>
      </c>
      <c r="H10" s="67">
        <f t="shared" si="14"/>
        <v>1538.5191917859315</v>
      </c>
      <c r="I10" s="67">
        <f t="shared" si="15"/>
        <v>955.09568378898939</v>
      </c>
      <c r="J10" s="58">
        <f t="shared" si="1"/>
        <v>0.43957691193883758</v>
      </c>
      <c r="K10" s="67">
        <f t="shared" si="2"/>
        <v>43.624559008618562</v>
      </c>
      <c r="L10" s="67">
        <v>20</v>
      </c>
      <c r="M10" s="54">
        <f>Protein_Amt!$B$6</f>
        <v>120.61866317785559</v>
      </c>
      <c r="N10" s="67">
        <f t="shared" si="3"/>
        <v>392.62103107756707</v>
      </c>
      <c r="O10" s="67">
        <f t="shared" si="4"/>
        <v>80</v>
      </c>
      <c r="P10" s="67">
        <f t="shared" si="5"/>
        <v>482.47465271142238</v>
      </c>
      <c r="Q10" s="68">
        <f t="shared" si="6"/>
        <v>955.09568378898939</v>
      </c>
      <c r="S10" s="70">
        <f>FoodLog!G68</f>
        <v>340.55999999999995</v>
      </c>
      <c r="T10" s="70">
        <f>FoodLog!H68</f>
        <v>44</v>
      </c>
      <c r="U10" s="70">
        <f>FoodLog!I68</f>
        <v>492.64000000000004</v>
      </c>
      <c r="V10" s="70">
        <f>FoodLog!J68</f>
        <v>877.2</v>
      </c>
      <c r="W10" s="70">
        <f>FoodLog!G70</f>
        <v>52.061031077567122</v>
      </c>
      <c r="X10" s="70">
        <f>FoodLog!H70</f>
        <v>36</v>
      </c>
      <c r="Y10" s="70">
        <f>FoodLog!I70</f>
        <v>-10.165347288577664</v>
      </c>
      <c r="Z10" s="70">
        <f>FoodLog!J70</f>
        <v>77.895683788989345</v>
      </c>
      <c r="AA10" s="62">
        <f t="shared" si="8"/>
        <v>0.43957691193883758</v>
      </c>
      <c r="AB10" s="63">
        <f>Scale!C10</f>
        <v>199.8</v>
      </c>
      <c r="AC10" s="64">
        <f t="shared" si="9"/>
        <v>0.60298032025275461</v>
      </c>
    </row>
    <row r="11" spans="1:1024" x14ac:dyDescent="0.25">
      <c r="A11" s="65">
        <f t="shared" si="10"/>
        <v>43000</v>
      </c>
      <c r="B11" s="66">
        <f t="shared" si="11"/>
        <v>9</v>
      </c>
      <c r="C11" s="67">
        <f t="shared" si="12"/>
        <v>199.96340340831392</v>
      </c>
      <c r="D11" s="67">
        <f t="shared" si="13"/>
        <v>150.77332897231949</v>
      </c>
      <c r="E11" s="68">
        <f t="shared" si="0"/>
        <v>49.190074435994433</v>
      </c>
      <c r="F11" s="56"/>
      <c r="G11" s="69">
        <f>C11*TDEE!$B$5</f>
        <v>2488.1452187623408</v>
      </c>
      <c r="H11" s="67">
        <f t="shared" si="14"/>
        <v>1524.8923075158275</v>
      </c>
      <c r="I11" s="67">
        <f t="shared" si="15"/>
        <v>963.25291124651335</v>
      </c>
      <c r="J11" s="58">
        <f t="shared" si="1"/>
        <v>0.43568351643309355</v>
      </c>
      <c r="K11" s="67">
        <f t="shared" si="2"/>
        <v>44.530917615010111</v>
      </c>
      <c r="L11" s="67">
        <v>20</v>
      </c>
      <c r="M11" s="54">
        <f>Protein_Amt!$B$6</f>
        <v>120.61866317785559</v>
      </c>
      <c r="N11" s="67">
        <f t="shared" si="3"/>
        <v>400.77825853509103</v>
      </c>
      <c r="O11" s="67">
        <f t="shared" si="4"/>
        <v>80</v>
      </c>
      <c r="P11" s="67">
        <f t="shared" si="5"/>
        <v>482.47465271142238</v>
      </c>
      <c r="Q11" s="68">
        <f t="shared" si="6"/>
        <v>963.25291124651335</v>
      </c>
      <c r="S11" s="70">
        <f>FoodLog!G80</f>
        <v>469.26</v>
      </c>
      <c r="T11" s="70">
        <f>FoodLog!H80</f>
        <v>79.428571428571431</v>
      </c>
      <c r="U11" s="70">
        <f>FoodLog!I80</f>
        <v>491.31428571428569</v>
      </c>
      <c r="V11" s="70">
        <f>FoodLog!J80</f>
        <v>1040.002857142857</v>
      </c>
      <c r="W11" s="70">
        <f>FoodLog!G82</f>
        <v>-68.481741464908964</v>
      </c>
      <c r="X11" s="70">
        <f>FoodLog!H82</f>
        <v>0.5714285714285694</v>
      </c>
      <c r="Y11" s="70">
        <f>FoodLog!I82</f>
        <v>-8.8396330028633088</v>
      </c>
      <c r="Z11" s="70">
        <f>FoodLog!J82</f>
        <v>-76.749945896343661</v>
      </c>
      <c r="AA11" s="62">
        <f t="shared" si="8"/>
        <v>0.41375496046270965</v>
      </c>
      <c r="AB11" s="63">
        <f>Scale!C11</f>
        <v>198.4</v>
      </c>
      <c r="AC11" s="64">
        <f t="shared" si="9"/>
        <v>1.563403408313917</v>
      </c>
    </row>
    <row r="12" spans="1:1024" x14ac:dyDescent="0.25">
      <c r="A12" s="65">
        <f t="shared" si="10"/>
        <v>43001</v>
      </c>
      <c r="B12" s="66">
        <f t="shared" si="11"/>
        <v>10</v>
      </c>
      <c r="C12" s="67">
        <f t="shared" si="12"/>
        <v>199.54964844785121</v>
      </c>
      <c r="D12" s="67">
        <f t="shared" si="13"/>
        <v>150.77332897231949</v>
      </c>
      <c r="E12" s="68">
        <f t="shared" si="0"/>
        <v>48.776319475531722</v>
      </c>
      <c r="F12" s="56"/>
      <c r="G12" s="69">
        <f>C12*TDEE!$B$5</f>
        <v>2482.996864568187</v>
      </c>
      <c r="H12" s="67">
        <f t="shared" si="14"/>
        <v>1512.0659037414835</v>
      </c>
      <c r="I12" s="67">
        <f t="shared" si="15"/>
        <v>970.93096082670354</v>
      </c>
      <c r="J12" s="58">
        <f t="shared" si="1"/>
        <v>0.43201882964042382</v>
      </c>
      <c r="K12" s="67">
        <f t="shared" si="2"/>
        <v>45.384034235031244</v>
      </c>
      <c r="L12" s="67">
        <v>20</v>
      </c>
      <c r="M12" s="54">
        <f>Protein_Amt!$B$6</f>
        <v>120.61866317785559</v>
      </c>
      <c r="N12" s="67">
        <f t="shared" si="3"/>
        <v>408.45630811528122</v>
      </c>
      <c r="O12" s="67">
        <f t="shared" si="4"/>
        <v>80</v>
      </c>
      <c r="P12" s="67">
        <f t="shared" si="5"/>
        <v>482.47465271142238</v>
      </c>
      <c r="Q12" s="68">
        <f t="shared" si="6"/>
        <v>970.93096082670354</v>
      </c>
      <c r="S12" s="70">
        <f>VLOOKUP($A12,FoodLog!$A$1:$Z$433,12,0)</f>
        <v>493.92</v>
      </c>
      <c r="T12" s="70">
        <f>VLOOKUP($A12,FoodLog!$A$1:$Z$433,13,0)</f>
        <v>28</v>
      </c>
      <c r="U12" s="70">
        <f>VLOOKUP($A12,FoodLog!$A$1:$Z$433,14,0)</f>
        <v>458.40000000000003</v>
      </c>
      <c r="V12" s="70">
        <f>VLOOKUP($A12,FoodLog!$A$1:$Z$433,15,0)</f>
        <v>980.32000000000016</v>
      </c>
      <c r="W12" s="70">
        <f>VLOOKUP($A12,FoodLog!$A$1:$Z$433,20,0)</f>
        <v>-85.463691884718799</v>
      </c>
      <c r="X12" s="70">
        <f>VLOOKUP($A12,FoodLog!$A$1:$Z$433,21,0)</f>
        <v>52</v>
      </c>
      <c r="Y12" s="70">
        <f>VLOOKUP($A12,FoodLog!$A$1:$Z$433,22,0)</f>
        <v>24.074652711422345</v>
      </c>
      <c r="Z12" s="70">
        <f>VLOOKUP($A12,FoodLog!$A$1:$Z$433,23,0)</f>
        <v>-9.3890391732966236</v>
      </c>
      <c r="AA12" s="62">
        <f t="shared" si="8"/>
        <v>0.42933624701948198</v>
      </c>
      <c r="AB12" s="64">
        <f>Scale!C12</f>
        <v>197.6</v>
      </c>
      <c r="AC12" s="64">
        <f t="shared" si="9"/>
        <v>1.9496484478512173</v>
      </c>
    </row>
    <row r="13" spans="1:1024" x14ac:dyDescent="0.25">
      <c r="A13" s="65">
        <f t="shared" si="10"/>
        <v>43002</v>
      </c>
      <c r="B13" s="66">
        <f t="shared" si="11"/>
        <v>11</v>
      </c>
      <c r="C13" s="67">
        <f t="shared" si="12"/>
        <v>199.12031220083173</v>
      </c>
      <c r="D13" s="67">
        <f t="shared" si="13"/>
        <v>150.77332897231949</v>
      </c>
      <c r="E13" s="68">
        <f t="shared" si="0"/>
        <v>48.346983228512244</v>
      </c>
      <c r="F13" s="56"/>
      <c r="G13" s="69">
        <f>C13*TDEE!$B$5</f>
        <v>2477.6546323794223</v>
      </c>
      <c r="H13" s="67">
        <f t="shared" si="14"/>
        <v>1498.7564800838795</v>
      </c>
      <c r="I13" s="67">
        <f t="shared" si="15"/>
        <v>978.89815229554279</v>
      </c>
      <c r="J13" s="58">
        <f t="shared" si="1"/>
        <v>0.42821613716682272</v>
      </c>
      <c r="K13" s="67">
        <f t="shared" si="2"/>
        <v>46.269277731568941</v>
      </c>
      <c r="L13" s="67">
        <v>20</v>
      </c>
      <c r="M13" s="54">
        <f>Protein_Amt!$B$6</f>
        <v>120.61866317785559</v>
      </c>
      <c r="N13" s="67">
        <f t="shared" si="3"/>
        <v>416.42349958412046</v>
      </c>
      <c r="O13" s="67">
        <f t="shared" si="4"/>
        <v>80</v>
      </c>
      <c r="P13" s="67">
        <f t="shared" si="5"/>
        <v>482.47465271142238</v>
      </c>
      <c r="Q13" s="68">
        <f t="shared" si="6"/>
        <v>978.89815229554279</v>
      </c>
      <c r="S13" s="70">
        <f>VLOOKUP($A13,FoodLog!$A$1:$Z$433,12,0)</f>
        <v>402.12</v>
      </c>
      <c r="T13" s="70">
        <f>VLOOKUP($A13,FoodLog!$A$1:$Z$433,13,0)</f>
        <v>80.571428571428569</v>
      </c>
      <c r="U13" s="70">
        <f>VLOOKUP($A13,FoodLog!$A$1:$Z$433,14,0)</f>
        <v>444.20571428571429</v>
      </c>
      <c r="V13" s="70">
        <f>VLOOKUP($A13,FoodLog!$A$1:$Z$433,15,0)</f>
        <v>926.89714285714285</v>
      </c>
      <c r="W13" s="70">
        <f>VLOOKUP($A13,FoodLog!$A$1:$Z$433,16,0)</f>
        <v>14.303499584120459</v>
      </c>
      <c r="X13" s="70">
        <f>VLOOKUP($A13,FoodLog!$A$1:$Z$433,17,0)</f>
        <v>-0.5714285714285694</v>
      </c>
      <c r="Y13" s="70">
        <f>VLOOKUP($A13,FoodLog!$A$1:$Z$433,18,0)</f>
        <v>38.268938425708086</v>
      </c>
      <c r="Z13" s="70">
        <f>VLOOKUP($A13,FoodLog!$A$1:$Z$433,19,0)</f>
        <v>52.001009438399933</v>
      </c>
      <c r="AA13" s="62">
        <f t="shared" si="8"/>
        <v>0.42821613716682272</v>
      </c>
      <c r="AB13" s="64">
        <f>Scale!C13</f>
        <v>198</v>
      </c>
      <c r="AC13" s="64">
        <f t="shared" si="9"/>
        <v>1.1203122008317337</v>
      </c>
    </row>
    <row r="14" spans="1:1024" x14ac:dyDescent="0.25">
      <c r="A14" s="65">
        <f t="shared" si="10"/>
        <v>43003</v>
      </c>
      <c r="B14" s="66">
        <f t="shared" si="11"/>
        <v>12</v>
      </c>
      <c r="C14" s="67">
        <f t="shared" si="12"/>
        <v>198.69209606366491</v>
      </c>
      <c r="D14" s="67">
        <f t="shared" si="13"/>
        <v>150.77332897231949</v>
      </c>
      <c r="E14" s="68">
        <f t="shared" si="0"/>
        <v>47.918767091345416</v>
      </c>
      <c r="F14" s="56"/>
      <c r="G14" s="69">
        <f>C14*TDEE!$B$5</f>
        <v>2472.3263377208596</v>
      </c>
      <c r="H14" s="67">
        <f t="shared" si="14"/>
        <v>1485.4817798317079</v>
      </c>
      <c r="I14" s="67">
        <f t="shared" si="15"/>
        <v>986.8445578891517</v>
      </c>
      <c r="J14" s="58">
        <f t="shared" si="1"/>
        <v>0.42442336566620226</v>
      </c>
      <c r="K14" s="67">
        <f t="shared" si="2"/>
        <v>47.152211686414375</v>
      </c>
      <c r="L14" s="67">
        <v>20</v>
      </c>
      <c r="M14" s="54">
        <f>Protein_Amt!$B$6</f>
        <v>120.61866317785559</v>
      </c>
      <c r="N14" s="67">
        <f t="shared" si="3"/>
        <v>424.36990517772938</v>
      </c>
      <c r="O14" s="67">
        <f t="shared" si="4"/>
        <v>80</v>
      </c>
      <c r="P14" s="67">
        <f t="shared" si="5"/>
        <v>482.47465271142238</v>
      </c>
      <c r="Q14" s="68">
        <f t="shared" si="6"/>
        <v>986.8445578891517</v>
      </c>
      <c r="S14" s="70">
        <f>VLOOKUP($A14,FoodLog!$A$1:$Z$433,12,0)</f>
        <v>462.59999999999997</v>
      </c>
      <c r="T14" s="70">
        <f>VLOOKUP($A14,FoodLog!$A$1:$Z$433,13,0)</f>
        <v>52.571428571428569</v>
      </c>
      <c r="U14" s="70">
        <f>VLOOKUP($A14,FoodLog!$A$1:$Z$433,14,0)</f>
        <v>498.28571428571428</v>
      </c>
      <c r="V14" s="70">
        <f>VLOOKUP($A14,FoodLog!$A$1:$Z$433,15,0)</f>
        <v>1013.4571428571428</v>
      </c>
      <c r="W14" s="70">
        <f>VLOOKUP($A14,FoodLog!$A$1:$Z$433,16,0)</f>
        <v>-38.230094822270587</v>
      </c>
      <c r="X14" s="70">
        <f>VLOOKUP($A14,FoodLog!$A$1:$Z$433,17,0)</f>
        <v>27.428571428571431</v>
      </c>
      <c r="Y14" s="70">
        <f>VLOOKUP($A14,FoodLog!$A$1:$Z$433,18,0)</f>
        <v>-15.811061574291898</v>
      </c>
      <c r="Z14" s="70">
        <f>VLOOKUP($A14,FoodLog!$A$1:$Z$433,19,0)</f>
        <v>-26.612584967991097</v>
      </c>
      <c r="AA14" s="62">
        <f t="shared" si="8"/>
        <v>0.4168197699610619</v>
      </c>
      <c r="AB14" s="64">
        <f>Scale!C14</f>
        <v>198</v>
      </c>
      <c r="AC14" s="64">
        <f t="shared" si="9"/>
        <v>0.69209606366490561</v>
      </c>
    </row>
    <row r="15" spans="1:1024" x14ac:dyDescent="0.25">
      <c r="A15" s="65">
        <f t="shared" si="10"/>
        <v>43004</v>
      </c>
      <c r="B15" s="66">
        <f t="shared" si="11"/>
        <v>13</v>
      </c>
      <c r="C15" s="67">
        <f t="shared" si="12"/>
        <v>198.27527629370385</v>
      </c>
      <c r="D15" s="67">
        <f t="shared" si="13"/>
        <v>150.77332897231949</v>
      </c>
      <c r="E15" s="68">
        <f t="shared" si="0"/>
        <v>47.501947321384364</v>
      </c>
      <c r="F15" s="56"/>
      <c r="G15" s="69">
        <f>C15*TDEE!$B$5</f>
        <v>2467.1398480930725</v>
      </c>
      <c r="H15" s="67">
        <f t="shared" si="14"/>
        <v>1472.5603669629154</v>
      </c>
      <c r="I15" s="67">
        <f t="shared" si="15"/>
        <v>994.57948113015709</v>
      </c>
      <c r="J15" s="58">
        <f t="shared" si="1"/>
        <v>0.42073153341797581</v>
      </c>
      <c r="K15" s="67">
        <f t="shared" si="2"/>
        <v>48.011647602081638</v>
      </c>
      <c r="L15" s="67">
        <v>20</v>
      </c>
      <c r="M15" s="54">
        <f>Protein_Amt!$B$6</f>
        <v>120.61866317785559</v>
      </c>
      <c r="N15" s="67">
        <f t="shared" si="3"/>
        <v>432.10482841873477</v>
      </c>
      <c r="O15" s="67">
        <f t="shared" si="4"/>
        <v>80</v>
      </c>
      <c r="P15" s="67">
        <f t="shared" si="5"/>
        <v>482.47465271142238</v>
      </c>
      <c r="Q15" s="68">
        <f t="shared" si="6"/>
        <v>994.57948113015709</v>
      </c>
      <c r="S15" s="70">
        <f>VLOOKUP($A15,FoodLog!$A$1:$Z$10001,12,0)</f>
        <v>469.34999999999997</v>
      </c>
      <c r="T15" s="70">
        <f>VLOOKUP($A15,FoodLog!$A$1:$Z$10001,13,0)</f>
        <v>60.571428571428569</v>
      </c>
      <c r="U15" s="70">
        <f>VLOOKUP($A15,FoodLog!$A$1:$Z$10001,14,0)</f>
        <v>518.28571428571422</v>
      </c>
      <c r="V15" s="70">
        <f>VLOOKUP($A15,FoodLog!$A$1:$Z$10001,15,0)</f>
        <v>1048.2071428571428</v>
      </c>
      <c r="W15" s="70">
        <f>VLOOKUP($A15,FoodLog!$A$1:$Z$10001,16,0)</f>
        <v>-37.245171581265197</v>
      </c>
      <c r="X15" s="70">
        <f>VLOOKUP($A15,FoodLog!$A$1:$Z$10001,17,0)</f>
        <v>19.428571428571431</v>
      </c>
      <c r="Y15" s="70">
        <f>VLOOKUP($A15,FoodLog!$A$1:$Z$10001,18,0)</f>
        <v>-35.811061574291841</v>
      </c>
      <c r="Z15" s="70">
        <f>VLOOKUP($A15,FoodLog!$A$1:$Z$10001,19,0)</f>
        <v>-53.627661726985707</v>
      </c>
      <c r="AA15" s="62">
        <f t="shared" si="8"/>
        <v>0.40540934435312276</v>
      </c>
      <c r="AB15" s="64">
        <f>Scale!C15</f>
        <v>198.8</v>
      </c>
      <c r="AC15" s="64">
        <f t="shared" si="9"/>
        <v>-0.52472370629615739</v>
      </c>
    </row>
    <row r="16" spans="1:1024" x14ac:dyDescent="0.25">
      <c r="A16" s="65">
        <f t="shared" si="10"/>
        <v>43005</v>
      </c>
      <c r="B16" s="66">
        <f t="shared" si="11"/>
        <v>14</v>
      </c>
      <c r="C16" s="67">
        <f t="shared" si="12"/>
        <v>197.86986694935072</v>
      </c>
      <c r="D16" s="67">
        <f t="shared" si="13"/>
        <v>150.77332897231949</v>
      </c>
      <c r="E16" s="68">
        <f t="shared" si="0"/>
        <v>47.096537977031232</v>
      </c>
      <c r="F16" s="56"/>
      <c r="G16" s="69">
        <f>C16*TDEE!$B$5</f>
        <v>2462.0953384248005</v>
      </c>
      <c r="H16" s="67">
        <f t="shared" si="14"/>
        <v>1459.9926772879683</v>
      </c>
      <c r="I16" s="67">
        <f t="shared" si="15"/>
        <v>1002.1026611368322</v>
      </c>
      <c r="J16" s="58">
        <f t="shared" si="1"/>
        <v>0.41714076493941948</v>
      </c>
      <c r="K16" s="67">
        <f t="shared" si="2"/>
        <v>48.847556491712211</v>
      </c>
      <c r="L16" s="67">
        <v>20</v>
      </c>
      <c r="M16" s="54">
        <f>Protein_Amt!$B$6</f>
        <v>120.61866317785559</v>
      </c>
      <c r="N16" s="67">
        <f t="shared" si="3"/>
        <v>439.62800842540992</v>
      </c>
      <c r="O16" s="67">
        <f t="shared" si="4"/>
        <v>80</v>
      </c>
      <c r="P16" s="67">
        <f t="shared" si="5"/>
        <v>482.47465271142238</v>
      </c>
      <c r="Q16" s="68">
        <f t="shared" si="6"/>
        <v>1002.1026611368322</v>
      </c>
      <c r="S16" s="70">
        <f>VLOOKUP($A16,FoodLog!$A$1:$Z$10001,12,0)</f>
        <v>452.07</v>
      </c>
      <c r="T16" s="70">
        <f>VLOOKUP($A16,FoodLog!$A$1:$Z$10001,13,0)</f>
        <v>20</v>
      </c>
      <c r="U16" s="70">
        <f>VLOOKUP($A16,FoodLog!$A$1:$Z$10001,14,0)</f>
        <v>525.6</v>
      </c>
      <c r="V16" s="70">
        <f>VLOOKUP($A16,FoodLog!$A$1:$Z$10001,15,0)</f>
        <v>997.67000000000007</v>
      </c>
      <c r="W16" s="70">
        <f>VLOOKUP($A16,FoodLog!$A$1:$Z$10001,16,0)</f>
        <v>-12.441991574590077</v>
      </c>
      <c r="X16" s="70">
        <f>VLOOKUP($A16,FoodLog!$A$1:$Z$10001,17,0)</f>
        <v>60</v>
      </c>
      <c r="Y16" s="70">
        <f>VLOOKUP($A16,FoodLog!$A$1:$Z$10001,18,0)</f>
        <v>-43.125347288577643</v>
      </c>
      <c r="Z16" s="70">
        <f>VLOOKUP($A16,FoodLog!$A$1:$Z$10001,19,0)</f>
        <v>4.4326611368321664</v>
      </c>
      <c r="AA16" s="62">
        <f t="shared" si="8"/>
        <v>0.41714076493941948</v>
      </c>
      <c r="AB16" s="64">
        <f>Scale!C16</f>
        <v>198.6</v>
      </c>
      <c r="AC16" s="64">
        <f t="shared" si="9"/>
        <v>-0.73013305064927181</v>
      </c>
    </row>
    <row r="17" spans="1:29" x14ac:dyDescent="0.25">
      <c r="A17" s="65">
        <f t="shared" si="10"/>
        <v>43006</v>
      </c>
      <c r="B17" s="66">
        <f t="shared" si="11"/>
        <v>15</v>
      </c>
      <c r="C17" s="67">
        <f t="shared" si="12"/>
        <v>197.45272618441129</v>
      </c>
      <c r="D17" s="67">
        <f t="shared" si="13"/>
        <v>150.77332897231949</v>
      </c>
      <c r="E17" s="68">
        <f t="shared" si="0"/>
        <v>46.6793972120918</v>
      </c>
      <c r="F17" s="56"/>
      <c r="G17" s="69">
        <f>C17*TDEE!$B$5</f>
        <v>2456.90485465555</v>
      </c>
      <c r="H17" s="67">
        <f t="shared" si="14"/>
        <v>1447.0613135748458</v>
      </c>
      <c r="I17" s="67">
        <f t="shared" si="15"/>
        <v>1009.8435410807042</v>
      </c>
      <c r="J17" s="58">
        <f t="shared" si="1"/>
        <v>0.41344608959281309</v>
      </c>
      <c r="K17" s="67">
        <f t="shared" si="2"/>
        <v>49.707654263253545</v>
      </c>
      <c r="L17" s="67">
        <v>20</v>
      </c>
      <c r="M17" s="54">
        <f>Protein_Amt!$B$6</f>
        <v>120.61866317785559</v>
      </c>
      <c r="N17" s="67">
        <f t="shared" si="3"/>
        <v>447.36888836928188</v>
      </c>
      <c r="O17" s="67">
        <f t="shared" si="4"/>
        <v>80</v>
      </c>
      <c r="P17" s="67">
        <f t="shared" si="5"/>
        <v>482.47465271142238</v>
      </c>
      <c r="Q17" s="68">
        <f t="shared" si="6"/>
        <v>1009.8435410807042</v>
      </c>
      <c r="S17" s="70">
        <f>VLOOKUP($A17,FoodLog!$A$1:$Z$10001,12,0)</f>
        <v>519.75</v>
      </c>
      <c r="T17" s="70">
        <f>VLOOKUP($A17,FoodLog!$A$1:$Z$10001,13,0)</f>
        <v>55.542857142857144</v>
      </c>
      <c r="U17" s="70">
        <f>VLOOKUP($A17,FoodLog!$A$1:$Z$10001,14,0)</f>
        <v>463.37142857142857</v>
      </c>
      <c r="V17" s="70">
        <f>VLOOKUP($A17,FoodLog!$A$1:$Z$10001,15,0)</f>
        <v>1038.6642857142858</v>
      </c>
      <c r="W17" s="70">
        <f>VLOOKUP($A17,FoodLog!$A$1:$Z$10001,16,0)</f>
        <v>-72.381111630718124</v>
      </c>
      <c r="X17" s="70">
        <f>VLOOKUP($A17,FoodLog!$A$1:$Z$10001,17,0)</f>
        <v>24.457142857142856</v>
      </c>
      <c r="Y17" s="70">
        <f>VLOOKUP($A17,FoodLog!$A$1:$Z$10001,18,0)</f>
        <v>19.103224139993813</v>
      </c>
      <c r="Z17" s="70">
        <f>VLOOKUP($A17,FoodLog!$A$1:$Z$10001,19,0)</f>
        <v>-28.820744633581626</v>
      </c>
      <c r="AA17" s="62">
        <f t="shared" si="8"/>
        <v>0.40521159112607547</v>
      </c>
      <c r="AB17" s="64">
        <f>Scale!C17</f>
        <v>198.2</v>
      </c>
      <c r="AC17" s="64">
        <f t="shared" si="9"/>
        <v>-0.74727381558869865</v>
      </c>
    </row>
    <row r="18" spans="1:29" x14ac:dyDescent="0.25">
      <c r="A18" s="65">
        <f t="shared" si="10"/>
        <v>43007</v>
      </c>
      <c r="B18" s="66">
        <f t="shared" si="11"/>
        <v>16</v>
      </c>
      <c r="C18" s="67">
        <f t="shared" si="12"/>
        <v>197.04751459328523</v>
      </c>
      <c r="D18" s="67">
        <f t="shared" si="13"/>
        <v>150.77332897231949</v>
      </c>
      <c r="E18" s="68">
        <f t="shared" si="0"/>
        <v>46.274185620965739</v>
      </c>
      <c r="F18" s="56"/>
      <c r="G18" s="69">
        <f>C18*TDEE!$B$5</f>
        <v>2451.8628056312664</v>
      </c>
      <c r="H18" s="67">
        <f t="shared" si="14"/>
        <v>1434.499754249938</v>
      </c>
      <c r="I18" s="67">
        <f t="shared" si="15"/>
        <v>1017.3630513813284</v>
      </c>
      <c r="J18" s="58">
        <f t="shared" si="1"/>
        <v>0.40985707264283944</v>
      </c>
      <c r="K18" s="67">
        <f t="shared" si="2"/>
        <v>50.543155407767344</v>
      </c>
      <c r="L18" s="67">
        <v>20</v>
      </c>
      <c r="M18" s="54">
        <f>Protein_Amt!$B$6</f>
        <v>120.61866317785559</v>
      </c>
      <c r="N18" s="67">
        <f t="shared" si="3"/>
        <v>454.88839866990611</v>
      </c>
      <c r="O18" s="67">
        <f t="shared" si="4"/>
        <v>80</v>
      </c>
      <c r="P18" s="67">
        <f t="shared" si="5"/>
        <v>482.47465271142238</v>
      </c>
      <c r="Q18" s="68">
        <f t="shared" si="6"/>
        <v>1017.3630513813284</v>
      </c>
      <c r="S18" s="70">
        <f>VLOOKUP($A18,FoodLog!$A$1:$Z$10001,12,0)</f>
        <v>526.5</v>
      </c>
      <c r="T18" s="70">
        <f>VLOOKUP($A18,FoodLog!$A$1:$Z$10001,13,0)</f>
        <v>65.485714285714295</v>
      </c>
      <c r="U18" s="70">
        <f>VLOOKUP($A18,FoodLog!$A$1:$Z$10001,14,0)</f>
        <v>498.74285714285713</v>
      </c>
      <c r="V18" s="70">
        <f>VLOOKUP($A18,FoodLog!$A$1:$Z$10001,15,0)</f>
        <v>1090.7285714285713</v>
      </c>
      <c r="W18" s="70">
        <f>VLOOKUP($A18,FoodLog!$A$1:$Z$10001,16,0)</f>
        <v>-71.61160133009389</v>
      </c>
      <c r="X18" s="70">
        <f>VLOOKUP($A18,FoodLog!$A$1:$Z$10001,17,0)</f>
        <v>14.514285714285705</v>
      </c>
      <c r="Y18" s="70">
        <f>VLOOKUP($A18,FoodLog!$A$1:$Z$10001,18,0)</f>
        <v>-16.268204431434754</v>
      </c>
      <c r="Z18" s="70">
        <f>VLOOKUP($A18,FoodLog!$A$1:$Z$10001,19,0)</f>
        <v>-73.365520047242853</v>
      </c>
      <c r="AA18" s="62">
        <f t="shared" si="8"/>
        <v>0.38889549548648433</v>
      </c>
      <c r="AB18" s="63">
        <f>Scale!C18</f>
        <v>197.2</v>
      </c>
      <c r="AC18" s="64">
        <f t="shared" si="9"/>
        <v>-0.15248540671476007</v>
      </c>
    </row>
    <row r="19" spans="1:29" x14ac:dyDescent="0.25">
      <c r="A19" s="65">
        <f t="shared" si="10"/>
        <v>43008</v>
      </c>
      <c r="B19" s="66">
        <f t="shared" si="11"/>
        <v>17</v>
      </c>
      <c r="C19" s="67">
        <f t="shared" si="12"/>
        <v>196.65861909779875</v>
      </c>
      <c r="D19" s="67">
        <f t="shared" si="13"/>
        <v>150.77332897231949</v>
      </c>
      <c r="E19" s="68">
        <f t="shared" si="0"/>
        <v>45.885290125479258</v>
      </c>
      <c r="F19" s="56"/>
      <c r="G19" s="69">
        <f>C19*TDEE!$B$5</f>
        <v>2447.0237778331793</v>
      </c>
      <c r="H19" s="67">
        <f t="shared" si="14"/>
        <v>1422.443993889857</v>
      </c>
      <c r="I19" s="67">
        <f t="shared" si="15"/>
        <v>1024.5797839433224</v>
      </c>
      <c r="J19" s="58">
        <f t="shared" si="1"/>
        <v>0.4064125696828163</v>
      </c>
      <c r="K19" s="67">
        <f t="shared" si="2"/>
        <v>51.345014581322225</v>
      </c>
      <c r="L19" s="67">
        <v>20</v>
      </c>
      <c r="M19" s="54">
        <f>Protein_Amt!$B$6</f>
        <v>120.61866317785559</v>
      </c>
      <c r="N19" s="67">
        <f t="shared" si="3"/>
        <v>462.10513123190003</v>
      </c>
      <c r="O19" s="67">
        <f t="shared" si="4"/>
        <v>80</v>
      </c>
      <c r="P19" s="67">
        <f t="shared" si="5"/>
        <v>482.47465271142238</v>
      </c>
      <c r="Q19" s="68">
        <f t="shared" si="6"/>
        <v>1024.5797839433224</v>
      </c>
      <c r="S19" s="70">
        <f>VLOOKUP($A19,FoodLog!$A$1:$Z$10001,12,0)</f>
        <v>483.48</v>
      </c>
      <c r="T19" s="70">
        <f>VLOOKUP($A19,FoodLog!$A$1:$Z$10001,13,0)</f>
        <v>43.714285714285715</v>
      </c>
      <c r="U19" s="70">
        <f>VLOOKUP($A19,FoodLog!$A$1:$Z$10001,14,0)</f>
        <v>518.97714285714278</v>
      </c>
      <c r="V19" s="70">
        <f>VLOOKUP($A19,FoodLog!$A$1:$Z$10001,15,0)</f>
        <v>1046.1714285714284</v>
      </c>
      <c r="W19" s="70">
        <f>VLOOKUP($A19,FoodLog!$A$1:$Z$10001,16,0)</f>
        <v>-21.374868768099986</v>
      </c>
      <c r="X19" s="70">
        <f>VLOOKUP($A19,FoodLog!$A$1:$Z$10001,17,0)</f>
        <v>36.285714285714285</v>
      </c>
      <c r="Y19" s="70">
        <f>VLOOKUP($A19,FoodLog!$A$1:$Z$10001,18,0)</f>
        <v>-36.502490145720401</v>
      </c>
      <c r="Z19" s="70">
        <f>VLOOKUP($A19,FoodLog!$A$1:$Z$10001,19,0)</f>
        <v>-21.591644628105996</v>
      </c>
      <c r="AA19" s="62">
        <f t="shared" si="8"/>
        <v>0.40024352836050026</v>
      </c>
      <c r="AB19" s="63">
        <f>Scale!C19</f>
        <v>197.8</v>
      </c>
      <c r="AC19" s="64">
        <f t="shared" si="9"/>
        <v>-1.1413809022012629</v>
      </c>
    </row>
    <row r="20" spans="1:29" x14ac:dyDescent="0.25">
      <c r="A20" s="65">
        <f t="shared" si="10"/>
        <v>43009</v>
      </c>
      <c r="B20" s="66">
        <f t="shared" si="11"/>
        <v>18</v>
      </c>
      <c r="C20" s="67">
        <f t="shared" si="12"/>
        <v>196.25837556943824</v>
      </c>
      <c r="D20" s="67">
        <f t="shared" si="13"/>
        <v>150.77332897231949</v>
      </c>
      <c r="E20" s="68">
        <f t="shared" si="0"/>
        <v>45.485046597118753</v>
      </c>
      <c r="F20" s="56"/>
      <c r="G20" s="69">
        <f>C20*TDEE!$B$5</f>
        <v>2442.0435464285492</v>
      </c>
      <c r="H20" s="67">
        <f t="shared" si="14"/>
        <v>1410.0364445106813</v>
      </c>
      <c r="I20" s="67">
        <f t="shared" si="15"/>
        <v>1032.0071019178679</v>
      </c>
      <c r="J20" s="58">
        <f t="shared" si="1"/>
        <v>0.4028675555744804</v>
      </c>
      <c r="K20" s="67">
        <f t="shared" si="2"/>
        <v>52.170272134049505</v>
      </c>
      <c r="L20" s="67">
        <v>20</v>
      </c>
      <c r="M20" s="54">
        <f>Protein_Amt!$B$6</f>
        <v>120.61866317785559</v>
      </c>
      <c r="N20" s="67">
        <f t="shared" si="3"/>
        <v>469.53244920644556</v>
      </c>
      <c r="O20" s="67">
        <f t="shared" si="4"/>
        <v>80</v>
      </c>
      <c r="P20" s="67">
        <f t="shared" si="5"/>
        <v>482.47465271142238</v>
      </c>
      <c r="Q20" s="68">
        <f t="shared" si="6"/>
        <v>1032.0071019178679</v>
      </c>
      <c r="S20" s="70">
        <f>VLOOKUP($A20,FoodLog!$A$1:$Z$10001,12,0)</f>
        <v>504.9</v>
      </c>
      <c r="T20" s="70">
        <f>VLOOKUP($A20,FoodLog!$A$1:$Z$10001,13,0)</f>
        <v>51.714285714285715</v>
      </c>
      <c r="U20" s="70">
        <f>VLOOKUP($A20,FoodLog!$A$1:$Z$10001,14,0)</f>
        <v>476.65714285714284</v>
      </c>
      <c r="V20" s="70">
        <f>VLOOKUP($A20,FoodLog!$A$1:$Z$10001,15,0)</f>
        <v>1033.2714285714285</v>
      </c>
      <c r="W20" s="70">
        <f>VLOOKUP($A20,FoodLog!$A$1:$Z$10001,16,0)</f>
        <v>-35.367550793554415</v>
      </c>
      <c r="X20" s="70">
        <f>VLOOKUP($A20,FoodLog!$A$1:$Z$10001,17,0)</f>
        <v>28.285714285714285</v>
      </c>
      <c r="Y20" s="70">
        <f>VLOOKUP($A20,FoodLog!$A$1:$Z$10001,18,0)</f>
        <v>5.8175098542795354</v>
      </c>
      <c r="Z20" s="70">
        <f>VLOOKUP($A20,FoodLog!$A$1:$Z$10001,19,0)</f>
        <v>-1.2643266535606017</v>
      </c>
      <c r="AA20" s="62">
        <f t="shared" si="8"/>
        <v>0.40250631938774878</v>
      </c>
      <c r="AB20" s="63">
        <f>Scale!C20</f>
        <v>197.8</v>
      </c>
      <c r="AC20" s="64">
        <f t="shared" si="9"/>
        <v>-1.5416244305617681</v>
      </c>
    </row>
    <row r="21" spans="1:29" x14ac:dyDescent="0.25">
      <c r="A21" s="65">
        <f t="shared" si="10"/>
        <v>43010</v>
      </c>
      <c r="B21" s="66">
        <f t="shared" si="11"/>
        <v>19</v>
      </c>
      <c r="C21" s="67">
        <f t="shared" si="12"/>
        <v>195.85586925005049</v>
      </c>
      <c r="D21" s="67">
        <f t="shared" si="13"/>
        <v>150.77332897231949</v>
      </c>
      <c r="E21" s="68">
        <f t="shared" si="0"/>
        <v>45.082540277730999</v>
      </c>
      <c r="F21" s="56"/>
      <c r="G21" s="69">
        <f>C21*TDEE!$B$5</f>
        <v>2437.0351591084891</v>
      </c>
      <c r="H21" s="67">
        <f t="shared" si="14"/>
        <v>1397.5587486096611</v>
      </c>
      <c r="I21" s="67">
        <f t="shared" si="15"/>
        <v>1039.476410498828</v>
      </c>
      <c r="J21" s="58">
        <f t="shared" si="1"/>
        <v>0.39930249960276032</v>
      </c>
      <c r="K21" s="67">
        <f t="shared" si="2"/>
        <v>53.000195309711749</v>
      </c>
      <c r="L21" s="67">
        <v>20</v>
      </c>
      <c r="M21" s="54">
        <f>Protein_Amt!$B$6</f>
        <v>120.61866317785559</v>
      </c>
      <c r="N21" s="67">
        <f t="shared" si="3"/>
        <v>477.00175778740572</v>
      </c>
      <c r="O21" s="67">
        <f t="shared" si="4"/>
        <v>80</v>
      </c>
      <c r="P21" s="67">
        <f t="shared" si="5"/>
        <v>482.47465271142238</v>
      </c>
      <c r="Q21" s="68">
        <f t="shared" si="6"/>
        <v>1039.476410498828</v>
      </c>
      <c r="S21" s="70">
        <f>VLOOKUP($A21,FoodLog!$A$1:$Z$10001,12,0)</f>
        <v>504.9</v>
      </c>
      <c r="T21" s="70">
        <f>VLOOKUP($A21,FoodLog!$A$1:$Z$10001,13,0)</f>
        <v>51.714285714285715</v>
      </c>
      <c r="U21" s="70">
        <f>VLOOKUP($A21,FoodLog!$A$1:$Z$10001,14,0)</f>
        <v>476.65714285714284</v>
      </c>
      <c r="V21" s="70">
        <f>VLOOKUP($A21,FoodLog!$A$1:$Z$10001,15,0)</f>
        <v>1033.2714285714285</v>
      </c>
      <c r="W21" s="70">
        <f>VLOOKUP($A21,FoodLog!$A$1:$Z$10001,16,0)</f>
        <v>-27.898242212594255</v>
      </c>
      <c r="X21" s="70">
        <f>VLOOKUP($A21,FoodLog!$A$1:$Z$10001,17,0)</f>
        <v>28.285714285714285</v>
      </c>
      <c r="Y21" s="70">
        <f>VLOOKUP($A21,FoodLog!$A$1:$Z$10001,18,0)</f>
        <v>5.8175098542795354</v>
      </c>
      <c r="Z21" s="70">
        <f>VLOOKUP($A21,FoodLog!$A$1:$Z$10001,19,0)</f>
        <v>6.2049819273995581</v>
      </c>
      <c r="AA21" s="62">
        <f t="shared" si="8"/>
        <v>0.39930249960276032</v>
      </c>
      <c r="AB21" s="63">
        <f>Scale!C21</f>
        <v>197</v>
      </c>
    </row>
    <row r="22" spans="1:29" x14ac:dyDescent="0.25">
      <c r="A22" s="65">
        <f t="shared" si="10"/>
        <v>43011</v>
      </c>
      <c r="B22" s="66">
        <f t="shared" si="11"/>
        <v>20</v>
      </c>
      <c r="C22" s="67">
        <f t="shared" si="12"/>
        <v>195.45656675044773</v>
      </c>
      <c r="D22" s="67">
        <f t="shared" si="13"/>
        <v>150.77332897231949</v>
      </c>
      <c r="E22" s="68">
        <f t="shared" si="0"/>
        <v>44.683237778128245</v>
      </c>
      <c r="F22" s="56"/>
      <c r="G22" s="69">
        <f>C22*TDEE!$B$5</f>
        <v>2432.0666369274695</v>
      </c>
      <c r="H22" s="67">
        <f t="shared" si="14"/>
        <v>1385.1803711219757</v>
      </c>
      <c r="I22" s="67">
        <f t="shared" si="15"/>
        <v>1046.8862658054938</v>
      </c>
      <c r="J22" s="58">
        <f t="shared" si="1"/>
        <v>0.39576582032056445</v>
      </c>
      <c r="K22" s="67">
        <f t="shared" si="2"/>
        <v>53.823512566007949</v>
      </c>
      <c r="L22" s="67">
        <v>20</v>
      </c>
      <c r="M22" s="54">
        <f>Protein_Amt!$B$6</f>
        <v>120.61866317785559</v>
      </c>
      <c r="N22" s="67">
        <f t="shared" si="3"/>
        <v>484.41161309407153</v>
      </c>
      <c r="O22" s="67">
        <f t="shared" si="4"/>
        <v>80</v>
      </c>
      <c r="P22" s="67">
        <f t="shared" si="5"/>
        <v>482.47465271142238</v>
      </c>
      <c r="Q22" s="68">
        <f t="shared" si="6"/>
        <v>1046.8862658054938</v>
      </c>
      <c r="S22" s="70">
        <f>VLOOKUP($A22,FoodLog!$A$1:$Z$10001,12,0)</f>
        <v>64.8</v>
      </c>
      <c r="T22" s="70">
        <f>VLOOKUP($A22,FoodLog!$A$1:$Z$10001,13,0)</f>
        <v>0</v>
      </c>
      <c r="U22" s="70">
        <f>VLOOKUP($A22,FoodLog!$A$1:$Z$10001,14,0)</f>
        <v>248</v>
      </c>
      <c r="V22" s="70">
        <f>VLOOKUP($A22,FoodLog!$A$1:$Z$10001,15,0)</f>
        <v>312.8</v>
      </c>
      <c r="W22" s="70">
        <f>VLOOKUP($A22,FoodLog!$A$1:$Z$10001,16,0)</f>
        <v>419.61161309407152</v>
      </c>
      <c r="X22" s="70">
        <f>VLOOKUP($A22,FoodLog!$A$1:$Z$10001,17,0)</f>
        <v>80</v>
      </c>
      <c r="Y22" s="70">
        <f>VLOOKUP($A22,FoodLog!$A$1:$Z$10001,18,0)</f>
        <v>234.47465271142238</v>
      </c>
      <c r="Z22" s="70">
        <f>VLOOKUP($A22,FoodLog!$A$1:$Z$10001,19,0)</f>
        <v>734.08626580549389</v>
      </c>
      <c r="AA22" s="62">
        <f t="shared" si="8"/>
        <v>0.39576582032056445</v>
      </c>
      <c r="AB22" s="63">
        <f>Scale!C22</f>
        <v>197.2</v>
      </c>
    </row>
    <row r="23" spans="1:29" x14ac:dyDescent="0.25">
      <c r="A23" s="65">
        <f t="shared" si="10"/>
        <v>43012</v>
      </c>
      <c r="B23" s="66">
        <f t="shared" si="11"/>
        <v>21</v>
      </c>
      <c r="C23" s="67">
        <f t="shared" si="12"/>
        <v>195.06080093012716</v>
      </c>
      <c r="D23" s="67">
        <f t="shared" si="13"/>
        <v>150.77332897231949</v>
      </c>
      <c r="E23" s="68">
        <f t="shared" si="0"/>
        <v>44.287471957807668</v>
      </c>
      <c r="F23" s="56"/>
      <c r="G23" s="69">
        <f>C23*TDEE!$B$5</f>
        <v>2427.1421216571953</v>
      </c>
      <c r="H23" s="67">
        <f t="shared" si="14"/>
        <v>1372.9116306920378</v>
      </c>
      <c r="I23" s="67">
        <f t="shared" si="15"/>
        <v>1054.2304909651575</v>
      </c>
      <c r="J23" s="58">
        <f t="shared" si="1"/>
        <v>0.3922604659120108</v>
      </c>
      <c r="K23" s="67">
        <f t="shared" si="2"/>
        <v>54.639537583748357</v>
      </c>
      <c r="L23" s="67">
        <v>20</v>
      </c>
      <c r="M23" s="54">
        <f>Protein_Amt!$B$6</f>
        <v>120.61866317785559</v>
      </c>
      <c r="N23" s="67">
        <f t="shared" si="3"/>
        <v>491.75583825373519</v>
      </c>
      <c r="O23" s="67">
        <f t="shared" si="4"/>
        <v>80</v>
      </c>
      <c r="P23" s="67">
        <f t="shared" si="5"/>
        <v>482.47465271142238</v>
      </c>
      <c r="Q23" s="68">
        <f t="shared" si="6"/>
        <v>1054.2304909651575</v>
      </c>
      <c r="S23" s="70">
        <f>VLOOKUP($A23,FoodLog!$A$1:$Z$10001,12,0)</f>
        <v>0</v>
      </c>
      <c r="T23" s="70">
        <f>VLOOKUP($A23,FoodLog!$A$1:$Z$10001,13,0)</f>
        <v>0</v>
      </c>
      <c r="U23" s="70">
        <f>VLOOKUP($A23,FoodLog!$A$1:$Z$10001,14,0)</f>
        <v>0</v>
      </c>
      <c r="V23" s="70">
        <f>VLOOKUP($A23,FoodLog!$A$1:$Z$10001,15,0)</f>
        <v>0</v>
      </c>
      <c r="W23" s="70">
        <f>VLOOKUP($A23,FoodLog!$A$1:$Z$10001,16,0)</f>
        <v>491.75583825373519</v>
      </c>
      <c r="X23" s="70">
        <f>VLOOKUP($A23,FoodLog!$A$1:$Z$10001,17,0)</f>
        <v>80</v>
      </c>
      <c r="Y23" s="70">
        <f>VLOOKUP($A23,FoodLog!$A$1:$Z$10001,18,0)</f>
        <v>482.47465271142238</v>
      </c>
      <c r="Z23" s="70">
        <f>VLOOKUP($A23,FoodLog!$A$1:$Z$10001,19,0)</f>
        <v>1054.2304909651575</v>
      </c>
      <c r="AA23" s="62">
        <f t="shared" si="8"/>
        <v>0.3922604659120108</v>
      </c>
      <c r="AB23" s="63">
        <f>Scale!C23</f>
        <v>0</v>
      </c>
    </row>
    <row r="24" spans="1:29" x14ac:dyDescent="0.25">
      <c r="A24" s="65">
        <f t="shared" si="10"/>
        <v>43013</v>
      </c>
      <c r="B24" s="66">
        <f t="shared" si="11"/>
        <v>22</v>
      </c>
      <c r="C24" s="67">
        <f t="shared" si="12"/>
        <v>194.66854046421514</v>
      </c>
      <c r="D24" s="67">
        <f t="shared" si="13"/>
        <v>150.77332897231949</v>
      </c>
      <c r="E24" s="68">
        <f t="shared" si="0"/>
        <v>43.895211491895651</v>
      </c>
      <c r="F24" s="56"/>
      <c r="G24" s="69">
        <f>C24*TDEE!$B$5</f>
        <v>2422.2612235221723</v>
      </c>
      <c r="H24" s="67">
        <f t="shared" si="14"/>
        <v>1360.7515562487652</v>
      </c>
      <c r="I24" s="67">
        <f t="shared" si="15"/>
        <v>1061.5096672734071</v>
      </c>
      <c r="J24" s="58">
        <f t="shared" si="1"/>
        <v>0.38878615892821861</v>
      </c>
      <c r="K24" s="67">
        <f t="shared" si="2"/>
        <v>55.448334951331645</v>
      </c>
      <c r="L24" s="67">
        <v>20</v>
      </c>
      <c r="M24" s="54">
        <f>Protein_Amt!$B$6</f>
        <v>120.61866317785559</v>
      </c>
      <c r="N24" s="67">
        <f t="shared" si="3"/>
        <v>499.03501456198478</v>
      </c>
      <c r="O24" s="67">
        <f t="shared" si="4"/>
        <v>80</v>
      </c>
      <c r="P24" s="67">
        <f t="shared" si="5"/>
        <v>482.47465271142238</v>
      </c>
      <c r="Q24" s="68">
        <f t="shared" si="6"/>
        <v>1061.5096672734071</v>
      </c>
      <c r="S24" s="70">
        <f>VLOOKUP($A24,FoodLog!$A$1:$Z$10001,12,0)</f>
        <v>0</v>
      </c>
      <c r="T24" s="70">
        <f>VLOOKUP($A24,FoodLog!$A$1:$Z$10001,13,0)</f>
        <v>0</v>
      </c>
      <c r="U24" s="70">
        <f>VLOOKUP($A24,FoodLog!$A$1:$Z$10001,14,0)</f>
        <v>0</v>
      </c>
      <c r="V24" s="70">
        <f>VLOOKUP($A24,FoodLog!$A$1:$Z$10001,15,0)</f>
        <v>0</v>
      </c>
      <c r="W24" s="70">
        <f>VLOOKUP($A24,FoodLog!$A$1:$Z$10001,16,0)</f>
        <v>499.03501456198478</v>
      </c>
      <c r="X24" s="70">
        <f>VLOOKUP($A24,FoodLog!$A$1:$Z$10001,17,0)</f>
        <v>80</v>
      </c>
      <c r="Y24" s="70">
        <f>VLOOKUP($A24,FoodLog!$A$1:$Z$10001,18,0)</f>
        <v>482.47465271142238</v>
      </c>
      <c r="Z24" s="70">
        <f>VLOOKUP($A24,FoodLog!$A$1:$Z$10001,19,0)</f>
        <v>1061.5096672734071</v>
      </c>
      <c r="AA24" s="62">
        <f t="shared" si="8"/>
        <v>0.38878615892821861</v>
      </c>
      <c r="AB24" s="63">
        <f>Scale!C24</f>
        <v>0</v>
      </c>
    </row>
    <row r="25" spans="1:29" x14ac:dyDescent="0.25">
      <c r="A25" s="65">
        <f t="shared" si="10"/>
        <v>43014</v>
      </c>
      <c r="B25" s="66">
        <f t="shared" si="11"/>
        <v>23</v>
      </c>
      <c r="C25" s="67">
        <f t="shared" si="12"/>
        <v>194.27975430528693</v>
      </c>
      <c r="D25" s="67">
        <f t="shared" si="13"/>
        <v>150.77332897231949</v>
      </c>
      <c r="E25" s="68">
        <f t="shared" si="0"/>
        <v>43.506425332967439</v>
      </c>
      <c r="F25" s="56"/>
      <c r="G25" s="69">
        <f>C25*TDEE!$B$5</f>
        <v>2417.4235561992027</v>
      </c>
      <c r="H25" s="67">
        <f t="shared" si="14"/>
        <v>1348.6991853219906</v>
      </c>
      <c r="I25" s="67">
        <f t="shared" si="15"/>
        <v>1068.7243708772121</v>
      </c>
      <c r="J25" s="58">
        <f t="shared" si="1"/>
        <v>0.38534262437771161</v>
      </c>
      <c r="K25" s="67">
        <f t="shared" si="2"/>
        <v>56.249968685087751</v>
      </c>
      <c r="L25" s="67">
        <v>20</v>
      </c>
      <c r="M25" s="54">
        <f>Protein_Amt!$B$6</f>
        <v>120.61866317785559</v>
      </c>
      <c r="N25" s="67">
        <f t="shared" si="3"/>
        <v>506.24971816578977</v>
      </c>
      <c r="O25" s="67">
        <f t="shared" si="4"/>
        <v>80</v>
      </c>
      <c r="P25" s="67">
        <f t="shared" si="5"/>
        <v>482.47465271142238</v>
      </c>
      <c r="Q25" s="68">
        <f t="shared" si="6"/>
        <v>1068.7243708772121</v>
      </c>
      <c r="S25" s="70">
        <f>VLOOKUP($A25,FoodLog!$A$1:$Z$10001,12,0)</f>
        <v>0</v>
      </c>
      <c r="T25" s="70">
        <f>VLOOKUP($A25,FoodLog!$A$1:$Z$10001,13,0)</f>
        <v>0</v>
      </c>
      <c r="U25" s="70">
        <f>VLOOKUP($A25,FoodLog!$A$1:$Z$10001,14,0)</f>
        <v>0</v>
      </c>
      <c r="V25" s="70">
        <f>VLOOKUP($A25,FoodLog!$A$1:$Z$10001,15,0)</f>
        <v>0</v>
      </c>
      <c r="W25" s="70">
        <f>VLOOKUP($A25,FoodLog!$A$1:$Z$10001,16,0)</f>
        <v>506.24971816578977</v>
      </c>
      <c r="X25" s="70">
        <f>VLOOKUP($A25,FoodLog!$A$1:$Z$10001,17,0)</f>
        <v>80</v>
      </c>
      <c r="Y25" s="70">
        <f>VLOOKUP($A25,FoodLog!$A$1:$Z$10001,18,0)</f>
        <v>482.47465271142238</v>
      </c>
      <c r="Z25" s="70">
        <f>VLOOKUP($A25,FoodLog!$A$1:$Z$10001,19,0)</f>
        <v>1068.7243708772121</v>
      </c>
      <c r="AA25" s="62">
        <f t="shared" si="8"/>
        <v>0.38534262437771161</v>
      </c>
      <c r="AB25" s="63">
        <f>Scale!C25</f>
        <v>0</v>
      </c>
    </row>
    <row r="26" spans="1:29" x14ac:dyDescent="0.25">
      <c r="A26" s="65">
        <f t="shared" si="10"/>
        <v>43015</v>
      </c>
      <c r="B26" s="66">
        <f t="shared" si="11"/>
        <v>24</v>
      </c>
      <c r="C26" s="67">
        <f t="shared" si="12"/>
        <v>193.89441168090923</v>
      </c>
      <c r="D26" s="67">
        <f t="shared" si="13"/>
        <v>150.77332897231949</v>
      </c>
      <c r="E26" s="68">
        <f t="shared" si="0"/>
        <v>43.121082708589739</v>
      </c>
      <c r="F26" s="56"/>
      <c r="G26" s="69">
        <f>C26*TDEE!$B$5</f>
        <v>2412.6287367868081</v>
      </c>
      <c r="H26" s="67">
        <f t="shared" si="14"/>
        <v>1336.7535639662819</v>
      </c>
      <c r="I26" s="67">
        <f t="shared" si="15"/>
        <v>1075.8751728205261</v>
      </c>
      <c r="J26" s="58">
        <f t="shared" si="1"/>
        <v>0.38192958970465196</v>
      </c>
      <c r="K26" s="67">
        <f t="shared" si="2"/>
        <v>57.044502234344868</v>
      </c>
      <c r="L26" s="67">
        <v>20</v>
      </c>
      <c r="M26" s="54">
        <f>Protein_Amt!$B$6</f>
        <v>120.61866317785559</v>
      </c>
      <c r="N26" s="67">
        <f t="shared" si="3"/>
        <v>513.40052010910381</v>
      </c>
      <c r="O26" s="67">
        <f t="shared" si="4"/>
        <v>80</v>
      </c>
      <c r="P26" s="67">
        <f t="shared" si="5"/>
        <v>482.47465271142238</v>
      </c>
      <c r="Q26" s="68">
        <f t="shared" si="6"/>
        <v>1075.8751728205261</v>
      </c>
      <c r="S26" s="70">
        <f>VLOOKUP($A26,FoodLog!$A$1:$Z$10001,12,0)</f>
        <v>0</v>
      </c>
      <c r="T26" s="70">
        <f>VLOOKUP($A26,FoodLog!$A$1:$Z$10001,13,0)</f>
        <v>0</v>
      </c>
      <c r="U26" s="70">
        <f>VLOOKUP($A26,FoodLog!$A$1:$Z$10001,14,0)</f>
        <v>0</v>
      </c>
      <c r="V26" s="70">
        <f>VLOOKUP($A26,FoodLog!$A$1:$Z$10001,15,0)</f>
        <v>0</v>
      </c>
      <c r="W26" s="70">
        <f>VLOOKUP($A26,FoodLog!$A$1:$Z$10001,16,0)</f>
        <v>513.40052010910381</v>
      </c>
      <c r="X26" s="70">
        <f>VLOOKUP($A26,FoodLog!$A$1:$Z$10001,17,0)</f>
        <v>80</v>
      </c>
      <c r="Y26" s="70">
        <f>VLOOKUP($A26,FoodLog!$A$1:$Z$10001,18,0)</f>
        <v>482.47465271142238</v>
      </c>
      <c r="Z26" s="70">
        <f>VLOOKUP($A26,FoodLog!$A$1:$Z$10001,19,0)</f>
        <v>1075.8751728205261</v>
      </c>
      <c r="AA26" s="62">
        <f t="shared" si="8"/>
        <v>0.38192958970465196</v>
      </c>
      <c r="AB26" s="63">
        <f>Scale!C26</f>
        <v>0</v>
      </c>
    </row>
    <row r="27" spans="1:29" x14ac:dyDescent="0.25">
      <c r="A27" s="65">
        <f t="shared" si="10"/>
        <v>43016</v>
      </c>
      <c r="B27" s="66">
        <f t="shared" si="11"/>
        <v>25</v>
      </c>
      <c r="C27" s="67">
        <f t="shared" si="12"/>
        <v>193.51248209120459</v>
      </c>
      <c r="D27" s="67">
        <f t="shared" si="13"/>
        <v>150.77332897231949</v>
      </c>
      <c r="E27" s="68">
        <f t="shared" si="0"/>
        <v>42.739153118885099</v>
      </c>
      <c r="F27" s="56"/>
      <c r="G27" s="69">
        <f>C27*TDEE!$B$5</f>
        <v>2407.8763857749232</v>
      </c>
      <c r="H27" s="67">
        <f t="shared" si="14"/>
        <v>1324.9137466854381</v>
      </c>
      <c r="I27" s="67">
        <f t="shared" si="15"/>
        <v>1082.962639089485</v>
      </c>
      <c r="J27" s="58">
        <f t="shared" si="1"/>
        <v>0.37854678476726805</v>
      </c>
      <c r="K27" s="67">
        <f t="shared" si="2"/>
        <v>57.831998486451411</v>
      </c>
      <c r="L27" s="67">
        <v>20</v>
      </c>
      <c r="M27" s="54">
        <f>Protein_Amt!$B$6</f>
        <v>120.61866317785559</v>
      </c>
      <c r="N27" s="67">
        <f t="shared" si="3"/>
        <v>520.48798637806271</v>
      </c>
      <c r="O27" s="67">
        <f t="shared" si="4"/>
        <v>80</v>
      </c>
      <c r="P27" s="67">
        <f t="shared" si="5"/>
        <v>482.47465271142238</v>
      </c>
      <c r="Q27" s="68">
        <f t="shared" si="6"/>
        <v>1082.962639089485</v>
      </c>
      <c r="S27" s="70">
        <f>VLOOKUP($A27,FoodLog!$A$1:$Z$10001,12,0)</f>
        <v>0</v>
      </c>
      <c r="T27" s="70">
        <f>VLOOKUP($A27,FoodLog!$A$1:$Z$10001,13,0)</f>
        <v>0</v>
      </c>
      <c r="U27" s="70">
        <f>VLOOKUP($A27,FoodLog!$A$1:$Z$10001,14,0)</f>
        <v>0</v>
      </c>
      <c r="V27" s="70">
        <f>VLOOKUP($A27,FoodLog!$A$1:$Z$10001,15,0)</f>
        <v>0</v>
      </c>
      <c r="W27" s="70">
        <f>VLOOKUP($A27,FoodLog!$A$1:$Z$10001,16,0)</f>
        <v>520.48798637806271</v>
      </c>
      <c r="X27" s="70">
        <f>VLOOKUP($A27,FoodLog!$A$1:$Z$10001,17,0)</f>
        <v>80</v>
      </c>
      <c r="Y27" s="70">
        <f>VLOOKUP($A27,FoodLog!$A$1:$Z$10001,18,0)</f>
        <v>482.47465271142238</v>
      </c>
      <c r="Z27" s="70">
        <f>VLOOKUP($A27,FoodLog!$A$1:$Z$10001,19,0)</f>
        <v>1082.962639089485</v>
      </c>
      <c r="AA27" s="62">
        <f t="shared" si="8"/>
        <v>0.37854678476726805</v>
      </c>
      <c r="AB27" s="63">
        <f>Scale!C27</f>
        <v>0</v>
      </c>
    </row>
    <row r="28" spans="1:29" x14ac:dyDescent="0.25">
      <c r="A28" s="65">
        <f t="shared" si="10"/>
        <v>43017</v>
      </c>
      <c r="B28" s="66">
        <f t="shared" si="11"/>
        <v>26</v>
      </c>
      <c r="C28" s="67">
        <f t="shared" si="12"/>
        <v>193.13393530643731</v>
      </c>
      <c r="D28" s="67">
        <f t="shared" si="13"/>
        <v>150.77332897231949</v>
      </c>
      <c r="E28" s="68">
        <f t="shared" si="0"/>
        <v>42.360606334117819</v>
      </c>
      <c r="F28" s="56"/>
      <c r="G28" s="69">
        <f>C28*TDEE!$B$5</f>
        <v>2403.1661270148575</v>
      </c>
      <c r="H28" s="67">
        <f t="shared" si="14"/>
        <v>1313.1787963576523</v>
      </c>
      <c r="I28" s="67">
        <f t="shared" si="15"/>
        <v>1089.9873306572051</v>
      </c>
      <c r="J28" s="58">
        <f t="shared" si="1"/>
        <v>0.37519394181647209</v>
      </c>
      <c r="K28" s="67">
        <f t="shared" si="2"/>
        <v>58.612519771753647</v>
      </c>
      <c r="L28" s="67">
        <v>20</v>
      </c>
      <c r="M28" s="54">
        <f>Protein_Amt!$B$6</f>
        <v>120.61866317785559</v>
      </c>
      <c r="N28" s="67">
        <f t="shared" si="3"/>
        <v>527.5126779457828</v>
      </c>
      <c r="O28" s="67">
        <f t="shared" si="4"/>
        <v>80</v>
      </c>
      <c r="P28" s="67">
        <f t="shared" si="5"/>
        <v>482.47465271142238</v>
      </c>
      <c r="Q28" s="68">
        <f t="shared" si="6"/>
        <v>1089.9873306572051</v>
      </c>
      <c r="S28" s="70">
        <f>VLOOKUP($A28,FoodLog!$A$1:$Z$10001,12,0)</f>
        <v>0</v>
      </c>
      <c r="T28" s="70">
        <f>VLOOKUP($A28,FoodLog!$A$1:$Z$10001,13,0)</f>
        <v>0</v>
      </c>
      <c r="U28" s="70">
        <f>VLOOKUP($A28,FoodLog!$A$1:$Z$10001,14,0)</f>
        <v>0</v>
      </c>
      <c r="V28" s="70">
        <f>VLOOKUP($A28,FoodLog!$A$1:$Z$10001,15,0)</f>
        <v>0</v>
      </c>
      <c r="W28" s="70">
        <f>VLOOKUP($A28,FoodLog!$A$1:$Z$10001,16,0)</f>
        <v>527.5126779457828</v>
      </c>
      <c r="X28" s="70">
        <f>VLOOKUP($A28,FoodLog!$A$1:$Z$10001,17,0)</f>
        <v>80</v>
      </c>
      <c r="Y28" s="70">
        <f>VLOOKUP($A28,FoodLog!$A$1:$Z$10001,18,0)</f>
        <v>482.47465271142238</v>
      </c>
      <c r="Z28" s="70">
        <f>VLOOKUP($A28,FoodLog!$A$1:$Z$10001,19,0)</f>
        <v>1089.9873306572051</v>
      </c>
      <c r="AA28" s="62">
        <f t="shared" si="8"/>
        <v>0.37519394181647209</v>
      </c>
      <c r="AB28" s="63">
        <f>Scale!C28</f>
        <v>0</v>
      </c>
    </row>
    <row r="29" spans="1:29" x14ac:dyDescent="0.25">
      <c r="A29" s="65">
        <f t="shared" si="10"/>
        <v>43018</v>
      </c>
      <c r="B29" s="66">
        <f t="shared" si="11"/>
        <v>27</v>
      </c>
      <c r="C29" s="67">
        <f t="shared" si="12"/>
        <v>192.75874136462085</v>
      </c>
      <c r="D29" s="67">
        <f t="shared" si="13"/>
        <v>150.77332897231949</v>
      </c>
      <c r="E29" s="68">
        <f t="shared" si="0"/>
        <v>41.985412392301356</v>
      </c>
      <c r="F29" s="56"/>
      <c r="G29" s="69">
        <f>C29*TDEE!$B$5</f>
        <v>2398.4975876895237</v>
      </c>
      <c r="H29" s="67">
        <f t="shared" si="14"/>
        <v>1301.547784161342</v>
      </c>
      <c r="I29" s="67">
        <f t="shared" si="15"/>
        <v>1096.9498035281817</v>
      </c>
      <c r="J29" s="58">
        <f t="shared" si="1"/>
        <v>0.37187079547466911</v>
      </c>
      <c r="K29" s="67">
        <f t="shared" si="2"/>
        <v>59.386127868528824</v>
      </c>
      <c r="L29" s="67">
        <v>20</v>
      </c>
      <c r="M29" s="54">
        <f>Protein_Amt!$B$6</f>
        <v>120.61866317785559</v>
      </c>
      <c r="N29" s="67">
        <f t="shared" si="3"/>
        <v>534.47515081675942</v>
      </c>
      <c r="O29" s="67">
        <f t="shared" si="4"/>
        <v>80</v>
      </c>
      <c r="P29" s="67">
        <f t="shared" si="5"/>
        <v>482.47465271142238</v>
      </c>
      <c r="Q29" s="68">
        <f t="shared" si="6"/>
        <v>1096.9498035281817</v>
      </c>
      <c r="S29" s="70">
        <f>VLOOKUP($A29,FoodLog!$A$1:$Z$10001,12,0)</f>
        <v>0</v>
      </c>
      <c r="T29" s="70">
        <f>VLOOKUP($A29,FoodLog!$A$1:$Z$10001,13,0)</f>
        <v>0</v>
      </c>
      <c r="U29" s="70">
        <f>VLOOKUP($A29,FoodLog!$A$1:$Z$10001,14,0)</f>
        <v>0</v>
      </c>
      <c r="V29" s="70">
        <f>VLOOKUP($A29,FoodLog!$A$1:$Z$10001,15,0)</f>
        <v>0</v>
      </c>
      <c r="W29" s="70">
        <f>VLOOKUP($A29,FoodLog!$A$1:$Z$10001,16,0)</f>
        <v>534.47515081675942</v>
      </c>
      <c r="X29" s="70">
        <f>VLOOKUP($A29,FoodLog!$A$1:$Z$10001,17,0)</f>
        <v>80</v>
      </c>
      <c r="Y29" s="70">
        <f>VLOOKUP($A29,FoodLog!$A$1:$Z$10001,18,0)</f>
        <v>482.47465271142238</v>
      </c>
      <c r="Z29" s="70">
        <f>VLOOKUP($A29,FoodLog!$A$1:$Z$10001,19,0)</f>
        <v>1096.9498035281817</v>
      </c>
      <c r="AA29" s="62">
        <f t="shared" si="8"/>
        <v>0.37187079547466911</v>
      </c>
      <c r="AB29" s="63">
        <f>Scale!C29</f>
        <v>0</v>
      </c>
    </row>
    <row r="30" spans="1:29" x14ac:dyDescent="0.25">
      <c r="A30" s="65">
        <f t="shared" si="10"/>
        <v>43019</v>
      </c>
      <c r="B30" s="66">
        <f t="shared" si="11"/>
        <v>28</v>
      </c>
      <c r="C30" s="67">
        <f t="shared" si="12"/>
        <v>192.38687056914617</v>
      </c>
      <c r="D30" s="67">
        <f t="shared" si="13"/>
        <v>150.77332897231949</v>
      </c>
      <c r="E30" s="68">
        <f t="shared" si="0"/>
        <v>41.613541596826678</v>
      </c>
      <c r="F30" s="56"/>
      <c r="G30" s="69">
        <f>C30*TDEE!$B$5</f>
        <v>2393.8703982839288</v>
      </c>
      <c r="H30" s="67">
        <f t="shared" si="14"/>
        <v>1290.019789501627</v>
      </c>
      <c r="I30" s="67">
        <f t="shared" si="15"/>
        <v>1103.8506087823018</v>
      </c>
      <c r="J30" s="58">
        <f t="shared" si="1"/>
        <v>0.36857708271475054</v>
      </c>
      <c r="K30" s="67">
        <f t="shared" si="2"/>
        <v>60.1528840078755</v>
      </c>
      <c r="L30" s="67">
        <v>20</v>
      </c>
      <c r="M30" s="54">
        <f>Protein_Amt!$B$6</f>
        <v>120.61866317785559</v>
      </c>
      <c r="N30" s="67">
        <f t="shared" si="3"/>
        <v>541.37595607087951</v>
      </c>
      <c r="O30" s="67">
        <f t="shared" si="4"/>
        <v>80</v>
      </c>
      <c r="P30" s="67">
        <f t="shared" si="5"/>
        <v>482.47465271142238</v>
      </c>
      <c r="Q30" s="68">
        <f t="shared" si="6"/>
        <v>1103.8506087823018</v>
      </c>
      <c r="S30" s="70">
        <f>VLOOKUP($A30,FoodLog!$A$1:$Z$10001,12,0)</f>
        <v>0</v>
      </c>
      <c r="T30" s="70">
        <f>VLOOKUP($A30,FoodLog!$A$1:$Z$10001,13,0)</f>
        <v>0</v>
      </c>
      <c r="U30" s="70">
        <f>VLOOKUP($A30,FoodLog!$A$1:$Z$10001,14,0)</f>
        <v>0</v>
      </c>
      <c r="V30" s="70">
        <f>VLOOKUP($A30,FoodLog!$A$1:$Z$10001,15,0)</f>
        <v>0</v>
      </c>
      <c r="W30" s="70">
        <f>VLOOKUP($A30,FoodLog!$A$1:$Z$10001,16,0)</f>
        <v>541.37595607087951</v>
      </c>
      <c r="X30" s="70">
        <f>VLOOKUP($A30,FoodLog!$A$1:$Z$10001,17,0)</f>
        <v>80</v>
      </c>
      <c r="Y30" s="70">
        <f>VLOOKUP($A30,FoodLog!$A$1:$Z$10001,18,0)</f>
        <v>482.47465271142238</v>
      </c>
      <c r="Z30" s="70">
        <f>VLOOKUP($A30,FoodLog!$A$1:$Z$10001,19,0)</f>
        <v>1103.8506087823018</v>
      </c>
      <c r="AA30" s="62">
        <f t="shared" si="8"/>
        <v>0.36857708271475054</v>
      </c>
      <c r="AB30" s="63">
        <f>Scale!C30</f>
        <v>0</v>
      </c>
    </row>
    <row r="31" spans="1:29" x14ac:dyDescent="0.25">
      <c r="A31" s="65">
        <f t="shared" si="10"/>
        <v>43020</v>
      </c>
      <c r="B31" s="66">
        <f t="shared" si="11"/>
        <v>29</v>
      </c>
      <c r="C31" s="67">
        <f t="shared" si="12"/>
        <v>192.01829348643142</v>
      </c>
      <c r="D31" s="67">
        <f t="shared" si="13"/>
        <v>150.77332897231949</v>
      </c>
      <c r="E31" s="68">
        <f t="shared" si="0"/>
        <v>41.244964514111928</v>
      </c>
      <c r="F31" s="56"/>
      <c r="G31" s="69">
        <f>C31*TDEE!$B$5</f>
        <v>2389.2841925559264</v>
      </c>
      <c r="H31" s="67">
        <f t="shared" si="14"/>
        <v>1278.5938999374698</v>
      </c>
      <c r="I31" s="67">
        <f t="shared" si="15"/>
        <v>1110.6902926184566</v>
      </c>
      <c r="J31" s="58">
        <f t="shared" si="1"/>
        <v>0.36531254283927711</v>
      </c>
      <c r="K31" s="67">
        <f t="shared" si="2"/>
        <v>60.912848878559366</v>
      </c>
      <c r="L31" s="67">
        <v>20</v>
      </c>
      <c r="M31" s="54">
        <f>Protein_Amt!$B$6</f>
        <v>120.61866317785559</v>
      </c>
      <c r="N31" s="67">
        <f t="shared" si="3"/>
        <v>548.2156399070343</v>
      </c>
      <c r="O31" s="67">
        <f t="shared" si="4"/>
        <v>80</v>
      </c>
      <c r="P31" s="67">
        <f t="shared" si="5"/>
        <v>482.47465271142238</v>
      </c>
      <c r="Q31" s="68">
        <f t="shared" si="6"/>
        <v>1110.6902926184566</v>
      </c>
      <c r="S31" s="70">
        <f>VLOOKUP($A31,FoodLog!$A$1:$Z$10001,12,0)</f>
        <v>0</v>
      </c>
      <c r="T31" s="70">
        <f>VLOOKUP($A31,FoodLog!$A$1:$Z$10001,13,0)</f>
        <v>0</v>
      </c>
      <c r="U31" s="70">
        <f>VLOOKUP($A31,FoodLog!$A$1:$Z$10001,14,0)</f>
        <v>0</v>
      </c>
      <c r="V31" s="70">
        <f>VLOOKUP($A31,FoodLog!$A$1:$Z$10001,15,0)</f>
        <v>0</v>
      </c>
      <c r="W31" s="70">
        <f>VLOOKUP($A31,FoodLog!$A$1:$Z$10001,16,0)</f>
        <v>548.2156399070343</v>
      </c>
      <c r="X31" s="70">
        <f>VLOOKUP($A31,FoodLog!$A$1:$Z$10001,17,0)</f>
        <v>80</v>
      </c>
      <c r="Y31" s="70">
        <f>VLOOKUP($A31,FoodLog!$A$1:$Z$10001,18,0)</f>
        <v>482.47465271142238</v>
      </c>
      <c r="Z31" s="70">
        <f>VLOOKUP($A31,FoodLog!$A$1:$Z$10001,19,0)</f>
        <v>1110.6902926184566</v>
      </c>
      <c r="AA31" s="62">
        <f t="shared" si="8"/>
        <v>0.36531254283927711</v>
      </c>
      <c r="AB31" s="63">
        <f>Scale!C31</f>
        <v>0</v>
      </c>
    </row>
    <row r="32" spans="1:29" x14ac:dyDescent="0.25">
      <c r="A32" s="65">
        <f t="shared" si="10"/>
        <v>43021</v>
      </c>
      <c r="B32" s="66">
        <f t="shared" si="11"/>
        <v>30</v>
      </c>
      <c r="C32" s="67">
        <f t="shared" si="12"/>
        <v>191.65298094359213</v>
      </c>
      <c r="D32" s="67">
        <f t="shared" si="13"/>
        <v>150.77332897231949</v>
      </c>
      <c r="E32" s="68">
        <f t="shared" si="0"/>
        <v>40.879651971272637</v>
      </c>
      <c r="F32" s="56"/>
      <c r="G32" s="69">
        <f>C32*TDEE!$B$5</f>
        <v>2384.7386075072291</v>
      </c>
      <c r="H32" s="67">
        <f t="shared" si="14"/>
        <v>1267.2692111094518</v>
      </c>
      <c r="I32" s="67">
        <f t="shared" si="15"/>
        <v>1117.4693963977772</v>
      </c>
      <c r="J32" s="58">
        <f t="shared" si="1"/>
        <v>0.36207691745984338</v>
      </c>
      <c r="K32" s="67">
        <f t="shared" si="2"/>
        <v>61.666082631817211</v>
      </c>
      <c r="L32" s="67">
        <v>20</v>
      </c>
      <c r="M32" s="54">
        <f>Protein_Amt!$B$6</f>
        <v>120.61866317785559</v>
      </c>
      <c r="N32" s="67">
        <f t="shared" si="3"/>
        <v>554.99474368635492</v>
      </c>
      <c r="O32" s="67">
        <f t="shared" si="4"/>
        <v>80</v>
      </c>
      <c r="P32" s="67">
        <f t="shared" si="5"/>
        <v>482.47465271142238</v>
      </c>
      <c r="Q32" s="68">
        <f t="shared" si="6"/>
        <v>1117.4693963977772</v>
      </c>
      <c r="S32" s="70">
        <f>VLOOKUP($A32,FoodLog!$A$1:$Z$10001,12,0)</f>
        <v>0</v>
      </c>
      <c r="T32" s="70">
        <f>VLOOKUP($A32,FoodLog!$A$1:$Z$10001,13,0)</f>
        <v>0</v>
      </c>
      <c r="U32" s="70">
        <f>VLOOKUP($A32,FoodLog!$A$1:$Z$10001,14,0)</f>
        <v>0</v>
      </c>
      <c r="V32" s="70">
        <f>VLOOKUP($A32,FoodLog!$A$1:$Z$10001,15,0)</f>
        <v>0</v>
      </c>
      <c r="W32" s="70">
        <f>VLOOKUP($A32,FoodLog!$A$1:$Z$10001,16,0)</f>
        <v>554.99474368635492</v>
      </c>
      <c r="X32" s="70">
        <f>VLOOKUP($A32,FoodLog!$A$1:$Z$10001,17,0)</f>
        <v>80</v>
      </c>
      <c r="Y32" s="70">
        <f>VLOOKUP($A32,FoodLog!$A$1:$Z$10001,18,0)</f>
        <v>482.47465271142238</v>
      </c>
      <c r="Z32" s="70">
        <f>VLOOKUP($A32,FoodLog!$A$1:$Z$10001,19,0)</f>
        <v>1117.4693963977772</v>
      </c>
      <c r="AA32" s="62">
        <f t="shared" si="8"/>
        <v>0.36207691745984338</v>
      </c>
      <c r="AB32" s="63">
        <f>Scale!C32</f>
        <v>0</v>
      </c>
    </row>
    <row r="33" spans="1:28" x14ac:dyDescent="0.25">
      <c r="A33" s="65">
        <f t="shared" si="10"/>
        <v>43022</v>
      </c>
      <c r="B33" s="66">
        <f t="shared" si="11"/>
        <v>31</v>
      </c>
      <c r="C33" s="67">
        <f t="shared" si="12"/>
        <v>191.2909040261323</v>
      </c>
      <c r="D33" s="67">
        <f t="shared" si="13"/>
        <v>150.77332897231949</v>
      </c>
      <c r="E33" s="68">
        <f t="shared" si="0"/>
        <v>40.517575053812806</v>
      </c>
      <c r="F33" s="56"/>
      <c r="G33" s="69">
        <f>C33*TDEE!$B$5</f>
        <v>2380.2332833546775</v>
      </c>
      <c r="H33" s="67">
        <f t="shared" si="14"/>
        <v>1256.0448266681969</v>
      </c>
      <c r="I33" s="67">
        <f t="shared" si="15"/>
        <v>1124.1884566864805</v>
      </c>
      <c r="J33" s="58">
        <f t="shared" si="1"/>
        <v>0.35886995047662767</v>
      </c>
      <c r="K33" s="67">
        <f t="shared" si="2"/>
        <v>62.412644886117583</v>
      </c>
      <c r="L33" s="67">
        <v>20</v>
      </c>
      <c r="M33" s="54">
        <f>Protein_Amt!$B$6</f>
        <v>120.61866317785559</v>
      </c>
      <c r="N33" s="67">
        <f t="shared" si="3"/>
        <v>561.71380397505823</v>
      </c>
      <c r="O33" s="67">
        <f t="shared" si="4"/>
        <v>80</v>
      </c>
      <c r="P33" s="67">
        <f t="shared" si="5"/>
        <v>482.47465271142238</v>
      </c>
      <c r="Q33" s="68">
        <f t="shared" si="6"/>
        <v>1124.1884566864805</v>
      </c>
      <c r="S33" s="70">
        <f>VLOOKUP($A33,FoodLog!$A$1:$Z$10001,12,0)</f>
        <v>0</v>
      </c>
      <c r="T33" s="70">
        <f>VLOOKUP($A33,FoodLog!$A$1:$Z$10001,13,0)</f>
        <v>0</v>
      </c>
      <c r="U33" s="70">
        <f>VLOOKUP($A33,FoodLog!$A$1:$Z$10001,14,0)</f>
        <v>0</v>
      </c>
      <c r="V33" s="70">
        <f>VLOOKUP($A33,FoodLog!$A$1:$Z$10001,15,0)</f>
        <v>0</v>
      </c>
      <c r="W33" s="70">
        <f>VLOOKUP($A33,FoodLog!$A$1:$Z$10001,16,0)</f>
        <v>561.71380397505823</v>
      </c>
      <c r="X33" s="70">
        <f>VLOOKUP($A33,FoodLog!$A$1:$Z$10001,17,0)</f>
        <v>80</v>
      </c>
      <c r="Y33" s="70">
        <f>VLOOKUP($A33,FoodLog!$A$1:$Z$10001,18,0)</f>
        <v>482.47465271142238</v>
      </c>
      <c r="Z33" s="70">
        <f>VLOOKUP($A33,FoodLog!$A$1:$Z$10001,19,0)</f>
        <v>1124.1884566864805</v>
      </c>
      <c r="AA33" s="62">
        <f t="shared" si="8"/>
        <v>0.35886995047662767</v>
      </c>
      <c r="AB33" s="63">
        <f>Scale!C33</f>
        <v>0</v>
      </c>
    </row>
    <row r="34" spans="1:28" x14ac:dyDescent="0.25">
      <c r="A34" s="65">
        <f t="shared" si="10"/>
        <v>43023</v>
      </c>
      <c r="B34" s="66">
        <f t="shared" si="11"/>
        <v>32</v>
      </c>
      <c r="C34" s="67">
        <f t="shared" si="12"/>
        <v>190.93203407565568</v>
      </c>
      <c r="D34" s="67">
        <f t="shared" si="13"/>
        <v>150.77332897231949</v>
      </c>
      <c r="E34" s="68">
        <f t="shared" si="0"/>
        <v>40.158705103336189</v>
      </c>
      <c r="F34" s="56"/>
      <c r="G34" s="69">
        <f>C34*TDEE!$B$5</f>
        <v>2375.7678635017628</v>
      </c>
      <c r="H34" s="67">
        <f t="shared" si="14"/>
        <v>1244.9198582034219</v>
      </c>
      <c r="I34" s="67">
        <f t="shared" si="15"/>
        <v>1130.8480052983409</v>
      </c>
      <c r="J34" s="58">
        <f t="shared" si="1"/>
        <v>0.35569138805812056</v>
      </c>
      <c r="K34" s="67">
        <f t="shared" si="2"/>
        <v>63.152594731879844</v>
      </c>
      <c r="L34" s="67">
        <v>20</v>
      </c>
      <c r="M34" s="54">
        <f>Protein_Amt!$B$6</f>
        <v>120.61866317785559</v>
      </c>
      <c r="N34" s="67">
        <f t="shared" si="3"/>
        <v>568.3733525869186</v>
      </c>
      <c r="O34" s="67">
        <f t="shared" si="4"/>
        <v>80</v>
      </c>
      <c r="P34" s="67">
        <f t="shared" si="5"/>
        <v>482.47465271142238</v>
      </c>
      <c r="Q34" s="68">
        <f t="shared" si="6"/>
        <v>1130.8480052983409</v>
      </c>
      <c r="S34" s="70">
        <f>VLOOKUP($A34,FoodLog!$A$1:$Z$10001,12,0)</f>
        <v>0</v>
      </c>
      <c r="T34" s="70">
        <f>VLOOKUP($A34,FoodLog!$A$1:$Z$10001,13,0)</f>
        <v>0</v>
      </c>
      <c r="U34" s="70">
        <f>VLOOKUP($A34,FoodLog!$A$1:$Z$10001,14,0)</f>
        <v>0</v>
      </c>
      <c r="V34" s="70">
        <f>VLOOKUP($A34,FoodLog!$A$1:$Z$10001,15,0)</f>
        <v>0</v>
      </c>
      <c r="W34" s="70">
        <f>VLOOKUP($A34,FoodLog!$A$1:$Z$10001,16,0)</f>
        <v>568.3733525869186</v>
      </c>
      <c r="X34" s="70">
        <f>VLOOKUP($A34,FoodLog!$A$1:$Z$10001,17,0)</f>
        <v>80</v>
      </c>
      <c r="Y34" s="70">
        <f>VLOOKUP($A34,FoodLog!$A$1:$Z$10001,18,0)</f>
        <v>482.47465271142238</v>
      </c>
      <c r="Z34" s="70">
        <f>VLOOKUP($A34,FoodLog!$A$1:$Z$10001,19,0)</f>
        <v>1130.8480052983409</v>
      </c>
      <c r="AA34" s="62">
        <f t="shared" si="8"/>
        <v>0.35569138805812056</v>
      </c>
      <c r="AB34" s="63">
        <f>Scale!C34</f>
        <v>0</v>
      </c>
    </row>
    <row r="35" spans="1:28" x14ac:dyDescent="0.25">
      <c r="A35" s="65">
        <f t="shared" si="10"/>
        <v>43024</v>
      </c>
      <c r="B35" s="66">
        <f t="shared" si="11"/>
        <v>33</v>
      </c>
      <c r="C35" s="67">
        <f t="shared" si="12"/>
        <v>190.57634268759756</v>
      </c>
      <c r="D35" s="67">
        <f t="shared" si="13"/>
        <v>150.77332897231949</v>
      </c>
      <c r="E35" s="68">
        <f t="shared" ref="E35:E66" si="16">C35-D35</f>
        <v>39.80301371527807</v>
      </c>
      <c r="F35" s="56"/>
      <c r="G35" s="69">
        <f>C35*TDEE!$B$5</f>
        <v>2371.3419945104024</v>
      </c>
      <c r="H35" s="67">
        <f t="shared" si="14"/>
        <v>1233.8934251736202</v>
      </c>
      <c r="I35" s="67">
        <f t="shared" si="15"/>
        <v>1137.4485693367822</v>
      </c>
      <c r="J35" s="58">
        <f t="shared" ref="J35:J66" si="17">H35/3500</f>
        <v>0.35254097862103434</v>
      </c>
      <c r="K35" s="67">
        <f t="shared" ref="K35:K66" si="18">N35/9</f>
        <v>63.885990736151093</v>
      </c>
      <c r="L35" s="67">
        <v>20</v>
      </c>
      <c r="M35" s="54">
        <f>Protein_Amt!$B$6</f>
        <v>120.61866317785559</v>
      </c>
      <c r="N35" s="67">
        <f t="shared" ref="N35:N66" si="19">MAX(0,I35-(O35+P35))</f>
        <v>574.97391662535983</v>
      </c>
      <c r="O35" s="67">
        <f t="shared" ref="O35:O66" si="20">4*L35</f>
        <v>80</v>
      </c>
      <c r="P35" s="67">
        <f t="shared" ref="P35:P66" si="21">4*M35</f>
        <v>482.47465271142238</v>
      </c>
      <c r="Q35" s="68">
        <f t="shared" ref="Q35:Q66" si="22">SUM(N35:P35)</f>
        <v>1137.4485693367822</v>
      </c>
      <c r="S35" s="70">
        <f>VLOOKUP($A35,FoodLog!$A$1:$Z$10001,12,0)</f>
        <v>0</v>
      </c>
      <c r="T35" s="70">
        <f>VLOOKUP($A35,FoodLog!$A$1:$Z$10001,13,0)</f>
        <v>0</v>
      </c>
      <c r="U35" s="70">
        <f>VLOOKUP($A35,FoodLog!$A$1:$Z$10001,14,0)</f>
        <v>0</v>
      </c>
      <c r="V35" s="70">
        <f>VLOOKUP($A35,FoodLog!$A$1:$Z$10001,15,0)</f>
        <v>0</v>
      </c>
      <c r="W35" s="70">
        <f>VLOOKUP($A35,FoodLog!$A$1:$Z$10001,16,0)</f>
        <v>574.97391662535983</v>
      </c>
      <c r="X35" s="70">
        <f>VLOOKUP($A35,FoodLog!$A$1:$Z$10001,17,0)</f>
        <v>80</v>
      </c>
      <c r="Y35" s="70">
        <f>VLOOKUP($A35,FoodLog!$A$1:$Z$10001,18,0)</f>
        <v>482.47465271142238</v>
      </c>
      <c r="Z35" s="70">
        <f>VLOOKUP($A35,FoodLog!$A$1:$Z$10001,19,0)</f>
        <v>1137.4485693367822</v>
      </c>
      <c r="AA35" s="62">
        <f t="shared" ref="AA35:AA66" si="23">MIN($H35,($H35+Z35))/3500</f>
        <v>0.35254097862103434</v>
      </c>
      <c r="AB35" s="63">
        <f>Scale!C35</f>
        <v>0</v>
      </c>
    </row>
    <row r="36" spans="1:28" x14ac:dyDescent="0.25">
      <c r="A36" s="65">
        <f t="shared" ref="A36:A67" si="24">A35+1</f>
        <v>43025</v>
      </c>
      <c r="B36" s="66">
        <f t="shared" ref="B36:B67" si="25">B35+1</f>
        <v>34</v>
      </c>
      <c r="C36" s="67">
        <f t="shared" ref="C36:C67" si="26">C35-AA35</f>
        <v>190.22380170897654</v>
      </c>
      <c r="D36" s="67">
        <f t="shared" ref="D36:D67" si="27">$D$3</f>
        <v>150.77332897231949</v>
      </c>
      <c r="E36" s="68">
        <f t="shared" si="16"/>
        <v>39.450472736657048</v>
      </c>
      <c r="F36" s="56"/>
      <c r="G36" s="69">
        <f>C36*TDEE!$B$5</f>
        <v>2366.9553260729654</v>
      </c>
      <c r="H36" s="67">
        <f t="shared" ref="H36:H67" si="28">$E36*31</f>
        <v>1222.9646548363685</v>
      </c>
      <c r="I36" s="67">
        <f t="shared" ref="I36:I67" si="29">$G36-$H36</f>
        <v>1143.9906712365969</v>
      </c>
      <c r="J36" s="58">
        <f t="shared" si="17"/>
        <v>0.34941847281039101</v>
      </c>
      <c r="K36" s="67">
        <f t="shared" si="18"/>
        <v>64.612890947241624</v>
      </c>
      <c r="L36" s="67">
        <v>20</v>
      </c>
      <c r="M36" s="54">
        <f>Protein_Amt!$B$6</f>
        <v>120.61866317785559</v>
      </c>
      <c r="N36" s="67">
        <f t="shared" si="19"/>
        <v>581.51601852517456</v>
      </c>
      <c r="O36" s="67">
        <f t="shared" si="20"/>
        <v>80</v>
      </c>
      <c r="P36" s="67">
        <f t="shared" si="21"/>
        <v>482.47465271142238</v>
      </c>
      <c r="Q36" s="68">
        <f t="shared" si="22"/>
        <v>1143.9906712365969</v>
      </c>
      <c r="S36" s="70">
        <f>VLOOKUP($A36,FoodLog!$A$1:$Z$10001,12,0)</f>
        <v>0</v>
      </c>
      <c r="T36" s="70">
        <f>VLOOKUP($A36,FoodLog!$A$1:$Z$10001,13,0)</f>
        <v>0</v>
      </c>
      <c r="U36" s="70">
        <f>VLOOKUP($A36,FoodLog!$A$1:$Z$10001,14,0)</f>
        <v>0</v>
      </c>
      <c r="V36" s="70">
        <f>VLOOKUP($A36,FoodLog!$A$1:$Z$10001,15,0)</f>
        <v>0</v>
      </c>
      <c r="W36" s="70">
        <f>VLOOKUP($A36,FoodLog!$A$1:$Z$10001,16,0)</f>
        <v>581.51601852517456</v>
      </c>
      <c r="X36" s="70">
        <f>VLOOKUP($A36,FoodLog!$A$1:$Z$10001,17,0)</f>
        <v>80</v>
      </c>
      <c r="Y36" s="70">
        <f>VLOOKUP($A36,FoodLog!$A$1:$Z$10001,18,0)</f>
        <v>482.47465271142238</v>
      </c>
      <c r="Z36" s="70">
        <f>VLOOKUP($A36,FoodLog!$A$1:$Z$10001,19,0)</f>
        <v>1143.9906712365969</v>
      </c>
      <c r="AA36" s="62">
        <f t="shared" si="23"/>
        <v>0.34941847281039101</v>
      </c>
      <c r="AB36" s="63">
        <f>Scale!C36</f>
        <v>0</v>
      </c>
    </row>
    <row r="37" spans="1:28" x14ac:dyDescent="0.25">
      <c r="A37" s="65">
        <f t="shared" si="24"/>
        <v>43026</v>
      </c>
      <c r="B37" s="66">
        <f t="shared" si="25"/>
        <v>35</v>
      </c>
      <c r="C37" s="67">
        <f t="shared" si="26"/>
        <v>189.87438323616615</v>
      </c>
      <c r="D37" s="67">
        <f t="shared" si="27"/>
        <v>150.77332897231949</v>
      </c>
      <c r="E37" s="68">
        <f t="shared" si="16"/>
        <v>39.101054263846663</v>
      </c>
      <c r="F37" s="56"/>
      <c r="G37" s="69">
        <f>C37*TDEE!$B$5</f>
        <v>2362.607510984546</v>
      </c>
      <c r="H37" s="67">
        <f t="shared" si="28"/>
        <v>1212.1326821792466</v>
      </c>
      <c r="I37" s="67">
        <f t="shared" si="29"/>
        <v>1150.4748288052995</v>
      </c>
      <c r="J37" s="58">
        <f t="shared" si="17"/>
        <v>0.34632362347978474</v>
      </c>
      <c r="K37" s="67">
        <f t="shared" si="18"/>
        <v>65.333352899319678</v>
      </c>
      <c r="L37" s="67">
        <v>20</v>
      </c>
      <c r="M37" s="54">
        <f>Protein_Amt!$B$6</f>
        <v>120.61866317785559</v>
      </c>
      <c r="N37" s="67">
        <f t="shared" si="19"/>
        <v>588.00017609387714</v>
      </c>
      <c r="O37" s="67">
        <f t="shared" si="20"/>
        <v>80</v>
      </c>
      <c r="P37" s="67">
        <f t="shared" si="21"/>
        <v>482.47465271142238</v>
      </c>
      <c r="Q37" s="68">
        <f t="shared" si="22"/>
        <v>1150.4748288052995</v>
      </c>
      <c r="S37" s="70">
        <f>VLOOKUP($A37,FoodLog!$A$1:$Z$10001,12,0)</f>
        <v>0</v>
      </c>
      <c r="T37" s="70">
        <f>VLOOKUP($A37,FoodLog!$A$1:$Z$10001,13,0)</f>
        <v>0</v>
      </c>
      <c r="U37" s="70">
        <f>VLOOKUP($A37,FoodLog!$A$1:$Z$10001,14,0)</f>
        <v>0</v>
      </c>
      <c r="V37" s="70">
        <f>VLOOKUP($A37,FoodLog!$A$1:$Z$10001,15,0)</f>
        <v>0</v>
      </c>
      <c r="W37" s="70">
        <f>VLOOKUP($A37,FoodLog!$A$1:$Z$10001,16,0)</f>
        <v>588.00017609387714</v>
      </c>
      <c r="X37" s="70">
        <f>VLOOKUP($A37,FoodLog!$A$1:$Z$10001,17,0)</f>
        <v>80</v>
      </c>
      <c r="Y37" s="70">
        <f>VLOOKUP($A37,FoodLog!$A$1:$Z$10001,18,0)</f>
        <v>482.47465271142238</v>
      </c>
      <c r="Z37" s="70">
        <f>VLOOKUP($A37,FoodLog!$A$1:$Z$10001,19,0)</f>
        <v>1150.4748288052995</v>
      </c>
      <c r="AA37" s="62">
        <f t="shared" si="23"/>
        <v>0.34632362347978474</v>
      </c>
      <c r="AB37" s="63">
        <f>Scale!C37</f>
        <v>0</v>
      </c>
    </row>
    <row r="38" spans="1:28" x14ac:dyDescent="0.25">
      <c r="A38" s="65">
        <f t="shared" si="24"/>
        <v>43027</v>
      </c>
      <c r="B38" s="66">
        <f t="shared" si="25"/>
        <v>36</v>
      </c>
      <c r="C38" s="67">
        <f t="shared" si="26"/>
        <v>189.52805961268638</v>
      </c>
      <c r="D38" s="67">
        <f t="shared" si="27"/>
        <v>150.77332897231949</v>
      </c>
      <c r="E38" s="68">
        <f t="shared" si="16"/>
        <v>38.754730640366887</v>
      </c>
      <c r="F38" s="56"/>
      <c r="G38" s="69">
        <f>C38*TDEE!$B$5</f>
        <v>2358.2982051154809</v>
      </c>
      <c r="H38" s="67">
        <f t="shared" si="28"/>
        <v>1201.3966498513735</v>
      </c>
      <c r="I38" s="67">
        <f t="shared" si="29"/>
        <v>1156.9015552641074</v>
      </c>
      <c r="J38" s="58">
        <f t="shared" si="17"/>
        <v>0.34325618567182098</v>
      </c>
      <c r="K38" s="67">
        <f t="shared" si="18"/>
        <v>66.047433616965009</v>
      </c>
      <c r="L38" s="67">
        <v>20</v>
      </c>
      <c r="M38" s="54">
        <f>Protein_Amt!$B$6</f>
        <v>120.61866317785559</v>
      </c>
      <c r="N38" s="67">
        <f t="shared" si="19"/>
        <v>594.42690255268508</v>
      </c>
      <c r="O38" s="67">
        <f t="shared" si="20"/>
        <v>80</v>
      </c>
      <c r="P38" s="67">
        <f t="shared" si="21"/>
        <v>482.47465271142238</v>
      </c>
      <c r="Q38" s="68">
        <f t="shared" si="22"/>
        <v>1156.9015552641074</v>
      </c>
      <c r="S38" s="70">
        <f>VLOOKUP($A38,FoodLog!$A$1:$Z$10001,12,0)</f>
        <v>0</v>
      </c>
      <c r="T38" s="70">
        <f>VLOOKUP($A38,FoodLog!$A$1:$Z$10001,13,0)</f>
        <v>0</v>
      </c>
      <c r="U38" s="70">
        <f>VLOOKUP($A38,FoodLog!$A$1:$Z$10001,14,0)</f>
        <v>0</v>
      </c>
      <c r="V38" s="70">
        <f>VLOOKUP($A38,FoodLog!$A$1:$Z$10001,15,0)</f>
        <v>0</v>
      </c>
      <c r="W38" s="70">
        <f>VLOOKUP($A38,FoodLog!$A$1:$Z$10001,16,0)</f>
        <v>594.42690255268508</v>
      </c>
      <c r="X38" s="70">
        <f>VLOOKUP($A38,FoodLog!$A$1:$Z$10001,17,0)</f>
        <v>80</v>
      </c>
      <c r="Y38" s="70">
        <f>VLOOKUP($A38,FoodLog!$A$1:$Z$10001,18,0)</f>
        <v>482.47465271142238</v>
      </c>
      <c r="Z38" s="70">
        <f>VLOOKUP($A38,FoodLog!$A$1:$Z$10001,19,0)</f>
        <v>1156.9015552641074</v>
      </c>
      <c r="AA38" s="62">
        <f t="shared" si="23"/>
        <v>0.34325618567182098</v>
      </c>
      <c r="AB38" s="63">
        <f>Scale!C38</f>
        <v>0</v>
      </c>
    </row>
    <row r="39" spans="1:28" x14ac:dyDescent="0.25">
      <c r="A39" s="65">
        <f t="shared" si="24"/>
        <v>43028</v>
      </c>
      <c r="B39" s="66">
        <f t="shared" si="25"/>
        <v>37</v>
      </c>
      <c r="C39" s="67">
        <f t="shared" si="26"/>
        <v>189.18480342701454</v>
      </c>
      <c r="D39" s="67">
        <f t="shared" si="27"/>
        <v>150.77332897231949</v>
      </c>
      <c r="E39" s="68">
        <f t="shared" si="16"/>
        <v>38.411474454695053</v>
      </c>
      <c r="F39" s="56"/>
      <c r="G39" s="69">
        <f>C39*TDEE!$B$5</f>
        <v>2354.0270673841133</v>
      </c>
      <c r="H39" s="67">
        <f t="shared" si="28"/>
        <v>1190.7557080955467</v>
      </c>
      <c r="I39" s="67">
        <f t="shared" si="29"/>
        <v>1163.2713592885666</v>
      </c>
      <c r="J39" s="58">
        <f t="shared" si="17"/>
        <v>0.34021591659872763</v>
      </c>
      <c r="K39" s="67">
        <f t="shared" si="18"/>
        <v>66.755189619682696</v>
      </c>
      <c r="L39" s="67">
        <v>20</v>
      </c>
      <c r="M39" s="54">
        <f>Protein_Amt!$B$6</f>
        <v>120.61866317785559</v>
      </c>
      <c r="N39" s="67">
        <f t="shared" si="19"/>
        <v>600.79670657714428</v>
      </c>
      <c r="O39" s="67">
        <f t="shared" si="20"/>
        <v>80</v>
      </c>
      <c r="P39" s="67">
        <f t="shared" si="21"/>
        <v>482.47465271142238</v>
      </c>
      <c r="Q39" s="68">
        <f t="shared" si="22"/>
        <v>1163.2713592885666</v>
      </c>
      <c r="S39" s="70">
        <f>VLOOKUP($A39,FoodLog!$A$1:$Z$10001,12,0)</f>
        <v>0</v>
      </c>
      <c r="T39" s="70">
        <f>VLOOKUP($A39,FoodLog!$A$1:$Z$10001,13,0)</f>
        <v>0</v>
      </c>
      <c r="U39" s="70">
        <f>VLOOKUP($A39,FoodLog!$A$1:$Z$10001,14,0)</f>
        <v>0</v>
      </c>
      <c r="V39" s="70">
        <f>VLOOKUP($A39,FoodLog!$A$1:$Z$10001,15,0)</f>
        <v>0</v>
      </c>
      <c r="W39" s="70">
        <f>VLOOKUP($A39,FoodLog!$A$1:$Z$10001,16,0)</f>
        <v>600.79670657714428</v>
      </c>
      <c r="X39" s="70">
        <f>VLOOKUP($A39,FoodLog!$A$1:$Z$10001,17,0)</f>
        <v>80</v>
      </c>
      <c r="Y39" s="70">
        <f>VLOOKUP($A39,FoodLog!$A$1:$Z$10001,18,0)</f>
        <v>482.47465271142238</v>
      </c>
      <c r="Z39" s="70">
        <f>VLOOKUP($A39,FoodLog!$A$1:$Z$10001,19,0)</f>
        <v>1163.2713592885666</v>
      </c>
      <c r="AA39" s="62">
        <f t="shared" si="23"/>
        <v>0.34021591659872763</v>
      </c>
      <c r="AB39" s="63">
        <f>Scale!C39</f>
        <v>0</v>
      </c>
    </row>
    <row r="40" spans="1:28" x14ac:dyDescent="0.25">
      <c r="A40" s="65">
        <f t="shared" si="24"/>
        <v>43029</v>
      </c>
      <c r="B40" s="66">
        <f t="shared" si="25"/>
        <v>38</v>
      </c>
      <c r="C40" s="67">
        <f t="shared" si="26"/>
        <v>188.84458751041581</v>
      </c>
      <c r="D40" s="67">
        <f t="shared" si="27"/>
        <v>150.77332897231949</v>
      </c>
      <c r="E40" s="68">
        <f t="shared" si="16"/>
        <v>38.071258538096316</v>
      </c>
      <c r="F40" s="56"/>
      <c r="G40" s="69">
        <f>C40*TDEE!$B$5</f>
        <v>2349.7937597297946</v>
      </c>
      <c r="H40" s="67">
        <f t="shared" si="28"/>
        <v>1180.2090146809858</v>
      </c>
      <c r="I40" s="67">
        <f t="shared" si="29"/>
        <v>1169.5847450488088</v>
      </c>
      <c r="J40" s="58">
        <f t="shared" si="17"/>
        <v>0.33720257562313877</v>
      </c>
      <c r="K40" s="67">
        <f t="shared" si="18"/>
        <v>67.456676926376275</v>
      </c>
      <c r="L40" s="67">
        <v>20</v>
      </c>
      <c r="M40" s="54">
        <f>Protein_Amt!$B$6</f>
        <v>120.61866317785559</v>
      </c>
      <c r="N40" s="67">
        <f t="shared" si="19"/>
        <v>607.1100923373865</v>
      </c>
      <c r="O40" s="67">
        <f t="shared" si="20"/>
        <v>80</v>
      </c>
      <c r="P40" s="67">
        <f t="shared" si="21"/>
        <v>482.47465271142238</v>
      </c>
      <c r="Q40" s="68">
        <f t="shared" si="22"/>
        <v>1169.5847450488088</v>
      </c>
      <c r="S40" s="70">
        <f>VLOOKUP($A40,FoodLog!$A$1:$Z$10001,12,0)</f>
        <v>0</v>
      </c>
      <c r="T40" s="70">
        <f>VLOOKUP($A40,FoodLog!$A$1:$Z$10001,13,0)</f>
        <v>0</v>
      </c>
      <c r="U40" s="70">
        <f>VLOOKUP($A40,FoodLog!$A$1:$Z$10001,14,0)</f>
        <v>0</v>
      </c>
      <c r="V40" s="70">
        <f>VLOOKUP($A40,FoodLog!$A$1:$Z$10001,15,0)</f>
        <v>0</v>
      </c>
      <c r="W40" s="70">
        <f>VLOOKUP($A40,FoodLog!$A$1:$Z$10001,16,0)</f>
        <v>607.1100923373865</v>
      </c>
      <c r="X40" s="70">
        <f>VLOOKUP($A40,FoodLog!$A$1:$Z$10001,17,0)</f>
        <v>80</v>
      </c>
      <c r="Y40" s="70">
        <f>VLOOKUP($A40,FoodLog!$A$1:$Z$10001,18,0)</f>
        <v>482.47465271142238</v>
      </c>
      <c r="Z40" s="70">
        <f>VLOOKUP($A40,FoodLog!$A$1:$Z$10001,19,0)</f>
        <v>1169.5847450488088</v>
      </c>
      <c r="AA40" s="62">
        <f t="shared" si="23"/>
        <v>0.33720257562313877</v>
      </c>
      <c r="AB40" s="63">
        <f>Scale!C40</f>
        <v>0</v>
      </c>
    </row>
    <row r="41" spans="1:28" x14ac:dyDescent="0.25">
      <c r="A41" s="65">
        <f t="shared" si="24"/>
        <v>43030</v>
      </c>
      <c r="B41" s="66">
        <f t="shared" si="25"/>
        <v>39</v>
      </c>
      <c r="C41" s="67">
        <f t="shared" si="26"/>
        <v>188.50738493479267</v>
      </c>
      <c r="D41" s="67">
        <f t="shared" si="27"/>
        <v>150.77332897231949</v>
      </c>
      <c r="E41" s="68">
        <f t="shared" si="16"/>
        <v>37.734055962473178</v>
      </c>
      <c r="F41" s="56"/>
      <c r="G41" s="69">
        <f>C41*TDEE!$B$5</f>
        <v>2345.5979470861289</v>
      </c>
      <c r="H41" s="67">
        <f t="shared" si="28"/>
        <v>1169.7557348366686</v>
      </c>
      <c r="I41" s="67">
        <f t="shared" si="29"/>
        <v>1175.8422122494603</v>
      </c>
      <c r="J41" s="58">
        <f t="shared" si="17"/>
        <v>0.33421592423904817</v>
      </c>
      <c r="K41" s="67">
        <f t="shared" si="18"/>
        <v>68.151951059781993</v>
      </c>
      <c r="L41" s="67">
        <v>20</v>
      </c>
      <c r="M41" s="54">
        <f>Protein_Amt!$B$6</f>
        <v>120.61866317785559</v>
      </c>
      <c r="N41" s="67">
        <f t="shared" si="19"/>
        <v>613.36755953803799</v>
      </c>
      <c r="O41" s="67">
        <f t="shared" si="20"/>
        <v>80</v>
      </c>
      <c r="P41" s="67">
        <f t="shared" si="21"/>
        <v>482.47465271142238</v>
      </c>
      <c r="Q41" s="68">
        <f t="shared" si="22"/>
        <v>1175.8422122494603</v>
      </c>
      <c r="S41" s="70">
        <f>VLOOKUP($A41,FoodLog!$A$1:$Z$10001,12,0)</f>
        <v>0</v>
      </c>
      <c r="T41" s="70">
        <f>VLOOKUP($A41,FoodLog!$A$1:$Z$10001,13,0)</f>
        <v>0</v>
      </c>
      <c r="U41" s="70">
        <f>VLOOKUP($A41,FoodLog!$A$1:$Z$10001,14,0)</f>
        <v>0</v>
      </c>
      <c r="V41" s="70">
        <f>VLOOKUP($A41,FoodLog!$A$1:$Z$10001,15,0)</f>
        <v>0</v>
      </c>
      <c r="W41" s="70">
        <f>VLOOKUP($A41,FoodLog!$A$1:$Z$10001,16,0)</f>
        <v>613.36755953803799</v>
      </c>
      <c r="X41" s="70">
        <f>VLOOKUP($A41,FoodLog!$A$1:$Z$10001,17,0)</f>
        <v>80</v>
      </c>
      <c r="Y41" s="70">
        <f>VLOOKUP($A41,FoodLog!$A$1:$Z$10001,18,0)</f>
        <v>482.47465271142238</v>
      </c>
      <c r="Z41" s="70">
        <f>VLOOKUP($A41,FoodLog!$A$1:$Z$10001,19,0)</f>
        <v>1175.8422122494603</v>
      </c>
      <c r="AA41" s="62">
        <f t="shared" si="23"/>
        <v>0.33421592423904817</v>
      </c>
      <c r="AB41" s="63">
        <f>Scale!C41</f>
        <v>0</v>
      </c>
    </row>
    <row r="42" spans="1:28" x14ac:dyDescent="0.25">
      <c r="A42" s="65">
        <f t="shared" si="24"/>
        <v>43031</v>
      </c>
      <c r="B42" s="66">
        <f t="shared" si="25"/>
        <v>40</v>
      </c>
      <c r="C42" s="67">
        <f t="shared" si="26"/>
        <v>188.17316901055361</v>
      </c>
      <c r="D42" s="67">
        <f t="shared" si="27"/>
        <v>150.77332897231949</v>
      </c>
      <c r="E42" s="68">
        <f t="shared" si="16"/>
        <v>37.399840038234117</v>
      </c>
      <c r="F42" s="56"/>
      <c r="G42" s="69">
        <f>C42*TDEE!$B$5</f>
        <v>2341.4392973544495</v>
      </c>
      <c r="H42" s="67">
        <f t="shared" si="28"/>
        <v>1159.3950411852577</v>
      </c>
      <c r="I42" s="67">
        <f t="shared" si="29"/>
        <v>1182.0442561691918</v>
      </c>
      <c r="J42" s="58">
        <f t="shared" si="17"/>
        <v>0.33125572605293074</v>
      </c>
      <c r="K42" s="67">
        <f t="shared" si="18"/>
        <v>68.841067050863273</v>
      </c>
      <c r="L42" s="67">
        <v>20</v>
      </c>
      <c r="M42" s="54">
        <f>Protein_Amt!$B$6</f>
        <v>120.61866317785559</v>
      </c>
      <c r="N42" s="67">
        <f t="shared" si="19"/>
        <v>619.56960345776952</v>
      </c>
      <c r="O42" s="67">
        <f t="shared" si="20"/>
        <v>80</v>
      </c>
      <c r="P42" s="67">
        <f t="shared" si="21"/>
        <v>482.47465271142238</v>
      </c>
      <c r="Q42" s="68">
        <f t="shared" si="22"/>
        <v>1182.0442561691918</v>
      </c>
      <c r="S42" s="70">
        <f>VLOOKUP($A42,FoodLog!$A$1:$Z$10001,12,0)</f>
        <v>0</v>
      </c>
      <c r="T42" s="70">
        <f>VLOOKUP($A42,FoodLog!$A$1:$Z$10001,13,0)</f>
        <v>0</v>
      </c>
      <c r="U42" s="70">
        <f>VLOOKUP($A42,FoodLog!$A$1:$Z$10001,14,0)</f>
        <v>0</v>
      </c>
      <c r="V42" s="70">
        <f>VLOOKUP($A42,FoodLog!$A$1:$Z$10001,15,0)</f>
        <v>0</v>
      </c>
      <c r="W42" s="70">
        <f>VLOOKUP($A42,FoodLog!$A$1:$Z$10001,16,0)</f>
        <v>619.56960345776952</v>
      </c>
      <c r="X42" s="70">
        <f>VLOOKUP($A42,FoodLog!$A$1:$Z$10001,17,0)</f>
        <v>80</v>
      </c>
      <c r="Y42" s="70">
        <f>VLOOKUP($A42,FoodLog!$A$1:$Z$10001,18,0)</f>
        <v>482.47465271142238</v>
      </c>
      <c r="Z42" s="70">
        <f>VLOOKUP($A42,FoodLog!$A$1:$Z$10001,19,0)</f>
        <v>1182.0442561691918</v>
      </c>
      <c r="AA42" s="62">
        <f t="shared" si="23"/>
        <v>0.33125572605293074</v>
      </c>
      <c r="AB42" s="63">
        <f>Scale!C42</f>
        <v>0</v>
      </c>
    </row>
    <row r="43" spans="1:28" x14ac:dyDescent="0.25">
      <c r="A43" s="65">
        <f t="shared" si="24"/>
        <v>43032</v>
      </c>
      <c r="B43" s="66">
        <f t="shared" si="25"/>
        <v>41</v>
      </c>
      <c r="C43" s="67">
        <f t="shared" si="26"/>
        <v>187.84191328450066</v>
      </c>
      <c r="D43" s="67">
        <f t="shared" si="27"/>
        <v>150.77332897231949</v>
      </c>
      <c r="E43" s="68">
        <f t="shared" si="16"/>
        <v>37.068584312181173</v>
      </c>
      <c r="F43" s="56"/>
      <c r="G43" s="69">
        <f>C43*TDEE!$B$5</f>
        <v>2337.3174813775363</v>
      </c>
      <c r="H43" s="67">
        <f t="shared" si="28"/>
        <v>1149.1261136776163</v>
      </c>
      <c r="I43" s="67">
        <f t="shared" si="29"/>
        <v>1188.19136769992</v>
      </c>
      <c r="J43" s="58">
        <f t="shared" si="17"/>
        <v>0.32832174676503323</v>
      </c>
      <c r="K43" s="67">
        <f t="shared" si="18"/>
        <v>69.5240794431664</v>
      </c>
      <c r="L43" s="67">
        <v>20</v>
      </c>
      <c r="M43" s="54">
        <f>Protein_Amt!$B$6</f>
        <v>120.61866317785559</v>
      </c>
      <c r="N43" s="67">
        <f t="shared" si="19"/>
        <v>625.71671498849764</v>
      </c>
      <c r="O43" s="67">
        <f t="shared" si="20"/>
        <v>80</v>
      </c>
      <c r="P43" s="67">
        <f t="shared" si="21"/>
        <v>482.47465271142238</v>
      </c>
      <c r="Q43" s="68">
        <f t="shared" si="22"/>
        <v>1188.19136769992</v>
      </c>
      <c r="S43" s="70">
        <f>VLOOKUP($A43,FoodLog!$A$1:$Z$10001,12,0)</f>
        <v>0</v>
      </c>
      <c r="T43" s="70">
        <f>VLOOKUP($A43,FoodLog!$A$1:$Z$10001,13,0)</f>
        <v>0</v>
      </c>
      <c r="U43" s="70">
        <f>VLOOKUP($A43,FoodLog!$A$1:$Z$10001,14,0)</f>
        <v>0</v>
      </c>
      <c r="V43" s="70">
        <f>VLOOKUP($A43,FoodLog!$A$1:$Z$10001,15,0)</f>
        <v>0</v>
      </c>
      <c r="W43" s="70">
        <f>VLOOKUP($A43,FoodLog!$A$1:$Z$10001,16,0)</f>
        <v>625.71671498849764</v>
      </c>
      <c r="X43" s="70">
        <f>VLOOKUP($A43,FoodLog!$A$1:$Z$10001,17,0)</f>
        <v>80</v>
      </c>
      <c r="Y43" s="70">
        <f>VLOOKUP($A43,FoodLog!$A$1:$Z$10001,18,0)</f>
        <v>482.47465271142238</v>
      </c>
      <c r="Z43" s="70">
        <f>VLOOKUP($A43,FoodLog!$A$1:$Z$10001,19,0)</f>
        <v>1188.19136769992</v>
      </c>
      <c r="AA43" s="62">
        <f t="shared" si="23"/>
        <v>0.32832174676503323</v>
      </c>
      <c r="AB43" s="63">
        <f>Scale!C43</f>
        <v>0</v>
      </c>
    </row>
    <row r="44" spans="1:28" x14ac:dyDescent="0.25">
      <c r="A44" s="65">
        <f t="shared" si="24"/>
        <v>43033</v>
      </c>
      <c r="B44" s="66">
        <f t="shared" si="25"/>
        <v>42</v>
      </c>
      <c r="C44" s="67">
        <f t="shared" si="26"/>
        <v>187.51359153773564</v>
      </c>
      <c r="D44" s="67">
        <f t="shared" si="27"/>
        <v>150.77332897231949</v>
      </c>
      <c r="E44" s="68">
        <f t="shared" si="16"/>
        <v>36.740262565416145</v>
      </c>
      <c r="F44" s="56"/>
      <c r="G44" s="69">
        <f>C44*TDEE!$B$5</f>
        <v>2333.232172913562</v>
      </c>
      <c r="H44" s="67">
        <f t="shared" si="28"/>
        <v>1138.9481395279006</v>
      </c>
      <c r="I44" s="67">
        <f t="shared" si="29"/>
        <v>1194.2840333856614</v>
      </c>
      <c r="J44" s="58">
        <f t="shared" si="17"/>
        <v>0.32541375415082874</v>
      </c>
      <c r="K44" s="67">
        <f t="shared" si="18"/>
        <v>70.201042297137676</v>
      </c>
      <c r="L44" s="67">
        <v>20</v>
      </c>
      <c r="M44" s="54">
        <f>Protein_Amt!$B$6</f>
        <v>120.61866317785559</v>
      </c>
      <c r="N44" s="67">
        <f t="shared" si="19"/>
        <v>631.80938067423904</v>
      </c>
      <c r="O44" s="67">
        <f t="shared" si="20"/>
        <v>80</v>
      </c>
      <c r="P44" s="67">
        <f t="shared" si="21"/>
        <v>482.47465271142238</v>
      </c>
      <c r="Q44" s="68">
        <f t="shared" si="22"/>
        <v>1194.2840333856614</v>
      </c>
      <c r="S44" s="70">
        <f>VLOOKUP($A44,FoodLog!$A$1:$Z$10001,12,0)</f>
        <v>0</v>
      </c>
      <c r="T44" s="70">
        <f>VLOOKUP($A44,FoodLog!$A$1:$Z$10001,13,0)</f>
        <v>0</v>
      </c>
      <c r="U44" s="70">
        <f>VLOOKUP($A44,FoodLog!$A$1:$Z$10001,14,0)</f>
        <v>0</v>
      </c>
      <c r="V44" s="70">
        <f>VLOOKUP($A44,FoodLog!$A$1:$Z$10001,15,0)</f>
        <v>0</v>
      </c>
      <c r="W44" s="70">
        <f>VLOOKUP($A44,FoodLog!$A$1:$Z$10001,16,0)</f>
        <v>631.80938067423904</v>
      </c>
      <c r="X44" s="70">
        <f>VLOOKUP($A44,FoodLog!$A$1:$Z$10001,17,0)</f>
        <v>80</v>
      </c>
      <c r="Y44" s="70">
        <f>VLOOKUP($A44,FoodLog!$A$1:$Z$10001,18,0)</f>
        <v>482.47465271142238</v>
      </c>
      <c r="Z44" s="70">
        <f>VLOOKUP($A44,FoodLog!$A$1:$Z$10001,19,0)</f>
        <v>1194.2840333856614</v>
      </c>
      <c r="AA44" s="62">
        <f t="shared" si="23"/>
        <v>0.32541375415082874</v>
      </c>
      <c r="AB44" s="63">
        <f>Scale!C44</f>
        <v>0</v>
      </c>
    </row>
    <row r="45" spans="1:28" x14ac:dyDescent="0.25">
      <c r="A45" s="65">
        <f t="shared" si="24"/>
        <v>43034</v>
      </c>
      <c r="B45" s="66">
        <f t="shared" si="25"/>
        <v>43</v>
      </c>
      <c r="C45" s="67">
        <f t="shared" si="26"/>
        <v>187.18817778358482</v>
      </c>
      <c r="D45" s="67">
        <f t="shared" si="27"/>
        <v>150.77332897231949</v>
      </c>
      <c r="E45" s="68">
        <f t="shared" si="16"/>
        <v>36.41484881126533</v>
      </c>
      <c r="F45" s="56"/>
      <c r="G45" s="69">
        <f>C45*TDEE!$B$5</f>
        <v>2329.183048610269</v>
      </c>
      <c r="H45" s="67">
        <f t="shared" si="28"/>
        <v>1128.8603131492252</v>
      </c>
      <c r="I45" s="67">
        <f t="shared" si="29"/>
        <v>1200.3227354610437</v>
      </c>
      <c r="J45" s="58">
        <f t="shared" si="17"/>
        <v>0.3225315180426358</v>
      </c>
      <c r="K45" s="67">
        <f t="shared" si="18"/>
        <v>70.872009194402381</v>
      </c>
      <c r="L45" s="67">
        <v>20</v>
      </c>
      <c r="M45" s="54">
        <f>Protein_Amt!$B$6</f>
        <v>120.61866317785559</v>
      </c>
      <c r="N45" s="67">
        <f t="shared" si="19"/>
        <v>637.84808274962143</v>
      </c>
      <c r="O45" s="67">
        <f t="shared" si="20"/>
        <v>80</v>
      </c>
      <c r="P45" s="67">
        <f t="shared" si="21"/>
        <v>482.47465271142238</v>
      </c>
      <c r="Q45" s="68">
        <f t="shared" si="22"/>
        <v>1200.3227354610437</v>
      </c>
      <c r="S45" s="70">
        <f>VLOOKUP($A45,FoodLog!$A$1:$Z$10001,12,0)</f>
        <v>0</v>
      </c>
      <c r="T45" s="70">
        <f>VLOOKUP($A45,FoodLog!$A$1:$Z$10001,13,0)</f>
        <v>0</v>
      </c>
      <c r="U45" s="70">
        <f>VLOOKUP($A45,FoodLog!$A$1:$Z$10001,14,0)</f>
        <v>0</v>
      </c>
      <c r="V45" s="70">
        <f>VLOOKUP($A45,FoodLog!$A$1:$Z$10001,15,0)</f>
        <v>0</v>
      </c>
      <c r="W45" s="70">
        <f>VLOOKUP($A45,FoodLog!$A$1:$Z$10001,16,0)</f>
        <v>637.84808274962143</v>
      </c>
      <c r="X45" s="70">
        <f>VLOOKUP($A45,FoodLog!$A$1:$Z$10001,17,0)</f>
        <v>80</v>
      </c>
      <c r="Y45" s="70">
        <f>VLOOKUP($A45,FoodLog!$A$1:$Z$10001,18,0)</f>
        <v>482.47465271142238</v>
      </c>
      <c r="Z45" s="70">
        <f>VLOOKUP($A45,FoodLog!$A$1:$Z$10001,19,0)</f>
        <v>1200.3227354610437</v>
      </c>
      <c r="AA45" s="62">
        <f t="shared" si="23"/>
        <v>0.3225315180426358</v>
      </c>
      <c r="AB45" s="63">
        <f>Scale!C45</f>
        <v>0</v>
      </c>
    </row>
    <row r="46" spans="1:28" x14ac:dyDescent="0.25">
      <c r="A46" s="65">
        <f t="shared" si="24"/>
        <v>43035</v>
      </c>
      <c r="B46" s="66">
        <f t="shared" si="25"/>
        <v>44</v>
      </c>
      <c r="C46" s="67">
        <f t="shared" si="26"/>
        <v>186.86564626554218</v>
      </c>
      <c r="D46" s="67">
        <f t="shared" si="27"/>
        <v>150.77332897231949</v>
      </c>
      <c r="E46" s="68">
        <f t="shared" si="16"/>
        <v>36.092317293222692</v>
      </c>
      <c r="F46" s="56"/>
      <c r="G46" s="69">
        <f>C46*TDEE!$B$5</f>
        <v>2325.169787979376</v>
      </c>
      <c r="H46" s="67">
        <f t="shared" si="28"/>
        <v>1118.8618360899034</v>
      </c>
      <c r="I46" s="67">
        <f t="shared" si="29"/>
        <v>1206.3079518894726</v>
      </c>
      <c r="J46" s="58">
        <f t="shared" si="17"/>
        <v>0.31967481031140094</v>
      </c>
      <c r="K46" s="67">
        <f t="shared" si="18"/>
        <v>71.537033242005592</v>
      </c>
      <c r="L46" s="67">
        <v>20</v>
      </c>
      <c r="M46" s="54">
        <f>Protein_Amt!$B$6</f>
        <v>120.61866317785559</v>
      </c>
      <c r="N46" s="67">
        <f t="shared" si="19"/>
        <v>643.83329917805031</v>
      </c>
      <c r="O46" s="67">
        <f t="shared" si="20"/>
        <v>80</v>
      </c>
      <c r="P46" s="67">
        <f t="shared" si="21"/>
        <v>482.47465271142238</v>
      </c>
      <c r="Q46" s="68">
        <f t="shared" si="22"/>
        <v>1206.3079518894726</v>
      </c>
      <c r="S46" s="70">
        <f>VLOOKUP($A46,FoodLog!$A$1:$Z$10001,12,0)</f>
        <v>0</v>
      </c>
      <c r="T46" s="70">
        <f>VLOOKUP($A46,FoodLog!$A$1:$Z$10001,13,0)</f>
        <v>0</v>
      </c>
      <c r="U46" s="70">
        <f>VLOOKUP($A46,FoodLog!$A$1:$Z$10001,14,0)</f>
        <v>0</v>
      </c>
      <c r="V46" s="70">
        <f>VLOOKUP($A46,FoodLog!$A$1:$Z$10001,15,0)</f>
        <v>0</v>
      </c>
      <c r="W46" s="70">
        <f>VLOOKUP($A46,FoodLog!$A$1:$Z$10001,16,0)</f>
        <v>643.83329917805031</v>
      </c>
      <c r="X46" s="70">
        <f>VLOOKUP($A46,FoodLog!$A$1:$Z$10001,17,0)</f>
        <v>80</v>
      </c>
      <c r="Y46" s="70">
        <f>VLOOKUP($A46,FoodLog!$A$1:$Z$10001,18,0)</f>
        <v>482.47465271142238</v>
      </c>
      <c r="Z46" s="70">
        <f>VLOOKUP($A46,FoodLog!$A$1:$Z$10001,19,0)</f>
        <v>1206.3079518894726</v>
      </c>
      <c r="AA46" s="62">
        <f t="shared" si="23"/>
        <v>0.31967481031140094</v>
      </c>
      <c r="AB46" s="63">
        <f>Scale!C46</f>
        <v>0</v>
      </c>
    </row>
    <row r="47" spans="1:28" x14ac:dyDescent="0.25">
      <c r="A47" s="65">
        <f t="shared" si="24"/>
        <v>43036</v>
      </c>
      <c r="B47" s="66">
        <f t="shared" si="25"/>
        <v>45</v>
      </c>
      <c r="C47" s="67">
        <f t="shared" si="26"/>
        <v>186.54597145523078</v>
      </c>
      <c r="D47" s="67">
        <f t="shared" si="27"/>
        <v>150.77332897231949</v>
      </c>
      <c r="E47" s="68">
        <f t="shared" si="16"/>
        <v>35.772642482911294</v>
      </c>
      <c r="F47" s="56"/>
      <c r="G47" s="69">
        <f>C47*TDEE!$B$5</f>
        <v>2321.1920733712136</v>
      </c>
      <c r="H47" s="67">
        <f t="shared" si="28"/>
        <v>1108.9519169702501</v>
      </c>
      <c r="I47" s="67">
        <f t="shared" si="29"/>
        <v>1212.2401564009635</v>
      </c>
      <c r="J47" s="58">
        <f t="shared" si="17"/>
        <v>0.31684340484864287</v>
      </c>
      <c r="K47" s="67">
        <f t="shared" si="18"/>
        <v>72.196167076615694</v>
      </c>
      <c r="L47" s="67">
        <v>20</v>
      </c>
      <c r="M47" s="54">
        <f>Protein_Amt!$B$6</f>
        <v>120.61866317785559</v>
      </c>
      <c r="N47" s="67">
        <f t="shared" si="19"/>
        <v>649.76550368954122</v>
      </c>
      <c r="O47" s="67">
        <f t="shared" si="20"/>
        <v>80</v>
      </c>
      <c r="P47" s="67">
        <f t="shared" si="21"/>
        <v>482.47465271142238</v>
      </c>
      <c r="Q47" s="68">
        <f t="shared" si="22"/>
        <v>1212.2401564009635</v>
      </c>
      <c r="S47" s="70">
        <f>VLOOKUP($A47,FoodLog!$A$1:$Z$10001,12,0)</f>
        <v>0</v>
      </c>
      <c r="T47" s="70">
        <f>VLOOKUP($A47,FoodLog!$A$1:$Z$10001,13,0)</f>
        <v>0</v>
      </c>
      <c r="U47" s="70">
        <f>VLOOKUP($A47,FoodLog!$A$1:$Z$10001,14,0)</f>
        <v>0</v>
      </c>
      <c r="V47" s="70">
        <f>VLOOKUP($A47,FoodLog!$A$1:$Z$10001,15,0)</f>
        <v>0</v>
      </c>
      <c r="W47" s="70">
        <f>VLOOKUP($A47,FoodLog!$A$1:$Z$10001,16,0)</f>
        <v>649.76550368954122</v>
      </c>
      <c r="X47" s="70">
        <f>VLOOKUP($A47,FoodLog!$A$1:$Z$10001,17,0)</f>
        <v>80</v>
      </c>
      <c r="Y47" s="70">
        <f>VLOOKUP($A47,FoodLog!$A$1:$Z$10001,18,0)</f>
        <v>482.47465271142238</v>
      </c>
      <c r="Z47" s="70">
        <f>VLOOKUP($A47,FoodLog!$A$1:$Z$10001,19,0)</f>
        <v>1212.2401564009635</v>
      </c>
      <c r="AA47" s="62">
        <f t="shared" si="23"/>
        <v>0.31684340484864287</v>
      </c>
      <c r="AB47" s="63">
        <f>Scale!C47</f>
        <v>0</v>
      </c>
    </row>
    <row r="48" spans="1:28" x14ac:dyDescent="0.25">
      <c r="A48" s="65">
        <f t="shared" si="24"/>
        <v>43037</v>
      </c>
      <c r="B48" s="66">
        <f t="shared" si="25"/>
        <v>46</v>
      </c>
      <c r="C48" s="67">
        <f t="shared" si="26"/>
        <v>186.22912805038214</v>
      </c>
      <c r="D48" s="67">
        <f t="shared" si="27"/>
        <v>150.77332897231949</v>
      </c>
      <c r="E48" s="68">
        <f t="shared" si="16"/>
        <v>35.455799078062654</v>
      </c>
      <c r="F48" s="56"/>
      <c r="G48" s="69">
        <f>C48*TDEE!$B$5</f>
        <v>2317.2495899495811</v>
      </c>
      <c r="H48" s="67">
        <f t="shared" si="28"/>
        <v>1099.1297714199422</v>
      </c>
      <c r="I48" s="67">
        <f t="shared" si="29"/>
        <v>1218.1198185296389</v>
      </c>
      <c r="J48" s="58">
        <f t="shared" si="17"/>
        <v>0.31403707754855492</v>
      </c>
      <c r="K48" s="67">
        <f t="shared" si="18"/>
        <v>72.849462868690736</v>
      </c>
      <c r="L48" s="67">
        <v>20</v>
      </c>
      <c r="M48" s="54">
        <f>Protein_Amt!$B$6</f>
        <v>120.61866317785559</v>
      </c>
      <c r="N48" s="67">
        <f t="shared" si="19"/>
        <v>655.64516581821658</v>
      </c>
      <c r="O48" s="67">
        <f t="shared" si="20"/>
        <v>80</v>
      </c>
      <c r="P48" s="67">
        <f t="shared" si="21"/>
        <v>482.47465271142238</v>
      </c>
      <c r="Q48" s="68">
        <f t="shared" si="22"/>
        <v>1218.1198185296389</v>
      </c>
      <c r="S48" s="70">
        <f>VLOOKUP($A48,FoodLog!$A$1:$Z$10001,12,0)</f>
        <v>0</v>
      </c>
      <c r="T48" s="70">
        <f>VLOOKUP($A48,FoodLog!$A$1:$Z$10001,13,0)</f>
        <v>0</v>
      </c>
      <c r="U48" s="70">
        <f>VLOOKUP($A48,FoodLog!$A$1:$Z$10001,14,0)</f>
        <v>0</v>
      </c>
      <c r="V48" s="70">
        <f>VLOOKUP($A48,FoodLog!$A$1:$Z$10001,15,0)</f>
        <v>0</v>
      </c>
      <c r="W48" s="70">
        <f>VLOOKUP($A48,FoodLog!$A$1:$Z$10001,16,0)</f>
        <v>655.64516581821658</v>
      </c>
      <c r="X48" s="70">
        <f>VLOOKUP($A48,FoodLog!$A$1:$Z$10001,17,0)</f>
        <v>80</v>
      </c>
      <c r="Y48" s="70">
        <f>VLOOKUP($A48,FoodLog!$A$1:$Z$10001,18,0)</f>
        <v>482.47465271142238</v>
      </c>
      <c r="Z48" s="70">
        <f>VLOOKUP($A48,FoodLog!$A$1:$Z$10001,19,0)</f>
        <v>1218.1198185296389</v>
      </c>
      <c r="AA48" s="62">
        <f t="shared" si="23"/>
        <v>0.31403707754855492</v>
      </c>
      <c r="AB48" s="63">
        <f>Scale!C48</f>
        <v>0</v>
      </c>
    </row>
    <row r="49" spans="1:28" x14ac:dyDescent="0.25">
      <c r="A49" s="65">
        <f t="shared" si="24"/>
        <v>43038</v>
      </c>
      <c r="B49" s="66">
        <f t="shared" si="25"/>
        <v>47</v>
      </c>
      <c r="C49" s="67">
        <f t="shared" si="26"/>
        <v>185.91509097283358</v>
      </c>
      <c r="D49" s="67">
        <f t="shared" si="27"/>
        <v>150.77332897231949</v>
      </c>
      <c r="E49" s="68">
        <f t="shared" si="16"/>
        <v>35.141762000514092</v>
      </c>
      <c r="F49" s="56"/>
      <c r="G49" s="69">
        <f>C49*TDEE!$B$5</f>
        <v>2313.3420256668255</v>
      </c>
      <c r="H49" s="67">
        <f t="shared" si="28"/>
        <v>1089.3946220159369</v>
      </c>
      <c r="I49" s="67">
        <f t="shared" si="29"/>
        <v>1223.9474036508886</v>
      </c>
      <c r="J49" s="58">
        <f t="shared" si="17"/>
        <v>0.31125560629026766</v>
      </c>
      <c r="K49" s="67">
        <f t="shared" si="18"/>
        <v>73.496972326607363</v>
      </c>
      <c r="L49" s="67">
        <v>20</v>
      </c>
      <c r="M49" s="54">
        <f>Protein_Amt!$B$6</f>
        <v>120.61866317785559</v>
      </c>
      <c r="N49" s="67">
        <f t="shared" si="19"/>
        <v>661.47275093946632</v>
      </c>
      <c r="O49" s="67">
        <f t="shared" si="20"/>
        <v>80</v>
      </c>
      <c r="P49" s="67">
        <f t="shared" si="21"/>
        <v>482.47465271142238</v>
      </c>
      <c r="Q49" s="68">
        <f t="shared" si="22"/>
        <v>1223.9474036508886</v>
      </c>
      <c r="S49" s="70">
        <f>VLOOKUP($A49,FoodLog!$A$1:$Z$10001,12,0)</f>
        <v>0</v>
      </c>
      <c r="T49" s="70">
        <f>VLOOKUP($A49,FoodLog!$A$1:$Z$10001,13,0)</f>
        <v>0</v>
      </c>
      <c r="U49" s="70">
        <f>VLOOKUP($A49,FoodLog!$A$1:$Z$10001,14,0)</f>
        <v>0</v>
      </c>
      <c r="V49" s="70">
        <f>VLOOKUP($A49,FoodLog!$A$1:$Z$10001,15,0)</f>
        <v>0</v>
      </c>
      <c r="W49" s="70">
        <f>VLOOKUP($A49,FoodLog!$A$1:$Z$10001,16,0)</f>
        <v>661.47275093946632</v>
      </c>
      <c r="X49" s="70">
        <f>VLOOKUP($A49,FoodLog!$A$1:$Z$10001,17,0)</f>
        <v>80</v>
      </c>
      <c r="Y49" s="70">
        <f>VLOOKUP($A49,FoodLog!$A$1:$Z$10001,18,0)</f>
        <v>482.47465271142238</v>
      </c>
      <c r="Z49" s="70">
        <f>VLOOKUP($A49,FoodLog!$A$1:$Z$10001,19,0)</f>
        <v>1223.9474036508886</v>
      </c>
      <c r="AA49" s="62">
        <f t="shared" si="23"/>
        <v>0.31125560629026766</v>
      </c>
      <c r="AB49" s="63">
        <f>Scale!C49</f>
        <v>0</v>
      </c>
    </row>
    <row r="50" spans="1:28" x14ac:dyDescent="0.25">
      <c r="A50" s="65">
        <f t="shared" si="24"/>
        <v>43039</v>
      </c>
      <c r="B50" s="66">
        <f t="shared" si="25"/>
        <v>48</v>
      </c>
      <c r="C50" s="67">
        <f t="shared" si="26"/>
        <v>185.60383536654331</v>
      </c>
      <c r="D50" s="67">
        <f t="shared" si="27"/>
        <v>150.77332897231949</v>
      </c>
      <c r="E50" s="68">
        <f t="shared" si="16"/>
        <v>34.830506394223818</v>
      </c>
      <c r="F50" s="56"/>
      <c r="G50" s="69">
        <f>C50*TDEE!$B$5</f>
        <v>2309.4690712391462</v>
      </c>
      <c r="H50" s="67">
        <f t="shared" si="28"/>
        <v>1079.7456982209383</v>
      </c>
      <c r="I50" s="67">
        <f t="shared" si="29"/>
        <v>1229.7233730182079</v>
      </c>
      <c r="J50" s="58">
        <f t="shared" si="17"/>
        <v>0.30849877092026806</v>
      </c>
      <c r="K50" s="67">
        <f t="shared" si="18"/>
        <v>74.138746700753956</v>
      </c>
      <c r="L50" s="67">
        <v>20</v>
      </c>
      <c r="M50" s="54">
        <f>Protein_Amt!$B$6</f>
        <v>120.61866317785559</v>
      </c>
      <c r="N50" s="67">
        <f t="shared" si="19"/>
        <v>667.24872030678557</v>
      </c>
      <c r="O50" s="67">
        <f t="shared" si="20"/>
        <v>80</v>
      </c>
      <c r="P50" s="67">
        <f t="shared" si="21"/>
        <v>482.47465271142238</v>
      </c>
      <c r="Q50" s="68">
        <f t="shared" si="22"/>
        <v>1229.7233730182079</v>
      </c>
      <c r="S50" s="70">
        <f>VLOOKUP($A50,FoodLog!$A$1:$Z$10001,12,0)</f>
        <v>0</v>
      </c>
      <c r="T50" s="70">
        <f>VLOOKUP($A50,FoodLog!$A$1:$Z$10001,13,0)</f>
        <v>0</v>
      </c>
      <c r="U50" s="70">
        <f>VLOOKUP($A50,FoodLog!$A$1:$Z$10001,14,0)</f>
        <v>0</v>
      </c>
      <c r="V50" s="70">
        <f>VLOOKUP($A50,FoodLog!$A$1:$Z$10001,15,0)</f>
        <v>0</v>
      </c>
      <c r="W50" s="70">
        <f>VLOOKUP($A50,FoodLog!$A$1:$Z$10001,16,0)</f>
        <v>667.24872030678557</v>
      </c>
      <c r="X50" s="70">
        <f>VLOOKUP($A50,FoodLog!$A$1:$Z$10001,17,0)</f>
        <v>80</v>
      </c>
      <c r="Y50" s="70">
        <f>VLOOKUP($A50,FoodLog!$A$1:$Z$10001,18,0)</f>
        <v>482.47465271142238</v>
      </c>
      <c r="Z50" s="70">
        <f>VLOOKUP($A50,FoodLog!$A$1:$Z$10001,19,0)</f>
        <v>1229.7233730182079</v>
      </c>
      <c r="AA50" s="62">
        <f t="shared" si="23"/>
        <v>0.30849877092026806</v>
      </c>
      <c r="AB50" s="63">
        <f>Scale!C50</f>
        <v>0</v>
      </c>
    </row>
    <row r="51" spans="1:28" x14ac:dyDescent="0.25">
      <c r="A51" s="65">
        <f t="shared" si="24"/>
        <v>43040</v>
      </c>
      <c r="B51" s="66">
        <f t="shared" si="25"/>
        <v>49</v>
      </c>
      <c r="C51" s="67">
        <f t="shared" si="26"/>
        <v>185.29533659562304</v>
      </c>
      <c r="D51" s="67">
        <f t="shared" si="27"/>
        <v>150.77332897231949</v>
      </c>
      <c r="E51" s="68">
        <f t="shared" si="16"/>
        <v>34.522007623303551</v>
      </c>
      <c r="F51" s="56"/>
      <c r="G51" s="69">
        <f>C51*TDEE!$B$5</f>
        <v>2305.6304201221114</v>
      </c>
      <c r="H51" s="67">
        <f t="shared" si="28"/>
        <v>1070.1822363224101</v>
      </c>
      <c r="I51" s="67">
        <f t="shared" si="29"/>
        <v>1235.4481837997014</v>
      </c>
      <c r="J51" s="58">
        <f t="shared" si="17"/>
        <v>0.30576635323497431</v>
      </c>
      <c r="K51" s="67">
        <f t="shared" si="18"/>
        <v>74.774836787586565</v>
      </c>
      <c r="L51" s="67">
        <v>20</v>
      </c>
      <c r="M51" s="54">
        <f>Protein_Amt!$B$6</f>
        <v>120.61866317785559</v>
      </c>
      <c r="N51" s="67">
        <f t="shared" si="19"/>
        <v>672.97353108827906</v>
      </c>
      <c r="O51" s="67">
        <f t="shared" si="20"/>
        <v>80</v>
      </c>
      <c r="P51" s="67">
        <f t="shared" si="21"/>
        <v>482.47465271142238</v>
      </c>
      <c r="Q51" s="68">
        <f t="shared" si="22"/>
        <v>1235.4481837997014</v>
      </c>
      <c r="S51" s="70">
        <f>VLOOKUP($A51,FoodLog!$A$1:$Z$10001,12,0)</f>
        <v>0</v>
      </c>
      <c r="T51" s="70">
        <f>VLOOKUP($A51,FoodLog!$A$1:$Z$10001,13,0)</f>
        <v>0</v>
      </c>
      <c r="U51" s="70">
        <f>VLOOKUP($A51,FoodLog!$A$1:$Z$10001,14,0)</f>
        <v>0</v>
      </c>
      <c r="V51" s="70">
        <f>VLOOKUP($A51,FoodLog!$A$1:$Z$10001,15,0)</f>
        <v>0</v>
      </c>
      <c r="W51" s="70">
        <f>VLOOKUP($A51,FoodLog!$A$1:$Z$10001,16,0)</f>
        <v>672.97353108827906</v>
      </c>
      <c r="X51" s="70">
        <f>VLOOKUP($A51,FoodLog!$A$1:$Z$10001,17,0)</f>
        <v>80</v>
      </c>
      <c r="Y51" s="70">
        <f>VLOOKUP($A51,FoodLog!$A$1:$Z$10001,18,0)</f>
        <v>482.47465271142238</v>
      </c>
      <c r="Z51" s="70">
        <f>VLOOKUP($A51,FoodLog!$A$1:$Z$10001,19,0)</f>
        <v>1235.4481837997014</v>
      </c>
      <c r="AA51" s="62">
        <f t="shared" si="23"/>
        <v>0.30576635323497431</v>
      </c>
      <c r="AB51" s="63">
        <f>Scale!C51</f>
        <v>0</v>
      </c>
    </row>
    <row r="52" spans="1:28" x14ac:dyDescent="0.25">
      <c r="A52" s="65">
        <f t="shared" si="24"/>
        <v>43041</v>
      </c>
      <c r="B52" s="66">
        <f t="shared" si="25"/>
        <v>50</v>
      </c>
      <c r="C52" s="67">
        <f t="shared" si="26"/>
        <v>184.98957024238806</v>
      </c>
      <c r="D52" s="67">
        <f t="shared" si="27"/>
        <v>150.77332897231949</v>
      </c>
      <c r="E52" s="68">
        <f t="shared" si="16"/>
        <v>34.216241270068565</v>
      </c>
      <c r="F52" s="56"/>
      <c r="G52" s="69">
        <f>C52*TDEE!$B$5</f>
        <v>2301.8257684863993</v>
      </c>
      <c r="H52" s="67">
        <f t="shared" si="28"/>
        <v>1060.7034793721255</v>
      </c>
      <c r="I52" s="67">
        <f t="shared" si="29"/>
        <v>1241.1222891142738</v>
      </c>
      <c r="J52" s="58">
        <f t="shared" si="17"/>
        <v>0.3030581369634644</v>
      </c>
      <c r="K52" s="67">
        <f t="shared" si="18"/>
        <v>75.405292933650173</v>
      </c>
      <c r="L52" s="67">
        <v>20</v>
      </c>
      <c r="M52" s="54">
        <f>Protein_Amt!$B$6</f>
        <v>120.61866317785559</v>
      </c>
      <c r="N52" s="67">
        <f t="shared" si="19"/>
        <v>678.6476364028515</v>
      </c>
      <c r="O52" s="67">
        <f t="shared" si="20"/>
        <v>80</v>
      </c>
      <c r="P52" s="67">
        <f t="shared" si="21"/>
        <v>482.47465271142238</v>
      </c>
      <c r="Q52" s="68">
        <f t="shared" si="22"/>
        <v>1241.1222891142738</v>
      </c>
      <c r="S52" s="70">
        <f>VLOOKUP($A52,FoodLog!$A$1:$Z$10001,12,0)</f>
        <v>0</v>
      </c>
      <c r="T52" s="70">
        <f>VLOOKUP($A52,FoodLog!$A$1:$Z$10001,13,0)</f>
        <v>0</v>
      </c>
      <c r="U52" s="70">
        <f>VLOOKUP($A52,FoodLog!$A$1:$Z$10001,14,0)</f>
        <v>0</v>
      </c>
      <c r="V52" s="70">
        <f>VLOOKUP($A52,FoodLog!$A$1:$Z$10001,15,0)</f>
        <v>0</v>
      </c>
      <c r="W52" s="70">
        <f>VLOOKUP($A52,FoodLog!$A$1:$Z$10001,16,0)</f>
        <v>678.6476364028515</v>
      </c>
      <c r="X52" s="70">
        <f>VLOOKUP($A52,FoodLog!$A$1:$Z$10001,17,0)</f>
        <v>80</v>
      </c>
      <c r="Y52" s="70">
        <f>VLOOKUP($A52,FoodLog!$A$1:$Z$10001,18,0)</f>
        <v>482.47465271142238</v>
      </c>
      <c r="Z52" s="70">
        <f>VLOOKUP($A52,FoodLog!$A$1:$Z$10001,19,0)</f>
        <v>1241.1222891142738</v>
      </c>
      <c r="AA52" s="62">
        <f t="shared" si="23"/>
        <v>0.3030581369634644</v>
      </c>
      <c r="AB52" s="63">
        <f>Scale!C52</f>
        <v>0</v>
      </c>
    </row>
    <row r="53" spans="1:28" x14ac:dyDescent="0.25">
      <c r="A53" s="65">
        <f t="shared" si="24"/>
        <v>43042</v>
      </c>
      <c r="B53" s="66">
        <f t="shared" si="25"/>
        <v>51</v>
      </c>
      <c r="C53" s="67">
        <f t="shared" si="26"/>
        <v>184.68651210542458</v>
      </c>
      <c r="D53" s="67">
        <f t="shared" si="27"/>
        <v>150.77332897231949</v>
      </c>
      <c r="E53" s="68">
        <f t="shared" si="16"/>
        <v>33.913183133105093</v>
      </c>
      <c r="F53" s="56"/>
      <c r="G53" s="69">
        <f>C53*TDEE!$B$5</f>
        <v>2298.0548151937464</v>
      </c>
      <c r="H53" s="67">
        <f t="shared" si="28"/>
        <v>1051.3086771262579</v>
      </c>
      <c r="I53" s="67">
        <f t="shared" si="29"/>
        <v>1246.7461380674886</v>
      </c>
      <c r="J53" s="58">
        <f t="shared" si="17"/>
        <v>0.30037390775035938</v>
      </c>
      <c r="K53" s="67">
        <f t="shared" si="18"/>
        <v>76.030165039562917</v>
      </c>
      <c r="L53" s="67">
        <v>20</v>
      </c>
      <c r="M53" s="54">
        <f>Protein_Amt!$B$6</f>
        <v>120.61866317785559</v>
      </c>
      <c r="N53" s="67">
        <f t="shared" si="19"/>
        <v>684.27148535606625</v>
      </c>
      <c r="O53" s="67">
        <f t="shared" si="20"/>
        <v>80</v>
      </c>
      <c r="P53" s="67">
        <f t="shared" si="21"/>
        <v>482.47465271142238</v>
      </c>
      <c r="Q53" s="68">
        <f t="shared" si="22"/>
        <v>1246.7461380674886</v>
      </c>
      <c r="S53" s="70">
        <f>VLOOKUP($A53,FoodLog!$A$1:$Z$10001,12,0)</f>
        <v>0</v>
      </c>
      <c r="T53" s="70">
        <f>VLOOKUP($A53,FoodLog!$A$1:$Z$10001,13,0)</f>
        <v>0</v>
      </c>
      <c r="U53" s="70">
        <f>VLOOKUP($A53,FoodLog!$A$1:$Z$10001,14,0)</f>
        <v>0</v>
      </c>
      <c r="V53" s="70">
        <f>VLOOKUP($A53,FoodLog!$A$1:$Z$10001,15,0)</f>
        <v>0</v>
      </c>
      <c r="W53" s="70">
        <f>VLOOKUP($A53,FoodLog!$A$1:$Z$10001,16,0)</f>
        <v>684.27148535606625</v>
      </c>
      <c r="X53" s="70">
        <f>VLOOKUP($A53,FoodLog!$A$1:$Z$10001,17,0)</f>
        <v>80</v>
      </c>
      <c r="Y53" s="70">
        <f>VLOOKUP($A53,FoodLog!$A$1:$Z$10001,18,0)</f>
        <v>482.47465271142238</v>
      </c>
      <c r="Z53" s="70">
        <f>VLOOKUP($A53,FoodLog!$A$1:$Z$10001,19,0)</f>
        <v>1246.7461380674886</v>
      </c>
      <c r="AA53" s="62">
        <f t="shared" si="23"/>
        <v>0.30037390775035938</v>
      </c>
      <c r="AB53" s="63">
        <f>Scale!C53</f>
        <v>0</v>
      </c>
    </row>
    <row r="54" spans="1:28" x14ac:dyDescent="0.25">
      <c r="A54" s="65">
        <f t="shared" si="24"/>
        <v>43043</v>
      </c>
      <c r="B54" s="66">
        <f t="shared" si="25"/>
        <v>52</v>
      </c>
      <c r="C54" s="67">
        <f t="shared" si="26"/>
        <v>184.38613819767423</v>
      </c>
      <c r="D54" s="67">
        <f t="shared" si="27"/>
        <v>150.77332897231949</v>
      </c>
      <c r="E54" s="68">
        <f t="shared" si="16"/>
        <v>33.612809225354738</v>
      </c>
      <c r="F54" s="56"/>
      <c r="G54" s="69">
        <f>C54*TDEE!$B$5</f>
        <v>2294.3172617731143</v>
      </c>
      <c r="H54" s="67">
        <f t="shared" si="28"/>
        <v>1041.9970859859968</v>
      </c>
      <c r="I54" s="67">
        <f t="shared" si="29"/>
        <v>1252.3201757871175</v>
      </c>
      <c r="J54" s="58">
        <f t="shared" si="17"/>
        <v>0.29771345313885622</v>
      </c>
      <c r="K54" s="67">
        <f t="shared" si="18"/>
        <v>76.649502563966124</v>
      </c>
      <c r="L54" s="67">
        <v>20</v>
      </c>
      <c r="M54" s="54">
        <f>Protein_Amt!$B$6</f>
        <v>120.61866317785559</v>
      </c>
      <c r="N54" s="67">
        <f t="shared" si="19"/>
        <v>689.84552307569516</v>
      </c>
      <c r="O54" s="67">
        <f t="shared" si="20"/>
        <v>80</v>
      </c>
      <c r="P54" s="67">
        <f t="shared" si="21"/>
        <v>482.47465271142238</v>
      </c>
      <c r="Q54" s="68">
        <f t="shared" si="22"/>
        <v>1252.3201757871175</v>
      </c>
      <c r="S54" s="70">
        <f>VLOOKUP($A54,FoodLog!$A$1:$Z$10001,12,0)</f>
        <v>0</v>
      </c>
      <c r="T54" s="70">
        <f>VLOOKUP($A54,FoodLog!$A$1:$Z$10001,13,0)</f>
        <v>0</v>
      </c>
      <c r="U54" s="70">
        <f>VLOOKUP($A54,FoodLog!$A$1:$Z$10001,14,0)</f>
        <v>0</v>
      </c>
      <c r="V54" s="70">
        <f>VLOOKUP($A54,FoodLog!$A$1:$Z$10001,15,0)</f>
        <v>0</v>
      </c>
      <c r="W54" s="70">
        <f>VLOOKUP($A54,FoodLog!$A$1:$Z$10001,16,0)</f>
        <v>689.84552307569516</v>
      </c>
      <c r="X54" s="70">
        <f>VLOOKUP($A54,FoodLog!$A$1:$Z$10001,17,0)</f>
        <v>80</v>
      </c>
      <c r="Y54" s="70">
        <f>VLOOKUP($A54,FoodLog!$A$1:$Z$10001,18,0)</f>
        <v>482.47465271142238</v>
      </c>
      <c r="Z54" s="70">
        <f>VLOOKUP($A54,FoodLog!$A$1:$Z$10001,19,0)</f>
        <v>1252.3201757871175</v>
      </c>
      <c r="AA54" s="62">
        <f t="shared" si="23"/>
        <v>0.29771345313885622</v>
      </c>
      <c r="AB54" s="63">
        <f>Scale!C54</f>
        <v>0</v>
      </c>
    </row>
    <row r="55" spans="1:28" x14ac:dyDescent="0.25">
      <c r="A55" s="65">
        <f t="shared" si="24"/>
        <v>43044</v>
      </c>
      <c r="B55" s="66">
        <f t="shared" si="25"/>
        <v>53</v>
      </c>
      <c r="C55" s="67">
        <f t="shared" si="26"/>
        <v>184.08842474453536</v>
      </c>
      <c r="D55" s="67">
        <f t="shared" si="27"/>
        <v>150.77332897231949</v>
      </c>
      <c r="E55" s="68">
        <f t="shared" si="16"/>
        <v>33.315095772215869</v>
      </c>
      <c r="F55" s="56"/>
      <c r="G55" s="69">
        <f>C55*TDEE!$B$5</f>
        <v>2290.6128123970643</v>
      </c>
      <c r="H55" s="67">
        <f t="shared" si="28"/>
        <v>1032.7679689386919</v>
      </c>
      <c r="I55" s="67">
        <f t="shared" si="29"/>
        <v>1257.8448434583725</v>
      </c>
      <c r="J55" s="58">
        <f t="shared" si="17"/>
        <v>0.29507656255391196</v>
      </c>
      <c r="K55" s="67">
        <f t="shared" si="18"/>
        <v>77.263354527438906</v>
      </c>
      <c r="L55" s="67">
        <v>20</v>
      </c>
      <c r="M55" s="54">
        <f>Protein_Amt!$B$6</f>
        <v>120.61866317785559</v>
      </c>
      <c r="N55" s="67">
        <f t="shared" si="19"/>
        <v>695.37019074695013</v>
      </c>
      <c r="O55" s="67">
        <f t="shared" si="20"/>
        <v>80</v>
      </c>
      <c r="P55" s="67">
        <f t="shared" si="21"/>
        <v>482.47465271142238</v>
      </c>
      <c r="Q55" s="68">
        <f t="shared" si="22"/>
        <v>1257.8448434583725</v>
      </c>
      <c r="S55" s="70">
        <f>VLOOKUP($A55,FoodLog!$A$1:$Z$10001,12,0)</f>
        <v>0</v>
      </c>
      <c r="T55" s="70">
        <f>VLOOKUP($A55,FoodLog!$A$1:$Z$10001,13,0)</f>
        <v>0</v>
      </c>
      <c r="U55" s="70">
        <f>VLOOKUP($A55,FoodLog!$A$1:$Z$10001,14,0)</f>
        <v>0</v>
      </c>
      <c r="V55" s="70">
        <f>VLOOKUP($A55,FoodLog!$A$1:$Z$10001,15,0)</f>
        <v>0</v>
      </c>
      <c r="W55" s="70">
        <f>VLOOKUP($A55,FoodLog!$A$1:$Z$10001,16,0)</f>
        <v>695.37019074695013</v>
      </c>
      <c r="X55" s="70">
        <f>VLOOKUP($A55,FoodLog!$A$1:$Z$10001,17,0)</f>
        <v>80</v>
      </c>
      <c r="Y55" s="70">
        <f>VLOOKUP($A55,FoodLog!$A$1:$Z$10001,18,0)</f>
        <v>482.47465271142238</v>
      </c>
      <c r="Z55" s="70">
        <f>VLOOKUP($A55,FoodLog!$A$1:$Z$10001,19,0)</f>
        <v>1257.8448434583725</v>
      </c>
      <c r="AA55" s="62">
        <f t="shared" si="23"/>
        <v>0.29507656255391196</v>
      </c>
      <c r="AB55" s="63">
        <f>Scale!C55</f>
        <v>0</v>
      </c>
    </row>
    <row r="56" spans="1:28" x14ac:dyDescent="0.25">
      <c r="A56" s="65">
        <f t="shared" si="24"/>
        <v>43045</v>
      </c>
      <c r="B56" s="66">
        <f t="shared" si="25"/>
        <v>54</v>
      </c>
      <c r="C56" s="67">
        <f t="shared" si="26"/>
        <v>183.79334818198146</v>
      </c>
      <c r="D56" s="67">
        <f t="shared" si="27"/>
        <v>150.77332897231949</v>
      </c>
      <c r="E56" s="68">
        <f t="shared" si="16"/>
        <v>33.020019209661967</v>
      </c>
      <c r="F56" s="56"/>
      <c r="G56" s="69">
        <f>C56*TDEE!$B$5</f>
        <v>2286.9411738583458</v>
      </c>
      <c r="H56" s="67">
        <f t="shared" si="28"/>
        <v>1023.620595499521</v>
      </c>
      <c r="I56" s="67">
        <f t="shared" si="29"/>
        <v>1263.3205783588248</v>
      </c>
      <c r="J56" s="58">
        <f t="shared" si="17"/>
        <v>0.29246302728557744</v>
      </c>
      <c r="K56" s="67">
        <f t="shared" si="18"/>
        <v>77.871769516378052</v>
      </c>
      <c r="L56" s="67">
        <v>20</v>
      </c>
      <c r="M56" s="54">
        <f>Protein_Amt!$B$6</f>
        <v>120.61866317785559</v>
      </c>
      <c r="N56" s="67">
        <f t="shared" si="19"/>
        <v>700.84592564740251</v>
      </c>
      <c r="O56" s="67">
        <f t="shared" si="20"/>
        <v>80</v>
      </c>
      <c r="P56" s="67">
        <f t="shared" si="21"/>
        <v>482.47465271142238</v>
      </c>
      <c r="Q56" s="68">
        <f t="shared" si="22"/>
        <v>1263.3205783588248</v>
      </c>
      <c r="S56" s="70">
        <f>VLOOKUP($A56,FoodLog!$A$1:$Z$10001,12,0)</f>
        <v>0</v>
      </c>
      <c r="T56" s="70">
        <f>VLOOKUP($A56,FoodLog!$A$1:$Z$10001,13,0)</f>
        <v>0</v>
      </c>
      <c r="U56" s="70">
        <f>VLOOKUP($A56,FoodLog!$A$1:$Z$10001,14,0)</f>
        <v>0</v>
      </c>
      <c r="V56" s="70">
        <f>VLOOKUP($A56,FoodLog!$A$1:$Z$10001,15,0)</f>
        <v>0</v>
      </c>
      <c r="W56" s="70">
        <f>VLOOKUP($A56,FoodLog!$A$1:$Z$10001,16,0)</f>
        <v>700.84592564740251</v>
      </c>
      <c r="X56" s="70">
        <f>VLOOKUP($A56,FoodLog!$A$1:$Z$10001,17,0)</f>
        <v>80</v>
      </c>
      <c r="Y56" s="70">
        <f>VLOOKUP($A56,FoodLog!$A$1:$Z$10001,18,0)</f>
        <v>482.47465271142238</v>
      </c>
      <c r="Z56" s="70">
        <f>VLOOKUP($A56,FoodLog!$A$1:$Z$10001,19,0)</f>
        <v>1263.3205783588248</v>
      </c>
      <c r="AA56" s="62">
        <f t="shared" si="23"/>
        <v>0.29246302728557744</v>
      </c>
      <c r="AB56" s="63">
        <f>Scale!C56</f>
        <v>0</v>
      </c>
    </row>
    <row r="57" spans="1:28" x14ac:dyDescent="0.25">
      <c r="A57" s="65">
        <f t="shared" si="24"/>
        <v>43046</v>
      </c>
      <c r="B57" s="66">
        <f t="shared" si="25"/>
        <v>55</v>
      </c>
      <c r="C57" s="67">
        <f t="shared" si="26"/>
        <v>183.50088515469588</v>
      </c>
      <c r="D57" s="67">
        <f t="shared" si="27"/>
        <v>150.77332897231949</v>
      </c>
      <c r="E57" s="68">
        <f t="shared" si="16"/>
        <v>32.727556182376389</v>
      </c>
      <c r="F57" s="56"/>
      <c r="G57" s="69">
        <f>C57*TDEE!$B$5</f>
        <v>2283.3020555466842</v>
      </c>
      <c r="H57" s="67">
        <f t="shared" si="28"/>
        <v>1014.5542416536681</v>
      </c>
      <c r="I57" s="67">
        <f t="shared" si="29"/>
        <v>1268.747813893016</v>
      </c>
      <c r="J57" s="58">
        <f t="shared" si="17"/>
        <v>0.28987264047247657</v>
      </c>
      <c r="K57" s="67">
        <f t="shared" si="18"/>
        <v>78.474795686843734</v>
      </c>
      <c r="L57" s="67">
        <v>20</v>
      </c>
      <c r="M57" s="54">
        <f>Protein_Amt!$B$6</f>
        <v>120.61866317785559</v>
      </c>
      <c r="N57" s="67">
        <f t="shared" si="19"/>
        <v>706.27316118159365</v>
      </c>
      <c r="O57" s="67">
        <f t="shared" si="20"/>
        <v>80</v>
      </c>
      <c r="P57" s="67">
        <f t="shared" si="21"/>
        <v>482.47465271142238</v>
      </c>
      <c r="Q57" s="68">
        <f t="shared" si="22"/>
        <v>1268.747813893016</v>
      </c>
      <c r="S57" s="70">
        <f>VLOOKUP($A57,FoodLog!$A$1:$Z$10001,12,0)</f>
        <v>0</v>
      </c>
      <c r="T57" s="70">
        <f>VLOOKUP($A57,FoodLog!$A$1:$Z$10001,13,0)</f>
        <v>0</v>
      </c>
      <c r="U57" s="70">
        <f>VLOOKUP($A57,FoodLog!$A$1:$Z$10001,14,0)</f>
        <v>0</v>
      </c>
      <c r="V57" s="70">
        <f>VLOOKUP($A57,FoodLog!$A$1:$Z$10001,15,0)</f>
        <v>0</v>
      </c>
      <c r="W57" s="70">
        <f>VLOOKUP($A57,FoodLog!$A$1:$Z$10001,16,0)</f>
        <v>706.27316118159365</v>
      </c>
      <c r="X57" s="70">
        <f>VLOOKUP($A57,FoodLog!$A$1:$Z$10001,17,0)</f>
        <v>80</v>
      </c>
      <c r="Y57" s="70">
        <f>VLOOKUP($A57,FoodLog!$A$1:$Z$10001,18,0)</f>
        <v>482.47465271142238</v>
      </c>
      <c r="Z57" s="70">
        <f>VLOOKUP($A57,FoodLog!$A$1:$Z$10001,19,0)</f>
        <v>1268.747813893016</v>
      </c>
      <c r="AA57" s="62">
        <f t="shared" si="23"/>
        <v>0.28987264047247657</v>
      </c>
      <c r="AB57" s="63">
        <f>Scale!C57</f>
        <v>0</v>
      </c>
    </row>
    <row r="58" spans="1:28" x14ac:dyDescent="0.25">
      <c r="A58" s="65">
        <f t="shared" si="24"/>
        <v>43047</v>
      </c>
      <c r="B58" s="66">
        <f t="shared" si="25"/>
        <v>56</v>
      </c>
      <c r="C58" s="67">
        <f t="shared" si="26"/>
        <v>183.2110125142234</v>
      </c>
      <c r="D58" s="67">
        <f t="shared" si="27"/>
        <v>150.77332897231949</v>
      </c>
      <c r="E58" s="68">
        <f t="shared" si="16"/>
        <v>32.437683541903908</v>
      </c>
      <c r="F58" s="56"/>
      <c r="G58" s="69">
        <f>C58*TDEE!$B$5</f>
        <v>2279.6951694257828</v>
      </c>
      <c r="H58" s="67">
        <f t="shared" si="28"/>
        <v>1005.5681897990212</v>
      </c>
      <c r="I58" s="67">
        <f t="shared" si="29"/>
        <v>1274.1269796267616</v>
      </c>
      <c r="J58" s="58">
        <f t="shared" si="17"/>
        <v>0.28730519708543462</v>
      </c>
      <c r="K58" s="67">
        <f t="shared" si="18"/>
        <v>79.072480768371022</v>
      </c>
      <c r="L58" s="67">
        <v>20</v>
      </c>
      <c r="M58" s="54">
        <f>Protein_Amt!$B$6</f>
        <v>120.61866317785559</v>
      </c>
      <c r="N58" s="67">
        <f t="shared" si="19"/>
        <v>711.65232691533924</v>
      </c>
      <c r="O58" s="67">
        <f t="shared" si="20"/>
        <v>80</v>
      </c>
      <c r="P58" s="67">
        <f t="shared" si="21"/>
        <v>482.47465271142238</v>
      </c>
      <c r="Q58" s="68">
        <f t="shared" si="22"/>
        <v>1274.1269796267616</v>
      </c>
      <c r="S58" s="70">
        <f>VLOOKUP($A58,FoodLog!$A$1:$Z$10001,12,0)</f>
        <v>0</v>
      </c>
      <c r="T58" s="70">
        <f>VLOOKUP($A58,FoodLog!$A$1:$Z$10001,13,0)</f>
        <v>0</v>
      </c>
      <c r="U58" s="70">
        <f>VLOOKUP($A58,FoodLog!$A$1:$Z$10001,14,0)</f>
        <v>0</v>
      </c>
      <c r="V58" s="70">
        <f>VLOOKUP($A58,FoodLog!$A$1:$Z$10001,15,0)</f>
        <v>0</v>
      </c>
      <c r="W58" s="70">
        <f>VLOOKUP($A58,FoodLog!$A$1:$Z$10001,16,0)</f>
        <v>711.65232691533924</v>
      </c>
      <c r="X58" s="70">
        <f>VLOOKUP($A58,FoodLog!$A$1:$Z$10001,17,0)</f>
        <v>80</v>
      </c>
      <c r="Y58" s="70">
        <f>VLOOKUP($A58,FoodLog!$A$1:$Z$10001,18,0)</f>
        <v>482.47465271142238</v>
      </c>
      <c r="Z58" s="70">
        <f>VLOOKUP($A58,FoodLog!$A$1:$Z$10001,19,0)</f>
        <v>1274.1269796267616</v>
      </c>
      <c r="AA58" s="62">
        <f t="shared" si="23"/>
        <v>0.28730519708543462</v>
      </c>
      <c r="AB58" s="63">
        <f>Scale!C58</f>
        <v>0</v>
      </c>
    </row>
    <row r="59" spans="1:28" x14ac:dyDescent="0.25">
      <c r="A59" s="65">
        <f t="shared" si="24"/>
        <v>43048</v>
      </c>
      <c r="B59" s="66">
        <f t="shared" si="25"/>
        <v>57</v>
      </c>
      <c r="C59" s="67">
        <f t="shared" si="26"/>
        <v>182.92370731713797</v>
      </c>
      <c r="D59" s="67">
        <f t="shared" si="27"/>
        <v>150.77332897231949</v>
      </c>
      <c r="E59" s="68">
        <f t="shared" si="16"/>
        <v>32.150378344818478</v>
      </c>
      <c r="F59" s="56"/>
      <c r="G59" s="69">
        <f>C59*TDEE!$B$5</f>
        <v>2276.1202300105242</v>
      </c>
      <c r="H59" s="67">
        <f t="shared" si="28"/>
        <v>996.66172868937281</v>
      </c>
      <c r="I59" s="67">
        <f t="shared" si="29"/>
        <v>1279.4585013211513</v>
      </c>
      <c r="J59" s="58">
        <f t="shared" si="17"/>
        <v>0.28476049391124936</v>
      </c>
      <c r="K59" s="67">
        <f t="shared" si="18"/>
        <v>79.664872067747666</v>
      </c>
      <c r="L59" s="67">
        <v>20</v>
      </c>
      <c r="M59" s="54">
        <f>Protein_Amt!$B$6</f>
        <v>120.61866317785559</v>
      </c>
      <c r="N59" s="67">
        <f t="shared" si="19"/>
        <v>716.98384860972897</v>
      </c>
      <c r="O59" s="67">
        <f t="shared" si="20"/>
        <v>80</v>
      </c>
      <c r="P59" s="67">
        <f t="shared" si="21"/>
        <v>482.47465271142238</v>
      </c>
      <c r="Q59" s="68">
        <f t="shared" si="22"/>
        <v>1279.4585013211513</v>
      </c>
      <c r="S59" s="70">
        <f>VLOOKUP($A59,FoodLog!$A$1:$Z$10001,12,0)</f>
        <v>0</v>
      </c>
      <c r="T59" s="70">
        <f>VLOOKUP($A59,FoodLog!$A$1:$Z$10001,13,0)</f>
        <v>0</v>
      </c>
      <c r="U59" s="70">
        <f>VLOOKUP($A59,FoodLog!$A$1:$Z$10001,14,0)</f>
        <v>0</v>
      </c>
      <c r="V59" s="70">
        <f>VLOOKUP($A59,FoodLog!$A$1:$Z$10001,15,0)</f>
        <v>0</v>
      </c>
      <c r="W59" s="70">
        <f>VLOOKUP($A59,FoodLog!$A$1:$Z$10001,16,0)</f>
        <v>716.98384860972897</v>
      </c>
      <c r="X59" s="70">
        <f>VLOOKUP($A59,FoodLog!$A$1:$Z$10001,17,0)</f>
        <v>80</v>
      </c>
      <c r="Y59" s="70">
        <f>VLOOKUP($A59,FoodLog!$A$1:$Z$10001,18,0)</f>
        <v>482.47465271142238</v>
      </c>
      <c r="Z59" s="70">
        <f>VLOOKUP($A59,FoodLog!$A$1:$Z$10001,19,0)</f>
        <v>1279.4585013211513</v>
      </c>
      <c r="AA59" s="62">
        <f t="shared" si="23"/>
        <v>0.28476049391124936</v>
      </c>
      <c r="AB59" s="63">
        <f>Scale!C59</f>
        <v>0</v>
      </c>
    </row>
    <row r="60" spans="1:28" x14ac:dyDescent="0.25">
      <c r="A60" s="65">
        <f t="shared" si="24"/>
        <v>43049</v>
      </c>
      <c r="B60" s="66">
        <f t="shared" si="25"/>
        <v>58</v>
      </c>
      <c r="C60" s="67">
        <f t="shared" si="26"/>
        <v>182.63894682322672</v>
      </c>
      <c r="D60" s="67">
        <f t="shared" si="27"/>
        <v>150.77332897231949</v>
      </c>
      <c r="E60" s="68">
        <f t="shared" si="16"/>
        <v>31.865617850907228</v>
      </c>
      <c r="F60" s="56"/>
      <c r="G60" s="69">
        <f>C60*TDEE!$B$5</f>
        <v>2272.5769543443716</v>
      </c>
      <c r="H60" s="67">
        <f t="shared" si="28"/>
        <v>987.83415337812403</v>
      </c>
      <c r="I60" s="67">
        <f t="shared" si="29"/>
        <v>1284.7428009662476</v>
      </c>
      <c r="J60" s="58">
        <f t="shared" si="17"/>
        <v>0.28223832953660688</v>
      </c>
      <c r="K60" s="67">
        <f t="shared" si="18"/>
        <v>80.25201647275837</v>
      </c>
      <c r="L60" s="67">
        <v>20</v>
      </c>
      <c r="M60" s="54">
        <f>Protein_Amt!$B$6</f>
        <v>120.61866317785559</v>
      </c>
      <c r="N60" s="67">
        <f t="shared" si="19"/>
        <v>722.26814825482529</v>
      </c>
      <c r="O60" s="67">
        <f t="shared" si="20"/>
        <v>80</v>
      </c>
      <c r="P60" s="67">
        <f t="shared" si="21"/>
        <v>482.47465271142238</v>
      </c>
      <c r="Q60" s="68">
        <f t="shared" si="22"/>
        <v>1284.7428009662476</v>
      </c>
      <c r="S60" s="70">
        <f>VLOOKUP($A60,FoodLog!$A$1:$Z$10001,12,0)</f>
        <v>0</v>
      </c>
      <c r="T60" s="70">
        <f>VLOOKUP($A60,FoodLog!$A$1:$Z$10001,13,0)</f>
        <v>0</v>
      </c>
      <c r="U60" s="70">
        <f>VLOOKUP($A60,FoodLog!$A$1:$Z$10001,14,0)</f>
        <v>0</v>
      </c>
      <c r="V60" s="70">
        <f>VLOOKUP($A60,FoodLog!$A$1:$Z$10001,15,0)</f>
        <v>0</v>
      </c>
      <c r="W60" s="70">
        <f>VLOOKUP($A60,FoodLog!$A$1:$Z$10001,16,0)</f>
        <v>722.26814825482529</v>
      </c>
      <c r="X60" s="70">
        <f>VLOOKUP($A60,FoodLog!$A$1:$Z$10001,17,0)</f>
        <v>80</v>
      </c>
      <c r="Y60" s="70">
        <f>VLOOKUP($A60,FoodLog!$A$1:$Z$10001,18,0)</f>
        <v>482.47465271142238</v>
      </c>
      <c r="Z60" s="70">
        <f>VLOOKUP($A60,FoodLog!$A$1:$Z$10001,19,0)</f>
        <v>1284.7428009662476</v>
      </c>
      <c r="AA60" s="62">
        <f t="shared" si="23"/>
        <v>0.28223832953660688</v>
      </c>
      <c r="AB60" s="63">
        <f>Scale!C60</f>
        <v>0</v>
      </c>
    </row>
    <row r="61" spans="1:28" x14ac:dyDescent="0.25">
      <c r="A61" s="65">
        <f t="shared" si="24"/>
        <v>43050</v>
      </c>
      <c r="B61" s="66">
        <f t="shared" si="25"/>
        <v>59</v>
      </c>
      <c r="C61" s="67">
        <f t="shared" si="26"/>
        <v>182.35670849369012</v>
      </c>
      <c r="D61" s="67">
        <f t="shared" si="27"/>
        <v>150.77332897231949</v>
      </c>
      <c r="E61" s="68">
        <f t="shared" si="16"/>
        <v>31.583379521370631</v>
      </c>
      <c r="F61" s="56"/>
      <c r="G61" s="69">
        <f>C61*TDEE!$B$5</f>
        <v>2269.0650619769767</v>
      </c>
      <c r="H61" s="67">
        <f t="shared" si="28"/>
        <v>979.08476516248959</v>
      </c>
      <c r="I61" s="67">
        <f t="shared" si="29"/>
        <v>1289.9802968144872</v>
      </c>
      <c r="J61" s="58">
        <f t="shared" si="17"/>
        <v>0.27973850433213987</v>
      </c>
      <c r="K61" s="67">
        <f t="shared" si="18"/>
        <v>80.833960455896104</v>
      </c>
      <c r="L61" s="67">
        <v>20</v>
      </c>
      <c r="M61" s="54">
        <f>Protein_Amt!$B$6</f>
        <v>120.61866317785559</v>
      </c>
      <c r="N61" s="67">
        <f t="shared" si="19"/>
        <v>727.50564410306492</v>
      </c>
      <c r="O61" s="67">
        <f t="shared" si="20"/>
        <v>80</v>
      </c>
      <c r="P61" s="67">
        <f t="shared" si="21"/>
        <v>482.47465271142238</v>
      </c>
      <c r="Q61" s="68">
        <f t="shared" si="22"/>
        <v>1289.9802968144872</v>
      </c>
      <c r="S61" s="70">
        <f>VLOOKUP($A61,FoodLog!$A$1:$Z$10001,12,0)</f>
        <v>0</v>
      </c>
      <c r="T61" s="70">
        <f>VLOOKUP($A61,FoodLog!$A$1:$Z$10001,13,0)</f>
        <v>0</v>
      </c>
      <c r="U61" s="70">
        <f>VLOOKUP($A61,FoodLog!$A$1:$Z$10001,14,0)</f>
        <v>0</v>
      </c>
      <c r="V61" s="70">
        <f>VLOOKUP($A61,FoodLog!$A$1:$Z$10001,15,0)</f>
        <v>0</v>
      </c>
      <c r="W61" s="70">
        <f>VLOOKUP($A61,FoodLog!$A$1:$Z$10001,16,0)</f>
        <v>727.50564410306492</v>
      </c>
      <c r="X61" s="70">
        <f>VLOOKUP($A61,FoodLog!$A$1:$Z$10001,17,0)</f>
        <v>80</v>
      </c>
      <c r="Y61" s="70">
        <f>VLOOKUP($A61,FoodLog!$A$1:$Z$10001,18,0)</f>
        <v>482.47465271142238</v>
      </c>
      <c r="Z61" s="70">
        <f>VLOOKUP($A61,FoodLog!$A$1:$Z$10001,19,0)</f>
        <v>1289.9802968144872</v>
      </c>
      <c r="AA61" s="62">
        <f t="shared" si="23"/>
        <v>0.27973850433213987</v>
      </c>
      <c r="AB61" s="63">
        <f>Scale!C61</f>
        <v>0</v>
      </c>
    </row>
    <row r="62" spans="1:28" x14ac:dyDescent="0.25">
      <c r="A62" s="65">
        <f t="shared" si="24"/>
        <v>43051</v>
      </c>
      <c r="B62" s="66">
        <f t="shared" si="25"/>
        <v>60</v>
      </c>
      <c r="C62" s="67">
        <f t="shared" si="26"/>
        <v>182.07696998935799</v>
      </c>
      <c r="D62" s="67">
        <f t="shared" si="27"/>
        <v>150.77332897231949</v>
      </c>
      <c r="E62" s="68">
        <f t="shared" si="16"/>
        <v>31.303641017038501</v>
      </c>
      <c r="F62" s="56"/>
      <c r="G62" s="69">
        <f>C62*TDEE!$B$5</f>
        <v>2265.5842749419789</v>
      </c>
      <c r="H62" s="67">
        <f t="shared" si="28"/>
        <v>970.41287152819359</v>
      </c>
      <c r="I62" s="67">
        <f t="shared" si="29"/>
        <v>1295.1714034137854</v>
      </c>
      <c r="J62" s="58">
        <f t="shared" si="17"/>
        <v>0.27726082043662675</v>
      </c>
      <c r="K62" s="67">
        <f t="shared" si="18"/>
        <v>81.410750078040337</v>
      </c>
      <c r="L62" s="67">
        <v>20</v>
      </c>
      <c r="M62" s="54">
        <f>Protein_Amt!$B$6</f>
        <v>120.61866317785559</v>
      </c>
      <c r="N62" s="67">
        <f t="shared" si="19"/>
        <v>732.69675070236303</v>
      </c>
      <c r="O62" s="67">
        <f t="shared" si="20"/>
        <v>80</v>
      </c>
      <c r="P62" s="67">
        <f t="shared" si="21"/>
        <v>482.47465271142238</v>
      </c>
      <c r="Q62" s="68">
        <f t="shared" si="22"/>
        <v>1295.1714034137854</v>
      </c>
      <c r="S62" s="70">
        <f>VLOOKUP($A62,FoodLog!$A$1:$Z$10001,12,0)</f>
        <v>0</v>
      </c>
      <c r="T62" s="70">
        <f>VLOOKUP($A62,FoodLog!$A$1:$Z$10001,13,0)</f>
        <v>0</v>
      </c>
      <c r="U62" s="70">
        <f>VLOOKUP($A62,FoodLog!$A$1:$Z$10001,14,0)</f>
        <v>0</v>
      </c>
      <c r="V62" s="70">
        <f>VLOOKUP($A62,FoodLog!$A$1:$Z$10001,15,0)</f>
        <v>0</v>
      </c>
      <c r="W62" s="70">
        <f>VLOOKUP($A62,FoodLog!$A$1:$Z$10001,16,0)</f>
        <v>732.69675070236303</v>
      </c>
      <c r="X62" s="70">
        <f>VLOOKUP($A62,FoodLog!$A$1:$Z$10001,17,0)</f>
        <v>80</v>
      </c>
      <c r="Y62" s="70">
        <f>VLOOKUP($A62,FoodLog!$A$1:$Z$10001,18,0)</f>
        <v>482.47465271142238</v>
      </c>
      <c r="Z62" s="70">
        <f>VLOOKUP($A62,FoodLog!$A$1:$Z$10001,19,0)</f>
        <v>1295.1714034137854</v>
      </c>
      <c r="AA62" s="62">
        <f t="shared" si="23"/>
        <v>0.27726082043662675</v>
      </c>
      <c r="AB62" s="63">
        <f>Scale!C62</f>
        <v>0</v>
      </c>
    </row>
    <row r="63" spans="1:28" x14ac:dyDescent="0.25">
      <c r="A63" s="65">
        <f t="shared" si="24"/>
        <v>43052</v>
      </c>
      <c r="B63" s="66">
        <f t="shared" si="25"/>
        <v>61</v>
      </c>
      <c r="C63" s="67">
        <f t="shared" si="26"/>
        <v>181.79970916892137</v>
      </c>
      <c r="D63" s="67">
        <f t="shared" si="27"/>
        <v>150.77332897231949</v>
      </c>
      <c r="E63" s="68">
        <f t="shared" si="16"/>
        <v>31.026380196601878</v>
      </c>
      <c r="F63" s="56"/>
      <c r="G63" s="69">
        <f>C63*TDEE!$B$5</f>
        <v>2262.1343177350054</v>
      </c>
      <c r="H63" s="67">
        <f t="shared" si="28"/>
        <v>961.81778609465823</v>
      </c>
      <c r="I63" s="67">
        <f t="shared" si="29"/>
        <v>1300.3165316403472</v>
      </c>
      <c r="J63" s="58">
        <f t="shared" si="17"/>
        <v>0.27480508174133095</v>
      </c>
      <c r="K63" s="67">
        <f t="shared" si="18"/>
        <v>81.982430992102763</v>
      </c>
      <c r="L63" s="67">
        <v>20</v>
      </c>
      <c r="M63" s="54">
        <f>Protein_Amt!$B$6</f>
        <v>120.61866317785559</v>
      </c>
      <c r="N63" s="67">
        <f t="shared" si="19"/>
        <v>737.84187892892487</v>
      </c>
      <c r="O63" s="67">
        <f t="shared" si="20"/>
        <v>80</v>
      </c>
      <c r="P63" s="67">
        <f t="shared" si="21"/>
        <v>482.47465271142238</v>
      </c>
      <c r="Q63" s="68">
        <f t="shared" si="22"/>
        <v>1300.3165316403472</v>
      </c>
      <c r="S63" s="70">
        <f>VLOOKUP($A63,FoodLog!$A$1:$Z$10001,12,0)</f>
        <v>0</v>
      </c>
      <c r="T63" s="70">
        <f>VLOOKUP($A63,FoodLog!$A$1:$Z$10001,13,0)</f>
        <v>0</v>
      </c>
      <c r="U63" s="70">
        <f>VLOOKUP($A63,FoodLog!$A$1:$Z$10001,14,0)</f>
        <v>0</v>
      </c>
      <c r="V63" s="70">
        <f>VLOOKUP($A63,FoodLog!$A$1:$Z$10001,15,0)</f>
        <v>0</v>
      </c>
      <c r="W63" s="70">
        <f>VLOOKUP($A63,FoodLog!$A$1:$Z$10001,16,0)</f>
        <v>737.84187892892487</v>
      </c>
      <c r="X63" s="70">
        <f>VLOOKUP($A63,FoodLog!$A$1:$Z$10001,17,0)</f>
        <v>80</v>
      </c>
      <c r="Y63" s="70">
        <f>VLOOKUP($A63,FoodLog!$A$1:$Z$10001,18,0)</f>
        <v>482.47465271142238</v>
      </c>
      <c r="Z63" s="70">
        <f>VLOOKUP($A63,FoodLog!$A$1:$Z$10001,19,0)</f>
        <v>1300.3165316403472</v>
      </c>
      <c r="AA63" s="62">
        <f t="shared" si="23"/>
        <v>0.27480508174133095</v>
      </c>
      <c r="AB63" s="63">
        <f>Scale!C63</f>
        <v>0</v>
      </c>
    </row>
    <row r="64" spans="1:28" x14ac:dyDescent="0.25">
      <c r="A64" s="65">
        <f t="shared" si="24"/>
        <v>43053</v>
      </c>
      <c r="B64" s="66">
        <f t="shared" si="25"/>
        <v>62</v>
      </c>
      <c r="C64" s="67">
        <f t="shared" si="26"/>
        <v>181.52490408718003</v>
      </c>
      <c r="D64" s="67">
        <f t="shared" si="27"/>
        <v>150.77332897231949</v>
      </c>
      <c r="E64" s="68">
        <f t="shared" si="16"/>
        <v>30.751575114860543</v>
      </c>
      <c r="F64" s="56"/>
      <c r="G64" s="69">
        <f>C64*TDEE!$B$5</f>
        <v>2258.7149172918648</v>
      </c>
      <c r="H64" s="67">
        <f t="shared" si="28"/>
        <v>953.29882856067684</v>
      </c>
      <c r="I64" s="67">
        <f t="shared" si="29"/>
        <v>1305.416088731188</v>
      </c>
      <c r="J64" s="58">
        <f t="shared" si="17"/>
        <v>0.27237109387447911</v>
      </c>
      <c r="K64" s="67">
        <f t="shared" si="18"/>
        <v>82.549048446640626</v>
      </c>
      <c r="L64" s="67">
        <v>20</v>
      </c>
      <c r="M64" s="54">
        <f>Protein_Amt!$B$6</f>
        <v>120.61866317785559</v>
      </c>
      <c r="N64" s="67">
        <f t="shared" si="19"/>
        <v>742.94143601976566</v>
      </c>
      <c r="O64" s="67">
        <f t="shared" si="20"/>
        <v>80</v>
      </c>
      <c r="P64" s="67">
        <f t="shared" si="21"/>
        <v>482.47465271142238</v>
      </c>
      <c r="Q64" s="68">
        <f t="shared" si="22"/>
        <v>1305.416088731188</v>
      </c>
      <c r="S64" s="70">
        <f>VLOOKUP($A64,FoodLog!$A$1:$Z$10001,12,0)</f>
        <v>0</v>
      </c>
      <c r="T64" s="70">
        <f>VLOOKUP($A64,FoodLog!$A$1:$Z$10001,13,0)</f>
        <v>0</v>
      </c>
      <c r="U64" s="70">
        <f>VLOOKUP($A64,FoodLog!$A$1:$Z$10001,14,0)</f>
        <v>0</v>
      </c>
      <c r="V64" s="70">
        <f>VLOOKUP($A64,FoodLog!$A$1:$Z$10001,15,0)</f>
        <v>0</v>
      </c>
      <c r="W64" s="70">
        <f>VLOOKUP($A64,FoodLog!$A$1:$Z$10001,16,0)</f>
        <v>742.94143601976566</v>
      </c>
      <c r="X64" s="70">
        <f>VLOOKUP($A64,FoodLog!$A$1:$Z$10001,17,0)</f>
        <v>80</v>
      </c>
      <c r="Y64" s="70">
        <f>VLOOKUP($A64,FoodLog!$A$1:$Z$10001,18,0)</f>
        <v>482.47465271142238</v>
      </c>
      <c r="Z64" s="70">
        <f>VLOOKUP($A64,FoodLog!$A$1:$Z$10001,19,0)</f>
        <v>1305.416088731188</v>
      </c>
      <c r="AA64" s="62">
        <f t="shared" si="23"/>
        <v>0.27237109387447911</v>
      </c>
      <c r="AB64" s="63">
        <f>Scale!C64</f>
        <v>0</v>
      </c>
    </row>
    <row r="65" spans="1:28" x14ac:dyDescent="0.25">
      <c r="A65" s="65">
        <f t="shared" si="24"/>
        <v>43054</v>
      </c>
      <c r="B65" s="66">
        <f t="shared" si="25"/>
        <v>63</v>
      </c>
      <c r="C65" s="67">
        <f t="shared" si="26"/>
        <v>181.25253299330555</v>
      </c>
      <c r="D65" s="67">
        <f t="shared" si="27"/>
        <v>150.77332897231949</v>
      </c>
      <c r="E65" s="68">
        <f t="shared" si="16"/>
        <v>30.47920402098606</v>
      </c>
      <c r="F65" s="56"/>
      <c r="G65" s="69">
        <f>C65*TDEE!$B$5</f>
        <v>2255.3258029669346</v>
      </c>
      <c r="H65" s="67">
        <f t="shared" si="28"/>
        <v>944.85532465056781</v>
      </c>
      <c r="I65" s="67">
        <f t="shared" si="29"/>
        <v>1310.4704783163668</v>
      </c>
      <c r="J65" s="58">
        <f t="shared" si="17"/>
        <v>0.2699586641858765</v>
      </c>
      <c r="K65" s="67">
        <f t="shared" si="18"/>
        <v>83.110647289438276</v>
      </c>
      <c r="L65" s="67">
        <v>20</v>
      </c>
      <c r="M65" s="54">
        <f>Protein_Amt!$B$6</f>
        <v>120.61866317785559</v>
      </c>
      <c r="N65" s="67">
        <f t="shared" si="19"/>
        <v>747.99582560494446</v>
      </c>
      <c r="O65" s="67">
        <f t="shared" si="20"/>
        <v>80</v>
      </c>
      <c r="P65" s="67">
        <f t="shared" si="21"/>
        <v>482.47465271142238</v>
      </c>
      <c r="Q65" s="68">
        <f t="shared" si="22"/>
        <v>1310.4704783163668</v>
      </c>
      <c r="S65" s="70">
        <f>VLOOKUP($A65,FoodLog!$A$1:$Z$10001,12,0)</f>
        <v>0</v>
      </c>
      <c r="T65" s="70">
        <f>VLOOKUP($A65,FoodLog!$A$1:$Z$10001,13,0)</f>
        <v>0</v>
      </c>
      <c r="U65" s="70">
        <f>VLOOKUP($A65,FoodLog!$A$1:$Z$10001,14,0)</f>
        <v>0</v>
      </c>
      <c r="V65" s="70">
        <f>VLOOKUP($A65,FoodLog!$A$1:$Z$10001,15,0)</f>
        <v>0</v>
      </c>
      <c r="W65" s="70">
        <f>VLOOKUP($A65,FoodLog!$A$1:$Z$10001,16,0)</f>
        <v>747.99582560494446</v>
      </c>
      <c r="X65" s="70">
        <f>VLOOKUP($A65,FoodLog!$A$1:$Z$10001,17,0)</f>
        <v>80</v>
      </c>
      <c r="Y65" s="70">
        <f>VLOOKUP($A65,FoodLog!$A$1:$Z$10001,18,0)</f>
        <v>482.47465271142238</v>
      </c>
      <c r="Z65" s="70">
        <f>VLOOKUP($A65,FoodLog!$A$1:$Z$10001,19,0)</f>
        <v>1310.4704783163668</v>
      </c>
      <c r="AA65" s="62">
        <f t="shared" si="23"/>
        <v>0.2699586641858765</v>
      </c>
      <c r="AB65" s="63">
        <f>Scale!C65</f>
        <v>0</v>
      </c>
    </row>
    <row r="66" spans="1:28" x14ac:dyDescent="0.25">
      <c r="A66" s="65">
        <f t="shared" si="24"/>
        <v>43055</v>
      </c>
      <c r="B66" s="66">
        <f t="shared" si="25"/>
        <v>64</v>
      </c>
      <c r="C66" s="67">
        <f t="shared" si="26"/>
        <v>180.98257432911967</v>
      </c>
      <c r="D66" s="67">
        <f t="shared" si="27"/>
        <v>150.77332897231949</v>
      </c>
      <c r="E66" s="68">
        <f t="shared" si="16"/>
        <v>30.209245356800182</v>
      </c>
      <c r="F66" s="56"/>
      <c r="G66" s="69">
        <f>C66*TDEE!$B$5</f>
        <v>2251.9667065117396</v>
      </c>
      <c r="H66" s="67">
        <f t="shared" si="28"/>
        <v>936.48660606080557</v>
      </c>
      <c r="I66" s="67">
        <f t="shared" si="29"/>
        <v>1315.4801004509341</v>
      </c>
      <c r="J66" s="58">
        <f t="shared" si="17"/>
        <v>0.26756760173165872</v>
      </c>
      <c r="K66" s="67">
        <f t="shared" si="18"/>
        <v>83.667271971056863</v>
      </c>
      <c r="L66" s="67">
        <v>20</v>
      </c>
      <c r="M66" s="54">
        <f>Protein_Amt!$B$6</f>
        <v>120.61866317785559</v>
      </c>
      <c r="N66" s="67">
        <f t="shared" si="19"/>
        <v>753.00544773951174</v>
      </c>
      <c r="O66" s="67">
        <f t="shared" si="20"/>
        <v>80</v>
      </c>
      <c r="P66" s="67">
        <f t="shared" si="21"/>
        <v>482.47465271142238</v>
      </c>
      <c r="Q66" s="68">
        <f t="shared" si="22"/>
        <v>1315.4801004509341</v>
      </c>
      <c r="S66" s="70">
        <f>VLOOKUP($A66,FoodLog!$A$1:$Z$10001,12,0)</f>
        <v>0</v>
      </c>
      <c r="T66" s="70">
        <f>VLOOKUP($A66,FoodLog!$A$1:$Z$10001,13,0)</f>
        <v>0</v>
      </c>
      <c r="U66" s="70">
        <f>VLOOKUP($A66,FoodLog!$A$1:$Z$10001,14,0)</f>
        <v>0</v>
      </c>
      <c r="V66" s="70">
        <f>VLOOKUP($A66,FoodLog!$A$1:$Z$10001,15,0)</f>
        <v>0</v>
      </c>
      <c r="W66" s="70">
        <f>VLOOKUP($A66,FoodLog!$A$1:$Z$10001,16,0)</f>
        <v>753.00544773951174</v>
      </c>
      <c r="X66" s="70">
        <f>VLOOKUP($A66,FoodLog!$A$1:$Z$10001,17,0)</f>
        <v>80</v>
      </c>
      <c r="Y66" s="70">
        <f>VLOOKUP($A66,FoodLog!$A$1:$Z$10001,18,0)</f>
        <v>482.47465271142238</v>
      </c>
      <c r="Z66" s="70">
        <f>VLOOKUP($A66,FoodLog!$A$1:$Z$10001,19,0)</f>
        <v>1315.4801004509341</v>
      </c>
      <c r="AA66" s="62">
        <f t="shared" si="23"/>
        <v>0.26756760173165872</v>
      </c>
      <c r="AB66" s="63">
        <f>Scale!C66</f>
        <v>0</v>
      </c>
    </row>
    <row r="67" spans="1:28" x14ac:dyDescent="0.25">
      <c r="A67" s="65">
        <f t="shared" si="24"/>
        <v>43056</v>
      </c>
      <c r="B67" s="66">
        <f t="shared" si="25"/>
        <v>65</v>
      </c>
      <c r="C67" s="67">
        <f t="shared" si="26"/>
        <v>180.71500672738802</v>
      </c>
      <c r="D67" s="67">
        <f t="shared" si="27"/>
        <v>150.77332897231949</v>
      </c>
      <c r="E67" s="68">
        <f t="shared" ref="E67:E98" si="30">C67-D67</f>
        <v>29.941677755068525</v>
      </c>
      <c r="F67" s="56"/>
      <c r="G67" s="69">
        <f>C67*TDEE!$B$5</f>
        <v>2248.6373620537197</v>
      </c>
      <c r="H67" s="67">
        <f t="shared" si="28"/>
        <v>928.19201040712426</v>
      </c>
      <c r="I67" s="67">
        <f t="shared" si="29"/>
        <v>1320.4453516465956</v>
      </c>
      <c r="J67" s="58">
        <f t="shared" ref="J67:J98" si="31">H67/3500</f>
        <v>0.26519771725917834</v>
      </c>
      <c r="K67" s="67">
        <f t="shared" ref="K67:K98" si="32">N67/9</f>
        <v>84.218966548352583</v>
      </c>
      <c r="L67" s="67">
        <v>20</v>
      </c>
      <c r="M67" s="54">
        <f>Protein_Amt!$B$6</f>
        <v>120.61866317785559</v>
      </c>
      <c r="N67" s="67">
        <f t="shared" ref="N67:N98" si="33">MAX(0,I67-(O67+P67))</f>
        <v>757.97069893517323</v>
      </c>
      <c r="O67" s="67">
        <f t="shared" ref="O67:O98" si="34">4*L67</f>
        <v>80</v>
      </c>
      <c r="P67" s="67">
        <f t="shared" ref="P67:P98" si="35">4*M67</f>
        <v>482.47465271142238</v>
      </c>
      <c r="Q67" s="68">
        <f t="shared" ref="Q67:Q98" si="36">SUM(N67:P67)</f>
        <v>1320.4453516465956</v>
      </c>
      <c r="S67" s="70">
        <f>VLOOKUP($A67,FoodLog!$A$1:$Z$10001,12,0)</f>
        <v>0</v>
      </c>
      <c r="T67" s="70">
        <f>VLOOKUP($A67,FoodLog!$A$1:$Z$10001,13,0)</f>
        <v>0</v>
      </c>
      <c r="U67" s="70">
        <f>VLOOKUP($A67,FoodLog!$A$1:$Z$10001,14,0)</f>
        <v>0</v>
      </c>
      <c r="V67" s="70">
        <f>VLOOKUP($A67,FoodLog!$A$1:$Z$10001,15,0)</f>
        <v>0</v>
      </c>
      <c r="W67" s="70">
        <f>VLOOKUP($A67,FoodLog!$A$1:$Z$10001,16,0)</f>
        <v>757.97069893517323</v>
      </c>
      <c r="X67" s="70">
        <f>VLOOKUP($A67,FoodLog!$A$1:$Z$10001,17,0)</f>
        <v>80</v>
      </c>
      <c r="Y67" s="70">
        <f>VLOOKUP($A67,FoodLog!$A$1:$Z$10001,18,0)</f>
        <v>482.47465271142238</v>
      </c>
      <c r="Z67" s="70">
        <f>VLOOKUP($A67,FoodLog!$A$1:$Z$10001,19,0)</f>
        <v>1320.4453516465956</v>
      </c>
      <c r="AA67" s="62">
        <f t="shared" ref="AA67:AA98" si="37">MIN($H67,($H67+Z67))/3500</f>
        <v>0.26519771725917834</v>
      </c>
      <c r="AB67" s="63">
        <f>Scale!C67</f>
        <v>0</v>
      </c>
    </row>
    <row r="68" spans="1:28" x14ac:dyDescent="0.25">
      <c r="A68" s="65">
        <f t="shared" ref="A68:A99" si="38">A67+1</f>
        <v>43057</v>
      </c>
      <c r="B68" s="66">
        <f t="shared" ref="B68:B99" si="39">B67+1</f>
        <v>66</v>
      </c>
      <c r="C68" s="67">
        <f t="shared" ref="C68:C99" si="40">C67-AA67</f>
        <v>180.44980901012883</v>
      </c>
      <c r="D68" s="67">
        <f t="shared" ref="D68:D99" si="41">$D$3</f>
        <v>150.77332897231949</v>
      </c>
      <c r="E68" s="68">
        <f t="shared" si="30"/>
        <v>29.676480037809341</v>
      </c>
      <c r="F68" s="56"/>
      <c r="G68" s="69">
        <f>C68*TDEE!$B$5</f>
        <v>2245.3375060751846</v>
      </c>
      <c r="H68" s="67">
        <f t="shared" ref="H68:H104" si="42">$E68*31</f>
        <v>919.97088117208955</v>
      </c>
      <c r="I68" s="67">
        <f t="shared" ref="I68:I104" si="43">$G68-$H68</f>
        <v>1325.366624903095</v>
      </c>
      <c r="J68" s="58">
        <f t="shared" si="31"/>
        <v>0.26284882319202557</v>
      </c>
      <c r="K68" s="67">
        <f t="shared" si="32"/>
        <v>84.765774687963642</v>
      </c>
      <c r="L68" s="67">
        <v>20</v>
      </c>
      <c r="M68" s="54">
        <f>Protein_Amt!$B$6</f>
        <v>120.61866317785559</v>
      </c>
      <c r="N68" s="67">
        <f t="shared" si="33"/>
        <v>762.89197219167272</v>
      </c>
      <c r="O68" s="67">
        <f t="shared" si="34"/>
        <v>80</v>
      </c>
      <c r="P68" s="67">
        <f t="shared" si="35"/>
        <v>482.47465271142238</v>
      </c>
      <c r="Q68" s="68">
        <f t="shared" si="36"/>
        <v>1325.366624903095</v>
      </c>
      <c r="S68" s="70">
        <f>VLOOKUP($A68,FoodLog!$A$1:$Z$10001,12,0)</f>
        <v>0</v>
      </c>
      <c r="T68" s="70">
        <f>VLOOKUP($A68,FoodLog!$A$1:$Z$10001,13,0)</f>
        <v>0</v>
      </c>
      <c r="U68" s="70">
        <f>VLOOKUP($A68,FoodLog!$A$1:$Z$10001,14,0)</f>
        <v>0</v>
      </c>
      <c r="V68" s="70">
        <f>VLOOKUP($A68,FoodLog!$A$1:$Z$10001,15,0)</f>
        <v>0</v>
      </c>
      <c r="W68" s="70">
        <f>VLOOKUP($A68,FoodLog!$A$1:$Z$10001,16,0)</f>
        <v>762.89197219167272</v>
      </c>
      <c r="X68" s="70">
        <f>VLOOKUP($A68,FoodLog!$A$1:$Z$10001,17,0)</f>
        <v>80</v>
      </c>
      <c r="Y68" s="70">
        <f>VLOOKUP($A68,FoodLog!$A$1:$Z$10001,18,0)</f>
        <v>482.47465271142238</v>
      </c>
      <c r="Z68" s="70">
        <f>VLOOKUP($A68,FoodLog!$A$1:$Z$10001,19,0)</f>
        <v>1325.366624903095</v>
      </c>
      <c r="AA68" s="62">
        <f t="shared" si="37"/>
        <v>0.26284882319202557</v>
      </c>
      <c r="AB68" s="63">
        <f>Scale!C68</f>
        <v>0</v>
      </c>
    </row>
    <row r="69" spans="1:28" x14ac:dyDescent="0.25">
      <c r="A69" s="65">
        <f t="shared" si="38"/>
        <v>43058</v>
      </c>
      <c r="B69" s="66">
        <f t="shared" si="39"/>
        <v>67</v>
      </c>
      <c r="C69" s="67">
        <f t="shared" si="40"/>
        <v>180.1869601869368</v>
      </c>
      <c r="D69" s="67">
        <f t="shared" si="41"/>
        <v>150.77332897231949</v>
      </c>
      <c r="E69" s="68">
        <f t="shared" si="30"/>
        <v>29.413631214617311</v>
      </c>
      <c r="F69" s="56"/>
      <c r="G69" s="69">
        <f>C69*TDEE!$B$5</f>
        <v>2242.0668773924594</v>
      </c>
      <c r="H69" s="67">
        <f t="shared" si="42"/>
        <v>911.82256765313662</v>
      </c>
      <c r="I69" s="67">
        <f t="shared" si="43"/>
        <v>1330.2443097393229</v>
      </c>
      <c r="J69" s="58">
        <f t="shared" si="31"/>
        <v>0.26052073361518191</v>
      </c>
      <c r="K69" s="67">
        <f t="shared" si="32"/>
        <v>85.307739669766733</v>
      </c>
      <c r="L69" s="67">
        <v>20</v>
      </c>
      <c r="M69" s="54">
        <f>Protein_Amt!$B$6</f>
        <v>120.61866317785559</v>
      </c>
      <c r="N69" s="67">
        <f t="shared" si="33"/>
        <v>767.76965702790062</v>
      </c>
      <c r="O69" s="67">
        <f t="shared" si="34"/>
        <v>80</v>
      </c>
      <c r="P69" s="67">
        <f t="shared" si="35"/>
        <v>482.47465271142238</v>
      </c>
      <c r="Q69" s="68">
        <f t="shared" si="36"/>
        <v>1330.2443097393229</v>
      </c>
      <c r="S69" s="70">
        <f>VLOOKUP($A69,FoodLog!$A$1:$Z$10001,12,0)</f>
        <v>0</v>
      </c>
      <c r="T69" s="70">
        <f>VLOOKUP($A69,FoodLog!$A$1:$Z$10001,13,0)</f>
        <v>0</v>
      </c>
      <c r="U69" s="70">
        <f>VLOOKUP($A69,FoodLog!$A$1:$Z$10001,14,0)</f>
        <v>0</v>
      </c>
      <c r="V69" s="70">
        <f>VLOOKUP($A69,FoodLog!$A$1:$Z$10001,15,0)</f>
        <v>0</v>
      </c>
      <c r="W69" s="70">
        <f>VLOOKUP($A69,FoodLog!$A$1:$Z$10001,16,0)</f>
        <v>767.76965702790062</v>
      </c>
      <c r="X69" s="70">
        <f>VLOOKUP($A69,FoodLog!$A$1:$Z$10001,17,0)</f>
        <v>80</v>
      </c>
      <c r="Y69" s="70">
        <f>VLOOKUP($A69,FoodLog!$A$1:$Z$10001,18,0)</f>
        <v>482.47465271142238</v>
      </c>
      <c r="Z69" s="70">
        <f>VLOOKUP($A69,FoodLog!$A$1:$Z$10001,19,0)</f>
        <v>1330.2443097393229</v>
      </c>
      <c r="AA69" s="62">
        <f t="shared" si="37"/>
        <v>0.26052073361518191</v>
      </c>
      <c r="AB69" s="63">
        <f>Scale!C69</f>
        <v>0</v>
      </c>
    </row>
    <row r="70" spans="1:28" x14ac:dyDescent="0.25">
      <c r="A70" s="65">
        <f t="shared" si="38"/>
        <v>43059</v>
      </c>
      <c r="B70" s="66">
        <f t="shared" si="39"/>
        <v>68</v>
      </c>
      <c r="C70" s="67">
        <f t="shared" si="40"/>
        <v>179.92643945332162</v>
      </c>
      <c r="D70" s="67">
        <f t="shared" si="41"/>
        <v>150.77332897231949</v>
      </c>
      <c r="E70" s="68">
        <f t="shared" si="30"/>
        <v>29.15311048100213</v>
      </c>
      <c r="F70" s="56"/>
      <c r="G70" s="69">
        <f>C70*TDEE!$B$5</f>
        <v>2238.8252171352101</v>
      </c>
      <c r="H70" s="67">
        <f t="shared" si="42"/>
        <v>903.74642491106601</v>
      </c>
      <c r="I70" s="67">
        <f t="shared" si="43"/>
        <v>1335.0787922241441</v>
      </c>
      <c r="J70" s="58">
        <f t="shared" si="31"/>
        <v>0.25821326426030455</v>
      </c>
      <c r="K70" s="67">
        <f t="shared" si="32"/>
        <v>85.844904390302418</v>
      </c>
      <c r="L70" s="67">
        <v>20</v>
      </c>
      <c r="M70" s="54">
        <f>Protein_Amt!$B$6</f>
        <v>120.61866317785559</v>
      </c>
      <c r="N70" s="67">
        <f t="shared" si="33"/>
        <v>772.60413951272176</v>
      </c>
      <c r="O70" s="67">
        <f t="shared" si="34"/>
        <v>80</v>
      </c>
      <c r="P70" s="67">
        <f t="shared" si="35"/>
        <v>482.47465271142238</v>
      </c>
      <c r="Q70" s="68">
        <f t="shared" si="36"/>
        <v>1335.0787922241441</v>
      </c>
      <c r="S70" s="70">
        <f>VLOOKUP($A70,FoodLog!$A$1:$Z$10001,12,0)</f>
        <v>0</v>
      </c>
      <c r="T70" s="70">
        <f>VLOOKUP($A70,FoodLog!$A$1:$Z$10001,13,0)</f>
        <v>0</v>
      </c>
      <c r="U70" s="70">
        <f>VLOOKUP($A70,FoodLog!$A$1:$Z$10001,14,0)</f>
        <v>0</v>
      </c>
      <c r="V70" s="70">
        <f>VLOOKUP($A70,FoodLog!$A$1:$Z$10001,15,0)</f>
        <v>0</v>
      </c>
      <c r="W70" s="70">
        <f>VLOOKUP($A70,FoodLog!$A$1:$Z$10001,16,0)</f>
        <v>772.60413951272176</v>
      </c>
      <c r="X70" s="70">
        <f>VLOOKUP($A70,FoodLog!$A$1:$Z$10001,17,0)</f>
        <v>80</v>
      </c>
      <c r="Y70" s="70">
        <f>VLOOKUP($A70,FoodLog!$A$1:$Z$10001,18,0)</f>
        <v>482.47465271142238</v>
      </c>
      <c r="Z70" s="70">
        <f>VLOOKUP($A70,FoodLog!$A$1:$Z$10001,19,0)</f>
        <v>1335.0787922241441</v>
      </c>
      <c r="AA70" s="62">
        <f t="shared" si="37"/>
        <v>0.25821326426030455</v>
      </c>
      <c r="AB70" s="63">
        <f>Scale!C70</f>
        <v>0</v>
      </c>
    </row>
    <row r="71" spans="1:28" x14ac:dyDescent="0.25">
      <c r="A71" s="65">
        <f t="shared" si="38"/>
        <v>43060</v>
      </c>
      <c r="B71" s="66">
        <f t="shared" si="39"/>
        <v>69</v>
      </c>
      <c r="C71" s="67">
        <f t="shared" si="40"/>
        <v>179.66822618906133</v>
      </c>
      <c r="D71" s="67">
        <f t="shared" si="41"/>
        <v>150.77332897231949</v>
      </c>
      <c r="E71" s="68">
        <f t="shared" si="30"/>
        <v>28.894897216741839</v>
      </c>
      <c r="F71" s="56"/>
      <c r="G71" s="69">
        <f>C71*TDEE!$B$5</f>
        <v>2235.6122687259535</v>
      </c>
      <c r="H71" s="67">
        <f t="shared" si="42"/>
        <v>895.74181371899704</v>
      </c>
      <c r="I71" s="67">
        <f t="shared" si="43"/>
        <v>1339.8704550069565</v>
      </c>
      <c r="J71" s="58">
        <f t="shared" si="31"/>
        <v>0.25592623249114199</v>
      </c>
      <c r="K71" s="67">
        <f t="shared" si="32"/>
        <v>86.37731136617046</v>
      </c>
      <c r="L71" s="67">
        <v>20</v>
      </c>
      <c r="M71" s="54">
        <f>Protein_Amt!$B$6</f>
        <v>120.61866317785559</v>
      </c>
      <c r="N71" s="67">
        <f t="shared" si="33"/>
        <v>777.39580229553417</v>
      </c>
      <c r="O71" s="67">
        <f t="shared" si="34"/>
        <v>80</v>
      </c>
      <c r="P71" s="67">
        <f t="shared" si="35"/>
        <v>482.47465271142238</v>
      </c>
      <c r="Q71" s="68">
        <f t="shared" si="36"/>
        <v>1339.8704550069565</v>
      </c>
      <c r="S71" s="70">
        <f>VLOOKUP($A71,FoodLog!$A$1:$Z$10001,12,0)</f>
        <v>0</v>
      </c>
      <c r="T71" s="70">
        <f>VLOOKUP($A71,FoodLog!$A$1:$Z$10001,13,0)</f>
        <v>0</v>
      </c>
      <c r="U71" s="70">
        <f>VLOOKUP($A71,FoodLog!$A$1:$Z$10001,14,0)</f>
        <v>0</v>
      </c>
      <c r="V71" s="70">
        <f>VLOOKUP($A71,FoodLog!$A$1:$Z$10001,15,0)</f>
        <v>0</v>
      </c>
      <c r="W71" s="70">
        <f>VLOOKUP($A71,FoodLog!$A$1:$Z$10001,16,0)</f>
        <v>777.39580229553417</v>
      </c>
      <c r="X71" s="70">
        <f>VLOOKUP($A71,FoodLog!$A$1:$Z$10001,17,0)</f>
        <v>80</v>
      </c>
      <c r="Y71" s="70">
        <f>VLOOKUP($A71,FoodLog!$A$1:$Z$10001,18,0)</f>
        <v>482.47465271142238</v>
      </c>
      <c r="Z71" s="70">
        <f>VLOOKUP($A71,FoodLog!$A$1:$Z$10001,19,0)</f>
        <v>1339.8704550069565</v>
      </c>
      <c r="AA71" s="62">
        <f t="shared" si="37"/>
        <v>0.25592623249114199</v>
      </c>
      <c r="AB71" s="63">
        <f>Scale!C71</f>
        <v>0</v>
      </c>
    </row>
    <row r="72" spans="1:28" x14ac:dyDescent="0.25">
      <c r="A72" s="65">
        <f t="shared" si="38"/>
        <v>43061</v>
      </c>
      <c r="B72" s="66">
        <f t="shared" si="39"/>
        <v>70</v>
      </c>
      <c r="C72" s="67">
        <f t="shared" si="40"/>
        <v>179.41229995657019</v>
      </c>
      <c r="D72" s="67">
        <f t="shared" si="41"/>
        <v>150.77332897231949</v>
      </c>
      <c r="E72" s="68">
        <f t="shared" si="30"/>
        <v>28.638970984250705</v>
      </c>
      <c r="F72" s="56"/>
      <c r="G72" s="69">
        <f>C72*TDEE!$B$5</f>
        <v>2232.4277778597502</v>
      </c>
      <c r="H72" s="67">
        <f t="shared" si="42"/>
        <v>887.80810051177184</v>
      </c>
      <c r="I72" s="67">
        <f t="shared" si="43"/>
        <v>1344.6196773479783</v>
      </c>
      <c r="J72" s="58">
        <f t="shared" si="31"/>
        <v>0.25365945728907768</v>
      </c>
      <c r="K72" s="67">
        <f t="shared" si="32"/>
        <v>86.905002737395108</v>
      </c>
      <c r="L72" s="67">
        <v>20</v>
      </c>
      <c r="M72" s="54">
        <f>Protein_Amt!$B$6</f>
        <v>120.61866317785559</v>
      </c>
      <c r="N72" s="67">
        <f t="shared" si="33"/>
        <v>782.14502463655595</v>
      </c>
      <c r="O72" s="67">
        <f t="shared" si="34"/>
        <v>80</v>
      </c>
      <c r="P72" s="67">
        <f t="shared" si="35"/>
        <v>482.47465271142238</v>
      </c>
      <c r="Q72" s="68">
        <f t="shared" si="36"/>
        <v>1344.6196773479783</v>
      </c>
      <c r="S72" s="70">
        <f>VLOOKUP($A72,FoodLog!$A$1:$Z$10001,12,0)</f>
        <v>0</v>
      </c>
      <c r="T72" s="70">
        <f>VLOOKUP($A72,FoodLog!$A$1:$Z$10001,13,0)</f>
        <v>0</v>
      </c>
      <c r="U72" s="70">
        <f>VLOOKUP($A72,FoodLog!$A$1:$Z$10001,14,0)</f>
        <v>0</v>
      </c>
      <c r="V72" s="70">
        <f>VLOOKUP($A72,FoodLog!$A$1:$Z$10001,15,0)</f>
        <v>0</v>
      </c>
      <c r="W72" s="70">
        <f>VLOOKUP($A72,FoodLog!$A$1:$Z$10001,16,0)</f>
        <v>782.14502463655595</v>
      </c>
      <c r="X72" s="70">
        <f>VLOOKUP($A72,FoodLog!$A$1:$Z$10001,17,0)</f>
        <v>80</v>
      </c>
      <c r="Y72" s="70">
        <f>VLOOKUP($A72,FoodLog!$A$1:$Z$10001,18,0)</f>
        <v>482.47465271142238</v>
      </c>
      <c r="Z72" s="70">
        <f>VLOOKUP($A72,FoodLog!$A$1:$Z$10001,19,0)</f>
        <v>1344.6196773479783</v>
      </c>
      <c r="AA72" s="62">
        <f t="shared" si="37"/>
        <v>0.25365945728907768</v>
      </c>
      <c r="AB72" s="63">
        <f>Scale!C72</f>
        <v>0</v>
      </c>
    </row>
    <row r="73" spans="1:28" x14ac:dyDescent="0.25">
      <c r="A73" s="65">
        <f t="shared" si="38"/>
        <v>43062</v>
      </c>
      <c r="B73" s="66">
        <f t="shared" si="39"/>
        <v>71</v>
      </c>
      <c r="C73" s="67">
        <f t="shared" si="40"/>
        <v>179.15864049928112</v>
      </c>
      <c r="D73" s="67">
        <f t="shared" si="41"/>
        <v>150.77332897231949</v>
      </c>
      <c r="E73" s="68">
        <f t="shared" si="30"/>
        <v>28.38531152696163</v>
      </c>
      <c r="F73" s="56"/>
      <c r="G73" s="69">
        <f>C73*TDEE!$B$5</f>
        <v>2229.2714924840766</v>
      </c>
      <c r="H73" s="67">
        <f t="shared" si="42"/>
        <v>879.94465733581046</v>
      </c>
      <c r="I73" s="67">
        <f t="shared" si="43"/>
        <v>1349.3268351482661</v>
      </c>
      <c r="J73" s="58">
        <f t="shared" si="31"/>
        <v>0.25141275923880296</v>
      </c>
      <c r="K73" s="67">
        <f t="shared" si="32"/>
        <v>87.428020270760427</v>
      </c>
      <c r="L73" s="67">
        <v>20</v>
      </c>
      <c r="M73" s="54">
        <f>Protein_Amt!$B$6</f>
        <v>120.61866317785559</v>
      </c>
      <c r="N73" s="67">
        <f t="shared" si="33"/>
        <v>786.8521824368438</v>
      </c>
      <c r="O73" s="67">
        <f t="shared" si="34"/>
        <v>80</v>
      </c>
      <c r="P73" s="67">
        <f t="shared" si="35"/>
        <v>482.47465271142238</v>
      </c>
      <c r="Q73" s="68">
        <f t="shared" si="36"/>
        <v>1349.3268351482661</v>
      </c>
      <c r="S73" s="70">
        <f>VLOOKUP($A73,FoodLog!$A$1:$Z$10001,12,0)</f>
        <v>0</v>
      </c>
      <c r="T73" s="70">
        <f>VLOOKUP($A73,FoodLog!$A$1:$Z$10001,13,0)</f>
        <v>0</v>
      </c>
      <c r="U73" s="70">
        <f>VLOOKUP($A73,FoodLog!$A$1:$Z$10001,14,0)</f>
        <v>0</v>
      </c>
      <c r="V73" s="70">
        <f>VLOOKUP($A73,FoodLog!$A$1:$Z$10001,15,0)</f>
        <v>0</v>
      </c>
      <c r="W73" s="70">
        <f>VLOOKUP($A73,FoodLog!$A$1:$Z$10001,16,0)</f>
        <v>786.8521824368438</v>
      </c>
      <c r="X73" s="70">
        <f>VLOOKUP($A73,FoodLog!$A$1:$Z$10001,17,0)</f>
        <v>80</v>
      </c>
      <c r="Y73" s="70">
        <f>VLOOKUP($A73,FoodLog!$A$1:$Z$10001,18,0)</f>
        <v>482.47465271142238</v>
      </c>
      <c r="Z73" s="70">
        <f>VLOOKUP($A73,FoodLog!$A$1:$Z$10001,19,0)</f>
        <v>1349.3268351482661</v>
      </c>
      <c r="AA73" s="62">
        <f t="shared" si="37"/>
        <v>0.25141275923880296</v>
      </c>
      <c r="AB73" s="63">
        <f>Scale!C73</f>
        <v>0</v>
      </c>
    </row>
    <row r="74" spans="1:28" x14ac:dyDescent="0.25">
      <c r="A74" s="65">
        <f t="shared" si="38"/>
        <v>43063</v>
      </c>
      <c r="B74" s="66">
        <f t="shared" si="39"/>
        <v>72</v>
      </c>
      <c r="C74" s="67">
        <f t="shared" si="40"/>
        <v>178.90722774004232</v>
      </c>
      <c r="D74" s="67">
        <f t="shared" si="41"/>
        <v>150.77332897231949</v>
      </c>
      <c r="E74" s="68">
        <f t="shared" si="30"/>
        <v>28.133898767722826</v>
      </c>
      <c r="F74" s="56"/>
      <c r="G74" s="69">
        <f>C74*TDEE!$B$5</f>
        <v>2226.1431627788725</v>
      </c>
      <c r="H74" s="67">
        <f t="shared" si="42"/>
        <v>872.15086179940761</v>
      </c>
      <c r="I74" s="67">
        <f t="shared" si="43"/>
        <v>1353.9923009794647</v>
      </c>
      <c r="J74" s="58">
        <f t="shared" si="31"/>
        <v>0.24918596051411646</v>
      </c>
      <c r="K74" s="67">
        <f t="shared" si="32"/>
        <v>87.946405363115829</v>
      </c>
      <c r="L74" s="67">
        <v>20</v>
      </c>
      <c r="M74" s="54">
        <f>Protein_Amt!$B$6</f>
        <v>120.61866317785559</v>
      </c>
      <c r="N74" s="67">
        <f t="shared" si="33"/>
        <v>791.51764826804242</v>
      </c>
      <c r="O74" s="67">
        <f t="shared" si="34"/>
        <v>80</v>
      </c>
      <c r="P74" s="67">
        <f t="shared" si="35"/>
        <v>482.47465271142238</v>
      </c>
      <c r="Q74" s="68">
        <f t="shared" si="36"/>
        <v>1353.9923009794647</v>
      </c>
      <c r="S74" s="70">
        <f>VLOOKUP($A74,FoodLog!$A$1:$Z$10001,12,0)</f>
        <v>0</v>
      </c>
      <c r="T74" s="70">
        <f>VLOOKUP($A74,FoodLog!$A$1:$Z$10001,13,0)</f>
        <v>0</v>
      </c>
      <c r="U74" s="70">
        <f>VLOOKUP($A74,FoodLog!$A$1:$Z$10001,14,0)</f>
        <v>0</v>
      </c>
      <c r="V74" s="70">
        <f>VLOOKUP($A74,FoodLog!$A$1:$Z$10001,15,0)</f>
        <v>0</v>
      </c>
      <c r="W74" s="70">
        <f>VLOOKUP($A74,FoodLog!$A$1:$Z$10001,16,0)</f>
        <v>791.51764826804242</v>
      </c>
      <c r="X74" s="70">
        <f>VLOOKUP($A74,FoodLog!$A$1:$Z$10001,17,0)</f>
        <v>80</v>
      </c>
      <c r="Y74" s="70">
        <f>VLOOKUP($A74,FoodLog!$A$1:$Z$10001,18,0)</f>
        <v>482.47465271142238</v>
      </c>
      <c r="Z74" s="70">
        <f>VLOOKUP($A74,FoodLog!$A$1:$Z$10001,19,0)</f>
        <v>1353.9923009794647</v>
      </c>
      <c r="AA74" s="62">
        <f t="shared" si="37"/>
        <v>0.24918596051411646</v>
      </c>
      <c r="AB74" s="63">
        <f>Scale!C74</f>
        <v>0</v>
      </c>
    </row>
    <row r="75" spans="1:28" x14ac:dyDescent="0.25">
      <c r="A75" s="65">
        <f t="shared" si="38"/>
        <v>43064</v>
      </c>
      <c r="B75" s="66">
        <f t="shared" si="39"/>
        <v>73</v>
      </c>
      <c r="C75" s="67">
        <f t="shared" si="40"/>
        <v>178.65804177952819</v>
      </c>
      <c r="D75" s="67">
        <f t="shared" si="41"/>
        <v>150.77332897231949</v>
      </c>
      <c r="E75" s="68">
        <f t="shared" si="30"/>
        <v>27.8847128072087</v>
      </c>
      <c r="F75" s="56"/>
      <c r="G75" s="69">
        <f>C75*TDEE!$B$5</f>
        <v>2223.0425411367719</v>
      </c>
      <c r="H75" s="67">
        <f t="shared" si="42"/>
        <v>864.42609702346977</v>
      </c>
      <c r="I75" s="67">
        <f t="shared" si="43"/>
        <v>1358.6164441133021</v>
      </c>
      <c r="J75" s="58">
        <f t="shared" si="31"/>
        <v>0.2469788848638485</v>
      </c>
      <c r="K75" s="67">
        <f t="shared" si="32"/>
        <v>88.460199044653308</v>
      </c>
      <c r="L75" s="67">
        <v>20</v>
      </c>
      <c r="M75" s="54">
        <f>Protein_Amt!$B$6</f>
        <v>120.61866317785559</v>
      </c>
      <c r="N75" s="67">
        <f t="shared" si="33"/>
        <v>796.1417914018798</v>
      </c>
      <c r="O75" s="67">
        <f t="shared" si="34"/>
        <v>80</v>
      </c>
      <c r="P75" s="67">
        <f t="shared" si="35"/>
        <v>482.47465271142238</v>
      </c>
      <c r="Q75" s="68">
        <f t="shared" si="36"/>
        <v>1358.6164441133021</v>
      </c>
      <c r="S75" s="70">
        <f>VLOOKUP($A75,FoodLog!$A$1:$Z$10001,12,0)</f>
        <v>0</v>
      </c>
      <c r="T75" s="70">
        <f>VLOOKUP($A75,FoodLog!$A$1:$Z$10001,13,0)</f>
        <v>0</v>
      </c>
      <c r="U75" s="70">
        <f>VLOOKUP($A75,FoodLog!$A$1:$Z$10001,14,0)</f>
        <v>0</v>
      </c>
      <c r="V75" s="70">
        <f>VLOOKUP($A75,FoodLog!$A$1:$Z$10001,15,0)</f>
        <v>0</v>
      </c>
      <c r="W75" s="70">
        <f>VLOOKUP($A75,FoodLog!$A$1:$Z$10001,16,0)</f>
        <v>796.1417914018798</v>
      </c>
      <c r="X75" s="70">
        <f>VLOOKUP($A75,FoodLog!$A$1:$Z$10001,17,0)</f>
        <v>80</v>
      </c>
      <c r="Y75" s="70">
        <f>VLOOKUP($A75,FoodLog!$A$1:$Z$10001,18,0)</f>
        <v>482.47465271142238</v>
      </c>
      <c r="Z75" s="70">
        <f>VLOOKUP($A75,FoodLog!$A$1:$Z$10001,19,0)</f>
        <v>1358.6164441133021</v>
      </c>
      <c r="AA75" s="62">
        <f t="shared" si="37"/>
        <v>0.2469788848638485</v>
      </c>
      <c r="AB75" s="63">
        <f>Scale!C75</f>
        <v>0</v>
      </c>
    </row>
    <row r="76" spans="1:28" x14ac:dyDescent="0.25">
      <c r="A76" s="65">
        <f t="shared" si="38"/>
        <v>43065</v>
      </c>
      <c r="B76" s="66">
        <f t="shared" si="39"/>
        <v>74</v>
      </c>
      <c r="C76" s="67">
        <f t="shared" si="40"/>
        <v>178.41106289466435</v>
      </c>
      <c r="D76" s="67">
        <f t="shared" si="41"/>
        <v>150.77332897231949</v>
      </c>
      <c r="E76" s="68">
        <f t="shared" si="30"/>
        <v>27.637733922344864</v>
      </c>
      <c r="F76" s="56"/>
      <c r="G76" s="69">
        <f>C76*TDEE!$B$5</f>
        <v>2219.9693821435017</v>
      </c>
      <c r="H76" s="67">
        <f t="shared" si="42"/>
        <v>856.7697515926908</v>
      </c>
      <c r="I76" s="67">
        <f t="shared" si="43"/>
        <v>1363.199630550811</v>
      </c>
      <c r="J76" s="58">
        <f t="shared" si="31"/>
        <v>0.24479135759791165</v>
      </c>
      <c r="K76" s="67">
        <f t="shared" si="32"/>
        <v>88.969441982154294</v>
      </c>
      <c r="L76" s="67">
        <v>20</v>
      </c>
      <c r="M76" s="54">
        <f>Protein_Amt!$B$6</f>
        <v>120.61866317785559</v>
      </c>
      <c r="N76" s="67">
        <f t="shared" si="33"/>
        <v>800.72497783938866</v>
      </c>
      <c r="O76" s="67">
        <f t="shared" si="34"/>
        <v>80</v>
      </c>
      <c r="P76" s="67">
        <f t="shared" si="35"/>
        <v>482.47465271142238</v>
      </c>
      <c r="Q76" s="68">
        <f t="shared" si="36"/>
        <v>1363.199630550811</v>
      </c>
      <c r="S76" s="70">
        <f>VLOOKUP($A76,FoodLog!$A$1:$Z$10001,12,0)</f>
        <v>0</v>
      </c>
      <c r="T76" s="70">
        <f>VLOOKUP($A76,FoodLog!$A$1:$Z$10001,13,0)</f>
        <v>0</v>
      </c>
      <c r="U76" s="70">
        <f>VLOOKUP($A76,FoodLog!$A$1:$Z$10001,14,0)</f>
        <v>0</v>
      </c>
      <c r="V76" s="70">
        <f>VLOOKUP($A76,FoodLog!$A$1:$Z$10001,15,0)</f>
        <v>0</v>
      </c>
      <c r="W76" s="70">
        <f>VLOOKUP($A76,FoodLog!$A$1:$Z$10001,16,0)</f>
        <v>800.72497783938866</v>
      </c>
      <c r="X76" s="70">
        <f>VLOOKUP($A76,FoodLog!$A$1:$Z$10001,17,0)</f>
        <v>80</v>
      </c>
      <c r="Y76" s="70">
        <f>VLOOKUP($A76,FoodLog!$A$1:$Z$10001,18,0)</f>
        <v>482.47465271142238</v>
      </c>
      <c r="Z76" s="70">
        <f>VLOOKUP($A76,FoodLog!$A$1:$Z$10001,19,0)</f>
        <v>1363.199630550811</v>
      </c>
      <c r="AA76" s="62">
        <f t="shared" si="37"/>
        <v>0.24479135759791165</v>
      </c>
      <c r="AB76" s="63">
        <f>Scale!C76</f>
        <v>0</v>
      </c>
    </row>
    <row r="77" spans="1:28" x14ac:dyDescent="0.25">
      <c r="A77" s="65">
        <f t="shared" si="38"/>
        <v>43066</v>
      </c>
      <c r="B77" s="66">
        <f t="shared" si="39"/>
        <v>75</v>
      </c>
      <c r="C77" s="67">
        <f t="shared" si="40"/>
        <v>178.16627153706645</v>
      </c>
      <c r="D77" s="67">
        <f t="shared" si="41"/>
        <v>150.77332897231949</v>
      </c>
      <c r="E77" s="68">
        <f t="shared" si="30"/>
        <v>27.39294256474696</v>
      </c>
      <c r="F77" s="56"/>
      <c r="G77" s="69">
        <f>C77*TDEE!$B$5</f>
        <v>2216.9234425584573</v>
      </c>
      <c r="H77" s="67">
        <f t="shared" si="42"/>
        <v>849.18121950715579</v>
      </c>
      <c r="I77" s="67">
        <f t="shared" si="43"/>
        <v>1367.7422230513016</v>
      </c>
      <c r="J77" s="58">
        <f t="shared" si="31"/>
        <v>0.24262320557347308</v>
      </c>
      <c r="K77" s="67">
        <f t="shared" si="32"/>
        <v>89.474174482208809</v>
      </c>
      <c r="L77" s="67">
        <v>20</v>
      </c>
      <c r="M77" s="54">
        <f>Protein_Amt!$B$6</f>
        <v>120.61866317785559</v>
      </c>
      <c r="N77" s="67">
        <f t="shared" si="33"/>
        <v>805.26757033987928</v>
      </c>
      <c r="O77" s="67">
        <f t="shared" si="34"/>
        <v>80</v>
      </c>
      <c r="P77" s="67">
        <f t="shared" si="35"/>
        <v>482.47465271142238</v>
      </c>
      <c r="Q77" s="68">
        <f t="shared" si="36"/>
        <v>1367.7422230513016</v>
      </c>
      <c r="S77" s="70">
        <f>VLOOKUP($A77,FoodLog!$A$1:$Z$10001,12,0)</f>
        <v>0</v>
      </c>
      <c r="T77" s="70">
        <f>VLOOKUP($A77,FoodLog!$A$1:$Z$10001,13,0)</f>
        <v>0</v>
      </c>
      <c r="U77" s="70">
        <f>VLOOKUP($A77,FoodLog!$A$1:$Z$10001,14,0)</f>
        <v>0</v>
      </c>
      <c r="V77" s="70">
        <f>VLOOKUP($A77,FoodLog!$A$1:$Z$10001,15,0)</f>
        <v>0</v>
      </c>
      <c r="W77" s="70">
        <f>VLOOKUP($A77,FoodLog!$A$1:$Z$10001,16,0)</f>
        <v>805.26757033987928</v>
      </c>
      <c r="X77" s="70">
        <f>VLOOKUP($A77,FoodLog!$A$1:$Z$10001,17,0)</f>
        <v>80</v>
      </c>
      <c r="Y77" s="70">
        <f>VLOOKUP($A77,FoodLog!$A$1:$Z$10001,18,0)</f>
        <v>482.47465271142238</v>
      </c>
      <c r="Z77" s="70">
        <f>VLOOKUP($A77,FoodLog!$A$1:$Z$10001,19,0)</f>
        <v>1367.7422230513016</v>
      </c>
      <c r="AA77" s="62">
        <f t="shared" si="37"/>
        <v>0.24262320557347308</v>
      </c>
      <c r="AB77" s="63">
        <f>Scale!C77</f>
        <v>0</v>
      </c>
    </row>
    <row r="78" spans="1:28" x14ac:dyDescent="0.25">
      <c r="A78" s="65">
        <f t="shared" si="38"/>
        <v>43067</v>
      </c>
      <c r="B78" s="66">
        <f t="shared" si="39"/>
        <v>76</v>
      </c>
      <c r="C78" s="67">
        <f t="shared" si="40"/>
        <v>177.92364833149298</v>
      </c>
      <c r="D78" s="67">
        <f t="shared" si="41"/>
        <v>150.77332897231949</v>
      </c>
      <c r="E78" s="68">
        <f t="shared" si="30"/>
        <v>27.150319359173494</v>
      </c>
      <c r="F78" s="56"/>
      <c r="G78" s="69">
        <f>C78*TDEE!$B$5</f>
        <v>2213.9044812954521</v>
      </c>
      <c r="H78" s="67">
        <f t="shared" si="42"/>
        <v>841.65990013437829</v>
      </c>
      <c r="I78" s="67">
        <f t="shared" si="43"/>
        <v>1372.2445811610737</v>
      </c>
      <c r="J78" s="58">
        <f t="shared" si="31"/>
        <v>0.24047425718125093</v>
      </c>
      <c r="K78" s="67">
        <f t="shared" si="32"/>
        <v>89.974436494405708</v>
      </c>
      <c r="L78" s="67">
        <v>20</v>
      </c>
      <c r="M78" s="54">
        <f>Protein_Amt!$B$6</f>
        <v>120.61866317785559</v>
      </c>
      <c r="N78" s="67">
        <f t="shared" si="33"/>
        <v>809.76992844965139</v>
      </c>
      <c r="O78" s="67">
        <f t="shared" si="34"/>
        <v>80</v>
      </c>
      <c r="P78" s="67">
        <f t="shared" si="35"/>
        <v>482.47465271142238</v>
      </c>
      <c r="Q78" s="68">
        <f t="shared" si="36"/>
        <v>1372.2445811610737</v>
      </c>
      <c r="S78" s="70">
        <f>VLOOKUP($A78,FoodLog!$A$1:$Z$10001,12,0)</f>
        <v>0</v>
      </c>
      <c r="T78" s="70">
        <f>VLOOKUP($A78,FoodLog!$A$1:$Z$10001,13,0)</f>
        <v>0</v>
      </c>
      <c r="U78" s="70">
        <f>VLOOKUP($A78,FoodLog!$A$1:$Z$10001,14,0)</f>
        <v>0</v>
      </c>
      <c r="V78" s="70">
        <f>VLOOKUP($A78,FoodLog!$A$1:$Z$10001,15,0)</f>
        <v>0</v>
      </c>
      <c r="W78" s="70">
        <f>VLOOKUP($A78,FoodLog!$A$1:$Z$10001,16,0)</f>
        <v>809.76992844965139</v>
      </c>
      <c r="X78" s="70">
        <f>VLOOKUP($A78,FoodLog!$A$1:$Z$10001,17,0)</f>
        <v>80</v>
      </c>
      <c r="Y78" s="70">
        <f>VLOOKUP($A78,FoodLog!$A$1:$Z$10001,18,0)</f>
        <v>482.47465271142238</v>
      </c>
      <c r="Z78" s="70">
        <f>VLOOKUP($A78,FoodLog!$A$1:$Z$10001,19,0)</f>
        <v>1372.2445811610737</v>
      </c>
      <c r="AA78" s="62">
        <f t="shared" si="37"/>
        <v>0.24047425718125093</v>
      </c>
      <c r="AB78" s="63">
        <f>Scale!C78</f>
        <v>0</v>
      </c>
    </row>
    <row r="79" spans="1:28" x14ac:dyDescent="0.25">
      <c r="A79" s="65">
        <f t="shared" si="38"/>
        <v>43068</v>
      </c>
      <c r="B79" s="66">
        <f t="shared" si="39"/>
        <v>77</v>
      </c>
      <c r="C79" s="67">
        <f t="shared" si="40"/>
        <v>177.68317407431172</v>
      </c>
      <c r="D79" s="67">
        <f t="shared" si="41"/>
        <v>150.77332897231949</v>
      </c>
      <c r="E79" s="68">
        <f t="shared" si="30"/>
        <v>26.909845101992232</v>
      </c>
      <c r="F79" s="56"/>
      <c r="G79" s="69">
        <f>C79*TDEE!$B$5</f>
        <v>2210.912259403633</v>
      </c>
      <c r="H79" s="67">
        <f t="shared" si="42"/>
        <v>834.2051981617592</v>
      </c>
      <c r="I79" s="67">
        <f t="shared" si="43"/>
        <v>1376.7070612418738</v>
      </c>
      <c r="J79" s="58">
        <f t="shared" si="31"/>
        <v>0.23834434233193119</v>
      </c>
      <c r="K79" s="67">
        <f t="shared" si="32"/>
        <v>90.470267614494617</v>
      </c>
      <c r="L79" s="67">
        <v>20</v>
      </c>
      <c r="M79" s="54">
        <f>Protein_Amt!$B$6</f>
        <v>120.61866317785559</v>
      </c>
      <c r="N79" s="67">
        <f t="shared" si="33"/>
        <v>814.23240853045149</v>
      </c>
      <c r="O79" s="67">
        <f t="shared" si="34"/>
        <v>80</v>
      </c>
      <c r="P79" s="67">
        <f t="shared" si="35"/>
        <v>482.47465271142238</v>
      </c>
      <c r="Q79" s="68">
        <f t="shared" si="36"/>
        <v>1376.7070612418738</v>
      </c>
      <c r="S79" s="70">
        <f>VLOOKUP($A79,FoodLog!$A$1:$Z$10001,12,0)</f>
        <v>0</v>
      </c>
      <c r="T79" s="70">
        <f>VLOOKUP($A79,FoodLog!$A$1:$Z$10001,13,0)</f>
        <v>0</v>
      </c>
      <c r="U79" s="70">
        <f>VLOOKUP($A79,FoodLog!$A$1:$Z$10001,14,0)</f>
        <v>0</v>
      </c>
      <c r="V79" s="70">
        <f>VLOOKUP($A79,FoodLog!$A$1:$Z$10001,15,0)</f>
        <v>0</v>
      </c>
      <c r="W79" s="70">
        <f>VLOOKUP($A79,FoodLog!$A$1:$Z$10001,16,0)</f>
        <v>814.23240853045149</v>
      </c>
      <c r="X79" s="70">
        <f>VLOOKUP($A79,FoodLog!$A$1:$Z$10001,17,0)</f>
        <v>80</v>
      </c>
      <c r="Y79" s="70">
        <f>VLOOKUP($A79,FoodLog!$A$1:$Z$10001,18,0)</f>
        <v>482.47465271142238</v>
      </c>
      <c r="Z79" s="70">
        <f>VLOOKUP($A79,FoodLog!$A$1:$Z$10001,19,0)</f>
        <v>1376.7070612418738</v>
      </c>
      <c r="AA79" s="62">
        <f t="shared" si="37"/>
        <v>0.23834434233193119</v>
      </c>
      <c r="AB79" s="63">
        <f>Scale!C79</f>
        <v>0</v>
      </c>
    </row>
    <row r="80" spans="1:28" x14ac:dyDescent="0.25">
      <c r="A80" s="65">
        <f t="shared" si="38"/>
        <v>43069</v>
      </c>
      <c r="B80" s="66">
        <f t="shared" si="39"/>
        <v>78</v>
      </c>
      <c r="C80" s="67">
        <f t="shared" si="40"/>
        <v>177.44482973197978</v>
      </c>
      <c r="D80" s="67">
        <f t="shared" si="41"/>
        <v>150.77332897231949</v>
      </c>
      <c r="E80" s="68">
        <f t="shared" si="30"/>
        <v>26.67150075966029</v>
      </c>
      <c r="F80" s="56"/>
      <c r="G80" s="69">
        <f>C80*TDEE!$B$5</f>
        <v>2207.9465400485701</v>
      </c>
      <c r="H80" s="67">
        <f t="shared" si="42"/>
        <v>826.81652354946903</v>
      </c>
      <c r="I80" s="67">
        <f t="shared" si="43"/>
        <v>1381.1300164991012</v>
      </c>
      <c r="J80" s="58">
        <f t="shared" si="31"/>
        <v>0.23623329244270544</v>
      </c>
      <c r="K80" s="67">
        <f t="shared" si="32"/>
        <v>90.961707087519869</v>
      </c>
      <c r="L80" s="67">
        <v>20</v>
      </c>
      <c r="M80" s="54">
        <f>Protein_Amt!$B$6</f>
        <v>120.61866317785559</v>
      </c>
      <c r="N80" s="67">
        <f t="shared" si="33"/>
        <v>818.65536378767888</v>
      </c>
      <c r="O80" s="67">
        <f t="shared" si="34"/>
        <v>80</v>
      </c>
      <c r="P80" s="67">
        <f t="shared" si="35"/>
        <v>482.47465271142238</v>
      </c>
      <c r="Q80" s="68">
        <f t="shared" si="36"/>
        <v>1381.1300164991012</v>
      </c>
      <c r="S80" s="70">
        <f>VLOOKUP($A80,FoodLog!$A$1:$Z$10001,12,0)</f>
        <v>0</v>
      </c>
      <c r="T80" s="70">
        <f>VLOOKUP($A80,FoodLog!$A$1:$Z$10001,13,0)</f>
        <v>0</v>
      </c>
      <c r="U80" s="70">
        <f>VLOOKUP($A80,FoodLog!$A$1:$Z$10001,14,0)</f>
        <v>0</v>
      </c>
      <c r="V80" s="70">
        <f>VLOOKUP($A80,FoodLog!$A$1:$Z$10001,15,0)</f>
        <v>0</v>
      </c>
      <c r="W80" s="70">
        <f>VLOOKUP($A80,FoodLog!$A$1:$Z$10001,16,0)</f>
        <v>818.65536378767888</v>
      </c>
      <c r="X80" s="70">
        <f>VLOOKUP($A80,FoodLog!$A$1:$Z$10001,17,0)</f>
        <v>80</v>
      </c>
      <c r="Y80" s="70">
        <f>VLOOKUP($A80,FoodLog!$A$1:$Z$10001,18,0)</f>
        <v>482.47465271142238</v>
      </c>
      <c r="Z80" s="70">
        <f>VLOOKUP($A80,FoodLog!$A$1:$Z$10001,19,0)</f>
        <v>1381.1300164991012</v>
      </c>
      <c r="AA80" s="62">
        <f t="shared" si="37"/>
        <v>0.23623329244270544</v>
      </c>
      <c r="AB80" s="63">
        <f>Scale!C80</f>
        <v>0</v>
      </c>
    </row>
    <row r="81" spans="1:28" x14ac:dyDescent="0.25">
      <c r="A81" s="65">
        <f t="shared" si="38"/>
        <v>43070</v>
      </c>
      <c r="B81" s="66">
        <f t="shared" si="39"/>
        <v>79</v>
      </c>
      <c r="C81" s="67">
        <f t="shared" si="40"/>
        <v>177.20859643953708</v>
      </c>
      <c r="D81" s="67">
        <f t="shared" si="41"/>
        <v>150.77332897231949</v>
      </c>
      <c r="E81" s="68">
        <f t="shared" si="30"/>
        <v>26.435267467217585</v>
      </c>
      <c r="F81" s="56"/>
      <c r="G81" s="69">
        <f>C81*TDEE!$B$5</f>
        <v>2205.0070884935094</v>
      </c>
      <c r="H81" s="67">
        <f t="shared" si="42"/>
        <v>819.49329148374511</v>
      </c>
      <c r="I81" s="67">
        <f t="shared" si="43"/>
        <v>1385.5137970097644</v>
      </c>
      <c r="J81" s="58">
        <f t="shared" si="31"/>
        <v>0.23414094042392716</v>
      </c>
      <c r="K81" s="67">
        <f t="shared" si="32"/>
        <v>91.448793810926901</v>
      </c>
      <c r="L81" s="67">
        <v>20</v>
      </c>
      <c r="M81" s="54">
        <f>Protein_Amt!$B$6</f>
        <v>120.61866317785559</v>
      </c>
      <c r="N81" s="67">
        <f t="shared" si="33"/>
        <v>823.03914429834208</v>
      </c>
      <c r="O81" s="67">
        <f t="shared" si="34"/>
        <v>80</v>
      </c>
      <c r="P81" s="67">
        <f t="shared" si="35"/>
        <v>482.47465271142238</v>
      </c>
      <c r="Q81" s="68">
        <f t="shared" si="36"/>
        <v>1385.5137970097644</v>
      </c>
      <c r="S81" s="70">
        <f>VLOOKUP($A81,FoodLog!$A$1:$Z$10001,12,0)</f>
        <v>0</v>
      </c>
      <c r="T81" s="70">
        <f>VLOOKUP($A81,FoodLog!$A$1:$Z$10001,13,0)</f>
        <v>0</v>
      </c>
      <c r="U81" s="70">
        <f>VLOOKUP($A81,FoodLog!$A$1:$Z$10001,14,0)</f>
        <v>0</v>
      </c>
      <c r="V81" s="70">
        <f>VLOOKUP($A81,FoodLog!$A$1:$Z$10001,15,0)</f>
        <v>0</v>
      </c>
      <c r="W81" s="70">
        <f>VLOOKUP($A81,FoodLog!$A$1:$Z$10001,16,0)</f>
        <v>823.03914429834208</v>
      </c>
      <c r="X81" s="70">
        <f>VLOOKUP($A81,FoodLog!$A$1:$Z$10001,17,0)</f>
        <v>80</v>
      </c>
      <c r="Y81" s="70">
        <f>VLOOKUP($A81,FoodLog!$A$1:$Z$10001,18,0)</f>
        <v>482.47465271142238</v>
      </c>
      <c r="Z81" s="70">
        <f>VLOOKUP($A81,FoodLog!$A$1:$Z$10001,19,0)</f>
        <v>1385.5137970097644</v>
      </c>
      <c r="AA81" s="62">
        <f t="shared" si="37"/>
        <v>0.23414094042392716</v>
      </c>
      <c r="AB81" s="63">
        <f>Scale!C81</f>
        <v>0</v>
      </c>
    </row>
    <row r="82" spans="1:28" x14ac:dyDescent="0.25">
      <c r="A82" s="65">
        <f t="shared" si="38"/>
        <v>43071</v>
      </c>
      <c r="B82" s="66">
        <f t="shared" si="39"/>
        <v>80</v>
      </c>
      <c r="C82" s="67">
        <f t="shared" si="40"/>
        <v>176.97445549911316</v>
      </c>
      <c r="D82" s="67">
        <f t="shared" si="41"/>
        <v>150.77332897231949</v>
      </c>
      <c r="E82" s="68">
        <f t="shared" si="30"/>
        <v>26.201126526793672</v>
      </c>
      <c r="F82" s="56"/>
      <c r="G82" s="69">
        <f>C82*TDEE!$B$5</f>
        <v>2202.0936720807936</v>
      </c>
      <c r="H82" s="67">
        <f t="shared" si="42"/>
        <v>812.23492233060381</v>
      </c>
      <c r="I82" s="67">
        <f t="shared" si="43"/>
        <v>1389.8587497501899</v>
      </c>
      <c r="J82" s="58">
        <f t="shared" si="31"/>
        <v>0.23206712066588681</v>
      </c>
      <c r="K82" s="67">
        <f t="shared" si="32"/>
        <v>91.931566337640845</v>
      </c>
      <c r="L82" s="67">
        <v>20</v>
      </c>
      <c r="M82" s="54">
        <f>Protein_Amt!$B$6</f>
        <v>120.61866317785559</v>
      </c>
      <c r="N82" s="67">
        <f t="shared" si="33"/>
        <v>827.38409703876755</v>
      </c>
      <c r="O82" s="67">
        <f t="shared" si="34"/>
        <v>80</v>
      </c>
      <c r="P82" s="67">
        <f t="shared" si="35"/>
        <v>482.47465271142238</v>
      </c>
      <c r="Q82" s="68">
        <f t="shared" si="36"/>
        <v>1389.8587497501899</v>
      </c>
      <c r="S82" s="70">
        <f>VLOOKUP($A82,FoodLog!$A$1:$Z$10001,12,0)</f>
        <v>0</v>
      </c>
      <c r="T82" s="70">
        <f>VLOOKUP($A82,FoodLog!$A$1:$Z$10001,13,0)</f>
        <v>0</v>
      </c>
      <c r="U82" s="70">
        <f>VLOOKUP($A82,FoodLog!$A$1:$Z$10001,14,0)</f>
        <v>0</v>
      </c>
      <c r="V82" s="70">
        <f>VLOOKUP($A82,FoodLog!$A$1:$Z$10001,15,0)</f>
        <v>0</v>
      </c>
      <c r="W82" s="70">
        <f>VLOOKUP($A82,FoodLog!$A$1:$Z$10001,16,0)</f>
        <v>827.38409703876755</v>
      </c>
      <c r="X82" s="70">
        <f>VLOOKUP($A82,FoodLog!$A$1:$Z$10001,17,0)</f>
        <v>80</v>
      </c>
      <c r="Y82" s="70">
        <f>VLOOKUP($A82,FoodLog!$A$1:$Z$10001,18,0)</f>
        <v>482.47465271142238</v>
      </c>
      <c r="Z82" s="70">
        <f>VLOOKUP($A82,FoodLog!$A$1:$Z$10001,19,0)</f>
        <v>1389.8587497501899</v>
      </c>
      <c r="AA82" s="62">
        <f t="shared" si="37"/>
        <v>0.23206712066588681</v>
      </c>
      <c r="AB82" s="63">
        <f>Scale!C82</f>
        <v>0</v>
      </c>
    </row>
    <row r="83" spans="1:28" x14ac:dyDescent="0.25">
      <c r="A83" s="65">
        <f t="shared" si="38"/>
        <v>43072</v>
      </c>
      <c r="B83" s="66">
        <f t="shared" si="39"/>
        <v>81</v>
      </c>
      <c r="C83" s="67">
        <f t="shared" si="40"/>
        <v>176.74238837844729</v>
      </c>
      <c r="D83" s="67">
        <f t="shared" si="41"/>
        <v>150.77332897231949</v>
      </c>
      <c r="E83" s="68">
        <f t="shared" si="30"/>
        <v>25.969059406127798</v>
      </c>
      <c r="F83" s="56"/>
      <c r="G83" s="69">
        <f>C83*TDEE!$B$5</f>
        <v>2199.2060602134479</v>
      </c>
      <c r="H83" s="67">
        <f t="shared" si="42"/>
        <v>805.0408415899617</v>
      </c>
      <c r="I83" s="67">
        <f t="shared" si="43"/>
        <v>1394.1652186234862</v>
      </c>
      <c r="J83" s="58">
        <f t="shared" si="31"/>
        <v>0.23001166902570333</v>
      </c>
      <c r="K83" s="67">
        <f t="shared" si="32"/>
        <v>92.410062879118215</v>
      </c>
      <c r="L83" s="67">
        <v>20</v>
      </c>
      <c r="M83" s="54">
        <f>Protein_Amt!$B$6</f>
        <v>120.61866317785559</v>
      </c>
      <c r="N83" s="67">
        <f t="shared" si="33"/>
        <v>831.6905659120639</v>
      </c>
      <c r="O83" s="67">
        <f t="shared" si="34"/>
        <v>80</v>
      </c>
      <c r="P83" s="67">
        <f t="shared" si="35"/>
        <v>482.47465271142238</v>
      </c>
      <c r="Q83" s="68">
        <f t="shared" si="36"/>
        <v>1394.1652186234862</v>
      </c>
      <c r="S83" s="70">
        <f>VLOOKUP($A83,FoodLog!$A$1:$Z$10001,12,0)</f>
        <v>0</v>
      </c>
      <c r="T83" s="70">
        <f>VLOOKUP($A83,FoodLog!$A$1:$Z$10001,13,0)</f>
        <v>0</v>
      </c>
      <c r="U83" s="70">
        <f>VLOOKUP($A83,FoodLog!$A$1:$Z$10001,14,0)</f>
        <v>0</v>
      </c>
      <c r="V83" s="70">
        <f>VLOOKUP($A83,FoodLog!$A$1:$Z$10001,15,0)</f>
        <v>0</v>
      </c>
      <c r="W83" s="70">
        <f>VLOOKUP($A83,FoodLog!$A$1:$Z$10001,16,0)</f>
        <v>831.6905659120639</v>
      </c>
      <c r="X83" s="70">
        <f>VLOOKUP($A83,FoodLog!$A$1:$Z$10001,17,0)</f>
        <v>80</v>
      </c>
      <c r="Y83" s="70">
        <f>VLOOKUP($A83,FoodLog!$A$1:$Z$10001,18,0)</f>
        <v>482.47465271142238</v>
      </c>
      <c r="Z83" s="70">
        <f>VLOOKUP($A83,FoodLog!$A$1:$Z$10001,19,0)</f>
        <v>1394.1652186234862</v>
      </c>
      <c r="AA83" s="62">
        <f t="shared" si="37"/>
        <v>0.23001166902570333</v>
      </c>
      <c r="AB83" s="63">
        <f>Scale!C83</f>
        <v>0</v>
      </c>
    </row>
    <row r="84" spans="1:28" x14ac:dyDescent="0.25">
      <c r="A84" s="65">
        <f t="shared" si="38"/>
        <v>43073</v>
      </c>
      <c r="B84" s="66">
        <f t="shared" si="39"/>
        <v>82</v>
      </c>
      <c r="C84" s="67">
        <f t="shared" si="40"/>
        <v>176.51237670942157</v>
      </c>
      <c r="D84" s="67">
        <f t="shared" si="41"/>
        <v>150.77332897231949</v>
      </c>
      <c r="E84" s="68">
        <f t="shared" si="30"/>
        <v>25.739047737102084</v>
      </c>
      <c r="F84" s="56"/>
      <c r="G84" s="69">
        <f>C84*TDEE!$B$5</f>
        <v>2196.3440243369264</v>
      </c>
      <c r="H84" s="67">
        <f t="shared" si="42"/>
        <v>797.91047985016462</v>
      </c>
      <c r="I84" s="67">
        <f t="shared" si="43"/>
        <v>1398.4335444867618</v>
      </c>
      <c r="J84" s="58">
        <f t="shared" si="31"/>
        <v>0.22797442281433275</v>
      </c>
      <c r="K84" s="67">
        <f t="shared" si="32"/>
        <v>92.884321308371057</v>
      </c>
      <c r="L84" s="67">
        <v>20</v>
      </c>
      <c r="M84" s="54">
        <f>Protein_Amt!$B$6</f>
        <v>120.61866317785559</v>
      </c>
      <c r="N84" s="67">
        <f t="shared" si="33"/>
        <v>835.95889177533945</v>
      </c>
      <c r="O84" s="67">
        <f t="shared" si="34"/>
        <v>80</v>
      </c>
      <c r="P84" s="67">
        <f t="shared" si="35"/>
        <v>482.47465271142238</v>
      </c>
      <c r="Q84" s="68">
        <f t="shared" si="36"/>
        <v>1398.4335444867618</v>
      </c>
      <c r="S84" s="70">
        <f>VLOOKUP($A84,FoodLog!$A$1:$Z$10001,12,0)</f>
        <v>0</v>
      </c>
      <c r="T84" s="70">
        <f>VLOOKUP($A84,FoodLog!$A$1:$Z$10001,13,0)</f>
        <v>0</v>
      </c>
      <c r="U84" s="70">
        <f>VLOOKUP($A84,FoodLog!$A$1:$Z$10001,14,0)</f>
        <v>0</v>
      </c>
      <c r="V84" s="70">
        <f>VLOOKUP($A84,FoodLog!$A$1:$Z$10001,15,0)</f>
        <v>0</v>
      </c>
      <c r="W84" s="70">
        <f>VLOOKUP($A84,FoodLog!$A$1:$Z$10001,16,0)</f>
        <v>835.95889177533945</v>
      </c>
      <c r="X84" s="70">
        <f>VLOOKUP($A84,FoodLog!$A$1:$Z$10001,17,0)</f>
        <v>80</v>
      </c>
      <c r="Y84" s="70">
        <f>VLOOKUP($A84,FoodLog!$A$1:$Z$10001,18,0)</f>
        <v>482.47465271142238</v>
      </c>
      <c r="Z84" s="70">
        <f>VLOOKUP($A84,FoodLog!$A$1:$Z$10001,19,0)</f>
        <v>1398.4335444867618</v>
      </c>
      <c r="AA84" s="62">
        <f t="shared" si="37"/>
        <v>0.22797442281433275</v>
      </c>
      <c r="AB84" s="63">
        <f>Scale!C84</f>
        <v>0</v>
      </c>
    </row>
    <row r="85" spans="1:28" x14ac:dyDescent="0.25">
      <c r="A85" s="65">
        <f t="shared" si="38"/>
        <v>43074</v>
      </c>
      <c r="B85" s="66">
        <f t="shared" si="39"/>
        <v>83</v>
      </c>
      <c r="C85" s="67">
        <f t="shared" si="40"/>
        <v>176.28440228660725</v>
      </c>
      <c r="D85" s="67">
        <f t="shared" si="41"/>
        <v>150.77332897231949</v>
      </c>
      <c r="E85" s="68">
        <f t="shared" si="30"/>
        <v>25.511073314287756</v>
      </c>
      <c r="F85" s="56"/>
      <c r="G85" s="69">
        <f>C85*TDEE!$B$5</f>
        <v>2193.5073379210262</v>
      </c>
      <c r="H85" s="67">
        <f t="shared" si="42"/>
        <v>790.84327274292048</v>
      </c>
      <c r="I85" s="67">
        <f t="shared" si="43"/>
        <v>1402.6640651781058</v>
      </c>
      <c r="J85" s="58">
        <f t="shared" si="31"/>
        <v>0.22595522078369157</v>
      </c>
      <c r="K85" s="67">
        <f t="shared" si="32"/>
        <v>93.354379162964833</v>
      </c>
      <c r="L85" s="67">
        <v>20</v>
      </c>
      <c r="M85" s="54">
        <f>Protein_Amt!$B$6</f>
        <v>120.61866317785559</v>
      </c>
      <c r="N85" s="67">
        <f t="shared" si="33"/>
        <v>840.18941246668351</v>
      </c>
      <c r="O85" s="67">
        <f t="shared" si="34"/>
        <v>80</v>
      </c>
      <c r="P85" s="67">
        <f t="shared" si="35"/>
        <v>482.47465271142238</v>
      </c>
      <c r="Q85" s="68">
        <f t="shared" si="36"/>
        <v>1402.6640651781058</v>
      </c>
      <c r="S85" s="70">
        <f>VLOOKUP($A85,FoodLog!$A$1:$Z$10001,12,0)</f>
        <v>0</v>
      </c>
      <c r="T85" s="70">
        <f>VLOOKUP($A85,FoodLog!$A$1:$Z$10001,13,0)</f>
        <v>0</v>
      </c>
      <c r="U85" s="70">
        <f>VLOOKUP($A85,FoodLog!$A$1:$Z$10001,14,0)</f>
        <v>0</v>
      </c>
      <c r="V85" s="70">
        <f>VLOOKUP($A85,FoodLog!$A$1:$Z$10001,15,0)</f>
        <v>0</v>
      </c>
      <c r="W85" s="70">
        <f>VLOOKUP($A85,FoodLog!$A$1:$Z$10001,16,0)</f>
        <v>840.18941246668351</v>
      </c>
      <c r="X85" s="70">
        <f>VLOOKUP($A85,FoodLog!$A$1:$Z$10001,17,0)</f>
        <v>80</v>
      </c>
      <c r="Y85" s="70">
        <f>VLOOKUP($A85,FoodLog!$A$1:$Z$10001,18,0)</f>
        <v>482.47465271142238</v>
      </c>
      <c r="Z85" s="70">
        <f>VLOOKUP($A85,FoodLog!$A$1:$Z$10001,19,0)</f>
        <v>1402.6640651781058</v>
      </c>
      <c r="AA85" s="62">
        <f t="shared" si="37"/>
        <v>0.22595522078369157</v>
      </c>
      <c r="AB85" s="63">
        <f>Scale!C85</f>
        <v>0</v>
      </c>
    </row>
    <row r="86" spans="1:28" x14ac:dyDescent="0.25">
      <c r="A86" s="65">
        <f t="shared" si="38"/>
        <v>43075</v>
      </c>
      <c r="B86" s="66">
        <f t="shared" si="39"/>
        <v>84</v>
      </c>
      <c r="C86" s="67">
        <f t="shared" si="40"/>
        <v>176.05844706582354</v>
      </c>
      <c r="D86" s="75">
        <f t="shared" si="41"/>
        <v>150.77332897231949</v>
      </c>
      <c r="E86" s="76">
        <f t="shared" si="30"/>
        <v>25.285118093504053</v>
      </c>
      <c r="F86" s="77"/>
      <c r="G86" s="78">
        <f>C86*TDEE!$B$5</f>
        <v>2190.6957764419521</v>
      </c>
      <c r="H86" s="67">
        <f t="shared" si="42"/>
        <v>783.83866089862568</v>
      </c>
      <c r="I86" s="67">
        <f t="shared" si="43"/>
        <v>1406.8571155433265</v>
      </c>
      <c r="J86" s="58">
        <f t="shared" si="31"/>
        <v>0.22395390311389304</v>
      </c>
      <c r="K86" s="75">
        <f t="shared" si="32"/>
        <v>93.820273647989353</v>
      </c>
      <c r="L86" s="75">
        <v>20</v>
      </c>
      <c r="M86" s="54">
        <f>Protein_Amt!$B$6</f>
        <v>120.61866317785559</v>
      </c>
      <c r="N86" s="67">
        <f t="shared" si="33"/>
        <v>844.38246283190415</v>
      </c>
      <c r="O86" s="75">
        <f t="shared" si="34"/>
        <v>80</v>
      </c>
      <c r="P86" s="75">
        <f t="shared" si="35"/>
        <v>482.47465271142238</v>
      </c>
      <c r="Q86" s="68">
        <f t="shared" si="36"/>
        <v>1406.8571155433265</v>
      </c>
      <c r="S86" s="70">
        <f>VLOOKUP($A86,FoodLog!$A$1:$Z$10001,12,0)</f>
        <v>0</v>
      </c>
      <c r="T86" s="70">
        <f>VLOOKUP($A86,FoodLog!$A$1:$Z$10001,13,0)</f>
        <v>0</v>
      </c>
      <c r="U86" s="70">
        <f>VLOOKUP($A86,FoodLog!$A$1:$Z$10001,14,0)</f>
        <v>0</v>
      </c>
      <c r="V86" s="70">
        <f>VLOOKUP($A86,FoodLog!$A$1:$Z$10001,15,0)</f>
        <v>0</v>
      </c>
      <c r="W86" s="70">
        <f>VLOOKUP($A86,FoodLog!$A$1:$Z$10001,16,0)</f>
        <v>844.38246283190415</v>
      </c>
      <c r="X86" s="70">
        <f>VLOOKUP($A86,FoodLog!$A$1:$Z$10001,17,0)</f>
        <v>80</v>
      </c>
      <c r="Y86" s="70">
        <f>VLOOKUP($A86,FoodLog!$A$1:$Z$10001,18,0)</f>
        <v>482.47465271142238</v>
      </c>
      <c r="Z86" s="70">
        <f>VLOOKUP($A86,FoodLog!$A$1:$Z$10001,19,0)</f>
        <v>1406.8571155433265</v>
      </c>
      <c r="AA86" s="62">
        <f t="shared" si="37"/>
        <v>0.22395390311389304</v>
      </c>
      <c r="AB86" s="63">
        <f>Scale!C86</f>
        <v>0</v>
      </c>
    </row>
    <row r="87" spans="1:28" x14ac:dyDescent="0.25">
      <c r="A87" s="65">
        <f t="shared" si="38"/>
        <v>43076</v>
      </c>
      <c r="B87" s="66">
        <f t="shared" si="39"/>
        <v>85</v>
      </c>
      <c r="C87" s="67">
        <f t="shared" si="40"/>
        <v>175.83449316270966</v>
      </c>
      <c r="D87" s="75">
        <f t="shared" si="41"/>
        <v>150.77332897231949</v>
      </c>
      <c r="E87" s="76">
        <f t="shared" si="30"/>
        <v>25.061164190390173</v>
      </c>
      <c r="F87" s="77"/>
      <c r="G87" s="78">
        <f>C87*TDEE!$B$5</f>
        <v>2187.9091173645502</v>
      </c>
      <c r="H87" s="67">
        <f t="shared" si="42"/>
        <v>776.89608990209535</v>
      </c>
      <c r="I87" s="67">
        <f t="shared" si="43"/>
        <v>1411.0130274624548</v>
      </c>
      <c r="J87" s="58">
        <f t="shared" si="31"/>
        <v>0.22197031140059867</v>
      </c>
      <c r="K87" s="75">
        <f t="shared" si="32"/>
        <v>93.837597194559166</v>
      </c>
      <c r="L87" s="75">
        <v>21</v>
      </c>
      <c r="M87" s="54">
        <f>Protein_Amt!$B$6</f>
        <v>120.61866317785559</v>
      </c>
      <c r="N87" s="67">
        <f t="shared" si="33"/>
        <v>844.53837475103251</v>
      </c>
      <c r="O87" s="75">
        <f t="shared" si="34"/>
        <v>84</v>
      </c>
      <c r="P87" s="75">
        <f t="shared" si="35"/>
        <v>482.47465271142238</v>
      </c>
      <c r="Q87" s="68">
        <f t="shared" si="36"/>
        <v>1411.0130274624548</v>
      </c>
      <c r="S87" s="70">
        <f>VLOOKUP($A87,FoodLog!$A$1:$Z$10001,12,0)</f>
        <v>0</v>
      </c>
      <c r="T87" s="70">
        <f>VLOOKUP($A87,FoodLog!$A$1:$Z$10001,13,0)</f>
        <v>0</v>
      </c>
      <c r="U87" s="70">
        <f>VLOOKUP($A87,FoodLog!$A$1:$Z$10001,14,0)</f>
        <v>0</v>
      </c>
      <c r="V87" s="70">
        <f>VLOOKUP($A87,FoodLog!$A$1:$Z$10001,15,0)</f>
        <v>0</v>
      </c>
      <c r="W87" s="70">
        <f>VLOOKUP($A87,FoodLog!$A$1:$Z$10001,16,0)</f>
        <v>844.53837475103251</v>
      </c>
      <c r="X87" s="70">
        <f>VLOOKUP($A87,FoodLog!$A$1:$Z$10001,17,0)</f>
        <v>84</v>
      </c>
      <c r="Y87" s="70">
        <f>VLOOKUP($A87,FoodLog!$A$1:$Z$10001,18,0)</f>
        <v>482.47465271142238</v>
      </c>
      <c r="Z87" s="70">
        <f>VLOOKUP($A87,FoodLog!$A$1:$Z$10001,19,0)</f>
        <v>1411.0130274624548</v>
      </c>
      <c r="AA87" s="62">
        <f t="shared" si="37"/>
        <v>0.22197031140059867</v>
      </c>
      <c r="AB87" s="63">
        <f>Scale!C87</f>
        <v>0</v>
      </c>
    </row>
    <row r="88" spans="1:28" x14ac:dyDescent="0.25">
      <c r="A88" s="65">
        <f t="shared" si="38"/>
        <v>43077</v>
      </c>
      <c r="B88" s="66">
        <f t="shared" si="39"/>
        <v>86</v>
      </c>
      <c r="C88" s="67">
        <f t="shared" si="40"/>
        <v>175.61252285130905</v>
      </c>
      <c r="D88" s="75">
        <f t="shared" si="41"/>
        <v>150.77332897231949</v>
      </c>
      <c r="E88" s="76">
        <f t="shared" si="30"/>
        <v>24.839193878989562</v>
      </c>
      <c r="F88" s="77"/>
      <c r="G88" s="78">
        <f>C88*TDEE!$B$5</f>
        <v>2185.1471401246904</v>
      </c>
      <c r="H88" s="67">
        <f t="shared" si="42"/>
        <v>770.01501024867639</v>
      </c>
      <c r="I88" s="67">
        <f t="shared" si="43"/>
        <v>1415.132129876014</v>
      </c>
      <c r="J88" s="58">
        <f t="shared" si="31"/>
        <v>0.22000428864247898</v>
      </c>
      <c r="K88" s="75">
        <f t="shared" si="32"/>
        <v>93.850830796065736</v>
      </c>
      <c r="L88" s="75">
        <v>22</v>
      </c>
      <c r="M88" s="54">
        <f>Protein_Amt!$B$6</f>
        <v>120.61866317785559</v>
      </c>
      <c r="N88" s="67">
        <f t="shared" si="33"/>
        <v>844.65747716459168</v>
      </c>
      <c r="O88" s="75">
        <f t="shared" si="34"/>
        <v>88</v>
      </c>
      <c r="P88" s="75">
        <f t="shared" si="35"/>
        <v>482.47465271142238</v>
      </c>
      <c r="Q88" s="68">
        <f t="shared" si="36"/>
        <v>1415.132129876014</v>
      </c>
      <c r="S88" s="70">
        <f>VLOOKUP($A88,FoodLog!$A$1:$Z$10001,12,0)</f>
        <v>0</v>
      </c>
      <c r="T88" s="70">
        <f>VLOOKUP($A88,FoodLog!$A$1:$Z$10001,13,0)</f>
        <v>0</v>
      </c>
      <c r="U88" s="70">
        <f>VLOOKUP($A88,FoodLog!$A$1:$Z$10001,14,0)</f>
        <v>0</v>
      </c>
      <c r="V88" s="70">
        <f>VLOOKUP($A88,FoodLog!$A$1:$Z$10001,15,0)</f>
        <v>0</v>
      </c>
      <c r="W88" s="70">
        <f>VLOOKUP($A88,FoodLog!$A$1:$Z$10001,16,0)</f>
        <v>844.65747716459168</v>
      </c>
      <c r="X88" s="70">
        <f>VLOOKUP($A88,FoodLog!$A$1:$Z$10001,17,0)</f>
        <v>88</v>
      </c>
      <c r="Y88" s="70">
        <f>VLOOKUP($A88,FoodLog!$A$1:$Z$10001,18,0)</f>
        <v>482.47465271142238</v>
      </c>
      <c r="Z88" s="70">
        <f>VLOOKUP($A88,FoodLog!$A$1:$Z$10001,19,0)</f>
        <v>1415.132129876014</v>
      </c>
      <c r="AA88" s="62">
        <f t="shared" si="37"/>
        <v>0.22000428864247898</v>
      </c>
      <c r="AB88" s="63">
        <f>Scale!C88</f>
        <v>0</v>
      </c>
    </row>
    <row r="89" spans="1:28" x14ac:dyDescent="0.25">
      <c r="A89" s="65">
        <f t="shared" si="38"/>
        <v>43078</v>
      </c>
      <c r="B89" s="66">
        <f t="shared" si="39"/>
        <v>87</v>
      </c>
      <c r="C89" s="67">
        <f t="shared" si="40"/>
        <v>175.39251856266657</v>
      </c>
      <c r="D89" s="75">
        <f t="shared" si="41"/>
        <v>150.77332897231949</v>
      </c>
      <c r="E89" s="76">
        <f t="shared" si="30"/>
        <v>24.619189590347077</v>
      </c>
      <c r="F89" s="77"/>
      <c r="G89" s="78">
        <f>C89*TDEE!$B$5</f>
        <v>2182.4096261118129</v>
      </c>
      <c r="H89" s="67">
        <f t="shared" si="42"/>
        <v>763.19487730075934</v>
      </c>
      <c r="I89" s="67">
        <f t="shared" si="43"/>
        <v>1419.2147488110536</v>
      </c>
      <c r="J89" s="58">
        <f t="shared" si="31"/>
        <v>0.21805567922878838</v>
      </c>
      <c r="K89" s="75">
        <f t="shared" si="32"/>
        <v>93.86001067773681</v>
      </c>
      <c r="L89" s="75">
        <v>23</v>
      </c>
      <c r="M89" s="54">
        <f>Protein_Amt!$B$6</f>
        <v>120.61866317785559</v>
      </c>
      <c r="N89" s="67">
        <f t="shared" si="33"/>
        <v>844.74009609963127</v>
      </c>
      <c r="O89" s="75">
        <f t="shared" si="34"/>
        <v>92</v>
      </c>
      <c r="P89" s="75">
        <f t="shared" si="35"/>
        <v>482.47465271142238</v>
      </c>
      <c r="Q89" s="68">
        <f t="shared" si="36"/>
        <v>1419.2147488110536</v>
      </c>
      <c r="S89" s="70">
        <f>VLOOKUP($A89,FoodLog!$A$1:$Z$10001,12,0)</f>
        <v>0</v>
      </c>
      <c r="T89" s="70">
        <f>VLOOKUP($A89,FoodLog!$A$1:$Z$10001,13,0)</f>
        <v>0</v>
      </c>
      <c r="U89" s="70">
        <f>VLOOKUP($A89,FoodLog!$A$1:$Z$10001,14,0)</f>
        <v>0</v>
      </c>
      <c r="V89" s="70">
        <f>VLOOKUP($A89,FoodLog!$A$1:$Z$10001,15,0)</f>
        <v>0</v>
      </c>
      <c r="W89" s="70">
        <f>VLOOKUP($A89,FoodLog!$A$1:$Z$10001,16,0)</f>
        <v>844.74009609963127</v>
      </c>
      <c r="X89" s="70">
        <f>VLOOKUP($A89,FoodLog!$A$1:$Z$10001,17,0)</f>
        <v>92</v>
      </c>
      <c r="Y89" s="70">
        <f>VLOOKUP($A89,FoodLog!$A$1:$Z$10001,18,0)</f>
        <v>482.47465271142238</v>
      </c>
      <c r="Z89" s="70">
        <f>VLOOKUP($A89,FoodLog!$A$1:$Z$10001,19,0)</f>
        <v>1419.2147488110536</v>
      </c>
      <c r="AA89" s="62">
        <f t="shared" si="37"/>
        <v>0.21805567922878838</v>
      </c>
      <c r="AB89" s="63">
        <f>Scale!C89</f>
        <v>0</v>
      </c>
    </row>
    <row r="90" spans="1:28" x14ac:dyDescent="0.25">
      <c r="A90" s="65">
        <f t="shared" si="38"/>
        <v>43079</v>
      </c>
      <c r="B90" s="66">
        <f t="shared" si="39"/>
        <v>88</v>
      </c>
      <c r="C90" s="67">
        <f t="shared" si="40"/>
        <v>175.17446288343777</v>
      </c>
      <c r="D90" s="75">
        <f t="shared" si="41"/>
        <v>150.77332897231949</v>
      </c>
      <c r="E90" s="76">
        <f t="shared" si="30"/>
        <v>24.401133911118279</v>
      </c>
      <c r="F90" s="77"/>
      <c r="G90" s="78">
        <f>C90*TDEE!$B$5</f>
        <v>2179.6963586516204</v>
      </c>
      <c r="H90" s="67">
        <f t="shared" si="42"/>
        <v>756.43515124466671</v>
      </c>
      <c r="I90" s="67">
        <f t="shared" si="43"/>
        <v>1423.2612074069536</v>
      </c>
      <c r="J90" s="58">
        <f t="shared" si="31"/>
        <v>0.21612432892704764</v>
      </c>
      <c r="K90" s="75">
        <f t="shared" si="32"/>
        <v>93.865172743947923</v>
      </c>
      <c r="L90" s="75">
        <v>24</v>
      </c>
      <c r="M90" s="54">
        <f>Protein_Amt!$B$6</f>
        <v>120.61866317785559</v>
      </c>
      <c r="N90" s="67">
        <f t="shared" si="33"/>
        <v>844.78655469553132</v>
      </c>
      <c r="O90" s="75">
        <f t="shared" si="34"/>
        <v>96</v>
      </c>
      <c r="P90" s="75">
        <f t="shared" si="35"/>
        <v>482.47465271142238</v>
      </c>
      <c r="Q90" s="68">
        <f t="shared" si="36"/>
        <v>1423.2612074069536</v>
      </c>
      <c r="S90" s="70">
        <f>VLOOKUP($A90,FoodLog!$A$1:$Z$10001,12,0)</f>
        <v>0</v>
      </c>
      <c r="T90" s="70">
        <f>VLOOKUP($A90,FoodLog!$A$1:$Z$10001,13,0)</f>
        <v>0</v>
      </c>
      <c r="U90" s="70">
        <f>VLOOKUP($A90,FoodLog!$A$1:$Z$10001,14,0)</f>
        <v>0</v>
      </c>
      <c r="V90" s="70">
        <f>VLOOKUP($A90,FoodLog!$A$1:$Z$10001,15,0)</f>
        <v>0</v>
      </c>
      <c r="W90" s="70">
        <f>VLOOKUP($A90,FoodLog!$A$1:$Z$10001,16,0)</f>
        <v>844.78655469553132</v>
      </c>
      <c r="X90" s="70">
        <f>VLOOKUP($A90,FoodLog!$A$1:$Z$10001,17,0)</f>
        <v>96</v>
      </c>
      <c r="Y90" s="70">
        <f>VLOOKUP($A90,FoodLog!$A$1:$Z$10001,18,0)</f>
        <v>482.47465271142238</v>
      </c>
      <c r="Z90" s="70">
        <f>VLOOKUP($A90,FoodLog!$A$1:$Z$10001,19,0)</f>
        <v>1423.2612074069536</v>
      </c>
      <c r="AA90" s="62">
        <f t="shared" si="37"/>
        <v>0.21612432892704764</v>
      </c>
      <c r="AB90" s="63">
        <f>Scale!C90</f>
        <v>0</v>
      </c>
    </row>
    <row r="91" spans="1:28" x14ac:dyDescent="0.25">
      <c r="A91" s="65">
        <f t="shared" si="38"/>
        <v>43080</v>
      </c>
      <c r="B91" s="66">
        <f t="shared" si="39"/>
        <v>89</v>
      </c>
      <c r="C91" s="67">
        <f t="shared" si="40"/>
        <v>174.95833855451073</v>
      </c>
      <c r="D91" s="75">
        <f t="shared" si="41"/>
        <v>150.77332897231949</v>
      </c>
      <c r="E91" s="76">
        <f t="shared" si="30"/>
        <v>24.185009582191242</v>
      </c>
      <c r="F91" s="77"/>
      <c r="G91" s="78">
        <f>C91*TDEE!$B$5</f>
        <v>2177.0071229889327</v>
      </c>
      <c r="H91" s="67">
        <f t="shared" si="42"/>
        <v>749.7352970479285</v>
      </c>
      <c r="I91" s="67">
        <f t="shared" si="43"/>
        <v>1427.2718259410042</v>
      </c>
      <c r="J91" s="58">
        <f t="shared" si="31"/>
        <v>0.2142100848708367</v>
      </c>
      <c r="K91" s="75">
        <f t="shared" si="32"/>
        <v>93.866352581064646</v>
      </c>
      <c r="L91" s="75">
        <v>25</v>
      </c>
      <c r="M91" s="54">
        <f>Protein_Amt!$B$6</f>
        <v>120.61866317785559</v>
      </c>
      <c r="N91" s="67">
        <f t="shared" si="33"/>
        <v>844.79717322958186</v>
      </c>
      <c r="O91" s="75">
        <f t="shared" si="34"/>
        <v>100</v>
      </c>
      <c r="P91" s="75">
        <f t="shared" si="35"/>
        <v>482.47465271142238</v>
      </c>
      <c r="Q91" s="68">
        <f t="shared" si="36"/>
        <v>1427.2718259410042</v>
      </c>
      <c r="S91" s="70">
        <f>VLOOKUP($A91,FoodLog!$A$1:$Z$10001,12,0)</f>
        <v>0</v>
      </c>
      <c r="T91" s="70">
        <f>VLOOKUP($A91,FoodLog!$A$1:$Z$10001,13,0)</f>
        <v>0</v>
      </c>
      <c r="U91" s="70">
        <f>VLOOKUP($A91,FoodLog!$A$1:$Z$10001,14,0)</f>
        <v>0</v>
      </c>
      <c r="V91" s="70">
        <f>VLOOKUP($A91,FoodLog!$A$1:$Z$10001,15,0)</f>
        <v>0</v>
      </c>
      <c r="W91" s="70">
        <f>VLOOKUP($A91,FoodLog!$A$1:$Z$10001,16,0)</f>
        <v>844.79717322958186</v>
      </c>
      <c r="X91" s="70">
        <f>VLOOKUP($A91,FoodLog!$A$1:$Z$10001,17,0)</f>
        <v>100</v>
      </c>
      <c r="Y91" s="70">
        <f>VLOOKUP($A91,FoodLog!$A$1:$Z$10001,18,0)</f>
        <v>482.47465271142238</v>
      </c>
      <c r="Z91" s="70">
        <f>VLOOKUP($A91,FoodLog!$A$1:$Z$10001,19,0)</f>
        <v>1427.2718259410042</v>
      </c>
      <c r="AA91" s="62">
        <f t="shared" si="37"/>
        <v>0.2142100848708367</v>
      </c>
      <c r="AB91" s="63">
        <f>Scale!C91</f>
        <v>0</v>
      </c>
    </row>
    <row r="92" spans="1:28" x14ac:dyDescent="0.25">
      <c r="A92" s="65">
        <f t="shared" si="38"/>
        <v>43081</v>
      </c>
      <c r="B92" s="66">
        <f t="shared" si="39"/>
        <v>90</v>
      </c>
      <c r="C92" s="67">
        <f t="shared" si="40"/>
        <v>174.74412846963989</v>
      </c>
      <c r="D92" s="75">
        <f t="shared" si="41"/>
        <v>150.77332897231949</v>
      </c>
      <c r="E92" s="76">
        <f t="shared" si="30"/>
        <v>23.970799497320399</v>
      </c>
      <c r="F92" s="77"/>
      <c r="G92" s="78">
        <f>C92*TDEE!$B$5</f>
        <v>2174.3417062706858</v>
      </c>
      <c r="H92" s="67">
        <f t="shared" si="42"/>
        <v>743.09478441693238</v>
      </c>
      <c r="I92" s="67">
        <f t="shared" si="43"/>
        <v>1431.2469218537535</v>
      </c>
      <c r="J92" s="58">
        <f t="shared" si="31"/>
        <v>0.21231279554769497</v>
      </c>
      <c r="K92" s="75">
        <f t="shared" si="32"/>
        <v>93.863585460259017</v>
      </c>
      <c r="L92" s="75">
        <v>26</v>
      </c>
      <c r="M92" s="54">
        <f>Protein_Amt!$B$6</f>
        <v>120.61866317785559</v>
      </c>
      <c r="N92" s="67">
        <f t="shared" si="33"/>
        <v>844.7722691423312</v>
      </c>
      <c r="O92" s="75">
        <f t="shared" si="34"/>
        <v>104</v>
      </c>
      <c r="P92" s="75">
        <f t="shared" si="35"/>
        <v>482.47465271142238</v>
      </c>
      <c r="Q92" s="68">
        <f t="shared" si="36"/>
        <v>1431.2469218537535</v>
      </c>
      <c r="S92" s="70">
        <f>VLOOKUP($A92,FoodLog!$A$1:$Z$10001,12,0)</f>
        <v>0</v>
      </c>
      <c r="T92" s="70">
        <f>VLOOKUP($A92,FoodLog!$A$1:$Z$10001,13,0)</f>
        <v>0</v>
      </c>
      <c r="U92" s="70">
        <f>VLOOKUP($A92,FoodLog!$A$1:$Z$10001,14,0)</f>
        <v>0</v>
      </c>
      <c r="V92" s="70">
        <f>VLOOKUP($A92,FoodLog!$A$1:$Z$10001,15,0)</f>
        <v>0</v>
      </c>
      <c r="W92" s="70">
        <f>VLOOKUP($A92,FoodLog!$A$1:$Z$10001,16,0)</f>
        <v>844.7722691423312</v>
      </c>
      <c r="X92" s="70">
        <f>VLOOKUP($A92,FoodLog!$A$1:$Z$10001,17,0)</f>
        <v>104</v>
      </c>
      <c r="Y92" s="70">
        <f>VLOOKUP($A92,FoodLog!$A$1:$Z$10001,18,0)</f>
        <v>482.47465271142238</v>
      </c>
      <c r="Z92" s="70">
        <f>VLOOKUP($A92,FoodLog!$A$1:$Z$10001,19,0)</f>
        <v>1431.2469218537535</v>
      </c>
      <c r="AA92" s="62">
        <f t="shared" si="37"/>
        <v>0.21231279554769497</v>
      </c>
      <c r="AB92" s="63">
        <f>Scale!C92</f>
        <v>0</v>
      </c>
    </row>
    <row r="93" spans="1:28" x14ac:dyDescent="0.25">
      <c r="A93" s="65">
        <f t="shared" si="38"/>
        <v>43082</v>
      </c>
      <c r="B93" s="66">
        <f t="shared" si="39"/>
        <v>91</v>
      </c>
      <c r="C93" s="67">
        <f t="shared" si="40"/>
        <v>174.5318156740922</v>
      </c>
      <c r="D93" s="75">
        <f t="shared" si="41"/>
        <v>150.77332897231949</v>
      </c>
      <c r="E93" s="76">
        <f t="shared" si="30"/>
        <v>23.758486701772711</v>
      </c>
      <c r="F93" s="77"/>
      <c r="G93" s="78">
        <f>C93*TDEE!$B$5</f>
        <v>2171.6998975290862</v>
      </c>
      <c r="H93" s="67">
        <f t="shared" si="42"/>
        <v>736.51308775495409</v>
      </c>
      <c r="I93" s="67">
        <f t="shared" si="43"/>
        <v>1435.1868097741321</v>
      </c>
      <c r="J93" s="58">
        <f t="shared" si="31"/>
        <v>0.21043231078712973</v>
      </c>
      <c r="K93" s="75">
        <f t="shared" si="32"/>
        <v>93.856906340301094</v>
      </c>
      <c r="L93" s="75">
        <v>27</v>
      </c>
      <c r="M93" s="54">
        <f>Protein_Amt!$B$6</f>
        <v>120.61866317785559</v>
      </c>
      <c r="N93" s="67">
        <f t="shared" si="33"/>
        <v>844.71215706270982</v>
      </c>
      <c r="O93" s="75">
        <f t="shared" si="34"/>
        <v>108</v>
      </c>
      <c r="P93" s="75">
        <f t="shared" si="35"/>
        <v>482.47465271142238</v>
      </c>
      <c r="Q93" s="68">
        <f t="shared" si="36"/>
        <v>1435.1868097741321</v>
      </c>
      <c r="S93" s="70">
        <f>VLOOKUP($A93,FoodLog!$A$1:$Z$10001,12,0)</f>
        <v>0</v>
      </c>
      <c r="T93" s="70">
        <f>VLOOKUP($A93,FoodLog!$A$1:$Z$10001,13,0)</f>
        <v>0</v>
      </c>
      <c r="U93" s="70">
        <f>VLOOKUP($A93,FoodLog!$A$1:$Z$10001,14,0)</f>
        <v>0</v>
      </c>
      <c r="V93" s="70">
        <f>VLOOKUP($A93,FoodLog!$A$1:$Z$10001,15,0)</f>
        <v>0</v>
      </c>
      <c r="W93" s="70">
        <f>VLOOKUP($A93,FoodLog!$A$1:$Z$10001,16,0)</f>
        <v>844.71215706270982</v>
      </c>
      <c r="X93" s="70">
        <f>VLOOKUP($A93,FoodLog!$A$1:$Z$10001,17,0)</f>
        <v>108</v>
      </c>
      <c r="Y93" s="70">
        <f>VLOOKUP($A93,FoodLog!$A$1:$Z$10001,18,0)</f>
        <v>482.47465271142238</v>
      </c>
      <c r="Z93" s="70">
        <f>VLOOKUP($A93,FoodLog!$A$1:$Z$10001,19,0)</f>
        <v>1435.1868097741321</v>
      </c>
      <c r="AA93" s="62">
        <f t="shared" si="37"/>
        <v>0.21043231078712973</v>
      </c>
      <c r="AB93" s="63">
        <f>Scale!C93</f>
        <v>0</v>
      </c>
    </row>
    <row r="94" spans="1:28" x14ac:dyDescent="0.25">
      <c r="A94" s="65">
        <f t="shared" si="38"/>
        <v>43083</v>
      </c>
      <c r="B94" s="66">
        <f t="shared" si="39"/>
        <v>92</v>
      </c>
      <c r="C94" s="67">
        <f t="shared" si="40"/>
        <v>174.32138336330507</v>
      </c>
      <c r="D94" s="75">
        <f t="shared" si="41"/>
        <v>150.77332897231949</v>
      </c>
      <c r="E94" s="76">
        <f t="shared" si="30"/>
        <v>23.548054390985584</v>
      </c>
      <c r="F94" s="77"/>
      <c r="G94" s="78">
        <f>C94*TDEE!$B$5</f>
        <v>2169.0814876649124</v>
      </c>
      <c r="H94" s="67">
        <f t="shared" si="42"/>
        <v>729.98968612055307</v>
      </c>
      <c r="I94" s="67">
        <f t="shared" si="43"/>
        <v>1439.0918015443594</v>
      </c>
      <c r="J94" s="58">
        <f t="shared" si="31"/>
        <v>0.20856848174872944</v>
      </c>
      <c r="K94" s="75">
        <f t="shared" si="32"/>
        <v>93.84634987032635</v>
      </c>
      <c r="L94" s="75">
        <v>28</v>
      </c>
      <c r="M94" s="54">
        <f>Protein_Amt!$B$6</f>
        <v>120.61866317785559</v>
      </c>
      <c r="N94" s="67">
        <f t="shared" si="33"/>
        <v>844.61714883293712</v>
      </c>
      <c r="O94" s="75">
        <f t="shared" si="34"/>
        <v>112</v>
      </c>
      <c r="P94" s="75">
        <f t="shared" si="35"/>
        <v>482.47465271142238</v>
      </c>
      <c r="Q94" s="68">
        <f t="shared" si="36"/>
        <v>1439.0918015443594</v>
      </c>
      <c r="S94" s="70">
        <f>VLOOKUP($A94,FoodLog!$A$1:$Z$10001,12,0)</f>
        <v>0</v>
      </c>
      <c r="T94" s="70">
        <f>VLOOKUP($A94,FoodLog!$A$1:$Z$10001,13,0)</f>
        <v>0</v>
      </c>
      <c r="U94" s="70">
        <f>VLOOKUP($A94,FoodLog!$A$1:$Z$10001,14,0)</f>
        <v>0</v>
      </c>
      <c r="V94" s="70">
        <f>VLOOKUP($A94,FoodLog!$A$1:$Z$10001,15,0)</f>
        <v>0</v>
      </c>
      <c r="W94" s="70">
        <f>VLOOKUP($A94,FoodLog!$A$1:$Z$10001,16,0)</f>
        <v>844.61714883293712</v>
      </c>
      <c r="X94" s="70">
        <f>VLOOKUP($A94,FoodLog!$A$1:$Z$10001,17,0)</f>
        <v>112</v>
      </c>
      <c r="Y94" s="70">
        <f>VLOOKUP($A94,FoodLog!$A$1:$Z$10001,18,0)</f>
        <v>482.47465271142238</v>
      </c>
      <c r="Z94" s="70">
        <f>VLOOKUP($A94,FoodLog!$A$1:$Z$10001,19,0)</f>
        <v>1439.0918015443594</v>
      </c>
      <c r="AA94" s="62">
        <f t="shared" si="37"/>
        <v>0.20856848174872944</v>
      </c>
      <c r="AB94" s="63">
        <f>Scale!C94</f>
        <v>0</v>
      </c>
    </row>
    <row r="95" spans="1:28" x14ac:dyDescent="0.25">
      <c r="A95" s="65">
        <f t="shared" si="38"/>
        <v>43084</v>
      </c>
      <c r="B95" s="66">
        <f t="shared" si="39"/>
        <v>93</v>
      </c>
      <c r="C95" s="67">
        <f t="shared" si="40"/>
        <v>174.11281488155635</v>
      </c>
      <c r="D95" s="75">
        <f t="shared" si="41"/>
        <v>150.77332897231949</v>
      </c>
      <c r="E95" s="76">
        <f t="shared" si="30"/>
        <v>23.339485909236856</v>
      </c>
      <c r="F95" s="77"/>
      <c r="G95" s="78">
        <f>C95*TDEE!$B$5</f>
        <v>2166.4862694309645</v>
      </c>
      <c r="H95" s="67">
        <f t="shared" si="42"/>
        <v>723.52406318634257</v>
      </c>
      <c r="I95" s="67">
        <f t="shared" si="43"/>
        <v>1442.9622062446219</v>
      </c>
      <c r="J95" s="58">
        <f t="shared" si="31"/>
        <v>0.20672116091038359</v>
      </c>
      <c r="K95" s="75">
        <f t="shared" si="32"/>
        <v>93.831950392577738</v>
      </c>
      <c r="L95" s="75">
        <v>29</v>
      </c>
      <c r="M95" s="54">
        <f>Protein_Amt!$B$6</f>
        <v>120.61866317785559</v>
      </c>
      <c r="N95" s="67">
        <f t="shared" si="33"/>
        <v>844.48755353319962</v>
      </c>
      <c r="O95" s="75">
        <f t="shared" si="34"/>
        <v>116</v>
      </c>
      <c r="P95" s="75">
        <f t="shared" si="35"/>
        <v>482.47465271142238</v>
      </c>
      <c r="Q95" s="68">
        <f t="shared" si="36"/>
        <v>1442.9622062446219</v>
      </c>
      <c r="S95" s="70">
        <f>VLOOKUP($A95,FoodLog!$A$1:$Z$10001,12,0)</f>
        <v>0</v>
      </c>
      <c r="T95" s="70">
        <f>VLOOKUP($A95,FoodLog!$A$1:$Z$10001,13,0)</f>
        <v>0</v>
      </c>
      <c r="U95" s="70">
        <f>VLOOKUP($A95,FoodLog!$A$1:$Z$10001,14,0)</f>
        <v>0</v>
      </c>
      <c r="V95" s="70">
        <f>VLOOKUP($A95,FoodLog!$A$1:$Z$10001,15,0)</f>
        <v>0</v>
      </c>
      <c r="W95" s="70">
        <f>VLOOKUP($A95,FoodLog!$A$1:$Z$10001,16,0)</f>
        <v>844.48755353319962</v>
      </c>
      <c r="X95" s="70">
        <f>VLOOKUP($A95,FoodLog!$A$1:$Z$10001,17,0)</f>
        <v>116</v>
      </c>
      <c r="Y95" s="70">
        <f>VLOOKUP($A95,FoodLog!$A$1:$Z$10001,18,0)</f>
        <v>482.47465271142238</v>
      </c>
      <c r="Z95" s="70">
        <f>VLOOKUP($A95,FoodLog!$A$1:$Z$10001,19,0)</f>
        <v>1442.9622062446219</v>
      </c>
      <c r="AA95" s="62">
        <f t="shared" si="37"/>
        <v>0.20672116091038359</v>
      </c>
      <c r="AB95" s="63">
        <f>Scale!C95</f>
        <v>0</v>
      </c>
    </row>
    <row r="96" spans="1:28" x14ac:dyDescent="0.25">
      <c r="A96" s="65">
        <f t="shared" si="38"/>
        <v>43085</v>
      </c>
      <c r="B96" s="66">
        <f t="shared" si="39"/>
        <v>94</v>
      </c>
      <c r="C96" s="67">
        <f t="shared" si="40"/>
        <v>173.90609372064597</v>
      </c>
      <c r="D96" s="75">
        <f t="shared" si="41"/>
        <v>150.77332897231949</v>
      </c>
      <c r="E96" s="76">
        <f t="shared" si="30"/>
        <v>23.13276474832648</v>
      </c>
      <c r="F96" s="77"/>
      <c r="G96" s="78">
        <f>C96*TDEE!$B$5</f>
        <v>2163.9140374156595</v>
      </c>
      <c r="H96" s="67">
        <f t="shared" si="42"/>
        <v>717.11570719812084</v>
      </c>
      <c r="I96" s="67">
        <f t="shared" si="43"/>
        <v>1446.7983302175387</v>
      </c>
      <c r="J96" s="58">
        <f t="shared" si="31"/>
        <v>0.20489020205660596</v>
      </c>
      <c r="K96" s="75">
        <f t="shared" si="32"/>
        <v>94.258186389568493</v>
      </c>
      <c r="L96" s="75">
        <v>29</v>
      </c>
      <c r="M96" s="54">
        <f>Protein_Amt!$B$6</f>
        <v>120.61866317785559</v>
      </c>
      <c r="N96" s="67">
        <f t="shared" si="33"/>
        <v>848.32367750611638</v>
      </c>
      <c r="O96" s="75">
        <f t="shared" si="34"/>
        <v>116</v>
      </c>
      <c r="P96" s="75">
        <f t="shared" si="35"/>
        <v>482.47465271142238</v>
      </c>
      <c r="Q96" s="68">
        <f t="shared" si="36"/>
        <v>1446.7983302175387</v>
      </c>
      <c r="S96" s="70">
        <f>VLOOKUP($A96,FoodLog!$A$1:$Z$10001,12,0)</f>
        <v>0</v>
      </c>
      <c r="T96" s="70">
        <f>VLOOKUP($A96,FoodLog!$A$1:$Z$10001,13,0)</f>
        <v>0</v>
      </c>
      <c r="U96" s="70">
        <f>VLOOKUP($A96,FoodLog!$A$1:$Z$10001,14,0)</f>
        <v>0</v>
      </c>
      <c r="V96" s="70">
        <f>VLOOKUP($A96,FoodLog!$A$1:$Z$10001,15,0)</f>
        <v>0</v>
      </c>
      <c r="W96" s="70">
        <f>VLOOKUP($A96,FoodLog!$A$1:$Z$10001,16,0)</f>
        <v>848.32367750611638</v>
      </c>
      <c r="X96" s="70">
        <f>VLOOKUP($A96,FoodLog!$A$1:$Z$10001,17,0)</f>
        <v>116</v>
      </c>
      <c r="Y96" s="70">
        <f>VLOOKUP($A96,FoodLog!$A$1:$Z$10001,18,0)</f>
        <v>482.47465271142238</v>
      </c>
      <c r="Z96" s="70">
        <f>VLOOKUP($A96,FoodLog!$A$1:$Z$10001,19,0)</f>
        <v>1446.7983302175387</v>
      </c>
      <c r="AA96" s="62">
        <f t="shared" si="37"/>
        <v>0.20489020205660596</v>
      </c>
      <c r="AB96" s="63">
        <f>Scale!C96</f>
        <v>0</v>
      </c>
    </row>
    <row r="97" spans="1:28" x14ac:dyDescent="0.25">
      <c r="A97" s="65">
        <f t="shared" si="38"/>
        <v>43086</v>
      </c>
      <c r="B97" s="66">
        <f t="shared" si="39"/>
        <v>95</v>
      </c>
      <c r="C97" s="67">
        <f t="shared" si="40"/>
        <v>173.70120351858935</v>
      </c>
      <c r="D97" s="75">
        <f t="shared" si="41"/>
        <v>150.77332897231949</v>
      </c>
      <c r="E97" s="76">
        <f t="shared" si="30"/>
        <v>22.927874546269862</v>
      </c>
      <c r="F97" s="77"/>
      <c r="G97" s="78">
        <f>C97*TDEE!$B$5</f>
        <v>2161.3645880267759</v>
      </c>
      <c r="H97" s="67">
        <f t="shared" si="42"/>
        <v>710.7641109343657</v>
      </c>
      <c r="I97" s="67">
        <f t="shared" si="43"/>
        <v>1450.6004770924101</v>
      </c>
      <c r="J97" s="58">
        <f t="shared" si="31"/>
        <v>0.20307546026696163</v>
      </c>
      <c r="K97" s="75">
        <f t="shared" si="32"/>
        <v>94.68064715344309</v>
      </c>
      <c r="L97" s="75">
        <v>29</v>
      </c>
      <c r="M97" s="54">
        <f>Protein_Amt!$B$6</f>
        <v>120.61866317785559</v>
      </c>
      <c r="N97" s="67">
        <f t="shared" si="33"/>
        <v>852.12582438098775</v>
      </c>
      <c r="O97" s="75">
        <f t="shared" si="34"/>
        <v>116</v>
      </c>
      <c r="P97" s="75">
        <f t="shared" si="35"/>
        <v>482.47465271142238</v>
      </c>
      <c r="Q97" s="68">
        <f t="shared" si="36"/>
        <v>1450.6004770924101</v>
      </c>
      <c r="S97" s="70">
        <f>VLOOKUP($A97,FoodLog!$A$1:$Z$10001,12,0)</f>
        <v>0</v>
      </c>
      <c r="T97" s="70">
        <f>VLOOKUP($A97,FoodLog!$A$1:$Z$10001,13,0)</f>
        <v>0</v>
      </c>
      <c r="U97" s="70">
        <f>VLOOKUP($A97,FoodLog!$A$1:$Z$10001,14,0)</f>
        <v>0</v>
      </c>
      <c r="V97" s="70">
        <f>VLOOKUP($A97,FoodLog!$A$1:$Z$10001,15,0)</f>
        <v>0</v>
      </c>
      <c r="W97" s="70">
        <f>VLOOKUP($A97,FoodLog!$A$1:$Z$10001,16,0)</f>
        <v>852.12582438098775</v>
      </c>
      <c r="X97" s="70">
        <f>VLOOKUP($A97,FoodLog!$A$1:$Z$10001,17,0)</f>
        <v>116</v>
      </c>
      <c r="Y97" s="70">
        <f>VLOOKUP($A97,FoodLog!$A$1:$Z$10001,18,0)</f>
        <v>482.47465271142238</v>
      </c>
      <c r="Z97" s="70">
        <f>VLOOKUP($A97,FoodLog!$A$1:$Z$10001,19,0)</f>
        <v>1450.6004770924101</v>
      </c>
      <c r="AA97" s="62">
        <f t="shared" si="37"/>
        <v>0.20307546026696163</v>
      </c>
      <c r="AB97" s="63">
        <f>Scale!C97</f>
        <v>0</v>
      </c>
    </row>
    <row r="98" spans="1:28" x14ac:dyDescent="0.25">
      <c r="A98" s="65">
        <f t="shared" si="38"/>
        <v>43087</v>
      </c>
      <c r="B98" s="66">
        <f t="shared" si="39"/>
        <v>96</v>
      </c>
      <c r="C98" s="67">
        <f t="shared" si="40"/>
        <v>173.49812805832238</v>
      </c>
      <c r="D98" s="75">
        <f t="shared" si="41"/>
        <v>150.77332897231949</v>
      </c>
      <c r="E98" s="76">
        <f t="shared" si="30"/>
        <v>22.724799086002889</v>
      </c>
      <c r="F98" s="77"/>
      <c r="G98" s="78">
        <f>C98*TDEE!$B$5</f>
        <v>2158.8377194753366</v>
      </c>
      <c r="H98" s="67">
        <f t="shared" si="42"/>
        <v>704.46877166608954</v>
      </c>
      <c r="I98" s="67">
        <f t="shared" si="43"/>
        <v>1454.3689478092469</v>
      </c>
      <c r="J98" s="58">
        <f t="shared" si="31"/>
        <v>0.20127679190459702</v>
      </c>
      <c r="K98" s="75">
        <f t="shared" si="32"/>
        <v>95.099366121980509</v>
      </c>
      <c r="L98" s="75">
        <v>29</v>
      </c>
      <c r="M98" s="54">
        <f>Protein_Amt!$B$6</f>
        <v>120.61866317785559</v>
      </c>
      <c r="N98" s="67">
        <f t="shared" si="33"/>
        <v>855.89429509782462</v>
      </c>
      <c r="O98" s="75">
        <f t="shared" si="34"/>
        <v>116</v>
      </c>
      <c r="P98" s="75">
        <f t="shared" si="35"/>
        <v>482.47465271142238</v>
      </c>
      <c r="Q98" s="68">
        <f t="shared" si="36"/>
        <v>1454.3689478092469</v>
      </c>
      <c r="S98" s="70">
        <f>VLOOKUP($A98,FoodLog!$A$1:$Z$10001,12,0)</f>
        <v>0</v>
      </c>
      <c r="T98" s="70">
        <f>VLOOKUP($A98,FoodLog!$A$1:$Z$10001,13,0)</f>
        <v>0</v>
      </c>
      <c r="U98" s="70">
        <f>VLOOKUP($A98,FoodLog!$A$1:$Z$10001,14,0)</f>
        <v>0</v>
      </c>
      <c r="V98" s="70">
        <f>VLOOKUP($A98,FoodLog!$A$1:$Z$10001,15,0)</f>
        <v>0</v>
      </c>
      <c r="W98" s="70">
        <f>VLOOKUP($A98,FoodLog!$A$1:$Z$10001,16,0)</f>
        <v>855.89429509782462</v>
      </c>
      <c r="X98" s="70">
        <f>VLOOKUP($A98,FoodLog!$A$1:$Z$10001,17,0)</f>
        <v>116</v>
      </c>
      <c r="Y98" s="70">
        <f>VLOOKUP($A98,FoodLog!$A$1:$Z$10001,18,0)</f>
        <v>482.47465271142238</v>
      </c>
      <c r="Z98" s="70">
        <f>VLOOKUP($A98,FoodLog!$A$1:$Z$10001,19,0)</f>
        <v>1454.3689478092469</v>
      </c>
      <c r="AA98" s="62">
        <f t="shared" si="37"/>
        <v>0.20127679190459702</v>
      </c>
      <c r="AB98" s="63">
        <f>Scale!C98</f>
        <v>0</v>
      </c>
    </row>
    <row r="99" spans="1:28" x14ac:dyDescent="0.25">
      <c r="A99" s="65">
        <f t="shared" si="38"/>
        <v>43088</v>
      </c>
      <c r="B99" s="66">
        <f t="shared" si="39"/>
        <v>97</v>
      </c>
      <c r="C99" s="67">
        <f t="shared" si="40"/>
        <v>173.29685126641778</v>
      </c>
      <c r="D99" s="75">
        <f t="shared" si="41"/>
        <v>150.77332897231949</v>
      </c>
      <c r="E99" s="76">
        <f t="shared" ref="E99:E111" si="44">C99-D99</f>
        <v>22.523522294098285</v>
      </c>
      <c r="F99" s="77"/>
      <c r="G99" s="78">
        <f>C99*TDEE!$B$5</f>
        <v>2156.3332317596387</v>
      </c>
      <c r="H99" s="67">
        <f t="shared" si="42"/>
        <v>698.22919111704687</v>
      </c>
      <c r="I99" s="67">
        <f t="shared" si="43"/>
        <v>1458.1040406425918</v>
      </c>
      <c r="J99" s="58">
        <f t="shared" ref="J99:J111" si="45">H99/3500</f>
        <v>0.19949405460487055</v>
      </c>
      <c r="K99" s="75">
        <f t="shared" ref="K99:K111" si="46">N99/9</f>
        <v>95.51437643679661</v>
      </c>
      <c r="L99" s="75">
        <v>29</v>
      </c>
      <c r="M99" s="54">
        <f>Protein_Amt!$B$6</f>
        <v>120.61866317785559</v>
      </c>
      <c r="N99" s="67">
        <f t="shared" ref="N99:N111" si="47">MAX(0,I99-(O99+P99))</f>
        <v>859.6293879311695</v>
      </c>
      <c r="O99" s="75">
        <f t="shared" ref="O99:O111" si="48">4*L99</f>
        <v>116</v>
      </c>
      <c r="P99" s="75">
        <f t="shared" ref="P99:P111" si="49">4*M99</f>
        <v>482.47465271142238</v>
      </c>
      <c r="Q99" s="68">
        <f t="shared" ref="Q99:Q111" si="50">SUM(N99:P99)</f>
        <v>1458.1040406425918</v>
      </c>
      <c r="S99" s="70">
        <f>VLOOKUP($A99,FoodLog!$A$1:$Z$10001,12,0)</f>
        <v>0</v>
      </c>
      <c r="T99" s="70">
        <f>VLOOKUP($A99,FoodLog!$A$1:$Z$10001,13,0)</f>
        <v>0</v>
      </c>
      <c r="U99" s="70">
        <f>VLOOKUP($A99,FoodLog!$A$1:$Z$10001,14,0)</f>
        <v>0</v>
      </c>
      <c r="V99" s="70">
        <f>VLOOKUP($A99,FoodLog!$A$1:$Z$10001,15,0)</f>
        <v>0</v>
      </c>
      <c r="W99" s="70">
        <f>VLOOKUP($A99,FoodLog!$A$1:$Z$10001,16,0)</f>
        <v>859.6293879311695</v>
      </c>
      <c r="X99" s="70">
        <f>VLOOKUP($A99,FoodLog!$A$1:$Z$10001,17,0)</f>
        <v>116</v>
      </c>
      <c r="Y99" s="70">
        <f>VLOOKUP($A99,FoodLog!$A$1:$Z$10001,18,0)</f>
        <v>482.47465271142238</v>
      </c>
      <c r="Z99" s="70">
        <f>VLOOKUP($A99,FoodLog!$A$1:$Z$10001,19,0)</f>
        <v>1458.1040406425918</v>
      </c>
      <c r="AA99" s="62">
        <f t="shared" ref="AA99:AA111" si="51">MIN($H99,($H99+Z99))/3500</f>
        <v>0.19949405460487055</v>
      </c>
      <c r="AB99" s="63">
        <f>Scale!C99</f>
        <v>0</v>
      </c>
    </row>
    <row r="100" spans="1:28" x14ac:dyDescent="0.25">
      <c r="A100" s="65">
        <f t="shared" ref="A100:A111" si="52">A99+1</f>
        <v>43089</v>
      </c>
      <c r="B100" s="66">
        <f t="shared" ref="B100:B111" si="53">B99+1</f>
        <v>98</v>
      </c>
      <c r="C100" s="67">
        <f t="shared" ref="C100:C111" si="54">C99-AA99</f>
        <v>173.09735721181289</v>
      </c>
      <c r="D100" s="75">
        <f t="shared" ref="D100:D111" si="55">$D$3</f>
        <v>150.77332897231949</v>
      </c>
      <c r="E100" s="76">
        <f t="shared" si="44"/>
        <v>22.324028239493401</v>
      </c>
      <c r="F100" s="77"/>
      <c r="G100" s="78">
        <f>C100*TDEE!$B$5</f>
        <v>2153.8509266494229</v>
      </c>
      <c r="H100" s="67">
        <f t="shared" si="42"/>
        <v>692.04487542429547</v>
      </c>
      <c r="I100" s="67">
        <f t="shared" si="43"/>
        <v>1461.8060512251275</v>
      </c>
      <c r="J100" s="58">
        <f t="shared" si="45"/>
        <v>0.19772710726408441</v>
      </c>
      <c r="K100" s="75">
        <f t="shared" si="46"/>
        <v>95.925710945967239</v>
      </c>
      <c r="L100" s="75">
        <v>29</v>
      </c>
      <c r="M100" s="54">
        <f>Protein_Amt!$B$6</f>
        <v>120.61866317785559</v>
      </c>
      <c r="N100" s="67">
        <f t="shared" si="47"/>
        <v>863.33139851370515</v>
      </c>
      <c r="O100" s="75">
        <f t="shared" si="48"/>
        <v>116</v>
      </c>
      <c r="P100" s="75">
        <f t="shared" si="49"/>
        <v>482.47465271142238</v>
      </c>
      <c r="Q100" s="68">
        <f t="shared" si="50"/>
        <v>1461.8060512251275</v>
      </c>
      <c r="S100" s="70">
        <f>VLOOKUP($A100,FoodLog!$A$1:$Z$10001,12,0)</f>
        <v>0</v>
      </c>
      <c r="T100" s="70">
        <f>VLOOKUP($A100,FoodLog!$A$1:$Z$10001,13,0)</f>
        <v>0</v>
      </c>
      <c r="U100" s="70">
        <f>VLOOKUP($A100,FoodLog!$A$1:$Z$10001,14,0)</f>
        <v>0</v>
      </c>
      <c r="V100" s="70">
        <f>VLOOKUP($A100,FoodLog!$A$1:$Z$10001,15,0)</f>
        <v>0</v>
      </c>
      <c r="W100" s="70">
        <f>VLOOKUP($A100,FoodLog!$A$1:$Z$10001,16,0)</f>
        <v>863.33139851370515</v>
      </c>
      <c r="X100" s="70">
        <f>VLOOKUP($A100,FoodLog!$A$1:$Z$10001,17,0)</f>
        <v>116</v>
      </c>
      <c r="Y100" s="70">
        <f>VLOOKUP($A100,FoodLog!$A$1:$Z$10001,18,0)</f>
        <v>482.47465271142238</v>
      </c>
      <c r="Z100" s="70">
        <f>VLOOKUP($A100,FoodLog!$A$1:$Z$10001,19,0)</f>
        <v>1461.8060512251275</v>
      </c>
      <c r="AA100" s="62">
        <f t="shared" si="51"/>
        <v>0.19772710726408441</v>
      </c>
      <c r="AB100" s="63">
        <f>Scale!C100</f>
        <v>0</v>
      </c>
    </row>
    <row r="101" spans="1:28" x14ac:dyDescent="0.25">
      <c r="A101" s="65">
        <f t="shared" si="52"/>
        <v>43090</v>
      </c>
      <c r="B101" s="66">
        <f t="shared" si="53"/>
        <v>99</v>
      </c>
      <c r="C101" s="67">
        <f t="shared" si="54"/>
        <v>172.89963010454881</v>
      </c>
      <c r="D101" s="75">
        <f t="shared" si="55"/>
        <v>150.77332897231949</v>
      </c>
      <c r="E101" s="76">
        <f t="shared" si="44"/>
        <v>22.126301132229315</v>
      </c>
      <c r="F101" s="77"/>
      <c r="G101" s="78">
        <f>C101*TDEE!$B$5</f>
        <v>2151.3906076701828</v>
      </c>
      <c r="H101" s="67">
        <f t="shared" si="42"/>
        <v>685.9153350991088</v>
      </c>
      <c r="I101" s="67">
        <f t="shared" si="43"/>
        <v>1465.4752725710741</v>
      </c>
      <c r="J101" s="58">
        <f t="shared" si="45"/>
        <v>0.19597581002831679</v>
      </c>
      <c r="K101" s="75">
        <f t="shared" si="46"/>
        <v>96.33340220662798</v>
      </c>
      <c r="L101" s="75">
        <v>29</v>
      </c>
      <c r="M101" s="54">
        <f>Protein_Amt!$B$6</f>
        <v>120.61866317785559</v>
      </c>
      <c r="N101" s="67">
        <f t="shared" si="47"/>
        <v>867.00061985965181</v>
      </c>
      <c r="O101" s="75">
        <f t="shared" si="48"/>
        <v>116</v>
      </c>
      <c r="P101" s="75">
        <f t="shared" si="49"/>
        <v>482.47465271142238</v>
      </c>
      <c r="Q101" s="68">
        <f t="shared" si="50"/>
        <v>1465.4752725710741</v>
      </c>
      <c r="S101" s="70">
        <f>VLOOKUP($A101,FoodLog!$A$1:$Z$10001,12,0)</f>
        <v>0</v>
      </c>
      <c r="T101" s="70">
        <f>VLOOKUP($A101,FoodLog!$A$1:$Z$10001,13,0)</f>
        <v>0</v>
      </c>
      <c r="U101" s="70">
        <f>VLOOKUP($A101,FoodLog!$A$1:$Z$10001,14,0)</f>
        <v>0</v>
      </c>
      <c r="V101" s="70">
        <f>VLOOKUP($A101,FoodLog!$A$1:$Z$10001,15,0)</f>
        <v>0</v>
      </c>
      <c r="W101" s="70">
        <f>VLOOKUP($A101,FoodLog!$A$1:$Z$10001,16,0)</f>
        <v>867.00061985965181</v>
      </c>
      <c r="X101" s="70">
        <f>VLOOKUP($A101,FoodLog!$A$1:$Z$10001,17,0)</f>
        <v>116</v>
      </c>
      <c r="Y101" s="70">
        <f>VLOOKUP($A101,FoodLog!$A$1:$Z$10001,18,0)</f>
        <v>482.47465271142238</v>
      </c>
      <c r="Z101" s="70">
        <f>VLOOKUP($A101,FoodLog!$A$1:$Z$10001,19,0)</f>
        <v>1465.4752725710741</v>
      </c>
      <c r="AA101" s="62">
        <f t="shared" si="51"/>
        <v>0.19597581002831679</v>
      </c>
      <c r="AB101" s="63">
        <f>Scale!C101</f>
        <v>0</v>
      </c>
    </row>
    <row r="102" spans="1:28" x14ac:dyDescent="0.25">
      <c r="A102" s="65">
        <f t="shared" si="52"/>
        <v>43091</v>
      </c>
      <c r="B102" s="66">
        <f t="shared" si="53"/>
        <v>100</v>
      </c>
      <c r="C102" s="67">
        <f t="shared" si="54"/>
        <v>172.70365429452048</v>
      </c>
      <c r="D102" s="75">
        <f t="shared" si="55"/>
        <v>150.77332897231949</v>
      </c>
      <c r="E102" s="76">
        <f t="shared" si="44"/>
        <v>21.930325322200986</v>
      </c>
      <c r="F102" s="77"/>
      <c r="G102" s="78">
        <f>C102*TDEE!$B$5</f>
        <v>2148.9520800876162</v>
      </c>
      <c r="H102" s="67">
        <f t="shared" si="42"/>
        <v>679.8400849882305</v>
      </c>
      <c r="I102" s="67">
        <f t="shared" si="43"/>
        <v>1469.1119950993857</v>
      </c>
      <c r="J102" s="58">
        <f t="shared" si="45"/>
        <v>0.19424002428235157</v>
      </c>
      <c r="K102" s="75">
        <f t="shared" si="46"/>
        <v>96.737482487551489</v>
      </c>
      <c r="L102" s="75">
        <v>29</v>
      </c>
      <c r="M102" s="54">
        <f>Protein_Amt!$B$6</f>
        <v>120.61866317785559</v>
      </c>
      <c r="N102" s="67">
        <f t="shared" si="47"/>
        <v>870.63734238796337</v>
      </c>
      <c r="O102" s="75">
        <f t="shared" si="48"/>
        <v>116</v>
      </c>
      <c r="P102" s="75">
        <f t="shared" si="49"/>
        <v>482.47465271142238</v>
      </c>
      <c r="Q102" s="68">
        <f t="shared" si="50"/>
        <v>1469.1119950993857</v>
      </c>
      <c r="S102" s="70">
        <f>VLOOKUP($A102,FoodLog!$A$1:$Z$10001,12,0)</f>
        <v>0</v>
      </c>
      <c r="T102" s="70">
        <f>VLOOKUP($A102,FoodLog!$A$1:$Z$10001,13,0)</f>
        <v>0</v>
      </c>
      <c r="U102" s="70">
        <f>VLOOKUP($A102,FoodLog!$A$1:$Z$10001,14,0)</f>
        <v>0</v>
      </c>
      <c r="V102" s="70">
        <f>VLOOKUP($A102,FoodLog!$A$1:$Z$10001,15,0)</f>
        <v>0</v>
      </c>
      <c r="W102" s="70">
        <f>VLOOKUP($A102,FoodLog!$A$1:$Z$10001,16,0)</f>
        <v>870.63734238796337</v>
      </c>
      <c r="X102" s="70">
        <f>VLOOKUP($A102,FoodLog!$A$1:$Z$10001,17,0)</f>
        <v>116</v>
      </c>
      <c r="Y102" s="70">
        <f>VLOOKUP($A102,FoodLog!$A$1:$Z$10001,18,0)</f>
        <v>482.47465271142238</v>
      </c>
      <c r="Z102" s="70">
        <f>VLOOKUP($A102,FoodLog!$A$1:$Z$10001,19,0)</f>
        <v>1469.1119950993857</v>
      </c>
      <c r="AA102" s="62">
        <f t="shared" si="51"/>
        <v>0.19424002428235157</v>
      </c>
      <c r="AB102" s="63">
        <f>Scale!C102</f>
        <v>0</v>
      </c>
    </row>
    <row r="103" spans="1:28" x14ac:dyDescent="0.25">
      <c r="A103" s="65">
        <f t="shared" si="52"/>
        <v>43092</v>
      </c>
      <c r="B103" s="66">
        <f t="shared" si="53"/>
        <v>101</v>
      </c>
      <c r="C103" s="67">
        <f t="shared" si="54"/>
        <v>172.50941427023812</v>
      </c>
      <c r="D103" s="75">
        <f t="shared" si="55"/>
        <v>150.77332897231949</v>
      </c>
      <c r="E103" s="76">
        <f t="shared" si="44"/>
        <v>21.736085297918635</v>
      </c>
      <c r="F103" s="77"/>
      <c r="G103" s="78">
        <f>C103*TDEE!$B$5</f>
        <v>2146.5351508922099</v>
      </c>
      <c r="H103" s="67">
        <f t="shared" si="42"/>
        <v>673.81864423547768</v>
      </c>
      <c r="I103" s="67">
        <f t="shared" si="43"/>
        <v>1472.7165066567322</v>
      </c>
      <c r="J103" s="58">
        <f t="shared" si="45"/>
        <v>0.1925196126387079</v>
      </c>
      <c r="K103" s="75">
        <f t="shared" si="46"/>
        <v>97.137983771701101</v>
      </c>
      <c r="L103" s="75">
        <v>29</v>
      </c>
      <c r="M103" s="54">
        <f>Protein_Amt!$B$6</f>
        <v>120.61866317785559</v>
      </c>
      <c r="N103" s="67">
        <f t="shared" si="47"/>
        <v>874.24185394530991</v>
      </c>
      <c r="O103" s="75">
        <f t="shared" si="48"/>
        <v>116</v>
      </c>
      <c r="P103" s="75">
        <f t="shared" si="49"/>
        <v>482.47465271142238</v>
      </c>
      <c r="Q103" s="68">
        <f t="shared" si="50"/>
        <v>1472.7165066567322</v>
      </c>
      <c r="S103" s="70">
        <f>VLOOKUP($A103,FoodLog!$A$1:$Z$10001,12,0)</f>
        <v>0</v>
      </c>
      <c r="T103" s="70">
        <f>VLOOKUP($A103,FoodLog!$A$1:$Z$10001,13,0)</f>
        <v>0</v>
      </c>
      <c r="U103" s="70">
        <f>VLOOKUP($A103,FoodLog!$A$1:$Z$10001,14,0)</f>
        <v>0</v>
      </c>
      <c r="V103" s="70">
        <f>VLOOKUP($A103,FoodLog!$A$1:$Z$10001,15,0)</f>
        <v>0</v>
      </c>
      <c r="W103" s="70">
        <f>VLOOKUP($A103,FoodLog!$A$1:$Z$10001,16,0)</f>
        <v>874.24185394530991</v>
      </c>
      <c r="X103" s="70">
        <f>VLOOKUP($A103,FoodLog!$A$1:$Z$10001,17,0)</f>
        <v>116</v>
      </c>
      <c r="Y103" s="70">
        <f>VLOOKUP($A103,FoodLog!$A$1:$Z$10001,18,0)</f>
        <v>482.47465271142238</v>
      </c>
      <c r="Z103" s="70">
        <f>VLOOKUP($A103,FoodLog!$A$1:$Z$10001,19,0)</f>
        <v>1472.7165066567322</v>
      </c>
      <c r="AA103" s="62">
        <f t="shared" si="51"/>
        <v>0.1925196126387079</v>
      </c>
      <c r="AB103" s="63">
        <f>Scale!C103</f>
        <v>0</v>
      </c>
    </row>
    <row r="104" spans="1:28" x14ac:dyDescent="0.25">
      <c r="A104" s="65">
        <f t="shared" si="52"/>
        <v>43093</v>
      </c>
      <c r="B104" s="66">
        <f t="shared" si="53"/>
        <v>102</v>
      </c>
      <c r="C104" s="67">
        <f t="shared" si="54"/>
        <v>172.31689465759942</v>
      </c>
      <c r="D104" s="75">
        <f t="shared" si="55"/>
        <v>150.77332897231949</v>
      </c>
      <c r="E104" s="76">
        <f t="shared" si="44"/>
        <v>21.54356568527993</v>
      </c>
      <c r="F104" s="77"/>
      <c r="G104" s="78">
        <f>C104*TDEE!$B$5</f>
        <v>2144.1396287839625</v>
      </c>
      <c r="H104" s="67">
        <f t="shared" si="42"/>
        <v>667.85053624367788</v>
      </c>
      <c r="I104" s="67">
        <f t="shared" si="43"/>
        <v>1476.2890925402846</v>
      </c>
      <c r="J104" s="58">
        <f t="shared" si="45"/>
        <v>0.19081443892676511</v>
      </c>
      <c r="K104" s="75">
        <f t="shared" si="46"/>
        <v>97.534937758762482</v>
      </c>
      <c r="L104" s="75">
        <v>29</v>
      </c>
      <c r="M104" s="54">
        <f>Protein_Amt!$B$6</f>
        <v>120.61866317785559</v>
      </c>
      <c r="N104" s="67">
        <f t="shared" si="47"/>
        <v>877.81443982886231</v>
      </c>
      <c r="O104" s="75">
        <f t="shared" si="48"/>
        <v>116</v>
      </c>
      <c r="P104" s="75">
        <f t="shared" si="49"/>
        <v>482.47465271142238</v>
      </c>
      <c r="Q104" s="68">
        <f t="shared" si="50"/>
        <v>1476.2890925402846</v>
      </c>
      <c r="S104" s="70">
        <f>VLOOKUP($A104,FoodLog!$A$1:$Z$10001,12,0)</f>
        <v>0</v>
      </c>
      <c r="T104" s="70">
        <f>VLOOKUP($A104,FoodLog!$A$1:$Z$10001,13,0)</f>
        <v>0</v>
      </c>
      <c r="U104" s="70">
        <f>VLOOKUP($A104,FoodLog!$A$1:$Z$10001,14,0)</f>
        <v>0</v>
      </c>
      <c r="V104" s="70">
        <f>VLOOKUP($A104,FoodLog!$A$1:$Z$10001,15,0)</f>
        <v>0</v>
      </c>
      <c r="W104" s="70">
        <f>VLOOKUP($A104,FoodLog!$A$1:$Z$10001,16,0)</f>
        <v>877.81443982886231</v>
      </c>
      <c r="X104" s="70">
        <f>VLOOKUP($A104,FoodLog!$A$1:$Z$10001,17,0)</f>
        <v>116</v>
      </c>
      <c r="Y104" s="70">
        <f>VLOOKUP($A104,FoodLog!$A$1:$Z$10001,18,0)</f>
        <v>482.47465271142238</v>
      </c>
      <c r="Z104" s="70">
        <f>VLOOKUP($A104,FoodLog!$A$1:$Z$10001,19,0)</f>
        <v>1476.2890925402846</v>
      </c>
      <c r="AA104" s="62">
        <f t="shared" si="51"/>
        <v>0.19081443892676511</v>
      </c>
      <c r="AB104" s="63">
        <f>Scale!C104</f>
        <v>0</v>
      </c>
    </row>
    <row r="105" spans="1:28" x14ac:dyDescent="0.25">
      <c r="A105" s="65">
        <f t="shared" si="52"/>
        <v>43094</v>
      </c>
      <c r="B105" s="79">
        <f t="shared" si="53"/>
        <v>103</v>
      </c>
      <c r="C105" s="80">
        <f t="shared" si="54"/>
        <v>172.12608021867266</v>
      </c>
      <c r="D105" s="81">
        <f t="shared" si="55"/>
        <v>150.77332897231949</v>
      </c>
      <c r="E105" s="82">
        <f t="shared" si="44"/>
        <v>21.352751246353165</v>
      </c>
      <c r="F105" s="77"/>
      <c r="G105" s="83">
        <f>C105*TDEE!$B$5</f>
        <v>2141.7653241572457</v>
      </c>
      <c r="H105" s="81">
        <f t="shared" ref="H105:H111" si="56">E105*31</f>
        <v>661.93528863694814</v>
      </c>
      <c r="I105" s="81">
        <f t="shared" ref="I105:I111" si="57">G105-H105</f>
        <v>1479.8300355202975</v>
      </c>
      <c r="J105" s="58">
        <f t="shared" si="45"/>
        <v>0.18912436818198519</v>
      </c>
      <c r="K105" s="81">
        <f t="shared" si="46"/>
        <v>97.928375867652804</v>
      </c>
      <c r="L105" s="81">
        <v>29</v>
      </c>
      <c r="M105" s="54">
        <f>Protein_Amt!$B$6</f>
        <v>120.61866317785559</v>
      </c>
      <c r="N105" s="80">
        <f t="shared" si="47"/>
        <v>881.35538280887522</v>
      </c>
      <c r="O105" s="81">
        <f t="shared" si="48"/>
        <v>116</v>
      </c>
      <c r="P105" s="81">
        <f t="shared" si="49"/>
        <v>482.47465271142238</v>
      </c>
      <c r="Q105" s="84">
        <f t="shared" si="50"/>
        <v>1479.8300355202975</v>
      </c>
      <c r="S105" s="70">
        <f>VLOOKUP($A105,FoodLog!$A$1:$Z$10001,12,0)</f>
        <v>0</v>
      </c>
      <c r="T105" s="70">
        <f>VLOOKUP($A105,FoodLog!$A$1:$Z$10001,13,0)</f>
        <v>0</v>
      </c>
      <c r="U105" s="70">
        <f>VLOOKUP($A105,FoodLog!$A$1:$Z$10001,14,0)</f>
        <v>0</v>
      </c>
      <c r="V105" s="70">
        <f>VLOOKUP($A105,FoodLog!$A$1:$Z$10001,15,0)</f>
        <v>0</v>
      </c>
      <c r="W105" s="70">
        <f>VLOOKUP($A105,FoodLog!$A$1:$Z$10001,16,0)</f>
        <v>881.35538280887522</v>
      </c>
      <c r="X105" s="70">
        <f>VLOOKUP($A105,FoodLog!$A$1:$Z$10001,17,0)</f>
        <v>116</v>
      </c>
      <c r="Y105" s="70">
        <f>VLOOKUP($A105,FoodLog!$A$1:$Z$10001,18,0)</f>
        <v>482.47465271142238</v>
      </c>
      <c r="Z105" s="70">
        <f>VLOOKUP($A105,FoodLog!$A$1:$Z$10001,19,0)</f>
        <v>1479.8300355202975</v>
      </c>
      <c r="AA105" s="62">
        <f t="shared" si="51"/>
        <v>0.18912436818198519</v>
      </c>
      <c r="AB105" s="63">
        <f>Scale!C105</f>
        <v>0</v>
      </c>
    </row>
    <row r="106" spans="1:28" x14ac:dyDescent="0.25">
      <c r="A106" s="65">
        <f t="shared" si="52"/>
        <v>43095</v>
      </c>
      <c r="B106" s="79">
        <f t="shared" si="53"/>
        <v>104</v>
      </c>
      <c r="C106" s="80">
        <f t="shared" si="54"/>
        <v>171.93695585049068</v>
      </c>
      <c r="D106" s="81">
        <f t="shared" si="55"/>
        <v>150.77332897231949</v>
      </c>
      <c r="E106" s="82">
        <f t="shared" si="44"/>
        <v>21.163626878171186</v>
      </c>
      <c r="F106" s="77"/>
      <c r="G106" s="83">
        <f>C106*TDEE!$B$5</f>
        <v>2139.412049085794</v>
      </c>
      <c r="H106" s="81">
        <f t="shared" si="56"/>
        <v>656.0724332233068</v>
      </c>
      <c r="I106" s="81">
        <f t="shared" si="57"/>
        <v>1483.3396158624873</v>
      </c>
      <c r="J106" s="58">
        <f t="shared" si="45"/>
        <v>0.18744926663523051</v>
      </c>
      <c r="K106" s="81">
        <f t="shared" si="46"/>
        <v>98.318329239007227</v>
      </c>
      <c r="L106" s="81">
        <v>29</v>
      </c>
      <c r="M106" s="54">
        <f>Protein_Amt!$B$6</f>
        <v>120.61866317785559</v>
      </c>
      <c r="N106" s="80">
        <f t="shared" si="47"/>
        <v>884.86496315106501</v>
      </c>
      <c r="O106" s="81">
        <f t="shared" si="48"/>
        <v>116</v>
      </c>
      <c r="P106" s="81">
        <f t="shared" si="49"/>
        <v>482.47465271142238</v>
      </c>
      <c r="Q106" s="84">
        <f t="shared" si="50"/>
        <v>1483.3396158624873</v>
      </c>
      <c r="S106" s="70">
        <f>VLOOKUP($A106,FoodLog!$A$1:$Z$10001,12,0)</f>
        <v>0</v>
      </c>
      <c r="T106" s="70">
        <f>VLOOKUP($A106,FoodLog!$A$1:$Z$10001,13,0)</f>
        <v>0</v>
      </c>
      <c r="U106" s="70">
        <f>VLOOKUP($A106,FoodLog!$A$1:$Z$10001,14,0)</f>
        <v>0</v>
      </c>
      <c r="V106" s="70">
        <f>VLOOKUP($A106,FoodLog!$A$1:$Z$10001,15,0)</f>
        <v>0</v>
      </c>
      <c r="W106" s="70">
        <f>VLOOKUP($A106,FoodLog!$A$1:$Z$10001,16,0)</f>
        <v>884.86496315106501</v>
      </c>
      <c r="X106" s="70">
        <f>VLOOKUP($A106,FoodLog!$A$1:$Z$10001,17,0)</f>
        <v>116</v>
      </c>
      <c r="Y106" s="70">
        <f>VLOOKUP($A106,FoodLog!$A$1:$Z$10001,18,0)</f>
        <v>482.47465271142238</v>
      </c>
      <c r="Z106" s="70">
        <f>VLOOKUP($A106,FoodLog!$A$1:$Z$10001,19,0)</f>
        <v>1483.3396158624873</v>
      </c>
      <c r="AA106" s="62">
        <f t="shared" si="51"/>
        <v>0.18744926663523051</v>
      </c>
      <c r="AB106" s="63">
        <f>Scale!C106</f>
        <v>0</v>
      </c>
    </row>
    <row r="107" spans="1:28" x14ac:dyDescent="0.25">
      <c r="A107" s="65">
        <f t="shared" si="52"/>
        <v>43096</v>
      </c>
      <c r="B107" s="79">
        <f t="shared" si="53"/>
        <v>105</v>
      </c>
      <c r="C107" s="80">
        <f t="shared" si="54"/>
        <v>171.74950658385544</v>
      </c>
      <c r="D107" s="81">
        <f t="shared" si="55"/>
        <v>150.77332897231949</v>
      </c>
      <c r="E107" s="82">
        <f t="shared" si="44"/>
        <v>20.976177611535945</v>
      </c>
      <c r="F107" s="77"/>
      <c r="G107" s="83">
        <f>C107*TDEE!$B$5</f>
        <v>2137.079617307832</v>
      </c>
      <c r="H107" s="81">
        <f t="shared" si="56"/>
        <v>650.2615059576143</v>
      </c>
      <c r="I107" s="81">
        <f t="shared" si="57"/>
        <v>1486.8181113502178</v>
      </c>
      <c r="J107" s="58">
        <f t="shared" si="45"/>
        <v>0.18578900170217552</v>
      </c>
      <c r="K107" s="81">
        <f t="shared" si="46"/>
        <v>98.704828737643936</v>
      </c>
      <c r="L107" s="81">
        <v>29</v>
      </c>
      <c r="M107" s="54">
        <f>Protein_Amt!$B$6</f>
        <v>120.61866317785559</v>
      </c>
      <c r="N107" s="80">
        <f t="shared" si="47"/>
        <v>888.34345863879548</v>
      </c>
      <c r="O107" s="81">
        <f t="shared" si="48"/>
        <v>116</v>
      </c>
      <c r="P107" s="81">
        <f t="shared" si="49"/>
        <v>482.47465271142238</v>
      </c>
      <c r="Q107" s="84">
        <f t="shared" si="50"/>
        <v>1486.8181113502178</v>
      </c>
      <c r="S107" s="70">
        <f>VLOOKUP($A107,FoodLog!$A$1:$Z$10001,12,0)</f>
        <v>0</v>
      </c>
      <c r="T107" s="70">
        <f>VLOOKUP($A107,FoodLog!$A$1:$Z$10001,13,0)</f>
        <v>0</v>
      </c>
      <c r="U107" s="70">
        <f>VLOOKUP($A107,FoodLog!$A$1:$Z$10001,14,0)</f>
        <v>0</v>
      </c>
      <c r="V107" s="70">
        <f>VLOOKUP($A107,FoodLog!$A$1:$Z$10001,15,0)</f>
        <v>0</v>
      </c>
      <c r="W107" s="70">
        <f>VLOOKUP($A107,FoodLog!$A$1:$Z$10001,16,0)</f>
        <v>888.34345863879548</v>
      </c>
      <c r="X107" s="70">
        <f>VLOOKUP($A107,FoodLog!$A$1:$Z$10001,17,0)</f>
        <v>116</v>
      </c>
      <c r="Y107" s="70">
        <f>VLOOKUP($A107,FoodLog!$A$1:$Z$10001,18,0)</f>
        <v>482.47465271142238</v>
      </c>
      <c r="Z107" s="70">
        <f>VLOOKUP($A107,FoodLog!$A$1:$Z$10001,19,0)</f>
        <v>1486.8181113502178</v>
      </c>
      <c r="AA107" s="62">
        <f t="shared" si="51"/>
        <v>0.18578900170217552</v>
      </c>
      <c r="AB107" s="63">
        <f>Scale!C107</f>
        <v>0</v>
      </c>
    </row>
    <row r="108" spans="1:28" x14ac:dyDescent="0.25">
      <c r="A108" s="65">
        <f t="shared" si="52"/>
        <v>43097</v>
      </c>
      <c r="B108" s="79">
        <f t="shared" si="53"/>
        <v>106</v>
      </c>
      <c r="C108" s="80">
        <f t="shared" si="54"/>
        <v>171.56371758215326</v>
      </c>
      <c r="D108" s="81">
        <f t="shared" si="55"/>
        <v>150.77332897231949</v>
      </c>
      <c r="E108" s="82">
        <f t="shared" si="44"/>
        <v>20.790388609833769</v>
      </c>
      <c r="F108" s="77"/>
      <c r="G108" s="83">
        <f>C108*TDEE!$B$5</f>
        <v>2134.767844211332</v>
      </c>
      <c r="H108" s="81">
        <f t="shared" si="56"/>
        <v>644.50204690484679</v>
      </c>
      <c r="I108" s="81">
        <f t="shared" si="57"/>
        <v>1490.2657973064852</v>
      </c>
      <c r="J108" s="58">
        <f t="shared" si="45"/>
        <v>0.18414344197281338</v>
      </c>
      <c r="K108" s="81">
        <f t="shared" si="46"/>
        <v>99.087904955006991</v>
      </c>
      <c r="L108" s="81">
        <v>29</v>
      </c>
      <c r="M108" s="54">
        <f>Protein_Amt!$B$6</f>
        <v>120.61866317785559</v>
      </c>
      <c r="N108" s="80">
        <f t="shared" si="47"/>
        <v>891.79114459506286</v>
      </c>
      <c r="O108" s="81">
        <f t="shared" si="48"/>
        <v>116</v>
      </c>
      <c r="P108" s="81">
        <f t="shared" si="49"/>
        <v>482.47465271142238</v>
      </c>
      <c r="Q108" s="84">
        <f t="shared" si="50"/>
        <v>1490.2657973064852</v>
      </c>
      <c r="S108" s="70">
        <f>VLOOKUP($A108,FoodLog!$A$1:$Z$10001,12,0)</f>
        <v>0</v>
      </c>
      <c r="T108" s="70">
        <f>VLOOKUP($A108,FoodLog!$A$1:$Z$10001,13,0)</f>
        <v>0</v>
      </c>
      <c r="U108" s="70">
        <f>VLOOKUP($A108,FoodLog!$A$1:$Z$10001,14,0)</f>
        <v>0</v>
      </c>
      <c r="V108" s="70">
        <f>VLOOKUP($A108,FoodLog!$A$1:$Z$10001,15,0)</f>
        <v>0</v>
      </c>
      <c r="W108" s="70">
        <f>VLOOKUP($A108,FoodLog!$A$1:$Z$10001,16,0)</f>
        <v>891.79114459506286</v>
      </c>
      <c r="X108" s="70">
        <f>VLOOKUP($A108,FoodLog!$A$1:$Z$10001,17,0)</f>
        <v>116</v>
      </c>
      <c r="Y108" s="70">
        <f>VLOOKUP($A108,FoodLog!$A$1:$Z$10001,18,0)</f>
        <v>482.47465271142238</v>
      </c>
      <c r="Z108" s="70">
        <f>VLOOKUP($A108,FoodLog!$A$1:$Z$10001,19,0)</f>
        <v>1490.2657973064852</v>
      </c>
      <c r="AA108" s="62">
        <f t="shared" si="51"/>
        <v>0.18414344197281338</v>
      </c>
      <c r="AB108" s="63">
        <f>Scale!C108</f>
        <v>0</v>
      </c>
    </row>
    <row r="109" spans="1:28" x14ac:dyDescent="0.25">
      <c r="A109" s="65">
        <f t="shared" si="52"/>
        <v>43098</v>
      </c>
      <c r="B109" s="79">
        <f t="shared" si="53"/>
        <v>107</v>
      </c>
      <c r="C109" s="80">
        <f t="shared" si="54"/>
        <v>171.37957414018044</v>
      </c>
      <c r="D109" s="81">
        <f t="shared" si="55"/>
        <v>150.77332897231949</v>
      </c>
      <c r="E109" s="82">
        <f t="shared" si="44"/>
        <v>20.606245167860948</v>
      </c>
      <c r="F109" s="77"/>
      <c r="G109" s="83">
        <f>C109*TDEE!$B$5</f>
        <v>2132.4765468194009</v>
      </c>
      <c r="H109" s="81">
        <f t="shared" si="56"/>
        <v>638.79360020368938</v>
      </c>
      <c r="I109" s="81">
        <f t="shared" si="57"/>
        <v>1493.6829466157114</v>
      </c>
      <c r="J109" s="58">
        <f t="shared" si="45"/>
        <v>0.18251245720105411</v>
      </c>
      <c r="K109" s="81">
        <f t="shared" si="46"/>
        <v>99.467588211587682</v>
      </c>
      <c r="L109" s="81">
        <v>29</v>
      </c>
      <c r="M109" s="54">
        <f>Protein_Amt!$B$6</f>
        <v>120.61866317785559</v>
      </c>
      <c r="N109" s="80">
        <f t="shared" si="47"/>
        <v>895.20829390428912</v>
      </c>
      <c r="O109" s="81">
        <f t="shared" si="48"/>
        <v>116</v>
      </c>
      <c r="P109" s="81">
        <f t="shared" si="49"/>
        <v>482.47465271142238</v>
      </c>
      <c r="Q109" s="84">
        <f t="shared" si="50"/>
        <v>1493.6829466157114</v>
      </c>
      <c r="S109" s="70">
        <f>VLOOKUP($A109,FoodLog!$A$1:$Z$10001,12,0)</f>
        <v>0</v>
      </c>
      <c r="T109" s="70">
        <f>VLOOKUP($A109,FoodLog!$A$1:$Z$10001,13,0)</f>
        <v>0</v>
      </c>
      <c r="U109" s="70">
        <f>VLOOKUP($A109,FoodLog!$A$1:$Z$10001,14,0)</f>
        <v>0</v>
      </c>
      <c r="V109" s="70">
        <f>VLOOKUP($A109,FoodLog!$A$1:$Z$10001,15,0)</f>
        <v>0</v>
      </c>
      <c r="W109" s="70">
        <f>VLOOKUP($A109,FoodLog!$A$1:$Z$10001,16,0)</f>
        <v>895.20829390428912</v>
      </c>
      <c r="X109" s="70">
        <f>VLOOKUP($A109,FoodLog!$A$1:$Z$10001,17,0)</f>
        <v>116</v>
      </c>
      <c r="Y109" s="70">
        <f>VLOOKUP($A109,FoodLog!$A$1:$Z$10001,18,0)</f>
        <v>482.47465271142238</v>
      </c>
      <c r="Z109" s="70">
        <f>VLOOKUP($A109,FoodLog!$A$1:$Z$10001,19,0)</f>
        <v>1493.6829466157114</v>
      </c>
      <c r="AA109" s="62">
        <f t="shared" si="51"/>
        <v>0.18251245720105411</v>
      </c>
      <c r="AB109" s="63">
        <f>Scale!C109</f>
        <v>0</v>
      </c>
    </row>
    <row r="110" spans="1:28" x14ac:dyDescent="0.25">
      <c r="A110" s="65">
        <f t="shared" si="52"/>
        <v>43099</v>
      </c>
      <c r="B110" s="79">
        <f t="shared" si="53"/>
        <v>108</v>
      </c>
      <c r="C110" s="80">
        <f t="shared" si="54"/>
        <v>171.19706168297938</v>
      </c>
      <c r="D110" s="81">
        <f t="shared" si="55"/>
        <v>150.77332897231949</v>
      </c>
      <c r="E110" s="82">
        <f t="shared" si="44"/>
        <v>20.423732710659891</v>
      </c>
      <c r="F110" s="77"/>
      <c r="G110" s="83">
        <f>C110*TDEE!$B$5</f>
        <v>2130.2055437757986</v>
      </c>
      <c r="H110" s="81">
        <f t="shared" si="56"/>
        <v>633.1357140304566</v>
      </c>
      <c r="I110" s="81">
        <f t="shared" si="57"/>
        <v>1497.0698297453418</v>
      </c>
      <c r="J110" s="58">
        <f t="shared" si="45"/>
        <v>0.18089591829441617</v>
      </c>
      <c r="K110" s="81">
        <f t="shared" si="46"/>
        <v>99.84390855932439</v>
      </c>
      <c r="L110" s="81">
        <v>29</v>
      </c>
      <c r="M110" s="54">
        <f>Protein_Amt!$B$6</f>
        <v>120.61866317785559</v>
      </c>
      <c r="N110" s="80">
        <f t="shared" si="47"/>
        <v>898.59517703391953</v>
      </c>
      <c r="O110" s="81">
        <f t="shared" si="48"/>
        <v>116</v>
      </c>
      <c r="P110" s="81">
        <f t="shared" si="49"/>
        <v>482.47465271142238</v>
      </c>
      <c r="Q110" s="84">
        <f t="shared" si="50"/>
        <v>1497.0698297453418</v>
      </c>
      <c r="S110" s="70">
        <f>VLOOKUP($A110,FoodLog!$A$1:$Z$10001,12,0)</f>
        <v>0</v>
      </c>
      <c r="T110" s="70">
        <f>VLOOKUP($A110,FoodLog!$A$1:$Z$10001,13,0)</f>
        <v>0</v>
      </c>
      <c r="U110" s="70">
        <f>VLOOKUP($A110,FoodLog!$A$1:$Z$10001,14,0)</f>
        <v>0</v>
      </c>
      <c r="V110" s="70">
        <f>VLOOKUP($A110,FoodLog!$A$1:$Z$10001,15,0)</f>
        <v>0</v>
      </c>
      <c r="W110" s="70">
        <f>VLOOKUP($A110,FoodLog!$A$1:$Z$10001,16,0)</f>
        <v>898.59517703391953</v>
      </c>
      <c r="X110" s="70">
        <f>VLOOKUP($A110,FoodLog!$A$1:$Z$10001,17,0)</f>
        <v>116</v>
      </c>
      <c r="Y110" s="70">
        <f>VLOOKUP($A110,FoodLog!$A$1:$Z$10001,18,0)</f>
        <v>482.47465271142238</v>
      </c>
      <c r="Z110" s="70">
        <f>VLOOKUP($A110,FoodLog!$A$1:$Z$10001,19,0)</f>
        <v>1497.0698297453418</v>
      </c>
      <c r="AA110" s="62">
        <f t="shared" si="51"/>
        <v>0.18089591829441617</v>
      </c>
      <c r="AB110" s="63">
        <f>Scale!C110</f>
        <v>0</v>
      </c>
    </row>
    <row r="111" spans="1:28" x14ac:dyDescent="0.25">
      <c r="A111" s="65">
        <f t="shared" si="52"/>
        <v>43100</v>
      </c>
      <c r="B111" s="79">
        <f t="shared" si="53"/>
        <v>109</v>
      </c>
      <c r="C111" s="80">
        <f t="shared" si="54"/>
        <v>171.01616576468496</v>
      </c>
      <c r="D111" s="81">
        <f t="shared" si="55"/>
        <v>150.77332897231949</v>
      </c>
      <c r="E111" s="82">
        <f t="shared" si="44"/>
        <v>20.242836792365466</v>
      </c>
      <c r="F111" s="77"/>
      <c r="G111" s="83">
        <f>C111*TDEE!$B$5</f>
        <v>2127.9546553305822</v>
      </c>
      <c r="H111" s="81">
        <f t="shared" si="56"/>
        <v>627.52794056332948</v>
      </c>
      <c r="I111" s="81">
        <f t="shared" si="57"/>
        <v>1500.4267147672526</v>
      </c>
      <c r="J111" s="58">
        <f t="shared" si="45"/>
        <v>0.17929369730380842</v>
      </c>
      <c r="K111" s="81">
        <f t="shared" si="46"/>
        <v>100.21689578398114</v>
      </c>
      <c r="L111" s="81">
        <v>29</v>
      </c>
      <c r="M111" s="54">
        <f>Protein_Amt!$B$6</f>
        <v>120.61866317785559</v>
      </c>
      <c r="N111" s="80">
        <f t="shared" si="47"/>
        <v>901.95206205583031</v>
      </c>
      <c r="O111" s="81">
        <f t="shared" si="48"/>
        <v>116</v>
      </c>
      <c r="P111" s="81">
        <f t="shared" si="49"/>
        <v>482.47465271142238</v>
      </c>
      <c r="Q111" s="84">
        <f t="shared" si="50"/>
        <v>1500.4267147672526</v>
      </c>
      <c r="S111" s="70">
        <f>VLOOKUP($A111,FoodLog!$A$1:$Z$10001,12,0)</f>
        <v>0</v>
      </c>
      <c r="T111" s="70">
        <f>VLOOKUP($A111,FoodLog!$A$1:$Z$10001,13,0)</f>
        <v>0</v>
      </c>
      <c r="U111" s="70">
        <f>VLOOKUP($A111,FoodLog!$A$1:$Z$10001,14,0)</f>
        <v>0</v>
      </c>
      <c r="V111" s="70">
        <f>VLOOKUP($A111,FoodLog!$A$1:$Z$10001,15,0)</f>
        <v>0</v>
      </c>
      <c r="W111" s="70">
        <f>VLOOKUP($A111,FoodLog!$A$1:$Z$10001,16,0)</f>
        <v>901.95206205583031</v>
      </c>
      <c r="X111" s="70">
        <f>VLOOKUP($A111,FoodLog!$A$1:$Z$10001,17,0)</f>
        <v>116</v>
      </c>
      <c r="Y111" s="70">
        <f>VLOOKUP($A111,FoodLog!$A$1:$Z$10001,18,0)</f>
        <v>482.47465271142238</v>
      </c>
      <c r="Z111" s="70">
        <f>VLOOKUP($A111,FoodLog!$A$1:$Z$10001,19,0)</f>
        <v>1500.4267147672526</v>
      </c>
      <c r="AA111" s="62">
        <f t="shared" si="51"/>
        <v>0.17929369730380842</v>
      </c>
      <c r="AB111" s="63">
        <f>Scale!C111</f>
        <v>0</v>
      </c>
    </row>
  </sheetData>
  <mergeCells count="3">
    <mergeCell ref="G1:Q1"/>
    <mergeCell ref="S1:V1"/>
    <mergeCell ref="W1:Z1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11"/>
  <sheetViews>
    <sheetView topLeftCell="A16" zoomScale="160" zoomScaleNormal="160" workbookViewId="0">
      <selection activeCell="B21" sqref="B21"/>
    </sheetView>
  </sheetViews>
  <sheetFormatPr defaultRowHeight="15" x14ac:dyDescent="0.25"/>
  <cols>
    <col min="1" max="1" width="10.7109375" style="85" customWidth="1"/>
    <col min="2" max="2" width="4.5703125" style="85" customWidth="1"/>
    <col min="3" max="3" width="7.28515625" style="85" customWidth="1"/>
    <col min="4" max="4" width="4.85546875" style="85" customWidth="1"/>
    <col min="5" max="5" width="5.42578125" style="85" customWidth="1"/>
    <col min="6" max="6" width="6.42578125" style="85" customWidth="1"/>
    <col min="7" max="7" width="7.28515625" style="85" customWidth="1"/>
    <col min="8" max="8" width="6.85546875" style="85" customWidth="1"/>
    <col min="9" max="9" width="11.28515625" style="85" customWidth="1"/>
    <col min="10" max="10" width="6.7109375" style="85" customWidth="1"/>
    <col min="11" max="11" width="7.85546875" style="85" customWidth="1"/>
    <col min="12" max="12" width="7.28515625" style="85" customWidth="1"/>
    <col min="13" max="13" width="6.5703125" style="85" customWidth="1"/>
    <col min="14" max="14" width="5.85546875" style="85" customWidth="1"/>
    <col min="15" max="15" width="7.28515625" style="85" customWidth="1"/>
    <col min="16" max="1025" width="11.5703125" style="85"/>
  </cols>
  <sheetData>
    <row r="1" spans="1:15" ht="13.9" customHeight="1" x14ac:dyDescent="0.25">
      <c r="A1" s="118" t="s">
        <v>79</v>
      </c>
      <c r="B1" s="118"/>
      <c r="C1" s="118"/>
      <c r="D1" s="118"/>
    </row>
    <row r="2" spans="1:15" ht="45" x14ac:dyDescent="0.25">
      <c r="A2" s="87" t="str">
        <f>LossChart!A2</f>
        <v>Date</v>
      </c>
      <c r="B2" s="87" t="str">
        <f>LossChart!B2</f>
        <v>Day</v>
      </c>
      <c r="C2" s="87" t="s">
        <v>5</v>
      </c>
      <c r="D2" s="87" t="s">
        <v>80</v>
      </c>
      <c r="E2" s="87" t="s">
        <v>81</v>
      </c>
      <c r="F2" s="87" t="s">
        <v>82</v>
      </c>
      <c r="G2" s="87" t="s">
        <v>83</v>
      </c>
      <c r="H2" s="87" t="s">
        <v>84</v>
      </c>
      <c r="I2" s="87" t="s">
        <v>85</v>
      </c>
      <c r="J2" s="87" t="s">
        <v>86</v>
      </c>
      <c r="K2" s="87" t="s">
        <v>87</v>
      </c>
      <c r="L2" s="87" t="s">
        <v>88</v>
      </c>
      <c r="M2" s="87" t="s">
        <v>89</v>
      </c>
      <c r="N2" s="87" t="s">
        <v>90</v>
      </c>
      <c r="O2" s="87" t="s">
        <v>91</v>
      </c>
    </row>
    <row r="3" spans="1:15" x14ac:dyDescent="0.25">
      <c r="A3" s="88">
        <f>LossChart!A3</f>
        <v>42992</v>
      </c>
      <c r="B3" s="85">
        <f>LossChart!B3</f>
        <v>1</v>
      </c>
      <c r="C3" s="89">
        <v>202.8</v>
      </c>
      <c r="D3" s="89">
        <v>27.8</v>
      </c>
      <c r="E3" s="89">
        <v>32</v>
      </c>
      <c r="F3" s="89">
        <v>36.9</v>
      </c>
      <c r="G3" s="89">
        <v>27.6</v>
      </c>
      <c r="H3" s="89">
        <v>2238</v>
      </c>
      <c r="I3" s="89">
        <v>0</v>
      </c>
      <c r="J3" s="90">
        <f>E3*$C3/100</f>
        <v>64.896000000000001</v>
      </c>
      <c r="K3" s="90">
        <f>F3*$C3/100</f>
        <v>74.833199999999991</v>
      </c>
      <c r="L3" s="90">
        <f>G3*$C3/100</f>
        <v>55.972800000000007</v>
      </c>
      <c r="M3" s="90">
        <v>0</v>
      </c>
      <c r="N3" s="90">
        <v>0</v>
      </c>
      <c r="O3" s="90">
        <v>0</v>
      </c>
    </row>
    <row r="4" spans="1:15" x14ac:dyDescent="0.25">
      <c r="A4" s="88">
        <f>LossChart!A4</f>
        <v>42993</v>
      </c>
      <c r="B4" s="85">
        <f>LossChart!B4</f>
        <v>2</v>
      </c>
      <c r="C4" s="89">
        <v>200.2</v>
      </c>
      <c r="D4" s="89"/>
      <c r="E4" s="89"/>
      <c r="F4" s="89"/>
      <c r="G4" s="89"/>
      <c r="H4" s="89"/>
      <c r="I4" s="89">
        <f t="shared" ref="I4:I35" si="0">C4-$C$3</f>
        <v>-2.6000000000000227</v>
      </c>
      <c r="J4" s="90"/>
      <c r="K4" s="90"/>
      <c r="L4" s="90"/>
      <c r="M4" s="90"/>
      <c r="N4" s="90"/>
      <c r="O4" s="90"/>
    </row>
    <row r="5" spans="1:15" x14ac:dyDescent="0.25">
      <c r="A5" s="88">
        <f>LossChart!A5</f>
        <v>42994</v>
      </c>
      <c r="B5" s="85">
        <f>LossChart!B5</f>
        <v>3</v>
      </c>
      <c r="C5" s="89">
        <v>198.4</v>
      </c>
      <c r="D5" s="89"/>
      <c r="E5" s="89"/>
      <c r="F5" s="89"/>
      <c r="G5" s="89"/>
      <c r="H5" s="89"/>
      <c r="I5" s="89">
        <f t="shared" si="0"/>
        <v>-4.4000000000000057</v>
      </c>
      <c r="J5" s="90"/>
      <c r="K5" s="90"/>
      <c r="L5" s="90"/>
      <c r="M5" s="90"/>
      <c r="N5" s="90"/>
      <c r="O5" s="90"/>
    </row>
    <row r="6" spans="1:15" x14ac:dyDescent="0.25">
      <c r="A6" s="88">
        <f>LossChart!A6</f>
        <v>42995</v>
      </c>
      <c r="B6" s="85">
        <f>LossChart!B6</f>
        <v>4</v>
      </c>
      <c r="C6" s="89">
        <v>199.4</v>
      </c>
      <c r="D6" s="89"/>
      <c r="E6" s="89"/>
      <c r="F6" s="89"/>
      <c r="G6" s="89"/>
      <c r="H6" s="89"/>
      <c r="I6" s="89">
        <f t="shared" si="0"/>
        <v>-3.4000000000000057</v>
      </c>
      <c r="J6" s="90"/>
      <c r="K6" s="90"/>
      <c r="L6" s="90"/>
      <c r="M6" s="90"/>
      <c r="N6" s="90"/>
      <c r="O6" s="90"/>
    </row>
    <row r="7" spans="1:15" x14ac:dyDescent="0.25">
      <c r="A7" s="88">
        <f>LossChart!A7</f>
        <v>42996</v>
      </c>
      <c r="B7" s="85">
        <f>LossChart!B7</f>
        <v>5</v>
      </c>
      <c r="C7" s="89">
        <v>200.3</v>
      </c>
      <c r="D7" s="89"/>
      <c r="E7" s="89"/>
      <c r="F7" s="89"/>
      <c r="G7" s="89"/>
      <c r="H7" s="89"/>
      <c r="I7" s="89">
        <f t="shared" si="0"/>
        <v>-2.5</v>
      </c>
      <c r="J7" s="90"/>
      <c r="K7" s="90"/>
      <c r="L7" s="90"/>
      <c r="M7" s="90"/>
      <c r="N7" s="90"/>
      <c r="O7" s="90"/>
    </row>
    <row r="8" spans="1:15" x14ac:dyDescent="0.25">
      <c r="A8" s="88">
        <f>LossChart!A8</f>
        <v>42997</v>
      </c>
      <c r="B8" s="85">
        <f>LossChart!B8</f>
        <v>6</v>
      </c>
      <c r="C8" s="89">
        <v>200.4</v>
      </c>
      <c r="D8" s="89"/>
      <c r="E8" s="89"/>
      <c r="F8" s="89"/>
      <c r="G8" s="89"/>
      <c r="H8" s="89"/>
      <c r="I8" s="89">
        <f t="shared" si="0"/>
        <v>-2.4000000000000057</v>
      </c>
      <c r="J8" s="90"/>
      <c r="K8" s="90"/>
      <c r="L8" s="90"/>
      <c r="M8" s="90"/>
      <c r="N8" s="90"/>
      <c r="O8" s="90"/>
    </row>
    <row r="9" spans="1:15" x14ac:dyDescent="0.25">
      <c r="A9" s="88">
        <f>LossChart!A9</f>
        <v>42998</v>
      </c>
      <c r="B9" s="85">
        <f>LossChart!B9</f>
        <v>7</v>
      </c>
      <c r="C9" s="89">
        <v>199.8</v>
      </c>
      <c r="D9" s="89">
        <v>27.4</v>
      </c>
      <c r="E9" s="89"/>
      <c r="F9" s="89"/>
      <c r="G9" s="89"/>
      <c r="H9" s="89"/>
      <c r="I9" s="89">
        <f t="shared" si="0"/>
        <v>-3</v>
      </c>
      <c r="J9" s="90"/>
      <c r="K9" s="90"/>
      <c r="L9" s="90"/>
      <c r="M9" s="90"/>
      <c r="N9" s="90"/>
      <c r="O9" s="90"/>
    </row>
    <row r="10" spans="1:15" x14ac:dyDescent="0.25">
      <c r="A10" s="88">
        <f>LossChart!A10</f>
        <v>42999</v>
      </c>
      <c r="B10" s="85">
        <f>LossChart!B10</f>
        <v>8</v>
      </c>
      <c r="C10" s="89">
        <v>199.8</v>
      </c>
      <c r="D10" s="89"/>
      <c r="E10" s="89"/>
      <c r="F10" s="89"/>
      <c r="G10" s="89"/>
      <c r="H10" s="89"/>
      <c r="I10" s="89">
        <f t="shared" si="0"/>
        <v>-3</v>
      </c>
      <c r="J10" s="90"/>
      <c r="K10" s="90"/>
      <c r="L10" s="90"/>
      <c r="M10" s="90"/>
      <c r="N10" s="90"/>
      <c r="O10" s="90"/>
    </row>
    <row r="11" spans="1:15" x14ac:dyDescent="0.25">
      <c r="A11" s="88">
        <f>LossChart!A11</f>
        <v>43000</v>
      </c>
      <c r="B11" s="85">
        <f>LossChart!B11</f>
        <v>9</v>
      </c>
      <c r="C11" s="89">
        <v>198.4</v>
      </c>
      <c r="D11" s="89"/>
      <c r="E11" s="89"/>
      <c r="F11" s="89"/>
      <c r="G11" s="89"/>
      <c r="H11" s="89"/>
      <c r="I11" s="89">
        <f t="shared" si="0"/>
        <v>-4.4000000000000057</v>
      </c>
      <c r="J11" s="90"/>
      <c r="K11" s="90"/>
      <c r="L11" s="90"/>
      <c r="M11" s="90"/>
      <c r="N11" s="90"/>
      <c r="O11" s="90"/>
    </row>
    <row r="12" spans="1:15" x14ac:dyDescent="0.25">
      <c r="A12" s="88">
        <f>LossChart!A12</f>
        <v>43001</v>
      </c>
      <c r="B12" s="85">
        <f>LossChart!B12</f>
        <v>10</v>
      </c>
      <c r="C12" s="91">
        <v>197.6</v>
      </c>
      <c r="D12" s="89"/>
      <c r="E12" s="89"/>
      <c r="F12" s="89"/>
      <c r="G12" s="89"/>
      <c r="H12" s="89"/>
      <c r="I12" s="89">
        <f t="shared" si="0"/>
        <v>-5.2000000000000171</v>
      </c>
      <c r="J12" s="90"/>
      <c r="K12" s="90"/>
      <c r="L12" s="90"/>
      <c r="M12" s="90"/>
      <c r="N12" s="90"/>
      <c r="O12" s="90"/>
    </row>
    <row r="13" spans="1:15" x14ac:dyDescent="0.25">
      <c r="A13" s="88">
        <f>LossChart!A13</f>
        <v>43002</v>
      </c>
      <c r="B13" s="85">
        <f>LossChart!B13</f>
        <v>11</v>
      </c>
      <c r="C13" s="91">
        <v>198</v>
      </c>
      <c r="D13" s="89"/>
      <c r="E13" s="89"/>
      <c r="F13" s="89"/>
      <c r="G13" s="89"/>
      <c r="H13" s="89"/>
      <c r="I13" s="89">
        <f t="shared" si="0"/>
        <v>-4.8000000000000114</v>
      </c>
      <c r="J13" s="90"/>
      <c r="K13" s="90"/>
      <c r="L13" s="90"/>
      <c r="M13" s="90"/>
      <c r="N13" s="90"/>
      <c r="O13" s="90"/>
    </row>
    <row r="14" spans="1:15" x14ac:dyDescent="0.25">
      <c r="A14" s="88">
        <f>LossChart!A14</f>
        <v>43003</v>
      </c>
      <c r="B14" s="85">
        <f>LossChart!B14</f>
        <v>12</v>
      </c>
      <c r="C14" s="91">
        <v>198</v>
      </c>
      <c r="D14" s="89"/>
      <c r="E14" s="89"/>
      <c r="F14" s="89"/>
      <c r="G14" s="89"/>
      <c r="H14" s="89"/>
      <c r="I14" s="89">
        <f t="shared" si="0"/>
        <v>-4.8000000000000114</v>
      </c>
      <c r="J14" s="90"/>
      <c r="K14" s="90"/>
      <c r="L14" s="90"/>
      <c r="M14" s="90"/>
      <c r="N14" s="90"/>
      <c r="O14" s="90"/>
    </row>
    <row r="15" spans="1:15" x14ac:dyDescent="0.25">
      <c r="A15" s="88">
        <f>LossChart!A15</f>
        <v>43004</v>
      </c>
      <c r="B15" s="85">
        <f>LossChart!B15</f>
        <v>13</v>
      </c>
      <c r="C15" s="91">
        <v>198.8</v>
      </c>
      <c r="D15" s="89">
        <v>27.2</v>
      </c>
      <c r="E15" s="89">
        <v>31.2</v>
      </c>
      <c r="F15" s="89">
        <v>37.700000000000003</v>
      </c>
      <c r="G15" s="89">
        <v>28.2</v>
      </c>
      <c r="H15" s="89">
        <v>2207</v>
      </c>
      <c r="I15" s="89">
        <f t="shared" si="0"/>
        <v>-4</v>
      </c>
      <c r="J15" s="90">
        <f>E15*$C15/100</f>
        <v>62.025600000000004</v>
      </c>
      <c r="K15" s="90">
        <f>F15*$C15/100</f>
        <v>74.947600000000008</v>
      </c>
      <c r="L15" s="90">
        <f>G15*$C15/100</f>
        <v>56.061599999999999</v>
      </c>
      <c r="M15" s="90">
        <f>J15-J$3</f>
        <v>-2.8703999999999965</v>
      </c>
      <c r="N15" s="90">
        <f>K15-K$3</f>
        <v>0.1144000000000176</v>
      </c>
      <c r="O15" s="90">
        <f>L15-L$3</f>
        <v>8.8799999999991996E-2</v>
      </c>
    </row>
    <row r="16" spans="1:15" x14ac:dyDescent="0.25">
      <c r="A16" s="88">
        <f>LossChart!A16</f>
        <v>43005</v>
      </c>
      <c r="B16" s="85">
        <f>LossChart!B16</f>
        <v>14</v>
      </c>
      <c r="C16" s="91">
        <v>198.6</v>
      </c>
      <c r="D16" s="89"/>
      <c r="E16" s="89"/>
      <c r="F16" s="89"/>
      <c r="G16" s="89"/>
      <c r="H16" s="89"/>
      <c r="I16" s="89">
        <f t="shared" si="0"/>
        <v>-4.2000000000000171</v>
      </c>
      <c r="J16" s="90"/>
      <c r="K16" s="90"/>
      <c r="L16" s="90"/>
      <c r="M16" s="90"/>
      <c r="N16" s="90"/>
      <c r="O16" s="90"/>
    </row>
    <row r="17" spans="1:15" x14ac:dyDescent="0.25">
      <c r="A17" s="88">
        <f>LossChart!A17</f>
        <v>43006</v>
      </c>
      <c r="B17" s="85">
        <f>LossChart!B17</f>
        <v>15</v>
      </c>
      <c r="C17" s="91">
        <v>198.2</v>
      </c>
      <c r="D17" s="89"/>
      <c r="E17" s="89"/>
      <c r="F17" s="89"/>
      <c r="G17" s="89"/>
      <c r="H17" s="89"/>
      <c r="I17" s="89">
        <f t="shared" si="0"/>
        <v>-4.6000000000000227</v>
      </c>
      <c r="J17" s="90"/>
      <c r="K17" s="90"/>
      <c r="L17" s="90"/>
      <c r="M17" s="90"/>
      <c r="N17" s="90"/>
      <c r="O17" s="90"/>
    </row>
    <row r="18" spans="1:15" x14ac:dyDescent="0.25">
      <c r="A18" s="88">
        <f>LossChart!A18</f>
        <v>43007</v>
      </c>
      <c r="B18" s="85">
        <f>LossChart!B18</f>
        <v>16</v>
      </c>
      <c r="C18" s="89">
        <v>197.2</v>
      </c>
      <c r="D18" s="89">
        <v>27</v>
      </c>
      <c r="E18" s="89">
        <v>30.9</v>
      </c>
      <c r="F18" s="89">
        <v>38</v>
      </c>
      <c r="G18" s="89">
        <v>28.4</v>
      </c>
      <c r="H18" s="89">
        <v>2195</v>
      </c>
      <c r="I18" s="89">
        <f t="shared" si="0"/>
        <v>-5.6000000000000227</v>
      </c>
      <c r="J18" s="90">
        <f>E18*$C18/100</f>
        <v>60.934799999999996</v>
      </c>
      <c r="K18" s="90">
        <f>F18*$C18/100</f>
        <v>74.935999999999993</v>
      </c>
      <c r="L18" s="90">
        <f>G18*$C18/100</f>
        <v>56.004799999999996</v>
      </c>
      <c r="M18" s="90">
        <f>J18-J$3</f>
        <v>-3.9612000000000052</v>
      </c>
      <c r="N18" s="90">
        <f>K18-K$3</f>
        <v>0.102800000000002</v>
      </c>
      <c r="O18" s="90">
        <f>L18-L$3</f>
        <v>3.199999999998937E-2</v>
      </c>
    </row>
    <row r="19" spans="1:15" x14ac:dyDescent="0.25">
      <c r="A19" s="88">
        <f>LossChart!A19</f>
        <v>43008</v>
      </c>
      <c r="B19" s="85">
        <f>LossChart!B19</f>
        <v>17</v>
      </c>
      <c r="C19" s="85">
        <v>197.8</v>
      </c>
      <c r="I19" s="89">
        <f t="shared" si="0"/>
        <v>-5</v>
      </c>
    </row>
    <row r="20" spans="1:15" x14ac:dyDescent="0.25">
      <c r="A20" s="88">
        <f>LossChart!A20</f>
        <v>43009</v>
      </c>
      <c r="B20" s="85">
        <f>LossChart!B20</f>
        <v>18</v>
      </c>
      <c r="C20" s="85">
        <v>197.8</v>
      </c>
      <c r="I20" s="89">
        <f t="shared" si="0"/>
        <v>-5</v>
      </c>
    </row>
    <row r="21" spans="1:15" x14ac:dyDescent="0.25">
      <c r="A21" s="88">
        <f>LossChart!A21</f>
        <v>43010</v>
      </c>
      <c r="B21" s="85">
        <f>LossChart!B21</f>
        <v>19</v>
      </c>
      <c r="C21" s="85">
        <v>197</v>
      </c>
      <c r="D21" s="85">
        <v>26.9</v>
      </c>
      <c r="G21" s="85">
        <v>28.5</v>
      </c>
      <c r="I21" s="89">
        <f t="shared" si="0"/>
        <v>-5.8000000000000114</v>
      </c>
      <c r="J21" s="90">
        <f>E21*$C21/100</f>
        <v>0</v>
      </c>
      <c r="K21" s="90">
        <f>F21*$C21/100</f>
        <v>0</v>
      </c>
      <c r="L21" s="90">
        <f>G21*$C21/100</f>
        <v>56.145000000000003</v>
      </c>
      <c r="M21" s="90">
        <f>J21-J$3</f>
        <v>-64.896000000000001</v>
      </c>
      <c r="N21" s="90">
        <f>K21-K$3</f>
        <v>-74.833199999999991</v>
      </c>
      <c r="O21" s="90">
        <f>L21-L$3</f>
        <v>0.17219999999999658</v>
      </c>
    </row>
    <row r="22" spans="1:15" x14ac:dyDescent="0.25">
      <c r="A22" s="88">
        <f>LossChart!A22</f>
        <v>43011</v>
      </c>
      <c r="B22" s="85">
        <f>LossChart!B22</f>
        <v>20</v>
      </c>
      <c r="C22" s="85">
        <v>197.2</v>
      </c>
      <c r="I22" s="89">
        <f t="shared" si="0"/>
        <v>-5.6000000000000227</v>
      </c>
    </row>
    <row r="23" spans="1:15" x14ac:dyDescent="0.25">
      <c r="A23" s="88">
        <f>LossChart!A23</f>
        <v>43012</v>
      </c>
      <c r="B23" s="85">
        <f>LossChart!B23</f>
        <v>21</v>
      </c>
      <c r="I23" s="89">
        <f t="shared" si="0"/>
        <v>-202.8</v>
      </c>
    </row>
    <row r="24" spans="1:15" x14ac:dyDescent="0.25">
      <c r="A24" s="88">
        <f>LossChart!A24</f>
        <v>43013</v>
      </c>
      <c r="B24" s="85">
        <f>LossChart!B24</f>
        <v>22</v>
      </c>
      <c r="I24" s="89">
        <f t="shared" si="0"/>
        <v>-202.8</v>
      </c>
    </row>
    <row r="25" spans="1:15" x14ac:dyDescent="0.25">
      <c r="A25" s="88">
        <f>LossChart!A25</f>
        <v>43014</v>
      </c>
      <c r="B25" s="85">
        <f>LossChart!B25</f>
        <v>23</v>
      </c>
      <c r="I25" s="89">
        <f t="shared" si="0"/>
        <v>-202.8</v>
      </c>
    </row>
    <row r="26" spans="1:15" x14ac:dyDescent="0.25">
      <c r="A26" s="88">
        <f>LossChart!A26</f>
        <v>43015</v>
      </c>
      <c r="B26" s="85">
        <f>LossChart!B26</f>
        <v>24</v>
      </c>
      <c r="I26" s="89">
        <f t="shared" si="0"/>
        <v>-202.8</v>
      </c>
    </row>
    <row r="27" spans="1:15" x14ac:dyDescent="0.25">
      <c r="A27" s="88">
        <f>LossChart!A27</f>
        <v>43016</v>
      </c>
      <c r="B27" s="85">
        <f>LossChart!B27</f>
        <v>25</v>
      </c>
      <c r="I27" s="89">
        <f t="shared" si="0"/>
        <v>-202.8</v>
      </c>
    </row>
    <row r="28" spans="1:15" x14ac:dyDescent="0.25">
      <c r="A28" s="88">
        <f>LossChart!A28</f>
        <v>43017</v>
      </c>
      <c r="B28" s="85">
        <f>LossChart!B28</f>
        <v>26</v>
      </c>
      <c r="I28" s="89">
        <f t="shared" si="0"/>
        <v>-202.8</v>
      </c>
    </row>
    <row r="29" spans="1:15" x14ac:dyDescent="0.25">
      <c r="A29" s="88">
        <f>LossChart!A29</f>
        <v>43018</v>
      </c>
      <c r="B29" s="85">
        <f>LossChart!B29</f>
        <v>27</v>
      </c>
      <c r="I29" s="89">
        <f t="shared" si="0"/>
        <v>-202.8</v>
      </c>
    </row>
    <row r="30" spans="1:15" x14ac:dyDescent="0.25">
      <c r="A30" s="88">
        <f>LossChart!A30</f>
        <v>43019</v>
      </c>
      <c r="B30" s="85">
        <f>LossChart!B30</f>
        <v>28</v>
      </c>
      <c r="I30" s="89">
        <f t="shared" si="0"/>
        <v>-202.8</v>
      </c>
    </row>
    <row r="31" spans="1:15" x14ac:dyDescent="0.25">
      <c r="A31" s="88">
        <f>LossChart!A31</f>
        <v>43020</v>
      </c>
      <c r="B31" s="85">
        <f>LossChart!B31</f>
        <v>29</v>
      </c>
      <c r="I31" s="89">
        <f t="shared" si="0"/>
        <v>-202.8</v>
      </c>
    </row>
    <row r="32" spans="1:15" x14ac:dyDescent="0.25">
      <c r="A32" s="88">
        <f>LossChart!A32</f>
        <v>43021</v>
      </c>
      <c r="B32" s="85">
        <f>LossChart!B32</f>
        <v>30</v>
      </c>
      <c r="I32" s="89">
        <f t="shared" si="0"/>
        <v>-202.8</v>
      </c>
    </row>
    <row r="33" spans="1:9" x14ac:dyDescent="0.25">
      <c r="A33" s="88">
        <f>LossChart!A33</f>
        <v>43022</v>
      </c>
      <c r="B33" s="85">
        <f>LossChart!B33</f>
        <v>31</v>
      </c>
      <c r="I33" s="89">
        <f t="shared" si="0"/>
        <v>-202.8</v>
      </c>
    </row>
    <row r="34" spans="1:9" x14ac:dyDescent="0.25">
      <c r="A34" s="88">
        <f>LossChart!A34</f>
        <v>43023</v>
      </c>
      <c r="B34" s="85">
        <f>LossChart!B34</f>
        <v>32</v>
      </c>
      <c r="I34" s="89">
        <f t="shared" si="0"/>
        <v>-202.8</v>
      </c>
    </row>
    <row r="35" spans="1:9" x14ac:dyDescent="0.25">
      <c r="A35" s="88">
        <f>LossChart!A35</f>
        <v>43024</v>
      </c>
      <c r="B35" s="85">
        <f>LossChart!B35</f>
        <v>33</v>
      </c>
      <c r="I35" s="89">
        <f t="shared" si="0"/>
        <v>-202.8</v>
      </c>
    </row>
    <row r="36" spans="1:9" x14ac:dyDescent="0.25">
      <c r="A36" s="88">
        <f>LossChart!A36</f>
        <v>43025</v>
      </c>
      <c r="B36" s="85">
        <f>LossChart!B36</f>
        <v>34</v>
      </c>
      <c r="I36" s="89">
        <f t="shared" ref="I36:I67" si="1">C36-$C$3</f>
        <v>-202.8</v>
      </c>
    </row>
    <row r="37" spans="1:9" x14ac:dyDescent="0.25">
      <c r="A37" s="88">
        <f>LossChart!A37</f>
        <v>43026</v>
      </c>
      <c r="B37" s="85">
        <f>LossChart!B37</f>
        <v>35</v>
      </c>
      <c r="I37" s="89">
        <f t="shared" si="1"/>
        <v>-202.8</v>
      </c>
    </row>
    <row r="38" spans="1:9" x14ac:dyDescent="0.25">
      <c r="A38" s="88">
        <f>LossChart!A38</f>
        <v>43027</v>
      </c>
      <c r="B38" s="85">
        <f>LossChart!B38</f>
        <v>36</v>
      </c>
      <c r="I38" s="89">
        <f t="shared" si="1"/>
        <v>-202.8</v>
      </c>
    </row>
    <row r="39" spans="1:9" x14ac:dyDescent="0.25">
      <c r="A39" s="88">
        <f>LossChart!A39</f>
        <v>43028</v>
      </c>
      <c r="B39" s="85">
        <f>LossChart!B39</f>
        <v>37</v>
      </c>
      <c r="I39" s="89">
        <f t="shared" si="1"/>
        <v>-202.8</v>
      </c>
    </row>
    <row r="40" spans="1:9" x14ac:dyDescent="0.25">
      <c r="A40" s="88">
        <f>LossChart!A40</f>
        <v>43029</v>
      </c>
      <c r="B40" s="85">
        <f>LossChart!B40</f>
        <v>38</v>
      </c>
      <c r="I40" s="89">
        <f t="shared" si="1"/>
        <v>-202.8</v>
      </c>
    </row>
    <row r="41" spans="1:9" x14ac:dyDescent="0.25">
      <c r="A41" s="88">
        <f>LossChart!A41</f>
        <v>43030</v>
      </c>
      <c r="B41" s="85">
        <f>LossChart!B41</f>
        <v>39</v>
      </c>
      <c r="I41" s="89">
        <f t="shared" si="1"/>
        <v>-202.8</v>
      </c>
    </row>
    <row r="42" spans="1:9" x14ac:dyDescent="0.25">
      <c r="A42" s="88">
        <f>LossChart!A42</f>
        <v>43031</v>
      </c>
      <c r="B42" s="85">
        <f>LossChart!B42</f>
        <v>40</v>
      </c>
      <c r="I42" s="89">
        <f t="shared" si="1"/>
        <v>-202.8</v>
      </c>
    </row>
    <row r="43" spans="1:9" x14ac:dyDescent="0.25">
      <c r="A43" s="88">
        <f>LossChart!A43</f>
        <v>43032</v>
      </c>
      <c r="B43" s="85">
        <f>LossChart!B43</f>
        <v>41</v>
      </c>
      <c r="I43" s="89">
        <f t="shared" si="1"/>
        <v>-202.8</v>
      </c>
    </row>
    <row r="44" spans="1:9" x14ac:dyDescent="0.25">
      <c r="A44" s="88">
        <f>LossChart!A44</f>
        <v>43033</v>
      </c>
      <c r="B44" s="85">
        <f>LossChart!B44</f>
        <v>42</v>
      </c>
      <c r="I44" s="89">
        <f t="shared" si="1"/>
        <v>-202.8</v>
      </c>
    </row>
    <row r="45" spans="1:9" x14ac:dyDescent="0.25">
      <c r="A45" s="88">
        <f>LossChart!A45</f>
        <v>43034</v>
      </c>
      <c r="B45" s="85">
        <f>LossChart!B45</f>
        <v>43</v>
      </c>
      <c r="I45" s="89">
        <f t="shared" si="1"/>
        <v>-202.8</v>
      </c>
    </row>
    <row r="46" spans="1:9" x14ac:dyDescent="0.25">
      <c r="A46" s="88">
        <f>LossChart!A46</f>
        <v>43035</v>
      </c>
      <c r="B46" s="85">
        <f>LossChart!B46</f>
        <v>44</v>
      </c>
      <c r="I46" s="89">
        <f t="shared" si="1"/>
        <v>-202.8</v>
      </c>
    </row>
    <row r="47" spans="1:9" x14ac:dyDescent="0.25">
      <c r="A47" s="88">
        <f>LossChart!A47</f>
        <v>43036</v>
      </c>
      <c r="B47" s="85">
        <f>LossChart!B47</f>
        <v>45</v>
      </c>
      <c r="I47" s="89">
        <f t="shared" si="1"/>
        <v>-202.8</v>
      </c>
    </row>
    <row r="48" spans="1:9" x14ac:dyDescent="0.25">
      <c r="A48" s="88">
        <f>LossChart!A48</f>
        <v>43037</v>
      </c>
      <c r="B48" s="85">
        <f>LossChart!B48</f>
        <v>46</v>
      </c>
      <c r="I48" s="89">
        <f t="shared" si="1"/>
        <v>-202.8</v>
      </c>
    </row>
    <row r="49" spans="1:9" x14ac:dyDescent="0.25">
      <c r="A49" s="88">
        <f>LossChart!A49</f>
        <v>43038</v>
      </c>
      <c r="B49" s="85">
        <f>LossChart!B49</f>
        <v>47</v>
      </c>
      <c r="I49" s="89">
        <f t="shared" si="1"/>
        <v>-202.8</v>
      </c>
    </row>
    <row r="50" spans="1:9" x14ac:dyDescent="0.25">
      <c r="A50" s="88">
        <f>LossChart!A50</f>
        <v>43039</v>
      </c>
      <c r="B50" s="85">
        <f>LossChart!B50</f>
        <v>48</v>
      </c>
      <c r="I50" s="89">
        <f t="shared" si="1"/>
        <v>-202.8</v>
      </c>
    </row>
    <row r="51" spans="1:9" x14ac:dyDescent="0.25">
      <c r="A51" s="88">
        <f>LossChart!A51</f>
        <v>43040</v>
      </c>
      <c r="B51" s="85">
        <f>LossChart!B51</f>
        <v>49</v>
      </c>
      <c r="I51" s="89">
        <f t="shared" si="1"/>
        <v>-202.8</v>
      </c>
    </row>
    <row r="52" spans="1:9" x14ac:dyDescent="0.25">
      <c r="A52" s="88">
        <f>LossChart!A52</f>
        <v>43041</v>
      </c>
      <c r="B52" s="85">
        <f>LossChart!B52</f>
        <v>50</v>
      </c>
      <c r="I52" s="89">
        <f t="shared" si="1"/>
        <v>-202.8</v>
      </c>
    </row>
    <row r="53" spans="1:9" x14ac:dyDescent="0.25">
      <c r="A53" s="88">
        <f>LossChart!A53</f>
        <v>43042</v>
      </c>
      <c r="B53" s="85">
        <f>LossChart!B53</f>
        <v>51</v>
      </c>
      <c r="I53" s="89">
        <f t="shared" si="1"/>
        <v>-202.8</v>
      </c>
    </row>
    <row r="54" spans="1:9" x14ac:dyDescent="0.25">
      <c r="A54" s="88">
        <f>LossChart!A54</f>
        <v>43043</v>
      </c>
      <c r="B54" s="85">
        <f>LossChart!B54</f>
        <v>52</v>
      </c>
      <c r="I54" s="89">
        <f t="shared" si="1"/>
        <v>-202.8</v>
      </c>
    </row>
    <row r="55" spans="1:9" x14ac:dyDescent="0.25">
      <c r="A55" s="88">
        <f>LossChart!A55</f>
        <v>43044</v>
      </c>
      <c r="B55" s="85">
        <f>LossChart!B55</f>
        <v>53</v>
      </c>
      <c r="I55" s="89">
        <f t="shared" si="1"/>
        <v>-202.8</v>
      </c>
    </row>
    <row r="56" spans="1:9" x14ac:dyDescent="0.25">
      <c r="A56" s="88">
        <f>LossChart!A56</f>
        <v>43045</v>
      </c>
      <c r="B56" s="85">
        <f>LossChart!B56</f>
        <v>54</v>
      </c>
      <c r="I56" s="89">
        <f t="shared" si="1"/>
        <v>-202.8</v>
      </c>
    </row>
    <row r="57" spans="1:9" x14ac:dyDescent="0.25">
      <c r="A57" s="88">
        <f>LossChart!A57</f>
        <v>43046</v>
      </c>
      <c r="B57" s="85">
        <f>LossChart!B57</f>
        <v>55</v>
      </c>
      <c r="I57" s="89">
        <f t="shared" si="1"/>
        <v>-202.8</v>
      </c>
    </row>
    <row r="58" spans="1:9" x14ac:dyDescent="0.25">
      <c r="A58" s="88">
        <f>LossChart!A58</f>
        <v>43047</v>
      </c>
      <c r="B58" s="85">
        <f>LossChart!B58</f>
        <v>56</v>
      </c>
      <c r="I58" s="89">
        <f t="shared" si="1"/>
        <v>-202.8</v>
      </c>
    </row>
    <row r="59" spans="1:9" x14ac:dyDescent="0.25">
      <c r="A59" s="88">
        <f>LossChart!A59</f>
        <v>43048</v>
      </c>
      <c r="B59" s="85">
        <f>LossChart!B59</f>
        <v>57</v>
      </c>
      <c r="I59" s="89">
        <f t="shared" si="1"/>
        <v>-202.8</v>
      </c>
    </row>
    <row r="60" spans="1:9" x14ac:dyDescent="0.25">
      <c r="A60" s="88">
        <f>LossChart!A60</f>
        <v>43049</v>
      </c>
      <c r="B60" s="85">
        <f>LossChart!B60</f>
        <v>58</v>
      </c>
      <c r="I60" s="89">
        <f t="shared" si="1"/>
        <v>-202.8</v>
      </c>
    </row>
    <row r="61" spans="1:9" x14ac:dyDescent="0.25">
      <c r="A61" s="88">
        <f>LossChart!A61</f>
        <v>43050</v>
      </c>
      <c r="B61" s="85">
        <f>LossChart!B61</f>
        <v>59</v>
      </c>
      <c r="I61" s="89">
        <f t="shared" si="1"/>
        <v>-202.8</v>
      </c>
    </row>
    <row r="62" spans="1:9" x14ac:dyDescent="0.25">
      <c r="A62" s="88">
        <f>LossChart!A62</f>
        <v>43051</v>
      </c>
      <c r="B62" s="85">
        <f>LossChart!B62</f>
        <v>60</v>
      </c>
      <c r="I62" s="89">
        <f t="shared" si="1"/>
        <v>-202.8</v>
      </c>
    </row>
    <row r="63" spans="1:9" x14ac:dyDescent="0.25">
      <c r="A63" s="88">
        <f>LossChart!A63</f>
        <v>43052</v>
      </c>
      <c r="B63" s="85">
        <f>LossChart!B63</f>
        <v>61</v>
      </c>
      <c r="I63" s="89">
        <f t="shared" si="1"/>
        <v>-202.8</v>
      </c>
    </row>
    <row r="64" spans="1:9" x14ac:dyDescent="0.25">
      <c r="A64" s="88">
        <f>LossChart!A64</f>
        <v>43053</v>
      </c>
      <c r="B64" s="85">
        <f>LossChart!B64</f>
        <v>62</v>
      </c>
      <c r="I64" s="89">
        <f t="shared" si="1"/>
        <v>-202.8</v>
      </c>
    </row>
    <row r="65" spans="1:9" x14ac:dyDescent="0.25">
      <c r="A65" s="88">
        <f>LossChart!A65</f>
        <v>43054</v>
      </c>
      <c r="B65" s="85">
        <f>LossChart!B65</f>
        <v>63</v>
      </c>
      <c r="I65" s="89">
        <f t="shared" si="1"/>
        <v>-202.8</v>
      </c>
    </row>
    <row r="66" spans="1:9" x14ac:dyDescent="0.25">
      <c r="A66" s="88">
        <f>LossChart!A66</f>
        <v>43055</v>
      </c>
      <c r="B66" s="85">
        <f>LossChart!B66</f>
        <v>64</v>
      </c>
      <c r="I66" s="89">
        <f t="shared" si="1"/>
        <v>-202.8</v>
      </c>
    </row>
    <row r="67" spans="1:9" x14ac:dyDescent="0.25">
      <c r="A67" s="88">
        <f>LossChart!A67</f>
        <v>43056</v>
      </c>
      <c r="B67" s="85">
        <f>LossChart!B67</f>
        <v>65</v>
      </c>
      <c r="I67" s="89">
        <f t="shared" si="1"/>
        <v>-202.8</v>
      </c>
    </row>
    <row r="68" spans="1:9" x14ac:dyDescent="0.25">
      <c r="A68" s="88">
        <f>LossChart!A68</f>
        <v>43057</v>
      </c>
      <c r="B68" s="85">
        <f>LossChart!B68</f>
        <v>66</v>
      </c>
      <c r="I68" s="89">
        <f t="shared" ref="I68:I99" si="2">C68-$C$3</f>
        <v>-202.8</v>
      </c>
    </row>
    <row r="69" spans="1:9" x14ac:dyDescent="0.25">
      <c r="A69" s="88">
        <f>LossChart!A69</f>
        <v>43058</v>
      </c>
      <c r="B69" s="85">
        <f>LossChart!B69</f>
        <v>67</v>
      </c>
      <c r="I69" s="89">
        <f t="shared" si="2"/>
        <v>-202.8</v>
      </c>
    </row>
    <row r="70" spans="1:9" x14ac:dyDescent="0.25">
      <c r="A70" s="88">
        <f>LossChart!A70</f>
        <v>43059</v>
      </c>
      <c r="B70" s="85">
        <f>LossChart!B70</f>
        <v>68</v>
      </c>
      <c r="I70" s="89">
        <f t="shared" si="2"/>
        <v>-202.8</v>
      </c>
    </row>
    <row r="71" spans="1:9" x14ac:dyDescent="0.25">
      <c r="A71" s="88">
        <f>LossChart!A71</f>
        <v>43060</v>
      </c>
      <c r="B71" s="85">
        <f>LossChart!B71</f>
        <v>69</v>
      </c>
      <c r="I71" s="89">
        <f t="shared" si="2"/>
        <v>-202.8</v>
      </c>
    </row>
    <row r="72" spans="1:9" x14ac:dyDescent="0.25">
      <c r="A72" s="88">
        <f>LossChart!A72</f>
        <v>43061</v>
      </c>
      <c r="B72" s="85">
        <f>LossChart!B72</f>
        <v>70</v>
      </c>
      <c r="I72" s="89">
        <f t="shared" si="2"/>
        <v>-202.8</v>
      </c>
    </row>
    <row r="73" spans="1:9" x14ac:dyDescent="0.25">
      <c r="A73" s="88">
        <f>LossChart!A73</f>
        <v>43062</v>
      </c>
      <c r="B73" s="85">
        <f>LossChart!B73</f>
        <v>71</v>
      </c>
      <c r="I73" s="89">
        <f t="shared" si="2"/>
        <v>-202.8</v>
      </c>
    </row>
    <row r="74" spans="1:9" x14ac:dyDescent="0.25">
      <c r="A74" s="88">
        <f>LossChart!A74</f>
        <v>43063</v>
      </c>
      <c r="B74" s="85">
        <f>LossChart!B74</f>
        <v>72</v>
      </c>
      <c r="I74" s="89">
        <f t="shared" si="2"/>
        <v>-202.8</v>
      </c>
    </row>
    <row r="75" spans="1:9" x14ac:dyDescent="0.25">
      <c r="A75" s="88">
        <f>LossChart!A75</f>
        <v>43064</v>
      </c>
      <c r="B75" s="85">
        <f>LossChart!B75</f>
        <v>73</v>
      </c>
      <c r="I75" s="89">
        <f t="shared" si="2"/>
        <v>-202.8</v>
      </c>
    </row>
    <row r="76" spans="1:9" x14ac:dyDescent="0.25">
      <c r="A76" s="88">
        <f>LossChart!A76</f>
        <v>43065</v>
      </c>
      <c r="B76" s="85">
        <f>LossChart!B76</f>
        <v>74</v>
      </c>
      <c r="I76" s="89">
        <f t="shared" si="2"/>
        <v>-202.8</v>
      </c>
    </row>
    <row r="77" spans="1:9" x14ac:dyDescent="0.25">
      <c r="A77" s="88">
        <f>LossChart!A77</f>
        <v>43066</v>
      </c>
      <c r="B77" s="85">
        <f>LossChart!B77</f>
        <v>75</v>
      </c>
      <c r="I77" s="89">
        <f t="shared" si="2"/>
        <v>-202.8</v>
      </c>
    </row>
    <row r="78" spans="1:9" x14ac:dyDescent="0.25">
      <c r="A78" s="88">
        <f>LossChart!A78</f>
        <v>43067</v>
      </c>
      <c r="B78" s="85">
        <f>LossChart!B78</f>
        <v>76</v>
      </c>
      <c r="I78" s="89">
        <f t="shared" si="2"/>
        <v>-202.8</v>
      </c>
    </row>
    <row r="79" spans="1:9" x14ac:dyDescent="0.25">
      <c r="A79" s="88">
        <f>LossChart!A79</f>
        <v>43068</v>
      </c>
      <c r="B79" s="85">
        <f>LossChart!B79</f>
        <v>77</v>
      </c>
      <c r="I79" s="89">
        <f t="shared" si="2"/>
        <v>-202.8</v>
      </c>
    </row>
    <row r="80" spans="1:9" x14ac:dyDescent="0.25">
      <c r="A80" s="88">
        <f>LossChart!A80</f>
        <v>43069</v>
      </c>
      <c r="B80" s="85">
        <f>LossChart!B80</f>
        <v>78</v>
      </c>
      <c r="I80" s="89">
        <f t="shared" si="2"/>
        <v>-202.8</v>
      </c>
    </row>
    <row r="81" spans="1:9" x14ac:dyDescent="0.25">
      <c r="A81" s="88">
        <f>LossChart!A81</f>
        <v>43070</v>
      </c>
      <c r="B81" s="85">
        <f>LossChart!B81</f>
        <v>79</v>
      </c>
      <c r="I81" s="89">
        <f t="shared" si="2"/>
        <v>-202.8</v>
      </c>
    </row>
    <row r="82" spans="1:9" x14ac:dyDescent="0.25">
      <c r="A82" s="88">
        <f>LossChart!A82</f>
        <v>43071</v>
      </c>
      <c r="B82" s="85">
        <f>LossChart!B82</f>
        <v>80</v>
      </c>
      <c r="I82" s="89">
        <f t="shared" si="2"/>
        <v>-202.8</v>
      </c>
    </row>
    <row r="83" spans="1:9" x14ac:dyDescent="0.25">
      <c r="A83" s="88">
        <f>LossChart!A83</f>
        <v>43072</v>
      </c>
      <c r="B83" s="85">
        <f>LossChart!B83</f>
        <v>81</v>
      </c>
      <c r="I83" s="89">
        <f t="shared" si="2"/>
        <v>-202.8</v>
      </c>
    </row>
    <row r="84" spans="1:9" x14ac:dyDescent="0.25">
      <c r="A84" s="88">
        <f>LossChart!A84</f>
        <v>43073</v>
      </c>
      <c r="B84" s="85">
        <f>LossChart!B84</f>
        <v>82</v>
      </c>
      <c r="I84" s="89">
        <f t="shared" si="2"/>
        <v>-202.8</v>
      </c>
    </row>
    <row r="85" spans="1:9" x14ac:dyDescent="0.25">
      <c r="A85" s="88">
        <f>LossChart!A85</f>
        <v>43074</v>
      </c>
      <c r="B85" s="85">
        <f>LossChart!B85</f>
        <v>83</v>
      </c>
      <c r="I85" s="89">
        <f t="shared" si="2"/>
        <v>-202.8</v>
      </c>
    </row>
    <row r="86" spans="1:9" x14ac:dyDescent="0.25">
      <c r="A86" s="88">
        <f>LossChart!A86</f>
        <v>43075</v>
      </c>
      <c r="B86" s="85">
        <f>LossChart!B86</f>
        <v>84</v>
      </c>
      <c r="I86" s="89">
        <f t="shared" si="2"/>
        <v>-202.8</v>
      </c>
    </row>
    <row r="87" spans="1:9" x14ac:dyDescent="0.25">
      <c r="A87" s="88">
        <f>LossChart!A87</f>
        <v>43076</v>
      </c>
      <c r="B87" s="85">
        <f>LossChart!B87</f>
        <v>85</v>
      </c>
      <c r="I87" s="89">
        <f t="shared" si="2"/>
        <v>-202.8</v>
      </c>
    </row>
    <row r="88" spans="1:9" x14ac:dyDescent="0.25">
      <c r="A88" s="88">
        <f>LossChart!A88</f>
        <v>43077</v>
      </c>
      <c r="B88" s="85">
        <f>LossChart!B88</f>
        <v>86</v>
      </c>
      <c r="I88" s="89">
        <f t="shared" si="2"/>
        <v>-202.8</v>
      </c>
    </row>
    <row r="89" spans="1:9" x14ac:dyDescent="0.25">
      <c r="A89" s="88">
        <f>LossChart!A89</f>
        <v>43078</v>
      </c>
      <c r="B89" s="85">
        <f>LossChart!B89</f>
        <v>87</v>
      </c>
      <c r="I89" s="89">
        <f t="shared" si="2"/>
        <v>-202.8</v>
      </c>
    </row>
    <row r="90" spans="1:9" x14ac:dyDescent="0.25">
      <c r="A90" s="88">
        <f>LossChart!A90</f>
        <v>43079</v>
      </c>
      <c r="B90" s="85">
        <f>LossChart!B90</f>
        <v>88</v>
      </c>
      <c r="I90" s="89">
        <f t="shared" si="2"/>
        <v>-202.8</v>
      </c>
    </row>
    <row r="91" spans="1:9" x14ac:dyDescent="0.25">
      <c r="A91" s="88">
        <f>LossChart!A91</f>
        <v>43080</v>
      </c>
      <c r="B91" s="85">
        <f>LossChart!B91</f>
        <v>89</v>
      </c>
      <c r="I91" s="89">
        <f t="shared" si="2"/>
        <v>-202.8</v>
      </c>
    </row>
    <row r="92" spans="1:9" x14ac:dyDescent="0.25">
      <c r="A92" s="88">
        <f>LossChart!A92</f>
        <v>43081</v>
      </c>
      <c r="B92" s="85">
        <f>LossChart!B92</f>
        <v>90</v>
      </c>
      <c r="I92" s="89">
        <f t="shared" si="2"/>
        <v>-202.8</v>
      </c>
    </row>
    <row r="93" spans="1:9" x14ac:dyDescent="0.25">
      <c r="A93" s="88">
        <f>LossChart!A93</f>
        <v>43082</v>
      </c>
      <c r="B93" s="85">
        <f>LossChart!B93</f>
        <v>91</v>
      </c>
      <c r="I93" s="89">
        <f t="shared" si="2"/>
        <v>-202.8</v>
      </c>
    </row>
    <row r="94" spans="1:9" x14ac:dyDescent="0.25">
      <c r="A94" s="88">
        <f>LossChart!A94</f>
        <v>43083</v>
      </c>
      <c r="B94" s="85">
        <f>LossChart!B94</f>
        <v>92</v>
      </c>
      <c r="I94" s="89">
        <f t="shared" si="2"/>
        <v>-202.8</v>
      </c>
    </row>
    <row r="95" spans="1:9" x14ac:dyDescent="0.25">
      <c r="A95" s="88">
        <f>LossChart!A95</f>
        <v>43084</v>
      </c>
      <c r="B95" s="85">
        <f>LossChart!B95</f>
        <v>93</v>
      </c>
      <c r="I95" s="89">
        <f t="shared" si="2"/>
        <v>-202.8</v>
      </c>
    </row>
    <row r="96" spans="1:9" x14ac:dyDescent="0.25">
      <c r="A96" s="88">
        <f>LossChart!A96</f>
        <v>43085</v>
      </c>
      <c r="B96" s="85">
        <f>LossChart!B96</f>
        <v>94</v>
      </c>
      <c r="I96" s="89">
        <f t="shared" si="2"/>
        <v>-202.8</v>
      </c>
    </row>
    <row r="97" spans="1:9" x14ac:dyDescent="0.25">
      <c r="A97" s="88">
        <f>LossChart!A97</f>
        <v>43086</v>
      </c>
      <c r="B97" s="85">
        <f>LossChart!B97</f>
        <v>95</v>
      </c>
      <c r="I97" s="89">
        <f t="shared" si="2"/>
        <v>-202.8</v>
      </c>
    </row>
    <row r="98" spans="1:9" x14ac:dyDescent="0.25">
      <c r="A98" s="88">
        <f>LossChart!A98</f>
        <v>43087</v>
      </c>
      <c r="B98" s="85">
        <f>LossChart!B98</f>
        <v>96</v>
      </c>
      <c r="I98" s="89">
        <f t="shared" si="2"/>
        <v>-202.8</v>
      </c>
    </row>
    <row r="99" spans="1:9" x14ac:dyDescent="0.25">
      <c r="A99" s="88">
        <f>LossChart!A99</f>
        <v>43088</v>
      </c>
      <c r="B99" s="85">
        <f>LossChart!B99</f>
        <v>97</v>
      </c>
      <c r="I99" s="89">
        <f t="shared" si="2"/>
        <v>-202.8</v>
      </c>
    </row>
    <row r="100" spans="1:9" x14ac:dyDescent="0.25">
      <c r="A100" s="88">
        <f>LossChart!A100</f>
        <v>43089</v>
      </c>
      <c r="B100" s="85">
        <f>LossChart!B100</f>
        <v>98</v>
      </c>
      <c r="I100" s="89">
        <f t="shared" ref="I100:I111" si="3">C100-$C$3</f>
        <v>-202.8</v>
      </c>
    </row>
    <row r="101" spans="1:9" x14ac:dyDescent="0.25">
      <c r="A101" s="88">
        <f>LossChart!A101</f>
        <v>43090</v>
      </c>
      <c r="B101" s="85">
        <f>LossChart!B101</f>
        <v>99</v>
      </c>
      <c r="I101" s="89">
        <f t="shared" si="3"/>
        <v>-202.8</v>
      </c>
    </row>
    <row r="102" spans="1:9" x14ac:dyDescent="0.25">
      <c r="A102" s="88">
        <f>LossChart!A102</f>
        <v>43091</v>
      </c>
      <c r="B102" s="85">
        <f>LossChart!B102</f>
        <v>100</v>
      </c>
      <c r="I102" s="89">
        <f t="shared" si="3"/>
        <v>-202.8</v>
      </c>
    </row>
    <row r="103" spans="1:9" x14ac:dyDescent="0.25">
      <c r="A103" s="88">
        <f>LossChart!A103</f>
        <v>43092</v>
      </c>
      <c r="B103" s="85">
        <f>LossChart!B103</f>
        <v>101</v>
      </c>
      <c r="I103" s="89">
        <f t="shared" si="3"/>
        <v>-202.8</v>
      </c>
    </row>
    <row r="104" spans="1:9" x14ac:dyDescent="0.25">
      <c r="A104" s="88">
        <f>LossChart!A104</f>
        <v>43093</v>
      </c>
      <c r="B104" s="85">
        <f>LossChart!B104</f>
        <v>102</v>
      </c>
      <c r="I104" s="89">
        <f t="shared" si="3"/>
        <v>-202.8</v>
      </c>
    </row>
    <row r="105" spans="1:9" x14ac:dyDescent="0.25">
      <c r="A105" s="88">
        <f>LossChart!A105</f>
        <v>43094</v>
      </c>
      <c r="B105" s="85">
        <f>LossChart!B105</f>
        <v>103</v>
      </c>
      <c r="I105" s="89">
        <f t="shared" si="3"/>
        <v>-202.8</v>
      </c>
    </row>
    <row r="106" spans="1:9" x14ac:dyDescent="0.25">
      <c r="A106" s="88">
        <f>LossChart!A106</f>
        <v>43095</v>
      </c>
      <c r="B106" s="85">
        <f>LossChart!B106</f>
        <v>104</v>
      </c>
      <c r="I106" s="89">
        <f t="shared" si="3"/>
        <v>-202.8</v>
      </c>
    </row>
    <row r="107" spans="1:9" x14ac:dyDescent="0.25">
      <c r="A107" s="88">
        <f>LossChart!A107</f>
        <v>43096</v>
      </c>
      <c r="B107" s="85">
        <f>LossChart!B107</f>
        <v>105</v>
      </c>
      <c r="I107" s="89">
        <f t="shared" si="3"/>
        <v>-202.8</v>
      </c>
    </row>
    <row r="108" spans="1:9" x14ac:dyDescent="0.25">
      <c r="A108" s="88">
        <f>LossChart!A108</f>
        <v>43097</v>
      </c>
      <c r="B108" s="85">
        <f>LossChart!B108</f>
        <v>106</v>
      </c>
      <c r="I108" s="89">
        <f t="shared" si="3"/>
        <v>-202.8</v>
      </c>
    </row>
    <row r="109" spans="1:9" x14ac:dyDescent="0.25">
      <c r="A109" s="88">
        <f>LossChart!A109</f>
        <v>43098</v>
      </c>
      <c r="B109" s="85">
        <f>LossChart!B109</f>
        <v>107</v>
      </c>
      <c r="I109" s="89">
        <f t="shared" si="3"/>
        <v>-202.8</v>
      </c>
    </row>
    <row r="110" spans="1:9" x14ac:dyDescent="0.25">
      <c r="A110" s="88">
        <f>LossChart!A110</f>
        <v>43099</v>
      </c>
      <c r="B110" s="85">
        <f>LossChart!B110</f>
        <v>108</v>
      </c>
      <c r="I110" s="89">
        <f t="shared" si="3"/>
        <v>-202.8</v>
      </c>
    </row>
    <row r="111" spans="1:9" x14ac:dyDescent="0.25">
      <c r="A111" s="88">
        <f>LossChart!A111</f>
        <v>43100</v>
      </c>
      <c r="B111" s="85">
        <f>LossChart!B111</f>
        <v>109</v>
      </c>
      <c r="I111" s="89">
        <f t="shared" si="3"/>
        <v>-202.8</v>
      </c>
    </row>
  </sheetData>
  <mergeCells count="1">
    <mergeCell ref="A1:D1"/>
  </mergeCells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293"/>
  <sheetViews>
    <sheetView topLeftCell="A200" zoomScale="130" zoomScaleNormal="130" workbookViewId="0">
      <selection activeCell="B206" sqref="B206"/>
    </sheetView>
  </sheetViews>
  <sheetFormatPr defaultRowHeight="15" x14ac:dyDescent="0.25"/>
  <cols>
    <col min="1" max="1" width="11.140625" customWidth="1"/>
    <col min="2" max="2" width="21.28515625" customWidth="1"/>
    <col min="3" max="3" width="8.28515625" customWidth="1"/>
    <col min="4" max="4" width="6" customWidth="1"/>
    <col min="5" max="5" width="6.5703125" customWidth="1"/>
    <col min="6" max="6" width="7.5703125" customWidth="1"/>
    <col min="7" max="7" width="8.42578125" customWidth="1"/>
    <col min="8" max="8" width="5.28515625" customWidth="1"/>
    <col min="9" max="9" width="7.5703125" customWidth="1"/>
    <col min="10" max="10" width="8" customWidth="1"/>
    <col min="11" max="11" width="1.28515625" customWidth="1"/>
    <col min="12" max="12" width="6.28515625" customWidth="1"/>
    <col min="13" max="13" width="6" customWidth="1"/>
    <col min="14" max="15" width="5.140625" customWidth="1"/>
    <col min="16" max="16" width="7" customWidth="1"/>
    <col min="17" max="17" width="7.140625" customWidth="1"/>
    <col min="18" max="19" width="7.5703125" customWidth="1"/>
    <col min="20" max="23" width="7.7109375" customWidth="1"/>
    <col min="24" max="1025" width="8.7109375" customWidth="1"/>
  </cols>
  <sheetData>
    <row r="1" spans="1:17" ht="45" x14ac:dyDescent="0.25">
      <c r="A1" s="21" t="s">
        <v>63</v>
      </c>
      <c r="B1" s="21" t="s">
        <v>92</v>
      </c>
      <c r="C1" s="21" t="s">
        <v>93</v>
      </c>
      <c r="D1" s="92" t="str">
        <f>FoodDB!$C$1</f>
        <v>Fat
(g)</v>
      </c>
      <c r="E1" s="92" t="str">
        <f>FoodDB!$D$1</f>
        <v xml:space="preserve"> Carbs
(g)</v>
      </c>
      <c r="F1" s="92" t="str">
        <f>FoodDB!$E$1</f>
        <v>Protein
(g)</v>
      </c>
      <c r="G1" s="92" t="str">
        <f>FoodDB!$F$1</f>
        <v>Fat
(Cal)</v>
      </c>
      <c r="H1" s="92" t="str">
        <f>FoodDB!$G$1</f>
        <v>Carb
(Cal)</v>
      </c>
      <c r="I1" s="92" t="str">
        <f>FoodDB!$H$1</f>
        <v>Protein
(Cal)</v>
      </c>
      <c r="J1" s="92" t="str">
        <f>FoodDB!$I$1</f>
        <v>Total
Calories</v>
      </c>
      <c r="K1" s="92"/>
      <c r="L1" s="21"/>
      <c r="M1" s="21"/>
      <c r="N1" s="21"/>
      <c r="O1" s="21"/>
      <c r="Q1" s="21"/>
    </row>
    <row r="2" spans="1:17" x14ac:dyDescent="0.25">
      <c r="A2" s="93">
        <v>42992</v>
      </c>
      <c r="B2" s="94" t="s">
        <v>94</v>
      </c>
      <c r="C2" s="95">
        <v>1</v>
      </c>
      <c r="D2">
        <f>$C2*VLOOKUP($B2,FoodDB!$A$2:$I$1011,3,0)</f>
        <v>0.5</v>
      </c>
      <c r="E2">
        <f>$C2*VLOOKUP($B2,FoodDB!$A$2:$I$1011,4,0)</f>
        <v>0</v>
      </c>
      <c r="F2">
        <f>$C2*VLOOKUP($B2,FoodDB!$A$2:$I$1011,5,0)</f>
        <v>50</v>
      </c>
      <c r="G2">
        <f>$C2*VLOOKUP($B2,FoodDB!$A$2:$I$1011,6,0)</f>
        <v>4.5</v>
      </c>
      <c r="H2">
        <f>$C2*VLOOKUP($B2,FoodDB!$A$2:$I$1011,7,0)</f>
        <v>0</v>
      </c>
      <c r="I2">
        <f>$C2*VLOOKUP($B2,FoodDB!$A$2:$I$1011,8,0)</f>
        <v>200</v>
      </c>
      <c r="J2">
        <f>$C2*VLOOKUP($B2,FoodDB!$A$2:$I$1011,9,0)</f>
        <v>204.5</v>
      </c>
      <c r="L2" s="96"/>
      <c r="M2" s="96"/>
      <c r="N2" s="96"/>
      <c r="O2" s="96"/>
    </row>
    <row r="3" spans="1:17" x14ac:dyDescent="0.25">
      <c r="B3" s="94" t="s">
        <v>95</v>
      </c>
      <c r="C3" s="95">
        <v>14</v>
      </c>
      <c r="D3">
        <f>$C3*VLOOKUP($B3,FoodDB!$A$2:$I$1011,3,0)</f>
        <v>0</v>
      </c>
      <c r="E3">
        <f>$C3*VLOOKUP($B3,FoodDB!$A$2:$I$1011,4,0)</f>
        <v>9</v>
      </c>
      <c r="F3">
        <f>$C3*VLOOKUP($B3,FoodDB!$A$2:$I$1011,5,0)</f>
        <v>4.5</v>
      </c>
      <c r="G3">
        <f>$C3*VLOOKUP($B3,FoodDB!$A$2:$I$1011,6,0)</f>
        <v>0</v>
      </c>
      <c r="H3">
        <f>$C3*VLOOKUP($B3,FoodDB!$A$2:$I$1011,7,0)</f>
        <v>36</v>
      </c>
      <c r="I3">
        <f>$C3*VLOOKUP($B3,FoodDB!$A$2:$I$1011,8,0)</f>
        <v>18</v>
      </c>
      <c r="J3">
        <f>$C3*VLOOKUP($B3,FoodDB!$A$2:$I$1011,9,0)</f>
        <v>54.000000000000007</v>
      </c>
      <c r="L3" s="96"/>
      <c r="M3" s="96"/>
      <c r="N3" s="96"/>
      <c r="O3" s="96"/>
    </row>
    <row r="4" spans="1:17" x14ac:dyDescent="0.25">
      <c r="B4" s="94" t="s">
        <v>94</v>
      </c>
      <c r="C4" s="95">
        <v>1</v>
      </c>
      <c r="D4">
        <f>$C4*VLOOKUP($B4,FoodDB!$A$2:$I$1011,3,0)</f>
        <v>0.5</v>
      </c>
      <c r="E4">
        <f>$C4*VLOOKUP($B4,FoodDB!$A$2:$I$1011,4,0)</f>
        <v>0</v>
      </c>
      <c r="F4">
        <f>$C4*VLOOKUP($B4,FoodDB!$A$2:$I$1011,5,0)</f>
        <v>50</v>
      </c>
      <c r="G4">
        <f>$C4*VLOOKUP($B4,FoodDB!$A$2:$I$1011,6,0)</f>
        <v>4.5</v>
      </c>
      <c r="H4">
        <f>$C4*VLOOKUP($B4,FoodDB!$A$2:$I$1011,7,0)</f>
        <v>0</v>
      </c>
      <c r="I4">
        <f>$C4*VLOOKUP($B4,FoodDB!$A$2:$I$1011,8,0)</f>
        <v>200</v>
      </c>
      <c r="J4">
        <f>$C4*VLOOKUP($B4,FoodDB!$A$2:$I$1011,9,0)</f>
        <v>204.5</v>
      </c>
      <c r="L4" s="96"/>
      <c r="M4" s="96"/>
      <c r="N4" s="96"/>
      <c r="O4" s="96"/>
    </row>
    <row r="5" spans="1:17" x14ac:dyDescent="0.25">
      <c r="B5" s="94" t="s">
        <v>96</v>
      </c>
      <c r="C5" s="95">
        <v>2</v>
      </c>
      <c r="D5">
        <f>$C5*VLOOKUP($B5,FoodDB!$A$2:$I$1011,3,0)</f>
        <v>18</v>
      </c>
      <c r="E5">
        <f>$C5*VLOOKUP($B5,FoodDB!$A$2:$I$1011,4,0)</f>
        <v>4</v>
      </c>
      <c r="F5">
        <f>$C5*VLOOKUP($B5,FoodDB!$A$2:$I$1011,5,0)</f>
        <v>9.4</v>
      </c>
      <c r="G5">
        <f>$C5*VLOOKUP($B5,FoodDB!$A$2:$I$1011,6,0)</f>
        <v>162</v>
      </c>
      <c r="H5">
        <f>$C5*VLOOKUP($B5,FoodDB!$A$2:$I$1011,7,0)</f>
        <v>16</v>
      </c>
      <c r="I5">
        <f>$C5*VLOOKUP($B5,FoodDB!$A$2:$I$1011,8,0)</f>
        <v>37.6</v>
      </c>
      <c r="J5">
        <f>$C5*VLOOKUP($B5,FoodDB!$A$2:$I$1011,9,0)</f>
        <v>215.6</v>
      </c>
      <c r="L5" s="96"/>
      <c r="M5" s="96"/>
      <c r="N5" s="96"/>
      <c r="O5" s="96"/>
    </row>
    <row r="6" spans="1:17" x14ac:dyDescent="0.25">
      <c r="A6" t="s">
        <v>97</v>
      </c>
      <c r="G6">
        <f>SUM(G2:G5)</f>
        <v>171</v>
      </c>
      <c r="H6">
        <f>SUM(H2:H5)</f>
        <v>52</v>
      </c>
      <c r="I6">
        <f>SUM(I2:I5)</f>
        <v>455.6</v>
      </c>
      <c r="J6">
        <f>SUM(J2:J5)</f>
        <v>678.6</v>
      </c>
      <c r="L6" s="97"/>
      <c r="M6" s="97"/>
      <c r="N6" s="97"/>
      <c r="O6" s="97"/>
    </row>
    <row r="8" spans="1:17" ht="45" x14ac:dyDescent="0.25">
      <c r="A8" s="21" t="s">
        <v>63</v>
      </c>
      <c r="B8" s="21" t="s">
        <v>92</v>
      </c>
      <c r="C8" s="21" t="s">
        <v>93</v>
      </c>
      <c r="D8" s="92" t="str">
        <f>FoodDB!$C$1</f>
        <v>Fat
(g)</v>
      </c>
      <c r="E8" s="92" t="str">
        <f>FoodDB!$D$1</f>
        <v xml:space="preserve"> Carbs
(g)</v>
      </c>
      <c r="F8" s="92" t="str">
        <f>FoodDB!$E$1</f>
        <v>Protein
(g)</v>
      </c>
      <c r="G8" s="92" t="str">
        <f>FoodDB!$F$1</f>
        <v>Fat
(Cal)</v>
      </c>
      <c r="H8" s="92" t="str">
        <f>FoodDB!$G$1</f>
        <v>Carb
(Cal)</v>
      </c>
      <c r="I8" s="92" t="str">
        <f>FoodDB!$H$1</f>
        <v>Protein
(Cal)</v>
      </c>
      <c r="J8" s="92" t="str">
        <f>FoodDB!$I$1</f>
        <v>Total
Calories</v>
      </c>
      <c r="K8" s="92"/>
      <c r="L8" s="21"/>
      <c r="M8" s="21"/>
      <c r="N8" s="21"/>
      <c r="O8" s="21"/>
      <c r="Q8" s="21"/>
    </row>
    <row r="9" spans="1:17" x14ac:dyDescent="0.25">
      <c r="A9" s="93">
        <v>42993</v>
      </c>
      <c r="B9" s="94" t="s">
        <v>94</v>
      </c>
      <c r="C9" s="95">
        <v>1.5</v>
      </c>
      <c r="D9">
        <f>$C9*VLOOKUP($B9,FoodDB!$A$2:$I$1011,3,0)</f>
        <v>0.75</v>
      </c>
      <c r="E9">
        <f>$C9*VLOOKUP($B9,FoodDB!$A$2:$I$1011,4,0)</f>
        <v>0</v>
      </c>
      <c r="F9">
        <f>$C9*VLOOKUP($B9,FoodDB!$A$2:$I$1011,5,0)</f>
        <v>75</v>
      </c>
      <c r="G9">
        <f>$C9*VLOOKUP($B9,FoodDB!$A$2:$I$1011,6,0)</f>
        <v>6.75</v>
      </c>
      <c r="H9">
        <f>$C9*VLOOKUP($B9,FoodDB!$A$2:$I$1011,7,0)</f>
        <v>0</v>
      </c>
      <c r="I9">
        <f>$C9*VLOOKUP($B9,FoodDB!$A$2:$I$1011,8,0)</f>
        <v>300</v>
      </c>
      <c r="J9">
        <f>$C9*VLOOKUP($B9,FoodDB!$A$2:$I$1011,9,0)</f>
        <v>306.75</v>
      </c>
    </row>
    <row r="10" spans="1:17" x14ac:dyDescent="0.25">
      <c r="B10" s="94" t="s">
        <v>98</v>
      </c>
      <c r="C10" s="95">
        <v>3</v>
      </c>
      <c r="D10">
        <f>$C10*VLOOKUP($B10,FoodDB!$A$2:$I$1011,3,0)</f>
        <v>18.54</v>
      </c>
      <c r="E10">
        <f>$C10*VLOOKUP($B10,FoodDB!$A$2:$I$1011,4,0)</f>
        <v>0</v>
      </c>
      <c r="F10">
        <f>$C10*VLOOKUP($B10,FoodDB!$A$2:$I$1011,5,0)</f>
        <v>25.56</v>
      </c>
      <c r="G10">
        <f>$C10*VLOOKUP($B10,FoodDB!$A$2:$I$1011,6,0)</f>
        <v>166.85999999999999</v>
      </c>
      <c r="H10">
        <f>$C10*VLOOKUP($B10,FoodDB!$A$2:$I$1011,7,0)</f>
        <v>0</v>
      </c>
      <c r="I10">
        <f>$C10*VLOOKUP($B10,FoodDB!$A$2:$I$1011,8,0)</f>
        <v>102.24</v>
      </c>
      <c r="J10">
        <f>$C10*VLOOKUP($B10,FoodDB!$A$2:$I$1011,9,0)</f>
        <v>269.09999999999997</v>
      </c>
    </row>
    <row r="11" spans="1:17" x14ac:dyDescent="0.25">
      <c r="A11" t="s">
        <v>97</v>
      </c>
      <c r="G11">
        <f>SUM(G9:G10)</f>
        <v>173.60999999999999</v>
      </c>
      <c r="H11">
        <f>SUM(H9:H10)</f>
        <v>0</v>
      </c>
      <c r="I11">
        <f>SUM(I9:I10)</f>
        <v>402.24</v>
      </c>
      <c r="J11">
        <f>SUM(J9:J10)</f>
        <v>575.84999999999991</v>
      </c>
      <c r="L11" s="97"/>
      <c r="M11" s="97"/>
      <c r="N11" s="97"/>
      <c r="O11" s="97"/>
    </row>
    <row r="13" spans="1:17" ht="45" x14ac:dyDescent="0.25">
      <c r="A13" s="21" t="s">
        <v>63</v>
      </c>
      <c r="B13" s="21" t="s">
        <v>92</v>
      </c>
      <c r="C13" s="21" t="s">
        <v>93</v>
      </c>
      <c r="D13" s="92" t="str">
        <f>FoodDB!$C$1</f>
        <v>Fat
(g)</v>
      </c>
      <c r="E13" s="92" t="str">
        <f>FoodDB!$D$1</f>
        <v xml:space="preserve"> Carbs
(g)</v>
      </c>
      <c r="F13" s="92" t="str">
        <f>FoodDB!$E$1</f>
        <v>Protein
(g)</v>
      </c>
      <c r="G13" s="92" t="str">
        <f>FoodDB!$F$1</f>
        <v>Fat
(Cal)</v>
      </c>
      <c r="H13" s="92" t="str">
        <f>FoodDB!$G$1</f>
        <v>Carb
(Cal)</v>
      </c>
      <c r="I13" s="92" t="str">
        <f>FoodDB!$H$1</f>
        <v>Protein
(Cal)</v>
      </c>
      <c r="J13" s="92" t="str">
        <f>FoodDB!$I$1</f>
        <v>Total
Calories</v>
      </c>
      <c r="K13" s="92"/>
      <c r="L13" s="21"/>
      <c r="M13" s="21"/>
      <c r="N13" s="21"/>
      <c r="O13" s="21"/>
    </row>
    <row r="14" spans="1:17" x14ac:dyDescent="0.25">
      <c r="A14" s="93">
        <v>42994</v>
      </c>
      <c r="B14" s="94" t="s">
        <v>94</v>
      </c>
      <c r="C14" s="95">
        <v>1</v>
      </c>
      <c r="D14">
        <f>$C14*VLOOKUP($B14,FoodDB!$A$2:$I$1011,3,0)</f>
        <v>0.5</v>
      </c>
      <c r="E14">
        <f>$C14*VLOOKUP($B14,FoodDB!$A$2:$I$1011,4,0)</f>
        <v>0</v>
      </c>
      <c r="F14">
        <f>$C14*VLOOKUP($B14,FoodDB!$A$2:$I$1011,5,0)</f>
        <v>50</v>
      </c>
      <c r="G14">
        <f>$C14*VLOOKUP($B14,FoodDB!$A$2:$I$1011,6,0)</f>
        <v>4.5</v>
      </c>
      <c r="H14">
        <f>$C14*VLOOKUP($B14,FoodDB!$A$2:$I$1011,7,0)</f>
        <v>0</v>
      </c>
      <c r="I14">
        <f>$C14*VLOOKUP($B14,FoodDB!$A$2:$I$1011,8,0)</f>
        <v>200</v>
      </c>
      <c r="J14">
        <f>$C14*VLOOKUP($B14,FoodDB!$A$2:$I$1011,9,0)</f>
        <v>204.5</v>
      </c>
    </row>
    <row r="15" spans="1:17" x14ac:dyDescent="0.25">
      <c r="B15" s="94" t="s">
        <v>99</v>
      </c>
      <c r="C15" s="95">
        <v>7</v>
      </c>
      <c r="D15">
        <f>$C15*VLOOKUP($B15,FoodDB!$A$2:$I$1011,3,0)</f>
        <v>0</v>
      </c>
      <c r="E15">
        <f>$C15*VLOOKUP($B15,FoodDB!$A$2:$I$1011,4,0)</f>
        <v>7</v>
      </c>
      <c r="F15">
        <f>$C15*VLOOKUP($B15,FoodDB!$A$2:$I$1011,5,0)</f>
        <v>4.2</v>
      </c>
      <c r="G15">
        <f>$C15*VLOOKUP($B15,FoodDB!$A$2:$I$1011,6,0)</f>
        <v>0</v>
      </c>
      <c r="H15">
        <f>$C15*VLOOKUP($B15,FoodDB!$A$2:$I$1011,7,0)</f>
        <v>28</v>
      </c>
      <c r="I15">
        <f>$C15*VLOOKUP($B15,FoodDB!$A$2:$I$1011,8,0)</f>
        <v>16.8</v>
      </c>
      <c r="J15">
        <f>$C15*VLOOKUP($B15,FoodDB!$A$2:$I$1011,9,0)</f>
        <v>44.800000000000004</v>
      </c>
    </row>
    <row r="16" spans="1:17" x14ac:dyDescent="0.25">
      <c r="B16" s="94" t="s">
        <v>98</v>
      </c>
      <c r="C16">
        <v>5</v>
      </c>
      <c r="D16">
        <f>$C16*VLOOKUP($B16,FoodDB!$A$2:$I$1011,3,0)</f>
        <v>30.9</v>
      </c>
      <c r="E16">
        <f>$C16*VLOOKUP($B16,FoodDB!$A$2:$I$1011,4,0)</f>
        <v>0</v>
      </c>
      <c r="F16">
        <f>$C16*VLOOKUP($B16,FoodDB!$A$2:$I$1011,5,0)</f>
        <v>42.599999999999994</v>
      </c>
      <c r="G16">
        <f>$C16*VLOOKUP($B16,FoodDB!$A$2:$I$1011,6,0)</f>
        <v>278.09999999999997</v>
      </c>
      <c r="H16">
        <f>$C16*VLOOKUP($B16,FoodDB!$A$2:$I$1011,7,0)</f>
        <v>0</v>
      </c>
      <c r="I16">
        <f>$C16*VLOOKUP($B16,FoodDB!$A$2:$I$1011,8,0)</f>
        <v>170.39999999999998</v>
      </c>
      <c r="J16">
        <f>$C16*VLOOKUP($B16,FoodDB!$A$2:$I$1011,9,0)</f>
        <v>448.49999999999994</v>
      </c>
    </row>
    <row r="17" spans="1:15" x14ac:dyDescent="0.25">
      <c r="A17" t="s">
        <v>97</v>
      </c>
      <c r="G17">
        <f>SUM(G14:G16)</f>
        <v>282.59999999999997</v>
      </c>
      <c r="H17">
        <f>SUM(H14:H16)</f>
        <v>28</v>
      </c>
      <c r="I17">
        <f>SUM(I14:I16)</f>
        <v>387.2</v>
      </c>
      <c r="J17">
        <f>SUM(J14:J16)</f>
        <v>697.8</v>
      </c>
      <c r="L17" s="97"/>
      <c r="M17" s="97"/>
      <c r="N17" s="97"/>
      <c r="O17" s="97"/>
    </row>
    <row r="19" spans="1:15" ht="45" x14ac:dyDescent="0.25">
      <c r="A19" s="21" t="s">
        <v>63</v>
      </c>
      <c r="B19" s="21" t="s">
        <v>92</v>
      </c>
      <c r="C19" s="21" t="s">
        <v>93</v>
      </c>
      <c r="D19" s="92" t="str">
        <f>FoodDB!$C$1</f>
        <v>Fat
(g)</v>
      </c>
      <c r="E19" s="92" t="str">
        <f>FoodDB!$D$1</f>
        <v xml:space="preserve"> Carbs
(g)</v>
      </c>
      <c r="F19" s="92" t="str">
        <f>FoodDB!$E$1</f>
        <v>Protein
(g)</v>
      </c>
      <c r="G19" s="92" t="str">
        <f>FoodDB!$F$1</f>
        <v>Fat
(Cal)</v>
      </c>
      <c r="H19" s="92" t="str">
        <f>FoodDB!$G$1</f>
        <v>Carb
(Cal)</v>
      </c>
      <c r="I19" s="92" t="str">
        <f>FoodDB!$H$1</f>
        <v>Protein
(Cal)</v>
      </c>
      <c r="J19" s="92" t="str">
        <f>FoodDB!$I$1</f>
        <v>Total
Calories</v>
      </c>
      <c r="K19" s="92"/>
    </row>
    <row r="20" spans="1:15" x14ac:dyDescent="0.25">
      <c r="A20" s="93">
        <f>A14+1</f>
        <v>42995</v>
      </c>
      <c r="B20" s="94" t="s">
        <v>94</v>
      </c>
      <c r="C20" s="95">
        <v>2</v>
      </c>
      <c r="D20">
        <f>$C20*VLOOKUP($B20,FoodDB!$A$2:$I$1011,3,0)</f>
        <v>1</v>
      </c>
      <c r="E20">
        <f>$C20*VLOOKUP($B20,FoodDB!$A$2:$I$1011,4,0)</f>
        <v>0</v>
      </c>
      <c r="F20">
        <f>$C20*VLOOKUP($B20,FoodDB!$A$2:$I$1011,5,0)</f>
        <v>100</v>
      </c>
      <c r="G20">
        <f>$C20*VLOOKUP($B20,FoodDB!$A$2:$I$1011,6,0)</f>
        <v>9</v>
      </c>
      <c r="H20">
        <f>$C20*VLOOKUP($B20,FoodDB!$A$2:$I$1011,7,0)</f>
        <v>0</v>
      </c>
      <c r="I20">
        <f>$C20*VLOOKUP($B20,FoodDB!$A$2:$I$1011,8,0)</f>
        <v>400</v>
      </c>
      <c r="J20">
        <f>$C20*VLOOKUP($B20,FoodDB!$A$2:$I$1011,9,0)</f>
        <v>409</v>
      </c>
    </row>
    <row r="21" spans="1:15" x14ac:dyDescent="0.25">
      <c r="B21" s="94" t="s">
        <v>99</v>
      </c>
      <c r="C21" s="95">
        <v>14</v>
      </c>
      <c r="D21">
        <f>$C21*VLOOKUP($B21,FoodDB!$A$2:$I$1011,3,0)</f>
        <v>0</v>
      </c>
      <c r="E21">
        <f>$C21*VLOOKUP($B21,FoodDB!$A$2:$I$1011,4,0)</f>
        <v>14</v>
      </c>
      <c r="F21">
        <f>$C21*VLOOKUP($B21,FoodDB!$A$2:$I$1011,5,0)</f>
        <v>8.4</v>
      </c>
      <c r="G21">
        <f>$C21*VLOOKUP($B21,FoodDB!$A$2:$I$1011,6,0)</f>
        <v>0</v>
      </c>
      <c r="H21">
        <f>$C21*VLOOKUP($B21,FoodDB!$A$2:$I$1011,7,0)</f>
        <v>56</v>
      </c>
      <c r="I21">
        <f>$C21*VLOOKUP($B21,FoodDB!$A$2:$I$1011,8,0)</f>
        <v>33.6</v>
      </c>
      <c r="J21">
        <f>$C21*VLOOKUP($B21,FoodDB!$A$2:$I$1011,9,0)</f>
        <v>89.600000000000009</v>
      </c>
    </row>
    <row r="22" spans="1:15" x14ac:dyDescent="0.25">
      <c r="B22" s="94" t="s">
        <v>100</v>
      </c>
      <c r="C22" s="95">
        <v>0</v>
      </c>
      <c r="D22">
        <f>$C22*VLOOKUP($B22,FoodDB!$A$2:$I$1011,3,0)</f>
        <v>0</v>
      </c>
      <c r="E22">
        <f>$C22*VLOOKUP($B22,FoodDB!$A$2:$I$1011,4,0)</f>
        <v>0</v>
      </c>
      <c r="F22">
        <f>$C22*VLOOKUP($B22,FoodDB!$A$2:$I$1011,5,0)</f>
        <v>0</v>
      </c>
      <c r="G22">
        <f>$C22*VLOOKUP($B22,FoodDB!$A$2:$I$1011,6,0)</f>
        <v>0</v>
      </c>
      <c r="H22">
        <f>$C22*VLOOKUP($B22,FoodDB!$A$2:$I$1011,7,0)</f>
        <v>0</v>
      </c>
      <c r="I22">
        <f>$C22*VLOOKUP($B22,FoodDB!$A$2:$I$1011,8,0)</f>
        <v>0</v>
      </c>
      <c r="J22">
        <f>$C22*VLOOKUP($B22,FoodDB!$A$2:$I$1011,9,0)</f>
        <v>0</v>
      </c>
    </row>
    <row r="23" spans="1:15" x14ac:dyDescent="0.25">
      <c r="B23" s="94" t="s">
        <v>98</v>
      </c>
      <c r="C23">
        <v>3</v>
      </c>
      <c r="D23">
        <f>$C23*VLOOKUP($B23,FoodDB!$A$2:$I$1011,3,0)</f>
        <v>18.54</v>
      </c>
      <c r="E23">
        <f>$C23*VLOOKUP($B23,FoodDB!$A$2:$I$1011,4,0)</f>
        <v>0</v>
      </c>
      <c r="F23">
        <f>$C23*VLOOKUP($B23,FoodDB!$A$2:$I$1011,5,0)</f>
        <v>25.56</v>
      </c>
      <c r="G23">
        <f>$C23*VLOOKUP($B23,FoodDB!$A$2:$I$1011,6,0)</f>
        <v>166.85999999999999</v>
      </c>
      <c r="H23">
        <f>$C23*VLOOKUP($B23,FoodDB!$A$2:$I$1011,7,0)</f>
        <v>0</v>
      </c>
      <c r="I23">
        <f>$C23*VLOOKUP($B23,FoodDB!$A$2:$I$1011,8,0)</f>
        <v>102.24</v>
      </c>
      <c r="J23">
        <f>$C23*VLOOKUP($B23,FoodDB!$A$2:$I$1011,9,0)</f>
        <v>269.09999999999997</v>
      </c>
    </row>
    <row r="24" spans="1:15" x14ac:dyDescent="0.25">
      <c r="A24" t="s">
        <v>97</v>
      </c>
      <c r="G24">
        <f>SUM(G20:G23)</f>
        <v>175.85999999999999</v>
      </c>
      <c r="H24">
        <f>SUM(H20:H23)</f>
        <v>56</v>
      </c>
      <c r="I24">
        <f>SUM(I20:I23)</f>
        <v>535.84</v>
      </c>
      <c r="J24">
        <f>SUM(G24:I24)</f>
        <v>767.7</v>
      </c>
    </row>
    <row r="25" spans="1:15" x14ac:dyDescent="0.25">
      <c r="A25" t="s">
        <v>101</v>
      </c>
      <c r="B25" t="s">
        <v>102</v>
      </c>
      <c r="E25" s="98"/>
      <c r="F25" s="98"/>
      <c r="G25" s="98">
        <f>LossChart!N5</f>
        <v>353.11563051384178</v>
      </c>
      <c r="H25" s="98">
        <f>LossChart!O5</f>
        <v>80</v>
      </c>
      <c r="I25" s="98">
        <f>LossChart!P5</f>
        <v>482.47465271142238</v>
      </c>
      <c r="J25" s="98">
        <f>LossChart!Q5</f>
        <v>915.5902832252641</v>
      </c>
      <c r="K25" s="98"/>
    </row>
    <row r="26" spans="1:15" x14ac:dyDescent="0.25">
      <c r="A26" t="s">
        <v>103</v>
      </c>
      <c r="G26">
        <f>G25-G24</f>
        <v>177.25563051384179</v>
      </c>
      <c r="H26">
        <f>H25-H24</f>
        <v>24</v>
      </c>
      <c r="I26">
        <f>I25-I24</f>
        <v>-53.365347288577652</v>
      </c>
      <c r="J26">
        <f>J25-J24</f>
        <v>147.89028322526406</v>
      </c>
    </row>
    <row r="28" spans="1:15" ht="45" x14ac:dyDescent="0.25">
      <c r="A28" s="21" t="s">
        <v>63</v>
      </c>
      <c r="B28" s="21" t="s">
        <v>92</v>
      </c>
      <c r="C28" s="21" t="s">
        <v>93</v>
      </c>
      <c r="D28" s="92" t="str">
        <f>FoodDB!$C$1</f>
        <v>Fat
(g)</v>
      </c>
      <c r="E28" s="92" t="str">
        <f>FoodDB!$D$1</f>
        <v xml:space="preserve"> Carbs
(g)</v>
      </c>
      <c r="F28" s="92" t="str">
        <f>FoodDB!$E$1</f>
        <v>Protein
(g)</v>
      </c>
      <c r="G28" s="92" t="str">
        <f>FoodDB!$F$1</f>
        <v>Fat
(Cal)</v>
      </c>
      <c r="H28" s="92" t="str">
        <f>FoodDB!$G$1</f>
        <v>Carb
(Cal)</v>
      </c>
      <c r="I28" s="92" t="str">
        <f>FoodDB!$H$1</f>
        <v>Protein
(Cal)</v>
      </c>
      <c r="J28" s="92" t="str">
        <f>FoodDB!$I$1</f>
        <v>Total
Calories</v>
      </c>
      <c r="K28" s="92"/>
    </row>
    <row r="29" spans="1:15" x14ac:dyDescent="0.25">
      <c r="A29" s="93">
        <f>A20+1</f>
        <v>42996</v>
      </c>
      <c r="B29" s="94" t="s">
        <v>104</v>
      </c>
      <c r="C29" s="95">
        <v>1.2</v>
      </c>
      <c r="D29">
        <f>$C29*VLOOKUP($B29,FoodDB!$A$2:$I$1011,3,0)</f>
        <v>0.96</v>
      </c>
      <c r="E29">
        <f>$C29*VLOOKUP($B29,FoodDB!$A$2:$I$1011,4,0)</f>
        <v>0</v>
      </c>
      <c r="F29">
        <f>$C29*VLOOKUP($B29,FoodDB!$A$2:$I$1011,5,0)</f>
        <v>40.799999999999997</v>
      </c>
      <c r="G29">
        <f>$C29*VLOOKUP($B29,FoodDB!$A$2:$I$1011,6,0)</f>
        <v>8.64</v>
      </c>
      <c r="H29">
        <f>$C29*VLOOKUP($B29,FoodDB!$A$2:$I$1011,7,0)</f>
        <v>0</v>
      </c>
      <c r="I29">
        <f>$C29*VLOOKUP($B29,FoodDB!$A$2:$I$1011,8,0)</f>
        <v>163.19999999999999</v>
      </c>
      <c r="J29">
        <f>$C29*VLOOKUP($B29,FoodDB!$A$2:$I$1011,9,0)</f>
        <v>171.83999999999997</v>
      </c>
    </row>
    <row r="30" spans="1:15" x14ac:dyDescent="0.25">
      <c r="B30" s="94" t="s">
        <v>94</v>
      </c>
      <c r="C30" s="95">
        <v>1</v>
      </c>
      <c r="D30">
        <f>$C30*VLOOKUP($B30,FoodDB!$A$2:$I$1011,3,0)</f>
        <v>0.5</v>
      </c>
      <c r="E30">
        <f>$C30*VLOOKUP($B30,FoodDB!$A$2:$I$1011,4,0)</f>
        <v>0</v>
      </c>
      <c r="F30">
        <f>$C30*VLOOKUP($B30,FoodDB!$A$2:$I$1011,5,0)</f>
        <v>50</v>
      </c>
      <c r="G30">
        <f>$C30*VLOOKUP($B30,FoodDB!$A$2:$I$1011,6,0)</f>
        <v>4.5</v>
      </c>
      <c r="H30">
        <f>$C30*VLOOKUP($B30,FoodDB!$A$2:$I$1011,7,0)</f>
        <v>0</v>
      </c>
      <c r="I30">
        <f>$C30*VLOOKUP($B30,FoodDB!$A$2:$I$1011,8,0)</f>
        <v>200</v>
      </c>
      <c r="J30">
        <f>$C30*VLOOKUP($B30,FoodDB!$A$2:$I$1011,9,0)</f>
        <v>204.5</v>
      </c>
    </row>
    <row r="31" spans="1:15" x14ac:dyDescent="0.25">
      <c r="B31" s="94" t="s">
        <v>95</v>
      </c>
      <c r="C31" s="95">
        <v>12</v>
      </c>
      <c r="D31">
        <f>$C31*VLOOKUP($B31,FoodDB!$A$2:$I$1011,3,0)</f>
        <v>0</v>
      </c>
      <c r="E31">
        <f>$C31*VLOOKUP($B31,FoodDB!$A$2:$I$1011,4,0)</f>
        <v>7.7142857142857153</v>
      </c>
      <c r="F31">
        <f>$C31*VLOOKUP($B31,FoodDB!$A$2:$I$1011,5,0)</f>
        <v>3.8571428571428577</v>
      </c>
      <c r="G31">
        <f>$C31*VLOOKUP($B31,FoodDB!$A$2:$I$1011,6,0)</f>
        <v>0</v>
      </c>
      <c r="H31">
        <f>$C31*VLOOKUP($B31,FoodDB!$A$2:$I$1011,7,0)</f>
        <v>30.857142857142861</v>
      </c>
      <c r="I31">
        <f>$C31*VLOOKUP($B31,FoodDB!$A$2:$I$1011,8,0)</f>
        <v>15.428571428571431</v>
      </c>
      <c r="J31">
        <f>$C31*VLOOKUP($B31,FoodDB!$A$2:$I$1011,9,0)</f>
        <v>46.285714285714292</v>
      </c>
    </row>
    <row r="32" spans="1:15" x14ac:dyDescent="0.25">
      <c r="B32" s="94" t="s">
        <v>98</v>
      </c>
      <c r="C32" s="95">
        <v>4</v>
      </c>
      <c r="D32">
        <f>$C32*VLOOKUP($B32,FoodDB!$A$2:$I$1011,3,0)</f>
        <v>24.72</v>
      </c>
      <c r="E32">
        <f>$C32*VLOOKUP($B32,FoodDB!$A$2:$I$1011,4,0)</f>
        <v>0</v>
      </c>
      <c r="F32">
        <f>$C32*VLOOKUP($B32,FoodDB!$A$2:$I$1011,5,0)</f>
        <v>34.08</v>
      </c>
      <c r="G32">
        <f>$C32*VLOOKUP($B32,FoodDB!$A$2:$I$1011,6,0)</f>
        <v>222.48</v>
      </c>
      <c r="H32">
        <f>$C32*VLOOKUP($B32,FoodDB!$A$2:$I$1011,7,0)</f>
        <v>0</v>
      </c>
      <c r="I32">
        <f>$C32*VLOOKUP($B32,FoodDB!$A$2:$I$1011,8,0)</f>
        <v>136.32</v>
      </c>
      <c r="J32">
        <f>$C32*VLOOKUP($B32,FoodDB!$A$2:$I$1011,9,0)</f>
        <v>358.79999999999995</v>
      </c>
    </row>
    <row r="33" spans="1:11" x14ac:dyDescent="0.25">
      <c r="B33" s="94" t="s">
        <v>99</v>
      </c>
      <c r="C33">
        <v>7</v>
      </c>
      <c r="D33">
        <f>$C33*VLOOKUP($B33,FoodDB!$A$2:$I$1011,3,0)</f>
        <v>0</v>
      </c>
      <c r="E33">
        <f>$C33*VLOOKUP($B33,FoodDB!$A$2:$I$1011,4,0)</f>
        <v>7</v>
      </c>
      <c r="F33">
        <f>$C33*VLOOKUP($B33,FoodDB!$A$2:$I$1011,5,0)</f>
        <v>4.2</v>
      </c>
      <c r="G33">
        <f>$C33*VLOOKUP($B33,FoodDB!$A$2:$I$1011,6,0)</f>
        <v>0</v>
      </c>
      <c r="H33">
        <f>$C33*VLOOKUP($B33,FoodDB!$A$2:$I$1011,7,0)</f>
        <v>28</v>
      </c>
      <c r="I33">
        <f>$C33*VLOOKUP($B33,FoodDB!$A$2:$I$1011,8,0)</f>
        <v>16.8</v>
      </c>
      <c r="J33">
        <f>$C33*VLOOKUP($B33,FoodDB!$A$2:$I$1011,9,0)</f>
        <v>44.800000000000004</v>
      </c>
    </row>
    <row r="34" spans="1:11" x14ac:dyDescent="0.25">
      <c r="A34" t="s">
        <v>97</v>
      </c>
      <c r="G34">
        <f>SUM(G29:G33)</f>
        <v>235.62</v>
      </c>
      <c r="H34">
        <f>SUM(H29:H33)</f>
        <v>58.857142857142861</v>
      </c>
      <c r="I34">
        <f>SUM(I29:I33)</f>
        <v>531.74857142857138</v>
      </c>
      <c r="J34">
        <f>SUM(G34:I34)</f>
        <v>826.22571428571428</v>
      </c>
    </row>
    <row r="35" spans="1:11" x14ac:dyDescent="0.25">
      <c r="A35" t="s">
        <v>101</v>
      </c>
      <c r="B35" t="s">
        <v>102</v>
      </c>
      <c r="E35" s="98"/>
      <c r="F35" s="98"/>
      <c r="G35" s="98">
        <f>LossChart!N7</f>
        <v>368.0869535301606</v>
      </c>
      <c r="H35" s="98">
        <f>LossChart!O7</f>
        <v>80</v>
      </c>
      <c r="I35" s="98">
        <f>LossChart!P7</f>
        <v>482.47465271142238</v>
      </c>
      <c r="J35" s="98">
        <f>LossChart!Q7</f>
        <v>930.56160624158292</v>
      </c>
      <c r="K35" s="98"/>
    </row>
    <row r="36" spans="1:11" x14ac:dyDescent="0.25">
      <c r="A36" t="s">
        <v>103</v>
      </c>
      <c r="G36">
        <f>G35-G34</f>
        <v>132.46695353016059</v>
      </c>
      <c r="H36">
        <f>H35-H34</f>
        <v>21.142857142857139</v>
      </c>
      <c r="I36">
        <f>I35-I34</f>
        <v>-49.273918717149002</v>
      </c>
      <c r="J36">
        <f>J35-J34</f>
        <v>104.33589195586865</v>
      </c>
    </row>
    <row r="38" spans="1:11" ht="45" x14ac:dyDescent="0.25">
      <c r="A38" s="21" t="s">
        <v>63</v>
      </c>
      <c r="B38" s="21" t="s">
        <v>92</v>
      </c>
      <c r="C38" s="21" t="s">
        <v>93</v>
      </c>
      <c r="D38" s="92" t="str">
        <f>FoodDB!$C$1</f>
        <v>Fat
(g)</v>
      </c>
      <c r="E38" s="92" t="str">
        <f>FoodDB!$D$1</f>
        <v xml:space="preserve"> Carbs
(g)</v>
      </c>
      <c r="F38" s="92" t="str">
        <f>FoodDB!$E$1</f>
        <v>Protein
(g)</v>
      </c>
      <c r="G38" s="92" t="str">
        <f>FoodDB!$F$1</f>
        <v>Fat
(Cal)</v>
      </c>
      <c r="H38" s="92" t="str">
        <f>FoodDB!$G$1</f>
        <v>Carb
(Cal)</v>
      </c>
      <c r="I38" s="92" t="str">
        <f>FoodDB!$H$1</f>
        <v>Protein
(Cal)</v>
      </c>
      <c r="J38" s="92" t="str">
        <f>FoodDB!$I$1</f>
        <v>Total
Calories</v>
      </c>
      <c r="K38" s="92"/>
    </row>
    <row r="39" spans="1:11" x14ac:dyDescent="0.25">
      <c r="A39" s="93">
        <f>A29+1</f>
        <v>42997</v>
      </c>
      <c r="B39" s="94" t="s">
        <v>104</v>
      </c>
      <c r="C39" s="95">
        <v>1.1000000000000001</v>
      </c>
      <c r="D39">
        <f>$C39*VLOOKUP($B39,FoodDB!$A$2:$I$1011,3,0)</f>
        <v>0.88000000000000012</v>
      </c>
      <c r="E39">
        <f>$C39*VLOOKUP($B39,FoodDB!$A$2:$I$1011,4,0)</f>
        <v>0</v>
      </c>
      <c r="F39">
        <f>$C39*VLOOKUP($B39,FoodDB!$A$2:$I$1011,5,0)</f>
        <v>37.400000000000006</v>
      </c>
      <c r="G39">
        <f>$C39*VLOOKUP($B39,FoodDB!$A$2:$I$1011,6,0)</f>
        <v>7.9200000000000008</v>
      </c>
      <c r="H39">
        <f>$C39*VLOOKUP($B39,FoodDB!$A$2:$I$1011,7,0)</f>
        <v>0</v>
      </c>
      <c r="I39">
        <f>$C39*VLOOKUP($B39,FoodDB!$A$2:$I$1011,8,0)</f>
        <v>149.60000000000002</v>
      </c>
      <c r="J39">
        <f>$C39*VLOOKUP($B39,FoodDB!$A$2:$I$1011,9,0)</f>
        <v>157.52000000000001</v>
      </c>
    </row>
    <row r="40" spans="1:11" x14ac:dyDescent="0.25">
      <c r="B40" s="94" t="s">
        <v>94</v>
      </c>
      <c r="C40" s="95">
        <v>1</v>
      </c>
      <c r="D40">
        <f>$C40*VLOOKUP($B40,FoodDB!$A$2:$I$1011,3,0)</f>
        <v>0.5</v>
      </c>
      <c r="E40">
        <f>$C40*VLOOKUP($B40,FoodDB!$A$2:$I$1011,4,0)</f>
        <v>0</v>
      </c>
      <c r="F40">
        <f>$C40*VLOOKUP($B40,FoodDB!$A$2:$I$1011,5,0)</f>
        <v>50</v>
      </c>
      <c r="G40">
        <f>$C40*VLOOKUP($B40,FoodDB!$A$2:$I$1011,6,0)</f>
        <v>4.5</v>
      </c>
      <c r="H40">
        <f>$C40*VLOOKUP($B40,FoodDB!$A$2:$I$1011,7,0)</f>
        <v>0</v>
      </c>
      <c r="I40">
        <f>$C40*VLOOKUP($B40,FoodDB!$A$2:$I$1011,8,0)</f>
        <v>200</v>
      </c>
      <c r="J40">
        <f>$C40*VLOOKUP($B40,FoodDB!$A$2:$I$1011,9,0)</f>
        <v>204.5</v>
      </c>
    </row>
    <row r="41" spans="1:11" x14ac:dyDescent="0.25">
      <c r="B41" s="94" t="s">
        <v>105</v>
      </c>
      <c r="C41" s="95">
        <v>4</v>
      </c>
      <c r="D41">
        <f>$C41*VLOOKUP($B41,FoodDB!$A$2:$I$1011,3,0)</f>
        <v>0.4</v>
      </c>
      <c r="E41">
        <f>$C41*VLOOKUP($B41,FoodDB!$A$2:$I$1011,4,0)</f>
        <v>7.2</v>
      </c>
      <c r="F41">
        <f>$C41*VLOOKUP($B41,FoodDB!$A$2:$I$1011,5,0)</f>
        <v>8.8000000000000007</v>
      </c>
      <c r="G41">
        <f>$C41*VLOOKUP($B41,FoodDB!$A$2:$I$1011,6,0)</f>
        <v>3.6</v>
      </c>
      <c r="H41">
        <f>$C41*VLOOKUP($B41,FoodDB!$A$2:$I$1011,7,0)</f>
        <v>28.8</v>
      </c>
      <c r="I41">
        <f>$C41*VLOOKUP($B41,FoodDB!$A$2:$I$1011,8,0)</f>
        <v>35.200000000000003</v>
      </c>
      <c r="J41">
        <f>$C41*VLOOKUP($B41,FoodDB!$A$2:$I$1011,9,0)</f>
        <v>67.599999999999994</v>
      </c>
    </row>
    <row r="42" spans="1:11" x14ac:dyDescent="0.25">
      <c r="B42" s="94" t="s">
        <v>98</v>
      </c>
      <c r="C42" s="95">
        <v>4</v>
      </c>
      <c r="D42">
        <f>$C42*VLOOKUP($B42,FoodDB!$A$2:$I$1011,3,0)</f>
        <v>24.72</v>
      </c>
      <c r="E42">
        <f>$C42*VLOOKUP($B42,FoodDB!$A$2:$I$1011,4,0)</f>
        <v>0</v>
      </c>
      <c r="F42">
        <f>$C42*VLOOKUP($B42,FoodDB!$A$2:$I$1011,5,0)</f>
        <v>34.08</v>
      </c>
      <c r="G42">
        <f>$C42*VLOOKUP($B42,FoodDB!$A$2:$I$1011,6,0)</f>
        <v>222.48</v>
      </c>
      <c r="H42">
        <f>$C42*VLOOKUP($B42,FoodDB!$A$2:$I$1011,7,0)</f>
        <v>0</v>
      </c>
      <c r="I42">
        <f>$C42*VLOOKUP($B42,FoodDB!$A$2:$I$1011,8,0)</f>
        <v>136.32</v>
      </c>
      <c r="J42">
        <f>$C42*VLOOKUP($B42,FoodDB!$A$2:$I$1011,9,0)</f>
        <v>358.79999999999995</v>
      </c>
    </row>
    <row r="43" spans="1:11" x14ac:dyDescent="0.25">
      <c r="B43" s="94" t="s">
        <v>99</v>
      </c>
      <c r="C43">
        <v>7</v>
      </c>
      <c r="D43">
        <f>$C43*VLOOKUP($B43,FoodDB!$A$2:$I$1011,3,0)</f>
        <v>0</v>
      </c>
      <c r="E43">
        <f>$C43*VLOOKUP($B43,FoodDB!$A$2:$I$1011,4,0)</f>
        <v>7</v>
      </c>
      <c r="F43">
        <f>$C43*VLOOKUP($B43,FoodDB!$A$2:$I$1011,5,0)</f>
        <v>4.2</v>
      </c>
      <c r="G43">
        <f>$C43*VLOOKUP($B43,FoodDB!$A$2:$I$1011,6,0)</f>
        <v>0</v>
      </c>
      <c r="H43">
        <f>$C43*VLOOKUP($B43,FoodDB!$A$2:$I$1011,7,0)</f>
        <v>28</v>
      </c>
      <c r="I43">
        <f>$C43*VLOOKUP($B43,FoodDB!$A$2:$I$1011,8,0)</f>
        <v>16.8</v>
      </c>
      <c r="J43">
        <f>$C43*VLOOKUP($B43,FoodDB!$A$2:$I$1011,9,0)</f>
        <v>44.800000000000004</v>
      </c>
    </row>
    <row r="44" spans="1:11" x14ac:dyDescent="0.25">
      <c r="A44" t="s">
        <v>97</v>
      </c>
      <c r="G44">
        <f>SUM(G39:G43)</f>
        <v>238.5</v>
      </c>
      <c r="H44">
        <f>SUM(H39:H43)</f>
        <v>56.8</v>
      </c>
      <c r="I44">
        <f>SUM(I39:I43)</f>
        <v>537.91999999999996</v>
      </c>
      <c r="J44">
        <f>SUM(G44:I44)</f>
        <v>833.22</v>
      </c>
    </row>
    <row r="45" spans="1:11" x14ac:dyDescent="0.25">
      <c r="A45" t="s">
        <v>101</v>
      </c>
      <c r="B45" t="s">
        <v>102</v>
      </c>
      <c r="E45" s="98"/>
      <c r="F45" s="98"/>
      <c r="G45" s="98">
        <f>LossChart!N8</f>
        <v>376.46148281739033</v>
      </c>
      <c r="H45" s="98">
        <f>LossChart!O8</f>
        <v>80</v>
      </c>
      <c r="I45" s="98">
        <f>LossChart!P8</f>
        <v>482.47465271142238</v>
      </c>
      <c r="J45" s="98">
        <f>LossChart!Q8</f>
        <v>938.93613552881266</v>
      </c>
      <c r="K45" s="98"/>
    </row>
    <row r="46" spans="1:11" x14ac:dyDescent="0.25">
      <c r="A46" t="s">
        <v>103</v>
      </c>
      <c r="G46">
        <f>G45-G44</f>
        <v>137.96148281739033</v>
      </c>
      <c r="H46">
        <f>H45-H44</f>
        <v>23.200000000000003</v>
      </c>
      <c r="I46">
        <f>I45-I44</f>
        <v>-55.44534728857758</v>
      </c>
      <c r="J46">
        <f>J45-J44</f>
        <v>105.71613552881263</v>
      </c>
    </row>
    <row r="48" spans="1:11" ht="45" x14ac:dyDescent="0.25">
      <c r="A48" s="21" t="s">
        <v>63</v>
      </c>
      <c r="B48" s="21" t="s">
        <v>92</v>
      </c>
      <c r="C48" s="21" t="s">
        <v>93</v>
      </c>
      <c r="D48" s="92" t="str">
        <f>FoodDB!$C$1</f>
        <v>Fat
(g)</v>
      </c>
      <c r="E48" s="92" t="str">
        <f>FoodDB!$D$1</f>
        <v xml:space="preserve"> Carbs
(g)</v>
      </c>
      <c r="F48" s="92" t="str">
        <f>FoodDB!$E$1</f>
        <v>Protein
(g)</v>
      </c>
      <c r="G48" s="92" t="str">
        <f>FoodDB!$F$1</f>
        <v>Fat
(Cal)</v>
      </c>
      <c r="H48" s="92" t="str">
        <f>FoodDB!$G$1</f>
        <v>Carb
(Cal)</v>
      </c>
      <c r="I48" s="92" t="str">
        <f>FoodDB!$H$1</f>
        <v>Protein
(Cal)</v>
      </c>
      <c r="J48" s="92" t="str">
        <f>FoodDB!$I$1</f>
        <v>Total
Calories</v>
      </c>
      <c r="K48" s="92"/>
    </row>
    <row r="49" spans="1:11" x14ac:dyDescent="0.25">
      <c r="A49" s="93">
        <f>A39+1</f>
        <v>42998</v>
      </c>
      <c r="B49" s="94" t="s">
        <v>104</v>
      </c>
      <c r="C49" s="95">
        <v>1.1000000000000001</v>
      </c>
      <c r="D49">
        <f>$C49*VLOOKUP($B49,FoodDB!$A$2:$I$1011,3,0)</f>
        <v>0.88000000000000012</v>
      </c>
      <c r="E49">
        <f>$C49*VLOOKUP($B49,FoodDB!$A$2:$I$1011,4,0)</f>
        <v>0</v>
      </c>
      <c r="F49">
        <f>$C49*VLOOKUP($B49,FoodDB!$A$2:$I$1011,5,0)</f>
        <v>37.400000000000006</v>
      </c>
      <c r="G49">
        <f>$C49*VLOOKUP($B49,FoodDB!$A$2:$I$1011,6,0)</f>
        <v>7.9200000000000008</v>
      </c>
      <c r="H49">
        <f>$C49*VLOOKUP($B49,FoodDB!$A$2:$I$1011,7,0)</f>
        <v>0</v>
      </c>
      <c r="I49">
        <f>$C49*VLOOKUP($B49,FoodDB!$A$2:$I$1011,8,0)</f>
        <v>149.60000000000002</v>
      </c>
      <c r="J49">
        <f>$C49*VLOOKUP($B49,FoodDB!$A$2:$I$1011,9,0)</f>
        <v>157.52000000000001</v>
      </c>
    </row>
    <row r="50" spans="1:11" x14ac:dyDescent="0.25">
      <c r="B50" s="94" t="s">
        <v>94</v>
      </c>
      <c r="C50" s="95">
        <v>1</v>
      </c>
      <c r="D50">
        <f>$C50*VLOOKUP($B50,FoodDB!$A$2:$I$1011,3,0)</f>
        <v>0.5</v>
      </c>
      <c r="E50">
        <f>$C50*VLOOKUP($B50,FoodDB!$A$2:$I$1011,4,0)</f>
        <v>0</v>
      </c>
      <c r="F50">
        <f>$C50*VLOOKUP($B50,FoodDB!$A$2:$I$1011,5,0)</f>
        <v>50</v>
      </c>
      <c r="G50">
        <f>$C50*VLOOKUP($B50,FoodDB!$A$2:$I$1011,6,0)</f>
        <v>4.5</v>
      </c>
      <c r="H50">
        <f>$C50*VLOOKUP($B50,FoodDB!$A$2:$I$1011,7,0)</f>
        <v>0</v>
      </c>
      <c r="I50">
        <f>$C50*VLOOKUP($B50,FoodDB!$A$2:$I$1011,8,0)</f>
        <v>200</v>
      </c>
      <c r="J50">
        <f>$C50*VLOOKUP($B50,FoodDB!$A$2:$I$1011,9,0)</f>
        <v>204.5</v>
      </c>
    </row>
    <row r="51" spans="1:11" x14ac:dyDescent="0.25">
      <c r="B51" s="94" t="s">
        <v>95</v>
      </c>
      <c r="C51" s="95">
        <v>8</v>
      </c>
      <c r="D51">
        <f>$C51*VLOOKUP($B51,FoodDB!$A$2:$I$1011,3,0)</f>
        <v>0</v>
      </c>
      <c r="E51">
        <f>$C51*VLOOKUP($B51,FoodDB!$A$2:$I$1011,4,0)</f>
        <v>5.1428571428571432</v>
      </c>
      <c r="F51">
        <f>$C51*VLOOKUP($B51,FoodDB!$A$2:$I$1011,5,0)</f>
        <v>2.5714285714285716</v>
      </c>
      <c r="G51">
        <f>$C51*VLOOKUP($B51,FoodDB!$A$2:$I$1011,6,0)</f>
        <v>0</v>
      </c>
      <c r="H51">
        <f>$C51*VLOOKUP($B51,FoodDB!$A$2:$I$1011,7,0)</f>
        <v>20.571428571428573</v>
      </c>
      <c r="I51">
        <f>$C51*VLOOKUP($B51,FoodDB!$A$2:$I$1011,8,0)</f>
        <v>10.285714285714286</v>
      </c>
      <c r="J51">
        <f>$C51*VLOOKUP($B51,FoodDB!$A$2:$I$1011,9,0)</f>
        <v>30.857142857142861</v>
      </c>
    </row>
    <row r="52" spans="1:11" x14ac:dyDescent="0.25">
      <c r="B52" s="94" t="s">
        <v>98</v>
      </c>
      <c r="C52" s="95">
        <v>4</v>
      </c>
      <c r="D52">
        <f>$C52*VLOOKUP($B52,FoodDB!$A$2:$I$1011,3,0)</f>
        <v>24.72</v>
      </c>
      <c r="E52">
        <f>$C52*VLOOKUP($B52,FoodDB!$A$2:$I$1011,4,0)</f>
        <v>0</v>
      </c>
      <c r="F52">
        <f>$C52*VLOOKUP($B52,FoodDB!$A$2:$I$1011,5,0)</f>
        <v>34.08</v>
      </c>
      <c r="G52">
        <f>$C52*VLOOKUP($B52,FoodDB!$A$2:$I$1011,6,0)</f>
        <v>222.48</v>
      </c>
      <c r="H52">
        <f>$C52*VLOOKUP($B52,FoodDB!$A$2:$I$1011,7,0)</f>
        <v>0</v>
      </c>
      <c r="I52">
        <f>$C52*VLOOKUP($B52,FoodDB!$A$2:$I$1011,8,0)</f>
        <v>136.32</v>
      </c>
      <c r="J52">
        <f>$C52*VLOOKUP($B52,FoodDB!$A$2:$I$1011,9,0)</f>
        <v>358.79999999999995</v>
      </c>
    </row>
    <row r="53" spans="1:11" x14ac:dyDescent="0.25">
      <c r="B53" s="94" t="s">
        <v>96</v>
      </c>
      <c r="C53" s="95">
        <v>2</v>
      </c>
      <c r="D53">
        <f>$C53*VLOOKUP($B53,FoodDB!$A$2:$I$1011,3,0)</f>
        <v>18</v>
      </c>
      <c r="E53">
        <f>$C53*VLOOKUP($B53,FoodDB!$A$2:$I$1011,4,0)</f>
        <v>4</v>
      </c>
      <c r="F53">
        <f>$C53*VLOOKUP($B53,FoodDB!$A$2:$I$1011,5,0)</f>
        <v>9.4</v>
      </c>
      <c r="G53">
        <f>$C53*VLOOKUP($B53,FoodDB!$A$2:$I$1011,6,0)</f>
        <v>162</v>
      </c>
      <c r="H53">
        <f>$C53*VLOOKUP($B53,FoodDB!$A$2:$I$1011,7,0)</f>
        <v>16</v>
      </c>
      <c r="I53">
        <f>$C53*VLOOKUP($B53,FoodDB!$A$2:$I$1011,8,0)</f>
        <v>37.6</v>
      </c>
      <c r="J53">
        <f>$C53*VLOOKUP($B53,FoodDB!$A$2:$I$1011,9,0)</f>
        <v>215.6</v>
      </c>
    </row>
    <row r="54" spans="1:11" x14ac:dyDescent="0.25">
      <c r="B54" s="94" t="s">
        <v>106</v>
      </c>
      <c r="C54" s="95">
        <v>1</v>
      </c>
      <c r="D54">
        <f>$C54*VLOOKUP($B54,FoodDB!$A$2:$I$1011,3,0)</f>
        <v>0.5</v>
      </c>
      <c r="E54">
        <f>$C54*VLOOKUP($B54,FoodDB!$A$2:$I$1011,4,0)</f>
        <v>0</v>
      </c>
      <c r="F54">
        <f>$C54*VLOOKUP($B54,FoodDB!$A$2:$I$1011,5,0)</f>
        <v>0</v>
      </c>
      <c r="G54">
        <f>$C54*VLOOKUP($B54,FoodDB!$A$2:$I$1011,6,0)</f>
        <v>4.5</v>
      </c>
      <c r="H54">
        <f>$C54*VLOOKUP($B54,FoodDB!$A$2:$I$1011,7,0)</f>
        <v>0</v>
      </c>
      <c r="I54">
        <f>$C54*VLOOKUP($B54,FoodDB!$A$2:$I$1011,8,0)</f>
        <v>0</v>
      </c>
      <c r="J54">
        <f>$C54*VLOOKUP($B54,FoodDB!$A$2:$I$1011,9,0)</f>
        <v>4.5</v>
      </c>
    </row>
    <row r="55" spans="1:11" x14ac:dyDescent="0.25">
      <c r="B55" s="94" t="s">
        <v>99</v>
      </c>
      <c r="C55">
        <v>7</v>
      </c>
      <c r="D55">
        <f>$C55*VLOOKUP($B55,FoodDB!$A$2:$I$1011,3,0)</f>
        <v>0</v>
      </c>
      <c r="E55">
        <f>$C55*VLOOKUP($B55,FoodDB!$A$2:$I$1011,4,0)</f>
        <v>7</v>
      </c>
      <c r="F55">
        <f>$C55*VLOOKUP($B55,FoodDB!$A$2:$I$1011,5,0)</f>
        <v>4.2</v>
      </c>
      <c r="G55">
        <f>$C55*VLOOKUP($B55,FoodDB!$A$2:$I$1011,6,0)</f>
        <v>0</v>
      </c>
      <c r="H55">
        <f>$C55*VLOOKUP($B55,FoodDB!$A$2:$I$1011,7,0)</f>
        <v>28</v>
      </c>
      <c r="I55">
        <f>$C55*VLOOKUP($B55,FoodDB!$A$2:$I$1011,8,0)</f>
        <v>16.8</v>
      </c>
      <c r="J55">
        <f>$C55*VLOOKUP($B55,FoodDB!$A$2:$I$1011,9,0)</f>
        <v>44.800000000000004</v>
      </c>
    </row>
    <row r="56" spans="1:11" x14ac:dyDescent="0.25">
      <c r="A56" t="s">
        <v>97</v>
      </c>
      <c r="G56">
        <f>SUM(G49:G55)</f>
        <v>401.4</v>
      </c>
      <c r="H56">
        <f>SUM(H49:H55)</f>
        <v>64.571428571428569</v>
      </c>
      <c r="I56">
        <f>SUM(I49:I55)</f>
        <v>550.60571428571427</v>
      </c>
      <c r="J56">
        <f>SUM(G56:I56)</f>
        <v>1016.5771428571428</v>
      </c>
    </row>
    <row r="57" spans="1:11" x14ac:dyDescent="0.25">
      <c r="A57" t="s">
        <v>101</v>
      </c>
      <c r="B57" t="s">
        <v>102</v>
      </c>
      <c r="E57" s="98"/>
      <c r="F57" s="98"/>
      <c r="G57" s="98">
        <f>VLOOKUP($A49,LossChart!$A$3:$AB$105,14,0)</f>
        <v>384.76183770236139</v>
      </c>
      <c r="H57" s="98">
        <f>VLOOKUP($A49,LossChart!$A$3:$AB$105,15,0)</f>
        <v>80</v>
      </c>
      <c r="I57" s="98">
        <f>VLOOKUP($A49,LossChart!$A$3:$AB$105,16,0)</f>
        <v>482.47465271142238</v>
      </c>
      <c r="J57" s="98">
        <f>VLOOKUP($A49,LossChart!$A$3:$AB$105,17,0)</f>
        <v>947.23649041378371</v>
      </c>
      <c r="K57" s="98"/>
    </row>
    <row r="58" spans="1:11" x14ac:dyDescent="0.25">
      <c r="A58" t="s">
        <v>103</v>
      </c>
      <c r="G58">
        <f>G57-G56</f>
        <v>-16.638162297638587</v>
      </c>
      <c r="H58">
        <f>H57-H56</f>
        <v>15.428571428571431</v>
      </c>
      <c r="I58">
        <f>I57-I56</f>
        <v>-68.131061574291891</v>
      </c>
      <c r="J58">
        <f>J57-J56</f>
        <v>-69.34065244335909</v>
      </c>
    </row>
    <row r="60" spans="1:11" ht="45" x14ac:dyDescent="0.25">
      <c r="A60" s="21" t="s">
        <v>63</v>
      </c>
      <c r="B60" s="21" t="s">
        <v>92</v>
      </c>
      <c r="C60" s="21" t="s">
        <v>93</v>
      </c>
      <c r="D60" s="92" t="str">
        <f>FoodDB!$C$1</f>
        <v>Fat
(g)</v>
      </c>
      <c r="E60" s="92" t="str">
        <f>FoodDB!$D$1</f>
        <v xml:space="preserve"> Carbs
(g)</v>
      </c>
      <c r="F60" s="92" t="str">
        <f>FoodDB!$E$1</f>
        <v>Protein
(g)</v>
      </c>
      <c r="G60" s="92" t="str">
        <f>FoodDB!$F$1</f>
        <v>Fat
(Cal)</v>
      </c>
      <c r="H60" s="92" t="str">
        <f>FoodDB!$G$1</f>
        <v>Carb
(Cal)</v>
      </c>
      <c r="I60" s="92" t="str">
        <f>FoodDB!$H$1</f>
        <v>Protein
(Cal)</v>
      </c>
      <c r="J60" s="92" t="str">
        <f>FoodDB!$I$1</f>
        <v>Total
Calories</v>
      </c>
      <c r="K60" s="92"/>
    </row>
    <row r="61" spans="1:11" x14ac:dyDescent="0.25">
      <c r="A61" s="93">
        <f>A49+1</f>
        <v>42999</v>
      </c>
      <c r="B61" s="94" t="s">
        <v>94</v>
      </c>
      <c r="C61" s="95">
        <v>1</v>
      </c>
      <c r="D61">
        <f>$C61*VLOOKUP($B61,FoodDB!$A$2:$I$1011,3,0)</f>
        <v>0.5</v>
      </c>
      <c r="E61">
        <f>$C61*VLOOKUP($B61,FoodDB!$A$2:$I$1011,4,0)</f>
        <v>0</v>
      </c>
      <c r="F61">
        <f>$C61*VLOOKUP($B61,FoodDB!$A$2:$I$1011,5,0)</f>
        <v>50</v>
      </c>
      <c r="G61">
        <f>$C61*VLOOKUP($B61,FoodDB!$A$2:$I$1011,6,0)</f>
        <v>4.5</v>
      </c>
      <c r="H61">
        <f>$C61*VLOOKUP($B61,FoodDB!$A$2:$I$1011,7,0)</f>
        <v>0</v>
      </c>
      <c r="I61">
        <f>$C61*VLOOKUP($B61,FoodDB!$A$2:$I$1011,8,0)</f>
        <v>200</v>
      </c>
      <c r="J61">
        <f>$C61*VLOOKUP($B61,FoodDB!$A$2:$I$1011,9,0)</f>
        <v>204.5</v>
      </c>
    </row>
    <row r="62" spans="1:11" x14ac:dyDescent="0.25">
      <c r="B62" s="94" t="s">
        <v>98</v>
      </c>
      <c r="C62" s="95">
        <v>3</v>
      </c>
      <c r="D62">
        <f>$C62*VLOOKUP($B62,FoodDB!$A$2:$I$1011,3,0)</f>
        <v>18.54</v>
      </c>
      <c r="E62">
        <f>$C62*VLOOKUP($B62,FoodDB!$A$2:$I$1011,4,0)</f>
        <v>0</v>
      </c>
      <c r="F62">
        <f>$C62*VLOOKUP($B62,FoodDB!$A$2:$I$1011,5,0)</f>
        <v>25.56</v>
      </c>
      <c r="G62">
        <f>$C62*VLOOKUP($B62,FoodDB!$A$2:$I$1011,6,0)</f>
        <v>166.85999999999999</v>
      </c>
      <c r="H62">
        <f>$C62*VLOOKUP($B62,FoodDB!$A$2:$I$1011,7,0)</f>
        <v>0</v>
      </c>
      <c r="I62">
        <f>$C62*VLOOKUP($B62,FoodDB!$A$2:$I$1011,8,0)</f>
        <v>102.24</v>
      </c>
      <c r="J62">
        <f>$C62*VLOOKUP($B62,FoodDB!$A$2:$I$1011,9,0)</f>
        <v>269.09999999999997</v>
      </c>
    </row>
    <row r="63" spans="1:11" x14ac:dyDescent="0.25">
      <c r="B63" s="94" t="s">
        <v>104</v>
      </c>
      <c r="C63" s="95">
        <v>1</v>
      </c>
      <c r="D63">
        <f>$C63*VLOOKUP($B63,FoodDB!$A$2:$I$1011,3,0)</f>
        <v>0.8</v>
      </c>
      <c r="E63">
        <f>$C63*VLOOKUP($B63,FoodDB!$A$2:$I$1011,4,0)</f>
        <v>0</v>
      </c>
      <c r="F63">
        <f>$C63*VLOOKUP($B63,FoodDB!$A$2:$I$1011,5,0)</f>
        <v>34</v>
      </c>
      <c r="G63">
        <f>$C63*VLOOKUP($B63,FoodDB!$A$2:$I$1011,6,0)</f>
        <v>7.2</v>
      </c>
      <c r="H63">
        <f>$C63*VLOOKUP($B63,FoodDB!$A$2:$I$1011,7,0)</f>
        <v>0</v>
      </c>
      <c r="I63">
        <f>$C63*VLOOKUP($B63,FoodDB!$A$2:$I$1011,8,0)</f>
        <v>136</v>
      </c>
      <c r="J63">
        <f>$C63*VLOOKUP($B63,FoodDB!$A$2:$I$1011,9,0)</f>
        <v>143.19999999999999</v>
      </c>
    </row>
    <row r="64" spans="1:11" x14ac:dyDescent="0.25">
      <c r="B64" s="94" t="s">
        <v>99</v>
      </c>
      <c r="C64" s="95">
        <v>7</v>
      </c>
      <c r="D64">
        <f>$C64*VLOOKUP($B64,FoodDB!$A$2:$I$1011,3,0)</f>
        <v>0</v>
      </c>
      <c r="E64">
        <f>$C64*VLOOKUP($B64,FoodDB!$A$2:$I$1011,4,0)</f>
        <v>7</v>
      </c>
      <c r="F64">
        <f>$C64*VLOOKUP($B64,FoodDB!$A$2:$I$1011,5,0)</f>
        <v>4.2</v>
      </c>
      <c r="G64">
        <f>$C64*VLOOKUP($B64,FoodDB!$A$2:$I$1011,6,0)</f>
        <v>0</v>
      </c>
      <c r="H64">
        <f>$C64*VLOOKUP($B64,FoodDB!$A$2:$I$1011,7,0)</f>
        <v>28</v>
      </c>
      <c r="I64">
        <f>$C64*VLOOKUP($B64,FoodDB!$A$2:$I$1011,8,0)</f>
        <v>16.8</v>
      </c>
      <c r="J64">
        <f>$C64*VLOOKUP($B64,FoodDB!$A$2:$I$1011,9,0)</f>
        <v>44.800000000000004</v>
      </c>
    </row>
    <row r="65" spans="1:11" x14ac:dyDescent="0.25">
      <c r="B65" s="94" t="s">
        <v>96</v>
      </c>
      <c r="C65" s="95">
        <v>2</v>
      </c>
      <c r="D65">
        <f>$C65*VLOOKUP($B65,FoodDB!$A$2:$I$1011,3,0)</f>
        <v>18</v>
      </c>
      <c r="E65">
        <f>$C65*VLOOKUP($B65,FoodDB!$A$2:$I$1011,4,0)</f>
        <v>4</v>
      </c>
      <c r="F65">
        <f>$C65*VLOOKUP($B65,FoodDB!$A$2:$I$1011,5,0)</f>
        <v>9.4</v>
      </c>
      <c r="G65">
        <f>$C65*VLOOKUP($B65,FoodDB!$A$2:$I$1011,6,0)</f>
        <v>162</v>
      </c>
      <c r="H65">
        <f>$C65*VLOOKUP($B65,FoodDB!$A$2:$I$1011,7,0)</f>
        <v>16</v>
      </c>
      <c r="I65">
        <f>$C65*VLOOKUP($B65,FoodDB!$A$2:$I$1011,8,0)</f>
        <v>37.6</v>
      </c>
      <c r="J65">
        <f>$C65*VLOOKUP($B65,FoodDB!$A$2:$I$1011,9,0)</f>
        <v>215.6</v>
      </c>
    </row>
    <row r="66" spans="1:11" x14ac:dyDescent="0.25">
      <c r="B66" s="94" t="s">
        <v>107</v>
      </c>
      <c r="C66" s="95">
        <v>0</v>
      </c>
      <c r="D66">
        <f>$C66*VLOOKUP($B66,FoodDB!$A$2:$I$1011,3,0)</f>
        <v>0</v>
      </c>
      <c r="E66">
        <f>$C66*VLOOKUP($B66,FoodDB!$A$2:$I$1011,4,0)</f>
        <v>0</v>
      </c>
      <c r="F66">
        <f>$C66*VLOOKUP($B66,FoodDB!$A$2:$I$1011,5,0)</f>
        <v>0</v>
      </c>
      <c r="G66">
        <f>$C66*VLOOKUP($B66,FoodDB!$A$2:$I$1011,6,0)</f>
        <v>0</v>
      </c>
      <c r="H66">
        <f>$C66*VLOOKUP($B66,FoodDB!$A$2:$I$1011,7,0)</f>
        <v>0</v>
      </c>
      <c r="I66">
        <f>$C66*VLOOKUP($B66,FoodDB!$A$2:$I$1011,8,0)</f>
        <v>0</v>
      </c>
      <c r="J66">
        <f>$C66*VLOOKUP($B66,FoodDB!$A$2:$I$1011,9,0)</f>
        <v>0</v>
      </c>
    </row>
    <row r="67" spans="1:11" x14ac:dyDescent="0.25">
      <c r="B67" s="94" t="s">
        <v>107</v>
      </c>
      <c r="C67" s="95">
        <v>0</v>
      </c>
      <c r="D67">
        <f>$C67*VLOOKUP($B67,FoodDB!$A$2:$I$1011,3,0)</f>
        <v>0</v>
      </c>
      <c r="E67">
        <f>$C67*VLOOKUP($B67,FoodDB!$A$2:$I$1011,4,0)</f>
        <v>0</v>
      </c>
      <c r="F67">
        <f>$C67*VLOOKUP($B67,FoodDB!$A$2:$I$1011,5,0)</f>
        <v>0</v>
      </c>
      <c r="G67">
        <f>$C67*VLOOKUP($B67,FoodDB!$A$2:$I$1011,6,0)</f>
        <v>0</v>
      </c>
      <c r="H67">
        <f>$C67*VLOOKUP($B67,FoodDB!$A$2:$I$1011,7,0)</f>
        <v>0</v>
      </c>
      <c r="I67">
        <f>$C67*VLOOKUP($B67,FoodDB!$A$2:$I$1011,8,0)</f>
        <v>0</v>
      </c>
      <c r="J67">
        <f>$C67*VLOOKUP($B67,FoodDB!$A$2:$I$1011,9,0)</f>
        <v>0</v>
      </c>
    </row>
    <row r="68" spans="1:11" x14ac:dyDescent="0.25">
      <c r="A68" t="s">
        <v>97</v>
      </c>
      <c r="G68">
        <f>SUM(G61:G67)</f>
        <v>340.55999999999995</v>
      </c>
      <c r="H68">
        <f>SUM(H61:H67)</f>
        <v>44</v>
      </c>
      <c r="I68">
        <f>SUM(I61:I67)</f>
        <v>492.64000000000004</v>
      </c>
      <c r="J68">
        <f>SUM(G68:I68)</f>
        <v>877.2</v>
      </c>
    </row>
    <row r="69" spans="1:11" x14ac:dyDescent="0.25">
      <c r="A69" t="s">
        <v>101</v>
      </c>
      <c r="B69" t="s">
        <v>102</v>
      </c>
      <c r="E69" s="98"/>
      <c r="F69" s="98"/>
      <c r="G69" s="98">
        <f>VLOOKUP($A61,LossChart!$A$3:$AB$105,14,0)</f>
        <v>392.62103107756707</v>
      </c>
      <c r="H69" s="98">
        <f>VLOOKUP($A61,LossChart!$A$3:$AB$105,15,0)</f>
        <v>80</v>
      </c>
      <c r="I69" s="98">
        <f>VLOOKUP($A61,LossChart!$A$3:$AB$105,16,0)</f>
        <v>482.47465271142238</v>
      </c>
      <c r="J69" s="98">
        <f>VLOOKUP($A61,LossChart!$A$3:$AB$105,17,0)</f>
        <v>955.09568378898939</v>
      </c>
      <c r="K69" s="98"/>
    </row>
    <row r="70" spans="1:11" x14ac:dyDescent="0.25">
      <c r="A70" t="s">
        <v>103</v>
      </c>
      <c r="G70">
        <f>G69-G68</f>
        <v>52.061031077567122</v>
      </c>
      <c r="H70">
        <f>H69-H68</f>
        <v>36</v>
      </c>
      <c r="I70">
        <f>I69-I68</f>
        <v>-10.165347288577664</v>
      </c>
      <c r="J70">
        <f>J69-J68</f>
        <v>77.895683788989345</v>
      </c>
    </row>
    <row r="72" spans="1:11" ht="45" x14ac:dyDescent="0.25">
      <c r="A72" s="21" t="s">
        <v>63</v>
      </c>
      <c r="B72" s="21" t="s">
        <v>92</v>
      </c>
      <c r="C72" s="21" t="s">
        <v>93</v>
      </c>
      <c r="D72" s="92" t="str">
        <f>FoodDB!$C$1</f>
        <v>Fat
(g)</v>
      </c>
      <c r="E72" s="92" t="str">
        <f>FoodDB!$D$1</f>
        <v xml:space="preserve"> Carbs
(g)</v>
      </c>
      <c r="F72" s="92" t="str">
        <f>FoodDB!$E$1</f>
        <v>Protein
(g)</v>
      </c>
      <c r="G72" s="92" t="str">
        <f>FoodDB!$F$1</f>
        <v>Fat
(Cal)</v>
      </c>
      <c r="H72" s="92" t="str">
        <f>FoodDB!$G$1</f>
        <v>Carb
(Cal)</v>
      </c>
      <c r="I72" s="92" t="str">
        <f>FoodDB!$H$1</f>
        <v>Protein
(Cal)</v>
      </c>
      <c r="J72" s="92" t="str">
        <f>FoodDB!$I$1</f>
        <v>Total
Calories</v>
      </c>
      <c r="K72" s="92"/>
    </row>
    <row r="73" spans="1:11" x14ac:dyDescent="0.25">
      <c r="A73" s="93">
        <f>A61+1</f>
        <v>43000</v>
      </c>
      <c r="B73" s="94" t="s">
        <v>104</v>
      </c>
      <c r="C73" s="95">
        <v>3.3</v>
      </c>
      <c r="D73">
        <f>$C73*VLOOKUP($B73,FoodDB!$A$2:$I$1011,3,0)</f>
        <v>2.64</v>
      </c>
      <c r="E73">
        <f>$C73*VLOOKUP($B73,FoodDB!$A$2:$I$1011,4,0)</f>
        <v>0</v>
      </c>
      <c r="F73">
        <f>$C73*VLOOKUP($B73,FoodDB!$A$2:$I$1011,5,0)</f>
        <v>112.19999999999999</v>
      </c>
      <c r="G73">
        <f>$C73*VLOOKUP($B73,FoodDB!$A$2:$I$1011,6,0)</f>
        <v>23.759999999999998</v>
      </c>
      <c r="H73">
        <f>$C73*VLOOKUP($B73,FoodDB!$A$2:$I$1011,7,0)</f>
        <v>0</v>
      </c>
      <c r="I73">
        <f>$C73*VLOOKUP($B73,FoodDB!$A$2:$I$1011,8,0)</f>
        <v>448.79999999999995</v>
      </c>
      <c r="J73">
        <f>$C73*VLOOKUP($B73,FoodDB!$A$2:$I$1011,9,0)</f>
        <v>472.55999999999995</v>
      </c>
    </row>
    <row r="74" spans="1:11" x14ac:dyDescent="0.25">
      <c r="B74" s="94" t="s">
        <v>95</v>
      </c>
      <c r="C74" s="95">
        <v>20</v>
      </c>
      <c r="D74">
        <f>$C74*VLOOKUP($B74,FoodDB!$A$2:$I$1011,3,0)</f>
        <v>0</v>
      </c>
      <c r="E74">
        <f>$C74*VLOOKUP($B74,FoodDB!$A$2:$I$1011,4,0)</f>
        <v>12.857142857142858</v>
      </c>
      <c r="F74">
        <f>$C74*VLOOKUP($B74,FoodDB!$A$2:$I$1011,5,0)</f>
        <v>6.4285714285714288</v>
      </c>
      <c r="G74">
        <f>$C74*VLOOKUP($B74,FoodDB!$A$2:$I$1011,6,0)</f>
        <v>0</v>
      </c>
      <c r="H74">
        <f>$C74*VLOOKUP($B74,FoodDB!$A$2:$I$1011,7,0)</f>
        <v>51.428571428571431</v>
      </c>
      <c r="I74">
        <f>$C74*VLOOKUP($B74,FoodDB!$A$2:$I$1011,8,0)</f>
        <v>25.714285714285715</v>
      </c>
      <c r="J74">
        <f>$C74*VLOOKUP($B74,FoodDB!$A$2:$I$1011,9,0)</f>
        <v>77.142857142857153</v>
      </c>
    </row>
    <row r="75" spans="1:11" x14ac:dyDescent="0.25">
      <c r="B75" s="94" t="s">
        <v>106</v>
      </c>
      <c r="C75" s="95">
        <v>3</v>
      </c>
      <c r="D75">
        <f>$C75*VLOOKUP($B75,FoodDB!$A$2:$I$1011,3,0)</f>
        <v>1.5</v>
      </c>
      <c r="E75">
        <f>$C75*VLOOKUP($B75,FoodDB!$A$2:$I$1011,4,0)</f>
        <v>0</v>
      </c>
      <c r="F75">
        <f>$C75*VLOOKUP($B75,FoodDB!$A$2:$I$1011,5,0)</f>
        <v>0</v>
      </c>
      <c r="G75">
        <f>$C75*VLOOKUP($B75,FoodDB!$A$2:$I$1011,6,0)</f>
        <v>13.5</v>
      </c>
      <c r="H75">
        <f>$C75*VLOOKUP($B75,FoodDB!$A$2:$I$1011,7,0)</f>
        <v>0</v>
      </c>
      <c r="I75">
        <f>$C75*VLOOKUP($B75,FoodDB!$A$2:$I$1011,8,0)</f>
        <v>0</v>
      </c>
      <c r="J75">
        <f>$C75*VLOOKUP($B75,FoodDB!$A$2:$I$1011,9,0)</f>
        <v>13.5</v>
      </c>
    </row>
    <row r="76" spans="1:11" x14ac:dyDescent="0.25">
      <c r="B76" s="94" t="s">
        <v>99</v>
      </c>
      <c r="C76" s="95">
        <v>7</v>
      </c>
      <c r="D76">
        <f>$C76*VLOOKUP($B76,FoodDB!$A$2:$I$1011,3,0)</f>
        <v>0</v>
      </c>
      <c r="E76">
        <f>$C76*VLOOKUP($B76,FoodDB!$A$2:$I$1011,4,0)</f>
        <v>7</v>
      </c>
      <c r="F76">
        <f>$C76*VLOOKUP($B76,FoodDB!$A$2:$I$1011,5,0)</f>
        <v>4.2</v>
      </c>
      <c r="G76">
        <f>$C76*VLOOKUP($B76,FoodDB!$A$2:$I$1011,6,0)</f>
        <v>0</v>
      </c>
      <c r="H76">
        <f>$C76*VLOOKUP($B76,FoodDB!$A$2:$I$1011,7,0)</f>
        <v>28</v>
      </c>
      <c r="I76">
        <f>$C76*VLOOKUP($B76,FoodDB!$A$2:$I$1011,8,0)</f>
        <v>16.8</v>
      </c>
      <c r="J76">
        <f>$C76*VLOOKUP($B76,FoodDB!$A$2:$I$1011,9,0)</f>
        <v>44.800000000000004</v>
      </c>
    </row>
    <row r="77" spans="1:11" x14ac:dyDescent="0.25">
      <c r="B77" s="94" t="s">
        <v>108</v>
      </c>
      <c r="C77" s="95">
        <v>4</v>
      </c>
      <c r="D77">
        <f>$C77*VLOOKUP($B77,FoodDB!$A$2:$I$1011,3,0)</f>
        <v>48</v>
      </c>
      <c r="E77">
        <f>$C77*VLOOKUP($B77,FoodDB!$A$2:$I$1011,4,0)</f>
        <v>0</v>
      </c>
      <c r="F77">
        <f>$C77*VLOOKUP($B77,FoodDB!$A$2:$I$1011,5,0)</f>
        <v>0</v>
      </c>
      <c r="G77">
        <f>$C77*VLOOKUP($B77,FoodDB!$A$2:$I$1011,6,0)</f>
        <v>432</v>
      </c>
      <c r="H77">
        <f>$C77*VLOOKUP($B77,FoodDB!$A$2:$I$1011,7,0)</f>
        <v>0</v>
      </c>
      <c r="I77">
        <f>$C77*VLOOKUP($B77,FoodDB!$A$2:$I$1011,8,0)</f>
        <v>0</v>
      </c>
      <c r="J77">
        <f>$C77*VLOOKUP($B77,FoodDB!$A$2:$I$1011,9,0)</f>
        <v>432</v>
      </c>
    </row>
    <row r="78" spans="1:11" x14ac:dyDescent="0.25">
      <c r="B78" s="94" t="s">
        <v>107</v>
      </c>
      <c r="C78" s="95">
        <v>0</v>
      </c>
      <c r="D78">
        <f>$C78*VLOOKUP($B78,FoodDB!$A$2:$I$1011,3,0)</f>
        <v>0</v>
      </c>
      <c r="E78">
        <f>$C78*VLOOKUP($B78,FoodDB!$A$2:$I$1011,4,0)</f>
        <v>0</v>
      </c>
      <c r="F78">
        <f>$C78*VLOOKUP($B78,FoodDB!$A$2:$I$1011,5,0)</f>
        <v>0</v>
      </c>
      <c r="G78">
        <f>$C78*VLOOKUP($B78,FoodDB!$A$2:$I$1011,6,0)</f>
        <v>0</v>
      </c>
      <c r="H78">
        <f>$C78*VLOOKUP($B78,FoodDB!$A$2:$I$1011,7,0)</f>
        <v>0</v>
      </c>
      <c r="I78">
        <f>$C78*VLOOKUP($B78,FoodDB!$A$2:$I$1011,8,0)</f>
        <v>0</v>
      </c>
      <c r="J78">
        <f>$C78*VLOOKUP($B78,FoodDB!$A$2:$I$1011,9,0)</f>
        <v>0</v>
      </c>
    </row>
    <row r="79" spans="1:11" x14ac:dyDescent="0.25">
      <c r="B79" s="94" t="s">
        <v>107</v>
      </c>
      <c r="C79" s="95">
        <v>0</v>
      </c>
      <c r="D79">
        <f>$C79*VLOOKUP($B79,FoodDB!$A$2:$I$1011,3,0)</f>
        <v>0</v>
      </c>
      <c r="E79">
        <f>$C79*VLOOKUP($B79,FoodDB!$A$2:$I$1011,4,0)</f>
        <v>0</v>
      </c>
      <c r="F79">
        <f>$C79*VLOOKUP($B79,FoodDB!$A$2:$I$1011,5,0)</f>
        <v>0</v>
      </c>
      <c r="G79">
        <f>$C79*VLOOKUP($B79,FoodDB!$A$2:$I$1011,6,0)</f>
        <v>0</v>
      </c>
      <c r="H79">
        <f>$C79*VLOOKUP($B79,FoodDB!$A$2:$I$1011,7,0)</f>
        <v>0</v>
      </c>
      <c r="I79">
        <f>$C79*VLOOKUP($B79,FoodDB!$A$2:$I$1011,8,0)</f>
        <v>0</v>
      </c>
      <c r="J79">
        <f>$C79*VLOOKUP($B79,FoodDB!$A$2:$I$1011,9,0)</f>
        <v>0</v>
      </c>
    </row>
    <row r="80" spans="1:11" x14ac:dyDescent="0.25">
      <c r="A80" t="s">
        <v>97</v>
      </c>
      <c r="D80">
        <f>G80/9</f>
        <v>52.14</v>
      </c>
      <c r="E80">
        <f>H80/4</f>
        <v>19.857142857142858</v>
      </c>
      <c r="F80">
        <f>I80/4</f>
        <v>122.82857142857142</v>
      </c>
      <c r="G80">
        <f>SUM(G73:G79)</f>
        <v>469.26</v>
      </c>
      <c r="H80">
        <f>SUM(H73:H79)</f>
        <v>79.428571428571431</v>
      </c>
      <c r="I80">
        <f>SUM(I73:I79)</f>
        <v>491.31428571428569</v>
      </c>
      <c r="J80">
        <f>SUM(G80:I80)</f>
        <v>1040.002857142857</v>
      </c>
    </row>
    <row r="81" spans="1:23" x14ac:dyDescent="0.25">
      <c r="A81" t="s">
        <v>101</v>
      </c>
      <c r="B81" t="s">
        <v>102</v>
      </c>
      <c r="E81" s="98"/>
      <c r="F81" s="98"/>
      <c r="G81" s="98">
        <f>VLOOKUP($A73,LossChart!$A$3:$AB$105,14,0)</f>
        <v>400.77825853509103</v>
      </c>
      <c r="H81" s="98">
        <f>VLOOKUP($A73,LossChart!$A$3:$AB$105,15,0)</f>
        <v>80</v>
      </c>
      <c r="I81" s="98">
        <f>VLOOKUP($A73,LossChart!$A$3:$AB$105,16,0)</f>
        <v>482.47465271142238</v>
      </c>
      <c r="J81" s="98">
        <f>VLOOKUP($A73,LossChart!$A$3:$AB$105,17,0)</f>
        <v>963.25291124651335</v>
      </c>
      <c r="K81" s="98"/>
    </row>
    <row r="82" spans="1:23" x14ac:dyDescent="0.25">
      <c r="A82" t="s">
        <v>103</v>
      </c>
      <c r="G82">
        <f>G81-G80</f>
        <v>-68.481741464908964</v>
      </c>
      <c r="H82">
        <f>H81-H80</f>
        <v>0.5714285714285694</v>
      </c>
      <c r="I82">
        <f>I81-I80</f>
        <v>-8.8396330028633088</v>
      </c>
      <c r="J82">
        <f>J81-J80</f>
        <v>-76.749945896343661</v>
      </c>
    </row>
    <row r="84" spans="1:23" ht="45" x14ac:dyDescent="0.25">
      <c r="A84" s="21" t="s">
        <v>63</v>
      </c>
      <c r="B84" s="21" t="s">
        <v>92</v>
      </c>
      <c r="C84" s="21" t="s">
        <v>93</v>
      </c>
      <c r="D84" s="92" t="str">
        <f>FoodDB!$C$1</f>
        <v>Fat
(g)</v>
      </c>
      <c r="E84" s="92" t="str">
        <f>FoodDB!$D$1</f>
        <v xml:space="preserve"> Carbs
(g)</v>
      </c>
      <c r="F84" s="92" t="str">
        <f>FoodDB!$E$1</f>
        <v>Protein
(g)</v>
      </c>
      <c r="G84" s="92" t="str">
        <f>FoodDB!$F$1</f>
        <v>Fat
(Cal)</v>
      </c>
      <c r="H84" s="92" t="str">
        <f>FoodDB!$G$1</f>
        <v>Carb
(Cal)</v>
      </c>
      <c r="I84" s="92" t="str">
        <f>FoodDB!$H$1</f>
        <v>Protein
(Cal)</v>
      </c>
      <c r="J84" s="92" t="str">
        <f>FoodDB!$I$1</f>
        <v>Total
Calories</v>
      </c>
      <c r="K84" s="92"/>
      <c r="L84" s="92" t="s">
        <v>109</v>
      </c>
      <c r="M84" s="92" t="s">
        <v>110</v>
      </c>
      <c r="N84" s="92" t="s">
        <v>111</v>
      </c>
      <c r="O84" s="92" t="s">
        <v>112</v>
      </c>
      <c r="P84" s="92" t="s">
        <v>113</v>
      </c>
      <c r="Q84" s="92" t="s">
        <v>114</v>
      </c>
      <c r="R84" s="92" t="s">
        <v>115</v>
      </c>
      <c r="S84" s="92" t="s">
        <v>116</v>
      </c>
      <c r="T84" s="92" t="s">
        <v>117</v>
      </c>
      <c r="U84" s="92" t="s">
        <v>118</v>
      </c>
      <c r="V84" s="92" t="s">
        <v>119</v>
      </c>
      <c r="W84" s="92" t="s">
        <v>120</v>
      </c>
    </row>
    <row r="85" spans="1:23" x14ac:dyDescent="0.25">
      <c r="A85" s="93">
        <f>A73+1</f>
        <v>43001</v>
      </c>
      <c r="B85" s="94" t="s">
        <v>121</v>
      </c>
      <c r="C85" s="95">
        <v>2</v>
      </c>
      <c r="D85">
        <f>$C85*VLOOKUP($B85,FoodDB!$A$2:$I$1011,3,0)</f>
        <v>36</v>
      </c>
      <c r="E85">
        <f>$C85*VLOOKUP($B85,FoodDB!$A$2:$I$1011,4,0)</f>
        <v>0</v>
      </c>
      <c r="F85">
        <f>$C85*VLOOKUP($B85,FoodDB!$A$2:$I$1011,5,0)</f>
        <v>52</v>
      </c>
      <c r="G85">
        <f>$C85*VLOOKUP($B85,FoodDB!$A$2:$I$1011,6,0)</f>
        <v>324</v>
      </c>
      <c r="H85">
        <f>$C85*VLOOKUP($B85,FoodDB!$A$2:$I$1011,7,0)</f>
        <v>0</v>
      </c>
      <c r="I85">
        <f>$C85*VLOOKUP($B85,FoodDB!$A$2:$I$1011,8,0)</f>
        <v>208</v>
      </c>
      <c r="J85">
        <f>$C85*VLOOKUP($B85,FoodDB!$A$2:$I$1011,9,0)</f>
        <v>532</v>
      </c>
      <c r="L85">
        <f>SUM(G85:G91)</f>
        <v>493.92</v>
      </c>
      <c r="M85">
        <f>SUM(H85:H91)</f>
        <v>28</v>
      </c>
      <c r="N85">
        <f>SUM(I85:I91)</f>
        <v>458.40000000000003</v>
      </c>
      <c r="O85">
        <f>SUM(L85:N85)</f>
        <v>980.32000000000016</v>
      </c>
      <c r="P85" s="98">
        <f>VLOOKUP($A85,LossChart!$A$3:$AB$105,14,0)</f>
        <v>408.45630811528122</v>
      </c>
      <c r="Q85" s="98">
        <f>VLOOKUP($A85,LossChart!$A$3:$AB$105,15,0)</f>
        <v>80</v>
      </c>
      <c r="R85" s="98">
        <f>VLOOKUP($A85,LossChart!$A$3:$AB$105,16,0)</f>
        <v>482.47465271142238</v>
      </c>
      <c r="S85" s="98">
        <f>VLOOKUP($A85,LossChart!$A$3:$AB$105,17,0)</f>
        <v>970.93096082670354</v>
      </c>
      <c r="T85" s="98">
        <f>P85-L85</f>
        <v>-85.463691884718799</v>
      </c>
      <c r="U85" s="98">
        <f>Q85-M85</f>
        <v>52</v>
      </c>
      <c r="V85" s="98">
        <f>R85-N85</f>
        <v>24.074652711422345</v>
      </c>
      <c r="W85" s="98">
        <f>S85-O85</f>
        <v>-9.3890391732966236</v>
      </c>
    </row>
    <row r="86" spans="1:23" x14ac:dyDescent="0.25">
      <c r="B86" s="94" t="s">
        <v>122</v>
      </c>
      <c r="C86" s="95">
        <v>3</v>
      </c>
      <c r="D86">
        <f>$C86*VLOOKUP($B86,FoodDB!$A$2:$I$1011,3,0)</f>
        <v>18</v>
      </c>
      <c r="E86">
        <f>$C86*VLOOKUP($B86,FoodDB!$A$2:$I$1011,4,0)</f>
        <v>0</v>
      </c>
      <c r="F86">
        <f>$C86*VLOOKUP($B86,FoodDB!$A$2:$I$1011,5,0)</f>
        <v>21</v>
      </c>
      <c r="G86">
        <f>$C86*VLOOKUP($B86,FoodDB!$A$2:$I$1011,6,0)</f>
        <v>162</v>
      </c>
      <c r="H86">
        <f>$C86*VLOOKUP($B86,FoodDB!$A$2:$I$1011,7,0)</f>
        <v>0</v>
      </c>
      <c r="I86">
        <f>$C86*VLOOKUP($B86,FoodDB!$A$2:$I$1011,8,0)</f>
        <v>84</v>
      </c>
      <c r="J86">
        <f>$C86*VLOOKUP($B86,FoodDB!$A$2:$I$1011,9,0)</f>
        <v>246</v>
      </c>
    </row>
    <row r="87" spans="1:23" x14ac:dyDescent="0.25">
      <c r="B87" s="94" t="s">
        <v>104</v>
      </c>
      <c r="C87" s="95">
        <v>1.1000000000000001</v>
      </c>
      <c r="D87">
        <f>$C87*VLOOKUP($B87,FoodDB!$A$2:$I$1011,3,0)</f>
        <v>0.88000000000000012</v>
      </c>
      <c r="E87">
        <f>$C87*VLOOKUP($B87,FoodDB!$A$2:$I$1011,4,0)</f>
        <v>0</v>
      </c>
      <c r="F87">
        <f>$C87*VLOOKUP($B87,FoodDB!$A$2:$I$1011,5,0)</f>
        <v>37.400000000000006</v>
      </c>
      <c r="G87">
        <f>$C87*VLOOKUP($B87,FoodDB!$A$2:$I$1011,6,0)</f>
        <v>7.9200000000000008</v>
      </c>
      <c r="H87">
        <f>$C87*VLOOKUP($B87,FoodDB!$A$2:$I$1011,7,0)</f>
        <v>0</v>
      </c>
      <c r="I87">
        <f>$C87*VLOOKUP($B87,FoodDB!$A$2:$I$1011,8,0)</f>
        <v>149.60000000000002</v>
      </c>
      <c r="J87">
        <f>$C87*VLOOKUP($B87,FoodDB!$A$2:$I$1011,9,0)</f>
        <v>157.52000000000001</v>
      </c>
    </row>
    <row r="88" spans="1:23" x14ac:dyDescent="0.25">
      <c r="B88" s="94" t="s">
        <v>99</v>
      </c>
      <c r="C88" s="95">
        <v>7</v>
      </c>
      <c r="D88">
        <f>$C88*VLOOKUP($B88,FoodDB!$A$2:$I$1011,3,0)</f>
        <v>0</v>
      </c>
      <c r="E88">
        <f>$C88*VLOOKUP($B88,FoodDB!$A$2:$I$1011,4,0)</f>
        <v>7</v>
      </c>
      <c r="F88">
        <f>$C88*VLOOKUP($B88,FoodDB!$A$2:$I$1011,5,0)</f>
        <v>4.2</v>
      </c>
      <c r="G88">
        <f>$C88*VLOOKUP($B88,FoodDB!$A$2:$I$1011,6,0)</f>
        <v>0</v>
      </c>
      <c r="H88">
        <f>$C88*VLOOKUP($B88,FoodDB!$A$2:$I$1011,7,0)</f>
        <v>28</v>
      </c>
      <c r="I88">
        <f>$C88*VLOOKUP($B88,FoodDB!$A$2:$I$1011,8,0)</f>
        <v>16.8</v>
      </c>
      <c r="J88">
        <f>$C88*VLOOKUP($B88,FoodDB!$A$2:$I$1011,9,0)</f>
        <v>44.800000000000004</v>
      </c>
    </row>
    <row r="89" spans="1:23" x14ac:dyDescent="0.25">
      <c r="B89" s="94" t="s">
        <v>107</v>
      </c>
      <c r="C89" s="95">
        <v>0</v>
      </c>
      <c r="D89">
        <f>$C89*VLOOKUP($B89,FoodDB!$A$2:$I$1011,3,0)</f>
        <v>0</v>
      </c>
      <c r="E89">
        <f>$C89*VLOOKUP($B89,FoodDB!$A$2:$I$1011,4,0)</f>
        <v>0</v>
      </c>
      <c r="F89">
        <f>$C89*VLOOKUP($B89,FoodDB!$A$2:$I$1011,5,0)</f>
        <v>0</v>
      </c>
      <c r="G89">
        <f>$C89*VLOOKUP($B89,FoodDB!$A$2:$I$1011,6,0)</f>
        <v>0</v>
      </c>
      <c r="H89">
        <f>$C89*VLOOKUP($B89,FoodDB!$A$2:$I$1011,7,0)</f>
        <v>0</v>
      </c>
      <c r="I89">
        <f>$C89*VLOOKUP($B89,FoodDB!$A$2:$I$1011,8,0)</f>
        <v>0</v>
      </c>
      <c r="J89">
        <f>$C89*VLOOKUP($B89,FoodDB!$A$2:$I$1011,9,0)</f>
        <v>0</v>
      </c>
    </row>
    <row r="90" spans="1:23" x14ac:dyDescent="0.25">
      <c r="B90" s="94" t="s">
        <v>107</v>
      </c>
      <c r="C90" s="95">
        <v>0</v>
      </c>
      <c r="D90">
        <f>$C90*VLOOKUP($B90,FoodDB!$A$2:$I$1011,3,0)</f>
        <v>0</v>
      </c>
      <c r="E90">
        <f>$C90*VLOOKUP($B90,FoodDB!$A$2:$I$1011,4,0)</f>
        <v>0</v>
      </c>
      <c r="F90">
        <f>$C90*VLOOKUP($B90,FoodDB!$A$2:$I$1011,5,0)</f>
        <v>0</v>
      </c>
      <c r="G90">
        <f>$C90*VLOOKUP($B90,FoodDB!$A$2:$I$1011,6,0)</f>
        <v>0</v>
      </c>
      <c r="H90">
        <f>$C90*VLOOKUP($B90,FoodDB!$A$2:$I$1011,7,0)</f>
        <v>0</v>
      </c>
      <c r="I90">
        <f>$C90*VLOOKUP($B90,FoodDB!$A$2:$I$1011,8,0)</f>
        <v>0</v>
      </c>
      <c r="J90">
        <f>$C90*VLOOKUP($B90,FoodDB!$A$2:$I$1011,9,0)</f>
        <v>0</v>
      </c>
    </row>
    <row r="91" spans="1:23" x14ac:dyDescent="0.25">
      <c r="B91" s="94" t="s">
        <v>107</v>
      </c>
      <c r="C91" s="95">
        <v>0</v>
      </c>
      <c r="D91">
        <f>$C91*VLOOKUP($B91,FoodDB!$A$2:$I$1011,3,0)</f>
        <v>0</v>
      </c>
      <c r="E91">
        <f>$C91*VLOOKUP($B91,FoodDB!$A$2:$I$1011,4,0)</f>
        <v>0</v>
      </c>
      <c r="F91">
        <f>$C91*VLOOKUP($B91,FoodDB!$A$2:$I$1011,5,0)</f>
        <v>0</v>
      </c>
      <c r="G91">
        <f>$C91*VLOOKUP($B91,FoodDB!$A$2:$I$1011,6,0)</f>
        <v>0</v>
      </c>
      <c r="H91">
        <f>$C91*VLOOKUP($B91,FoodDB!$A$2:$I$1011,7,0)</f>
        <v>0</v>
      </c>
      <c r="I91">
        <f>$C91*VLOOKUP($B91,FoodDB!$A$2:$I$1011,8,0)</f>
        <v>0</v>
      </c>
      <c r="J91">
        <f>$C91*VLOOKUP($B91,FoodDB!$A$2:$I$1011,9,0)</f>
        <v>0</v>
      </c>
    </row>
    <row r="92" spans="1:23" x14ac:dyDescent="0.25">
      <c r="A92" t="s">
        <v>97</v>
      </c>
      <c r="G92">
        <f>SUM(G85:G91)</f>
        <v>493.92</v>
      </c>
      <c r="H92">
        <f>SUM(H85:H91)</f>
        <v>28</v>
      </c>
      <c r="I92">
        <f>SUM(I85:I91)</f>
        <v>458.40000000000003</v>
      </c>
      <c r="J92">
        <f>SUM(G92:I92)</f>
        <v>980.32000000000016</v>
      </c>
    </row>
    <row r="93" spans="1:23" x14ac:dyDescent="0.25">
      <c r="A93" t="s">
        <v>101</v>
      </c>
      <c r="B93" t="s">
        <v>102</v>
      </c>
      <c r="E93" s="98"/>
      <c r="F93" s="98"/>
      <c r="G93" s="98">
        <f>VLOOKUP($A85,LossChart!$A$3:$AB$105,14,0)</f>
        <v>408.45630811528122</v>
      </c>
      <c r="H93" s="98">
        <f>VLOOKUP($A85,LossChart!$A$3:$AB$105,15,0)</f>
        <v>80</v>
      </c>
      <c r="I93" s="98">
        <f>VLOOKUP($A85,LossChart!$A$3:$AB$105,16,0)</f>
        <v>482.47465271142238</v>
      </c>
      <c r="J93" s="98">
        <f>VLOOKUP($A85,LossChart!$A$3:$AB$105,17,0)</f>
        <v>970.93096082670354</v>
      </c>
      <c r="K93" s="98"/>
    </row>
    <row r="94" spans="1:23" x14ac:dyDescent="0.25">
      <c r="A94" t="s">
        <v>103</v>
      </c>
      <c r="G94">
        <f>G93-G92</f>
        <v>-85.463691884718799</v>
      </c>
      <c r="H94">
        <f>H93-H92</f>
        <v>52</v>
      </c>
      <c r="I94">
        <f>I93-I92</f>
        <v>24.074652711422345</v>
      </c>
      <c r="J94">
        <f>J93-J92</f>
        <v>-9.3890391732966236</v>
      </c>
    </row>
    <row r="96" spans="1:23" ht="60" x14ac:dyDescent="0.25">
      <c r="A96" s="21" t="s">
        <v>63</v>
      </c>
      <c r="B96" s="21" t="s">
        <v>92</v>
      </c>
      <c r="C96" s="21" t="s">
        <v>93</v>
      </c>
      <c r="D96" s="92" t="str">
        <f>FoodDB!$C$1</f>
        <v>Fat
(g)</v>
      </c>
      <c r="E96" s="92" t="str">
        <f>FoodDB!$D$1</f>
        <v xml:space="preserve"> Carbs
(g)</v>
      </c>
      <c r="F96" s="92" t="str">
        <f>FoodDB!$E$1</f>
        <v>Protein
(g)</v>
      </c>
      <c r="G96" s="92" t="str">
        <f>FoodDB!$F$1</f>
        <v>Fat
(Cal)</v>
      </c>
      <c r="H96" s="92" t="str">
        <f>FoodDB!$G$1</f>
        <v>Carb
(Cal)</v>
      </c>
      <c r="I96" s="92" t="str">
        <f>FoodDB!$H$1</f>
        <v>Protein
(Cal)</v>
      </c>
      <c r="J96" s="92" t="str">
        <f>FoodDB!$I$1</f>
        <v>Total
Calories</v>
      </c>
      <c r="K96" s="92"/>
      <c r="L96" s="92" t="s">
        <v>109</v>
      </c>
      <c r="M96" s="92" t="s">
        <v>110</v>
      </c>
      <c r="N96" s="92" t="s">
        <v>111</v>
      </c>
      <c r="O96" s="92" t="s">
        <v>112</v>
      </c>
      <c r="P96" s="92" t="s">
        <v>117</v>
      </c>
      <c r="Q96" s="92" t="s">
        <v>118</v>
      </c>
      <c r="R96" s="92" t="s">
        <v>119</v>
      </c>
      <c r="S96" s="92" t="s">
        <v>120</v>
      </c>
      <c r="T96" s="92"/>
      <c r="U96" s="92"/>
      <c r="V96" s="92"/>
      <c r="W96" s="92"/>
    </row>
    <row r="97" spans="1:23" x14ac:dyDescent="0.25">
      <c r="A97" s="93">
        <f>A85+1</f>
        <v>43002</v>
      </c>
      <c r="B97" s="94" t="s">
        <v>104</v>
      </c>
      <c r="C97" s="95">
        <v>1.2</v>
      </c>
      <c r="D97">
        <f>$C97*VLOOKUP($B97,FoodDB!$A$2:$I$1011,3,0)</f>
        <v>0.96</v>
      </c>
      <c r="E97">
        <f>$C97*VLOOKUP($B97,FoodDB!$A$2:$I$1011,4,0)</f>
        <v>0</v>
      </c>
      <c r="F97">
        <f>$C97*VLOOKUP($B97,FoodDB!$A$2:$I$1011,5,0)</f>
        <v>40.799999999999997</v>
      </c>
      <c r="G97">
        <f>$C97*VLOOKUP($B97,FoodDB!$A$2:$I$1011,6,0)</f>
        <v>8.64</v>
      </c>
      <c r="H97">
        <f>$C97*VLOOKUP($B97,FoodDB!$A$2:$I$1011,7,0)</f>
        <v>0</v>
      </c>
      <c r="I97">
        <f>$C97*VLOOKUP($B97,FoodDB!$A$2:$I$1011,8,0)</f>
        <v>163.19999999999999</v>
      </c>
      <c r="J97">
        <f>$C97*VLOOKUP($B97,FoodDB!$A$2:$I$1011,9,0)</f>
        <v>171.83999999999997</v>
      </c>
      <c r="L97">
        <f>SUM(G97:G103)</f>
        <v>402.12</v>
      </c>
      <c r="M97">
        <f>SUM(H97:H103)</f>
        <v>80.571428571428569</v>
      </c>
      <c r="N97">
        <f>SUM(I97:I103)</f>
        <v>444.20571428571429</v>
      </c>
      <c r="O97">
        <f>SUM(L97:N97)</f>
        <v>926.89714285714285</v>
      </c>
      <c r="P97" s="98">
        <f>VLOOKUP($A97,LossChart!$A$3:$AB$105,14,0)-L97</f>
        <v>14.303499584120459</v>
      </c>
      <c r="Q97" s="98">
        <f>VLOOKUP($A97,LossChart!$A$3:$AB$105,15,0)-M97</f>
        <v>-0.5714285714285694</v>
      </c>
      <c r="R97" s="98">
        <f>VLOOKUP($A97,LossChart!$A$3:$AB$105,16,0)-N97</f>
        <v>38.268938425708086</v>
      </c>
      <c r="S97" s="98">
        <f>VLOOKUP($A97,LossChart!$A$3:$AB$105,17,0)-O97</f>
        <v>52.001009438399933</v>
      </c>
      <c r="T97" s="98"/>
      <c r="U97" s="98"/>
      <c r="V97" s="98"/>
      <c r="W97" s="98"/>
    </row>
    <row r="98" spans="1:23" x14ac:dyDescent="0.25">
      <c r="B98" s="94" t="s">
        <v>98</v>
      </c>
      <c r="C98" s="95">
        <v>4</v>
      </c>
      <c r="D98">
        <f>$C98*VLOOKUP($B98,FoodDB!$A$2:$I$1011,3,0)</f>
        <v>24.72</v>
      </c>
      <c r="E98">
        <f>$C98*VLOOKUP($B98,FoodDB!$A$2:$I$1011,4,0)</f>
        <v>0</v>
      </c>
      <c r="F98">
        <f>$C98*VLOOKUP($B98,FoodDB!$A$2:$I$1011,5,0)</f>
        <v>34.08</v>
      </c>
      <c r="G98">
        <f>$C98*VLOOKUP($B98,FoodDB!$A$2:$I$1011,6,0)</f>
        <v>222.48</v>
      </c>
      <c r="H98">
        <f>$C98*VLOOKUP($B98,FoodDB!$A$2:$I$1011,7,0)</f>
        <v>0</v>
      </c>
      <c r="I98">
        <f>$C98*VLOOKUP($B98,FoodDB!$A$2:$I$1011,8,0)</f>
        <v>136.32</v>
      </c>
      <c r="J98">
        <f>$C98*VLOOKUP($B98,FoodDB!$A$2:$I$1011,9,0)</f>
        <v>358.79999999999995</v>
      </c>
    </row>
    <row r="99" spans="1:23" x14ac:dyDescent="0.25">
      <c r="B99" s="94" t="s">
        <v>99</v>
      </c>
      <c r="C99" s="95">
        <v>7</v>
      </c>
      <c r="D99">
        <f>$C99*VLOOKUP($B99,FoodDB!$A$2:$I$1011,3,0)</f>
        <v>0</v>
      </c>
      <c r="E99">
        <f>$C99*VLOOKUP($B99,FoodDB!$A$2:$I$1011,4,0)</f>
        <v>7</v>
      </c>
      <c r="F99">
        <f>$C99*VLOOKUP($B99,FoodDB!$A$2:$I$1011,5,0)</f>
        <v>4.2</v>
      </c>
      <c r="G99">
        <f>$C99*VLOOKUP($B99,FoodDB!$A$2:$I$1011,6,0)</f>
        <v>0</v>
      </c>
      <c r="H99">
        <f>$C99*VLOOKUP($B99,FoodDB!$A$2:$I$1011,7,0)</f>
        <v>28</v>
      </c>
      <c r="I99">
        <f>$C99*VLOOKUP($B99,FoodDB!$A$2:$I$1011,8,0)</f>
        <v>16.8</v>
      </c>
      <c r="J99">
        <f>$C99*VLOOKUP($B99,FoodDB!$A$2:$I$1011,9,0)</f>
        <v>44.800000000000004</v>
      </c>
    </row>
    <row r="100" spans="1:23" x14ac:dyDescent="0.25">
      <c r="B100" s="94" t="s">
        <v>96</v>
      </c>
      <c r="C100" s="95">
        <v>2</v>
      </c>
      <c r="D100">
        <f>$C100*VLOOKUP($B100,FoodDB!$A$2:$I$1011,3,0)</f>
        <v>18</v>
      </c>
      <c r="E100">
        <f>$C100*VLOOKUP($B100,FoodDB!$A$2:$I$1011,4,0)</f>
        <v>4</v>
      </c>
      <c r="F100">
        <f>$C100*VLOOKUP($B100,FoodDB!$A$2:$I$1011,5,0)</f>
        <v>9.4</v>
      </c>
      <c r="G100">
        <f>$C100*VLOOKUP($B100,FoodDB!$A$2:$I$1011,6,0)</f>
        <v>162</v>
      </c>
      <c r="H100">
        <f>$C100*VLOOKUP($B100,FoodDB!$A$2:$I$1011,7,0)</f>
        <v>16</v>
      </c>
      <c r="I100">
        <f>$C100*VLOOKUP($B100,FoodDB!$A$2:$I$1011,8,0)</f>
        <v>37.6</v>
      </c>
      <c r="J100">
        <f>$C100*VLOOKUP($B100,FoodDB!$A$2:$I$1011,9,0)</f>
        <v>215.6</v>
      </c>
    </row>
    <row r="101" spans="1:23" x14ac:dyDescent="0.25">
      <c r="B101" s="94" t="s">
        <v>95</v>
      </c>
      <c r="C101" s="95">
        <v>8</v>
      </c>
      <c r="D101">
        <f>$C101*VLOOKUP($B101,FoodDB!$A$2:$I$1011,3,0)</f>
        <v>0</v>
      </c>
      <c r="E101">
        <f>$C101*VLOOKUP($B101,FoodDB!$A$2:$I$1011,4,0)</f>
        <v>5.1428571428571432</v>
      </c>
      <c r="F101">
        <f>$C101*VLOOKUP($B101,FoodDB!$A$2:$I$1011,5,0)</f>
        <v>2.5714285714285716</v>
      </c>
      <c r="G101">
        <f>$C101*VLOOKUP($B101,FoodDB!$A$2:$I$1011,6,0)</f>
        <v>0</v>
      </c>
      <c r="H101">
        <f>$C101*VLOOKUP($B101,FoodDB!$A$2:$I$1011,7,0)</f>
        <v>20.571428571428573</v>
      </c>
      <c r="I101">
        <f>$C101*VLOOKUP($B101,FoodDB!$A$2:$I$1011,8,0)</f>
        <v>10.285714285714286</v>
      </c>
      <c r="J101">
        <f>$C101*VLOOKUP($B101,FoodDB!$A$2:$I$1011,9,0)</f>
        <v>30.857142857142861</v>
      </c>
    </row>
    <row r="102" spans="1:23" x14ac:dyDescent="0.25">
      <c r="B102" s="94" t="s">
        <v>123</v>
      </c>
      <c r="C102" s="95">
        <v>2</v>
      </c>
      <c r="D102">
        <f>$C102*VLOOKUP($B102,FoodDB!$A$2:$I$1011,3,0)</f>
        <v>1</v>
      </c>
      <c r="E102">
        <f>$C102*VLOOKUP($B102,FoodDB!$A$2:$I$1011,4,0)</f>
        <v>4</v>
      </c>
      <c r="F102">
        <f>$C102*VLOOKUP($B102,FoodDB!$A$2:$I$1011,5,0)</f>
        <v>20</v>
      </c>
      <c r="G102">
        <f>$C102*VLOOKUP($B102,FoodDB!$A$2:$I$1011,6,0)</f>
        <v>9</v>
      </c>
      <c r="H102">
        <f>$C102*VLOOKUP($B102,FoodDB!$A$2:$I$1011,7,0)</f>
        <v>16</v>
      </c>
      <c r="I102">
        <f>$C102*VLOOKUP($B102,FoodDB!$A$2:$I$1011,8,0)</f>
        <v>80</v>
      </c>
      <c r="J102">
        <f>$C102*VLOOKUP($B102,FoodDB!$A$2:$I$1011,9,0)</f>
        <v>105</v>
      </c>
    </row>
    <row r="103" spans="1:23" x14ac:dyDescent="0.25">
      <c r="B103" s="94" t="s">
        <v>107</v>
      </c>
      <c r="C103" s="95">
        <v>0</v>
      </c>
      <c r="D103">
        <f>$C103*VLOOKUP($B103,FoodDB!$A$2:$I$1011,3,0)</f>
        <v>0</v>
      </c>
      <c r="E103">
        <f>$C103*VLOOKUP($B103,FoodDB!$A$2:$I$1011,4,0)</f>
        <v>0</v>
      </c>
      <c r="F103">
        <f>$C103*VLOOKUP($B103,FoodDB!$A$2:$I$1011,5,0)</f>
        <v>0</v>
      </c>
      <c r="G103">
        <f>$C103*VLOOKUP($B103,FoodDB!$A$2:$I$1011,6,0)</f>
        <v>0</v>
      </c>
      <c r="H103">
        <f>$C103*VLOOKUP($B103,FoodDB!$A$2:$I$1011,7,0)</f>
        <v>0</v>
      </c>
      <c r="I103">
        <f>$C103*VLOOKUP($B103,FoodDB!$A$2:$I$1011,8,0)</f>
        <v>0</v>
      </c>
      <c r="J103">
        <f>$C103*VLOOKUP($B103,FoodDB!$A$2:$I$1011,9,0)</f>
        <v>0</v>
      </c>
    </row>
    <row r="104" spans="1:23" x14ac:dyDescent="0.25">
      <c r="A104" t="s">
        <v>97</v>
      </c>
      <c r="G104">
        <f>SUM(G97:G103)</f>
        <v>402.12</v>
      </c>
      <c r="H104">
        <f>SUM(H97:H103)</f>
        <v>80.571428571428569</v>
      </c>
      <c r="I104">
        <f>SUM(I97:I103)</f>
        <v>444.20571428571429</v>
      </c>
      <c r="J104">
        <f>SUM(G104:I104)</f>
        <v>926.89714285714285</v>
      </c>
    </row>
    <row r="105" spans="1:23" x14ac:dyDescent="0.25">
      <c r="A105" t="s">
        <v>101</v>
      </c>
      <c r="B105" t="s">
        <v>102</v>
      </c>
      <c r="E105" s="98"/>
      <c r="F105" s="98"/>
      <c r="G105" s="98">
        <f>VLOOKUP($A97,LossChart!$A$3:$AB$105,14,0)</f>
        <v>416.42349958412046</v>
      </c>
      <c r="H105" s="98">
        <f>VLOOKUP($A97,LossChart!$A$3:$AB$105,15,0)</f>
        <v>80</v>
      </c>
      <c r="I105" s="98">
        <f>VLOOKUP($A97,LossChart!$A$3:$AB$105,16,0)</f>
        <v>482.47465271142238</v>
      </c>
      <c r="J105" s="98">
        <f>VLOOKUP($A97,LossChart!$A$3:$AB$105,17,0)</f>
        <v>978.89815229554279</v>
      </c>
      <c r="K105" s="98"/>
    </row>
    <row r="106" spans="1:23" x14ac:dyDescent="0.25">
      <c r="A106" t="s">
        <v>103</v>
      </c>
      <c r="G106">
        <f>G105-G104</f>
        <v>14.303499584120459</v>
      </c>
      <c r="H106">
        <f>H105-H104</f>
        <v>-0.5714285714285694</v>
      </c>
      <c r="I106">
        <f>I105-I104</f>
        <v>38.268938425708086</v>
      </c>
      <c r="J106">
        <f>J105-J104</f>
        <v>52.001009438399933</v>
      </c>
    </row>
    <row r="108" spans="1:23" ht="60" x14ac:dyDescent="0.25">
      <c r="A108" s="21" t="s">
        <v>63</v>
      </c>
      <c r="B108" s="21" t="s">
        <v>92</v>
      </c>
      <c r="C108" s="21" t="s">
        <v>93</v>
      </c>
      <c r="D108" s="92" t="str">
        <f>FoodDB!$C$1</f>
        <v>Fat
(g)</v>
      </c>
      <c r="E108" s="92" t="str">
        <f>FoodDB!$D$1</f>
        <v xml:space="preserve"> Carbs
(g)</v>
      </c>
      <c r="F108" s="92" t="str">
        <f>FoodDB!$E$1</f>
        <v>Protein
(g)</v>
      </c>
      <c r="G108" s="92" t="str">
        <f>FoodDB!$F$1</f>
        <v>Fat
(Cal)</v>
      </c>
      <c r="H108" s="92" t="str">
        <f>FoodDB!$G$1</f>
        <v>Carb
(Cal)</v>
      </c>
      <c r="I108" s="92" t="str">
        <f>FoodDB!$H$1</f>
        <v>Protein
(Cal)</v>
      </c>
      <c r="J108" s="92" t="str">
        <f>FoodDB!$I$1</f>
        <v>Total
Calories</v>
      </c>
      <c r="K108" s="92"/>
      <c r="L108" s="92" t="s">
        <v>109</v>
      </c>
      <c r="M108" s="92" t="s">
        <v>110</v>
      </c>
      <c r="N108" s="92" t="s">
        <v>111</v>
      </c>
      <c r="O108" s="92" t="s">
        <v>112</v>
      </c>
      <c r="P108" s="92" t="s">
        <v>117</v>
      </c>
      <c r="Q108" s="92" t="s">
        <v>118</v>
      </c>
      <c r="R108" s="92" t="s">
        <v>119</v>
      </c>
      <c r="S108" s="92" t="s">
        <v>120</v>
      </c>
      <c r="T108" s="92"/>
      <c r="U108" s="92"/>
      <c r="V108" s="92"/>
      <c r="W108" s="92"/>
    </row>
    <row r="109" spans="1:23" x14ac:dyDescent="0.25">
      <c r="A109" s="93">
        <f>A97+1</f>
        <v>43003</v>
      </c>
      <c r="B109" s="94" t="s">
        <v>94</v>
      </c>
      <c r="C109" s="95">
        <v>1</v>
      </c>
      <c r="D109">
        <f>$C109*VLOOKUP($B109,FoodDB!$A$2:$I$1011,3,0)</f>
        <v>0.5</v>
      </c>
      <c r="E109">
        <f>$C109*VLOOKUP($B109,FoodDB!$A$2:$I$1011,4,0)</f>
        <v>0</v>
      </c>
      <c r="F109">
        <f>$C109*VLOOKUP($B109,FoodDB!$A$2:$I$1011,5,0)</f>
        <v>50</v>
      </c>
      <c r="G109">
        <f>$C109*VLOOKUP($B109,FoodDB!$A$2:$I$1011,6,0)</f>
        <v>4.5</v>
      </c>
      <c r="H109">
        <f>$C109*VLOOKUP($B109,FoodDB!$A$2:$I$1011,7,0)</f>
        <v>0</v>
      </c>
      <c r="I109">
        <f>$C109*VLOOKUP($B109,FoodDB!$A$2:$I$1011,8,0)</f>
        <v>200</v>
      </c>
      <c r="J109">
        <f>$C109*VLOOKUP($B109,FoodDB!$A$2:$I$1011,9,0)</f>
        <v>204.5</v>
      </c>
      <c r="L109">
        <f>SUM(G109:G115)</f>
        <v>462.59999999999997</v>
      </c>
      <c r="M109">
        <f>SUM(H109:H115)</f>
        <v>52.571428571428569</v>
      </c>
      <c r="N109">
        <f>SUM(I109:I115)</f>
        <v>498.28571428571428</v>
      </c>
      <c r="O109">
        <f>SUM(L109:N109)</f>
        <v>1013.4571428571428</v>
      </c>
      <c r="P109" s="98">
        <f>VLOOKUP($A109,LossChart!$A$3:$AB$105,14,0)-L109</f>
        <v>-38.230094822270587</v>
      </c>
      <c r="Q109" s="98">
        <f>VLOOKUP($A109,LossChart!$A$3:$AB$105,15,0)-M109</f>
        <v>27.428571428571431</v>
      </c>
      <c r="R109" s="98">
        <f>VLOOKUP($A109,LossChart!$A$3:$AB$105,16,0)-N109</f>
        <v>-15.811061574291898</v>
      </c>
      <c r="S109" s="98">
        <f>VLOOKUP($A109,LossChart!$A$3:$AB$105,17,0)-O109</f>
        <v>-26.612584967991097</v>
      </c>
      <c r="T109" s="98"/>
      <c r="U109" s="98"/>
      <c r="V109" s="98"/>
      <c r="W109" s="98"/>
    </row>
    <row r="110" spans="1:23" x14ac:dyDescent="0.25">
      <c r="B110" s="94" t="s">
        <v>98</v>
      </c>
      <c r="C110" s="95">
        <v>5</v>
      </c>
      <c r="D110">
        <f>$C110*VLOOKUP($B110,FoodDB!$A$2:$I$1011,3,0)</f>
        <v>30.9</v>
      </c>
      <c r="E110">
        <f>$C110*VLOOKUP($B110,FoodDB!$A$2:$I$1011,4,0)</f>
        <v>0</v>
      </c>
      <c r="F110">
        <f>$C110*VLOOKUP($B110,FoodDB!$A$2:$I$1011,5,0)</f>
        <v>42.599999999999994</v>
      </c>
      <c r="G110">
        <f>$C110*VLOOKUP($B110,FoodDB!$A$2:$I$1011,6,0)</f>
        <v>278.09999999999997</v>
      </c>
      <c r="H110">
        <f>$C110*VLOOKUP($B110,FoodDB!$A$2:$I$1011,7,0)</f>
        <v>0</v>
      </c>
      <c r="I110">
        <f>$C110*VLOOKUP($B110,FoodDB!$A$2:$I$1011,8,0)</f>
        <v>170.39999999999998</v>
      </c>
      <c r="J110">
        <f>$C110*VLOOKUP($B110,FoodDB!$A$2:$I$1011,9,0)</f>
        <v>448.49999999999994</v>
      </c>
    </row>
    <row r="111" spans="1:23" x14ac:dyDescent="0.25">
      <c r="B111" s="94" t="s">
        <v>106</v>
      </c>
      <c r="C111" s="95">
        <v>2</v>
      </c>
      <c r="D111">
        <f>$C111*VLOOKUP($B111,FoodDB!$A$2:$I$1011,3,0)</f>
        <v>1</v>
      </c>
      <c r="E111">
        <f>$C111*VLOOKUP($B111,FoodDB!$A$2:$I$1011,4,0)</f>
        <v>0</v>
      </c>
      <c r="F111">
        <f>$C111*VLOOKUP($B111,FoodDB!$A$2:$I$1011,5,0)</f>
        <v>0</v>
      </c>
      <c r="G111">
        <f>$C111*VLOOKUP($B111,FoodDB!$A$2:$I$1011,6,0)</f>
        <v>9</v>
      </c>
      <c r="H111">
        <f>$C111*VLOOKUP($B111,FoodDB!$A$2:$I$1011,7,0)</f>
        <v>0</v>
      </c>
      <c r="I111">
        <f>$C111*VLOOKUP($B111,FoodDB!$A$2:$I$1011,8,0)</f>
        <v>0</v>
      </c>
      <c r="J111">
        <f>$C111*VLOOKUP($B111,FoodDB!$A$2:$I$1011,9,0)</f>
        <v>9</v>
      </c>
    </row>
    <row r="112" spans="1:23" x14ac:dyDescent="0.25">
      <c r="B112" s="94" t="s">
        <v>123</v>
      </c>
      <c r="C112" s="95">
        <v>2</v>
      </c>
      <c r="D112">
        <f>$C112*VLOOKUP($B112,FoodDB!$A$2:$I$1011,3,0)</f>
        <v>1</v>
      </c>
      <c r="E112">
        <f>$C112*VLOOKUP($B112,FoodDB!$A$2:$I$1011,4,0)</f>
        <v>4</v>
      </c>
      <c r="F112">
        <f>$C112*VLOOKUP($B112,FoodDB!$A$2:$I$1011,5,0)</f>
        <v>20</v>
      </c>
      <c r="G112">
        <f>$C112*VLOOKUP($B112,FoodDB!$A$2:$I$1011,6,0)</f>
        <v>9</v>
      </c>
      <c r="H112">
        <f>$C112*VLOOKUP($B112,FoodDB!$A$2:$I$1011,7,0)</f>
        <v>16</v>
      </c>
      <c r="I112">
        <f>$C112*VLOOKUP($B112,FoodDB!$A$2:$I$1011,8,0)</f>
        <v>80</v>
      </c>
      <c r="J112">
        <f>$C112*VLOOKUP($B112,FoodDB!$A$2:$I$1011,9,0)</f>
        <v>105</v>
      </c>
    </row>
    <row r="113" spans="1:19" x14ac:dyDescent="0.25">
      <c r="B113" s="94" t="s">
        <v>95</v>
      </c>
      <c r="C113" s="95">
        <v>8</v>
      </c>
      <c r="D113">
        <f>$C113*VLOOKUP($B113,FoodDB!$A$2:$I$1011,3,0)</f>
        <v>0</v>
      </c>
      <c r="E113">
        <f>$C113*VLOOKUP($B113,FoodDB!$A$2:$I$1011,4,0)</f>
        <v>5.1428571428571432</v>
      </c>
      <c r="F113">
        <f>$C113*VLOOKUP($B113,FoodDB!$A$2:$I$1011,5,0)</f>
        <v>2.5714285714285716</v>
      </c>
      <c r="G113">
        <f>$C113*VLOOKUP($B113,FoodDB!$A$2:$I$1011,6,0)</f>
        <v>0</v>
      </c>
      <c r="H113">
        <f>$C113*VLOOKUP($B113,FoodDB!$A$2:$I$1011,7,0)</f>
        <v>20.571428571428573</v>
      </c>
      <c r="I113">
        <f>$C113*VLOOKUP($B113,FoodDB!$A$2:$I$1011,8,0)</f>
        <v>10.285714285714286</v>
      </c>
      <c r="J113">
        <f>$C113*VLOOKUP($B113,FoodDB!$A$2:$I$1011,9,0)</f>
        <v>30.857142857142861</v>
      </c>
    </row>
    <row r="114" spans="1:19" x14ac:dyDescent="0.25">
      <c r="B114" s="94" t="s">
        <v>96</v>
      </c>
      <c r="C114" s="95">
        <v>2</v>
      </c>
      <c r="D114">
        <f>$C114*VLOOKUP($B114,FoodDB!$A$2:$I$1011,3,0)</f>
        <v>18</v>
      </c>
      <c r="E114">
        <f>$C114*VLOOKUP($B114,FoodDB!$A$2:$I$1011,4,0)</f>
        <v>4</v>
      </c>
      <c r="F114">
        <f>$C114*VLOOKUP($B114,FoodDB!$A$2:$I$1011,5,0)</f>
        <v>9.4</v>
      </c>
      <c r="G114">
        <f>$C114*VLOOKUP($B114,FoodDB!$A$2:$I$1011,6,0)</f>
        <v>162</v>
      </c>
      <c r="H114">
        <f>$C114*VLOOKUP($B114,FoodDB!$A$2:$I$1011,7,0)</f>
        <v>16</v>
      </c>
      <c r="I114">
        <f>$C114*VLOOKUP($B114,FoodDB!$A$2:$I$1011,8,0)</f>
        <v>37.6</v>
      </c>
      <c r="J114">
        <f>$C114*VLOOKUP($B114,FoodDB!$A$2:$I$1011,9,0)</f>
        <v>215.6</v>
      </c>
    </row>
    <row r="115" spans="1:19" x14ac:dyDescent="0.25">
      <c r="B115" s="94" t="s">
        <v>107</v>
      </c>
      <c r="C115" s="95">
        <v>0</v>
      </c>
      <c r="D115">
        <f>$C115*VLOOKUP($B115,FoodDB!$A$2:$I$1011,3,0)</f>
        <v>0</v>
      </c>
      <c r="E115">
        <f>$C115*VLOOKUP($B115,FoodDB!$A$2:$I$1011,4,0)</f>
        <v>0</v>
      </c>
      <c r="F115">
        <f>$C115*VLOOKUP($B115,FoodDB!$A$2:$I$1011,5,0)</f>
        <v>0</v>
      </c>
      <c r="G115">
        <f>$C115*VLOOKUP($B115,FoodDB!$A$2:$I$1011,6,0)</f>
        <v>0</v>
      </c>
      <c r="H115">
        <f>$C115*VLOOKUP($B115,FoodDB!$A$2:$I$1011,7,0)</f>
        <v>0</v>
      </c>
      <c r="I115">
        <f>$C115*VLOOKUP($B115,FoodDB!$A$2:$I$1011,8,0)</f>
        <v>0</v>
      </c>
      <c r="J115">
        <f>$C115*VLOOKUP($B115,FoodDB!$A$2:$I$1011,9,0)</f>
        <v>0</v>
      </c>
    </row>
    <row r="116" spans="1:19" x14ac:dyDescent="0.25">
      <c r="A116" t="s">
        <v>97</v>
      </c>
      <c r="G116">
        <f>SUM(G109:G115)</f>
        <v>462.59999999999997</v>
      </c>
      <c r="H116">
        <f>SUM(H109:H115)</f>
        <v>52.571428571428569</v>
      </c>
      <c r="I116">
        <f>SUM(I109:I115)</f>
        <v>498.28571428571428</v>
      </c>
      <c r="J116">
        <f>SUM(G116:I116)</f>
        <v>1013.4571428571428</v>
      </c>
    </row>
    <row r="117" spans="1:19" x14ac:dyDescent="0.25">
      <c r="A117" t="s">
        <v>101</v>
      </c>
      <c r="B117" t="s">
        <v>102</v>
      </c>
      <c r="E117" s="98"/>
      <c r="F117" s="98"/>
      <c r="G117" s="98">
        <f>VLOOKUP($A109,LossChart!$A$3:$AB$105,14,0)</f>
        <v>424.36990517772938</v>
      </c>
      <c r="H117" s="98">
        <f>VLOOKUP($A109,LossChart!$A$3:$AB$105,15,0)</f>
        <v>80</v>
      </c>
      <c r="I117" s="98">
        <f>VLOOKUP($A109,LossChart!$A$3:$AB$105,16,0)</f>
        <v>482.47465271142238</v>
      </c>
      <c r="J117" s="98">
        <f>VLOOKUP($A109,LossChart!$A$3:$AB$105,17,0)</f>
        <v>986.8445578891517</v>
      </c>
      <c r="K117" s="98"/>
    </row>
    <row r="118" spans="1:19" x14ac:dyDescent="0.25">
      <c r="A118" t="s">
        <v>103</v>
      </c>
      <c r="G118">
        <f>G117-G116</f>
        <v>-38.230094822270587</v>
      </c>
      <c r="H118">
        <f>H117-H116</f>
        <v>27.428571428571431</v>
      </c>
      <c r="I118">
        <f>I117-I116</f>
        <v>-15.811061574291898</v>
      </c>
      <c r="J118">
        <f>J117-J116</f>
        <v>-26.612584967991097</v>
      </c>
    </row>
    <row r="120" spans="1:19" ht="60" x14ac:dyDescent="0.25">
      <c r="A120" s="21" t="s">
        <v>63</v>
      </c>
      <c r="B120" s="21" t="s">
        <v>92</v>
      </c>
      <c r="C120" s="21" t="s">
        <v>93</v>
      </c>
      <c r="D120" s="92" t="str">
        <f>FoodDB!$C$1</f>
        <v>Fat
(g)</v>
      </c>
      <c r="E120" s="92" t="str">
        <f>FoodDB!$D$1</f>
        <v xml:space="preserve"> Carbs
(g)</v>
      </c>
      <c r="F120" s="92" t="str">
        <f>FoodDB!$E$1</f>
        <v>Protein
(g)</v>
      </c>
      <c r="G120" s="92" t="str">
        <f>FoodDB!$F$1</f>
        <v>Fat
(Cal)</v>
      </c>
      <c r="H120" s="92" t="str">
        <f>FoodDB!$G$1</f>
        <v>Carb
(Cal)</v>
      </c>
      <c r="I120" s="92" t="str">
        <f>FoodDB!$H$1</f>
        <v>Protein
(Cal)</v>
      </c>
      <c r="J120" s="92" t="str">
        <f>FoodDB!$I$1</f>
        <v>Total
Calories</v>
      </c>
      <c r="K120" s="92"/>
      <c r="L120" s="92" t="s">
        <v>109</v>
      </c>
      <c r="M120" s="92" t="s">
        <v>110</v>
      </c>
      <c r="N120" s="92" t="s">
        <v>111</v>
      </c>
      <c r="O120" s="92" t="s">
        <v>112</v>
      </c>
      <c r="P120" s="92" t="s">
        <v>117</v>
      </c>
      <c r="Q120" s="92" t="s">
        <v>118</v>
      </c>
      <c r="R120" s="92" t="s">
        <v>119</v>
      </c>
      <c r="S120" s="92" t="s">
        <v>120</v>
      </c>
    </row>
    <row r="121" spans="1:19" x14ac:dyDescent="0.25">
      <c r="A121" s="93">
        <f>A109+1</f>
        <v>43004</v>
      </c>
      <c r="B121" s="94" t="s">
        <v>124</v>
      </c>
      <c r="C121" s="95">
        <v>2</v>
      </c>
      <c r="D121">
        <f>$C121*VLOOKUP($B121,FoodDB!$A$2:$I$1011,3,0)</f>
        <v>3</v>
      </c>
      <c r="E121">
        <f>$C121*VLOOKUP($B121,FoodDB!$A$2:$I$1011,4,0)</f>
        <v>6</v>
      </c>
      <c r="F121">
        <f>$C121*VLOOKUP($B121,FoodDB!$A$2:$I$1011,5,0)</f>
        <v>50</v>
      </c>
      <c r="G121">
        <f>$C121*VLOOKUP($B121,FoodDB!$A$2:$I$1011,6,0)</f>
        <v>27</v>
      </c>
      <c r="H121">
        <f>$C121*VLOOKUP($B121,FoodDB!$A$2:$I$1011,7,0)</f>
        <v>24</v>
      </c>
      <c r="I121">
        <f>$C121*VLOOKUP($B121,FoodDB!$A$2:$I$1011,8,0)</f>
        <v>200</v>
      </c>
      <c r="J121">
        <f>$C121*VLOOKUP($B121,FoodDB!$A$2:$I$1011,9,0)</f>
        <v>251</v>
      </c>
      <c r="L121">
        <f>SUM(G121:G127)</f>
        <v>469.34999999999997</v>
      </c>
      <c r="M121">
        <f>SUM(H121:H127)</f>
        <v>60.571428571428569</v>
      </c>
      <c r="N121">
        <f>SUM(I121:I127)</f>
        <v>518.28571428571422</v>
      </c>
      <c r="O121">
        <f>SUM(L121:N121)</f>
        <v>1048.2071428571428</v>
      </c>
      <c r="P121" s="98">
        <f>VLOOKUP($A121,LossChart!$A$3:$AB$105,14,0)-L121</f>
        <v>-37.245171581265197</v>
      </c>
      <c r="Q121" s="98">
        <f>VLOOKUP($A121,LossChart!$A$3:$AB$105,15,0)-M121</f>
        <v>19.428571428571431</v>
      </c>
      <c r="R121" s="98">
        <f>VLOOKUP($A121,LossChart!$A$3:$AB$105,16,0)-N121</f>
        <v>-35.811061574291841</v>
      </c>
      <c r="S121" s="98">
        <f>VLOOKUP($A121,LossChart!$A$3:$AB$105,17,0)-O121</f>
        <v>-53.627661726985707</v>
      </c>
    </row>
    <row r="122" spans="1:19" x14ac:dyDescent="0.25">
      <c r="B122" s="94" t="s">
        <v>94</v>
      </c>
      <c r="C122" s="95">
        <v>0.5</v>
      </c>
      <c r="D122">
        <f>$C122*VLOOKUP($B122,FoodDB!$A$2:$I$1011,3,0)</f>
        <v>0.25</v>
      </c>
      <c r="E122">
        <f>$C122*VLOOKUP($B122,FoodDB!$A$2:$I$1011,4,0)</f>
        <v>0</v>
      </c>
      <c r="F122">
        <f>$C122*VLOOKUP($B122,FoodDB!$A$2:$I$1011,5,0)</f>
        <v>25</v>
      </c>
      <c r="G122">
        <f>$C122*VLOOKUP($B122,FoodDB!$A$2:$I$1011,6,0)</f>
        <v>2.25</v>
      </c>
      <c r="H122">
        <f>$C122*VLOOKUP($B122,FoodDB!$A$2:$I$1011,7,0)</f>
        <v>0</v>
      </c>
      <c r="I122">
        <f>$C122*VLOOKUP($B122,FoodDB!$A$2:$I$1011,8,0)</f>
        <v>100</v>
      </c>
      <c r="J122">
        <f>$C122*VLOOKUP($B122,FoodDB!$A$2:$I$1011,9,0)</f>
        <v>102.25</v>
      </c>
    </row>
    <row r="123" spans="1:19" x14ac:dyDescent="0.25">
      <c r="B123" s="94" t="s">
        <v>98</v>
      </c>
      <c r="C123" s="95">
        <v>5</v>
      </c>
      <c r="D123">
        <f>$C123*VLOOKUP($B123,FoodDB!$A$2:$I$1011,3,0)</f>
        <v>30.9</v>
      </c>
      <c r="E123">
        <f>$C123*VLOOKUP($B123,FoodDB!$A$2:$I$1011,4,0)</f>
        <v>0</v>
      </c>
      <c r="F123">
        <f>$C123*VLOOKUP($B123,FoodDB!$A$2:$I$1011,5,0)</f>
        <v>42.599999999999994</v>
      </c>
      <c r="G123">
        <f>$C123*VLOOKUP($B123,FoodDB!$A$2:$I$1011,6,0)</f>
        <v>278.09999999999997</v>
      </c>
      <c r="H123">
        <f>$C123*VLOOKUP($B123,FoodDB!$A$2:$I$1011,7,0)</f>
        <v>0</v>
      </c>
      <c r="I123">
        <f>$C123*VLOOKUP($B123,FoodDB!$A$2:$I$1011,8,0)</f>
        <v>170.39999999999998</v>
      </c>
      <c r="J123">
        <f>$C123*VLOOKUP($B123,FoodDB!$A$2:$I$1011,9,0)</f>
        <v>448.49999999999994</v>
      </c>
    </row>
    <row r="124" spans="1:19" x14ac:dyDescent="0.25">
      <c r="B124" s="94" t="s">
        <v>95</v>
      </c>
      <c r="C124" s="95">
        <v>8</v>
      </c>
      <c r="D124">
        <f>$C124*VLOOKUP($B124,FoodDB!$A$2:$I$1011,3,0)</f>
        <v>0</v>
      </c>
      <c r="E124">
        <f>$C124*VLOOKUP($B124,FoodDB!$A$2:$I$1011,4,0)</f>
        <v>5.1428571428571432</v>
      </c>
      <c r="F124">
        <f>$C124*VLOOKUP($B124,FoodDB!$A$2:$I$1011,5,0)</f>
        <v>2.5714285714285716</v>
      </c>
      <c r="G124">
        <f>$C124*VLOOKUP($B124,FoodDB!$A$2:$I$1011,6,0)</f>
        <v>0</v>
      </c>
      <c r="H124">
        <f>$C124*VLOOKUP($B124,FoodDB!$A$2:$I$1011,7,0)</f>
        <v>20.571428571428573</v>
      </c>
      <c r="I124">
        <f>$C124*VLOOKUP($B124,FoodDB!$A$2:$I$1011,8,0)</f>
        <v>10.285714285714286</v>
      </c>
      <c r="J124">
        <f>$C124*VLOOKUP($B124,FoodDB!$A$2:$I$1011,9,0)</f>
        <v>30.857142857142861</v>
      </c>
    </row>
    <row r="125" spans="1:19" x14ac:dyDescent="0.25">
      <c r="B125" s="94" t="s">
        <v>96</v>
      </c>
      <c r="C125" s="95">
        <v>2</v>
      </c>
      <c r="D125">
        <f>$C125*VLOOKUP($B125,FoodDB!$A$2:$I$1011,3,0)</f>
        <v>18</v>
      </c>
      <c r="E125">
        <f>$C125*VLOOKUP($B125,FoodDB!$A$2:$I$1011,4,0)</f>
        <v>4</v>
      </c>
      <c r="F125">
        <f>$C125*VLOOKUP($B125,FoodDB!$A$2:$I$1011,5,0)</f>
        <v>9.4</v>
      </c>
      <c r="G125">
        <f>$C125*VLOOKUP($B125,FoodDB!$A$2:$I$1011,6,0)</f>
        <v>162</v>
      </c>
      <c r="H125">
        <f>$C125*VLOOKUP($B125,FoodDB!$A$2:$I$1011,7,0)</f>
        <v>16</v>
      </c>
      <c r="I125">
        <f>$C125*VLOOKUP($B125,FoodDB!$A$2:$I$1011,8,0)</f>
        <v>37.6</v>
      </c>
      <c r="J125">
        <f>$C125*VLOOKUP($B125,FoodDB!$A$2:$I$1011,9,0)</f>
        <v>215.6</v>
      </c>
    </row>
    <row r="126" spans="1:19" x14ac:dyDescent="0.25">
      <c r="B126" s="94" t="s">
        <v>107</v>
      </c>
      <c r="C126" s="95">
        <v>0</v>
      </c>
      <c r="D126">
        <f>$C126*VLOOKUP($B126,FoodDB!$A$2:$I$1011,3,0)</f>
        <v>0</v>
      </c>
      <c r="E126">
        <f>$C126*VLOOKUP($B126,FoodDB!$A$2:$I$1011,4,0)</f>
        <v>0</v>
      </c>
      <c r="F126">
        <f>$C126*VLOOKUP($B126,FoodDB!$A$2:$I$1011,5,0)</f>
        <v>0</v>
      </c>
      <c r="G126">
        <f>$C126*VLOOKUP($B126,FoodDB!$A$2:$I$1011,6,0)</f>
        <v>0</v>
      </c>
      <c r="H126">
        <f>$C126*VLOOKUP($B126,FoodDB!$A$2:$I$1011,7,0)</f>
        <v>0</v>
      </c>
      <c r="I126">
        <f>$C126*VLOOKUP($B126,FoodDB!$A$2:$I$1011,8,0)</f>
        <v>0</v>
      </c>
      <c r="J126">
        <f>$C126*VLOOKUP($B126,FoodDB!$A$2:$I$1011,9,0)</f>
        <v>0</v>
      </c>
    </row>
    <row r="127" spans="1:19" x14ac:dyDescent="0.25">
      <c r="B127" s="94" t="s">
        <v>107</v>
      </c>
      <c r="C127" s="95">
        <v>0</v>
      </c>
      <c r="D127">
        <f>$C127*VLOOKUP($B127,FoodDB!$A$2:$I$1011,3,0)</f>
        <v>0</v>
      </c>
      <c r="E127">
        <f>$C127*VLOOKUP($B127,FoodDB!$A$2:$I$1011,4,0)</f>
        <v>0</v>
      </c>
      <c r="F127">
        <f>$C127*VLOOKUP($B127,FoodDB!$A$2:$I$1011,5,0)</f>
        <v>0</v>
      </c>
      <c r="G127">
        <f>$C127*VLOOKUP($B127,FoodDB!$A$2:$I$1011,6,0)</f>
        <v>0</v>
      </c>
      <c r="H127">
        <f>$C127*VLOOKUP($B127,FoodDB!$A$2:$I$1011,7,0)</f>
        <v>0</v>
      </c>
      <c r="I127">
        <f>$C127*VLOOKUP($B127,FoodDB!$A$2:$I$1011,8,0)</f>
        <v>0</v>
      </c>
      <c r="J127">
        <f>$C127*VLOOKUP($B127,FoodDB!$A$2:$I$1011,9,0)</f>
        <v>0</v>
      </c>
    </row>
    <row r="129" spans="1:23" ht="60" x14ac:dyDescent="0.25">
      <c r="A129" s="21" t="s">
        <v>63</v>
      </c>
      <c r="B129" s="21" t="s">
        <v>92</v>
      </c>
      <c r="C129" s="21" t="s">
        <v>93</v>
      </c>
      <c r="D129" s="92" t="str">
        <f>FoodDB!$C$1</f>
        <v>Fat
(g)</v>
      </c>
      <c r="E129" s="92" t="str">
        <f>FoodDB!$D$1</f>
        <v xml:space="preserve"> Carbs
(g)</v>
      </c>
      <c r="F129" s="92" t="str">
        <f>FoodDB!$E$1</f>
        <v>Protein
(g)</v>
      </c>
      <c r="G129" s="92" t="str">
        <f>FoodDB!$F$1</f>
        <v>Fat
(Cal)</v>
      </c>
      <c r="H129" s="92" t="str">
        <f>FoodDB!$G$1</f>
        <v>Carb
(Cal)</v>
      </c>
      <c r="I129" s="92" t="str">
        <f>FoodDB!$H$1</f>
        <v>Protein
(Cal)</v>
      </c>
      <c r="J129" s="92" t="str">
        <f>FoodDB!$I$1</f>
        <v>Total
Calories</v>
      </c>
      <c r="K129" s="92"/>
      <c r="L129" s="92" t="s">
        <v>109</v>
      </c>
      <c r="M129" s="92" t="s">
        <v>110</v>
      </c>
      <c r="N129" s="92" t="s">
        <v>111</v>
      </c>
      <c r="O129" s="92" t="s">
        <v>112</v>
      </c>
      <c r="P129" s="92" t="s">
        <v>117</v>
      </c>
      <c r="Q129" s="92" t="s">
        <v>118</v>
      </c>
      <c r="R129" s="92" t="s">
        <v>119</v>
      </c>
      <c r="S129" s="92" t="s">
        <v>120</v>
      </c>
      <c r="T129" s="92"/>
      <c r="U129" s="92"/>
      <c r="V129" s="92"/>
      <c r="W129" s="92"/>
    </row>
    <row r="130" spans="1:23" x14ac:dyDescent="0.25">
      <c r="A130" s="93">
        <f>A121+1</f>
        <v>43005</v>
      </c>
      <c r="B130" s="94" t="s">
        <v>124</v>
      </c>
      <c r="C130" s="95">
        <v>1</v>
      </c>
      <c r="D130">
        <f>$C130*VLOOKUP($B130,FoodDB!$A$2:$I$1011,3,0)</f>
        <v>1.5</v>
      </c>
      <c r="E130">
        <f>$C130*VLOOKUP($B130,FoodDB!$A$2:$I$1011,4,0)</f>
        <v>3</v>
      </c>
      <c r="F130">
        <f>$C130*VLOOKUP($B130,FoodDB!$A$2:$I$1011,5,0)</f>
        <v>25</v>
      </c>
      <c r="G130">
        <f>$C130*VLOOKUP($B130,FoodDB!$A$2:$I$1011,6,0)</f>
        <v>13.5</v>
      </c>
      <c r="H130">
        <f>$C130*VLOOKUP($B130,FoodDB!$A$2:$I$1011,7,0)</f>
        <v>12</v>
      </c>
      <c r="I130">
        <f>$C130*VLOOKUP($B130,FoodDB!$A$2:$I$1011,8,0)</f>
        <v>100</v>
      </c>
      <c r="J130">
        <f>$C130*VLOOKUP($B130,FoodDB!$A$2:$I$1011,9,0)</f>
        <v>125.5</v>
      </c>
      <c r="L130">
        <f>SUM(G130:G136)</f>
        <v>452.07</v>
      </c>
      <c r="M130">
        <f>SUM(H130:H136)</f>
        <v>20</v>
      </c>
      <c r="N130">
        <f>SUM(I130:I136)</f>
        <v>525.6</v>
      </c>
      <c r="O130">
        <f>SUM(L130:N130)</f>
        <v>997.67000000000007</v>
      </c>
      <c r="P130" s="98">
        <f>VLOOKUP($A130,LossChart!$A$3:$AB$105,14,0)-L130</f>
        <v>-12.441991574590077</v>
      </c>
      <c r="Q130" s="98">
        <f>VLOOKUP($A130,LossChart!$A$3:$AB$105,15,0)-M130</f>
        <v>60</v>
      </c>
      <c r="R130" s="98">
        <f>VLOOKUP($A130,LossChart!$A$3:$AB$105,16,0)-N130</f>
        <v>-43.125347288577643</v>
      </c>
      <c r="S130" s="98">
        <f>VLOOKUP($A130,LossChart!$A$3:$AB$105,17,0)-O130</f>
        <v>4.4326611368321664</v>
      </c>
      <c r="T130" s="98"/>
      <c r="U130" s="98"/>
      <c r="V130" s="98"/>
      <c r="W130" s="98"/>
    </row>
    <row r="131" spans="1:23" x14ac:dyDescent="0.25">
      <c r="B131" s="94" t="s">
        <v>94</v>
      </c>
      <c r="C131" s="95">
        <v>0.5</v>
      </c>
      <c r="D131">
        <f>$C131*VLOOKUP($B131,FoodDB!$A$2:$I$1011,3,0)</f>
        <v>0.25</v>
      </c>
      <c r="E131">
        <f>$C131*VLOOKUP($B131,FoodDB!$A$2:$I$1011,4,0)</f>
        <v>0</v>
      </c>
      <c r="F131">
        <f>$C131*VLOOKUP($B131,FoodDB!$A$2:$I$1011,5,0)</f>
        <v>25</v>
      </c>
      <c r="G131">
        <f>$C131*VLOOKUP($B131,FoodDB!$A$2:$I$1011,6,0)</f>
        <v>2.25</v>
      </c>
      <c r="H131">
        <f>$C131*VLOOKUP($B131,FoodDB!$A$2:$I$1011,7,0)</f>
        <v>0</v>
      </c>
      <c r="I131">
        <f>$C131*VLOOKUP($B131,FoodDB!$A$2:$I$1011,8,0)</f>
        <v>100</v>
      </c>
      <c r="J131">
        <f>$C131*VLOOKUP($B131,FoodDB!$A$2:$I$1011,9,0)</f>
        <v>102.25</v>
      </c>
    </row>
    <row r="132" spans="1:23" x14ac:dyDescent="0.25">
      <c r="B132" s="94" t="s">
        <v>104</v>
      </c>
      <c r="C132" s="95">
        <v>1.1000000000000001</v>
      </c>
      <c r="D132">
        <f>$C132*VLOOKUP($B132,FoodDB!$A$2:$I$1011,3,0)</f>
        <v>0.88000000000000012</v>
      </c>
      <c r="E132">
        <f>$C132*VLOOKUP($B132,FoodDB!$A$2:$I$1011,4,0)</f>
        <v>0</v>
      </c>
      <c r="F132">
        <f>$C132*VLOOKUP($B132,FoodDB!$A$2:$I$1011,5,0)</f>
        <v>37.400000000000006</v>
      </c>
      <c r="G132">
        <f>$C132*VLOOKUP($B132,FoodDB!$A$2:$I$1011,6,0)</f>
        <v>7.9200000000000008</v>
      </c>
      <c r="H132">
        <f>$C132*VLOOKUP($B132,FoodDB!$A$2:$I$1011,7,0)</f>
        <v>0</v>
      </c>
      <c r="I132">
        <f>$C132*VLOOKUP($B132,FoodDB!$A$2:$I$1011,8,0)</f>
        <v>149.60000000000002</v>
      </c>
      <c r="J132">
        <f>$C132*VLOOKUP($B132,FoodDB!$A$2:$I$1011,9,0)</f>
        <v>157.52000000000001</v>
      </c>
    </row>
    <row r="133" spans="1:23" x14ac:dyDescent="0.25">
      <c r="B133" s="94" t="s">
        <v>125</v>
      </c>
      <c r="C133" s="95">
        <v>1</v>
      </c>
      <c r="D133">
        <f>$C133*VLOOKUP($B133,FoodDB!$A$2:$I$1011,3,0)</f>
        <v>3.6</v>
      </c>
      <c r="E133">
        <f>$C133*VLOOKUP($B133,FoodDB!$A$2:$I$1011,4,0)</f>
        <v>0</v>
      </c>
      <c r="F133">
        <f>$C133*VLOOKUP($B133,FoodDB!$A$2:$I$1011,5,0)</f>
        <v>31</v>
      </c>
      <c r="G133">
        <f>$C133*VLOOKUP($B133,FoodDB!$A$2:$I$1011,6,0)</f>
        <v>32.4</v>
      </c>
      <c r="H133">
        <f>$C133*VLOOKUP($B133,FoodDB!$A$2:$I$1011,7,0)</f>
        <v>0</v>
      </c>
      <c r="I133">
        <f>$C133*VLOOKUP($B133,FoodDB!$A$2:$I$1011,8,0)</f>
        <v>124</v>
      </c>
      <c r="J133">
        <f>$C133*VLOOKUP($B133,FoodDB!$A$2:$I$1011,9,0)</f>
        <v>156.4</v>
      </c>
    </row>
    <row r="134" spans="1:23" x14ac:dyDescent="0.25">
      <c r="B134" s="94" t="s">
        <v>126</v>
      </c>
      <c r="C134" s="95">
        <v>1</v>
      </c>
      <c r="D134">
        <f>$C134*VLOOKUP($B134,FoodDB!$A$2:$I$1011,3,0)</f>
        <v>15</v>
      </c>
      <c r="E134">
        <f>$C134*VLOOKUP($B134,FoodDB!$A$2:$I$1011,4,0)</f>
        <v>2</v>
      </c>
      <c r="F134">
        <f>$C134*VLOOKUP($B134,FoodDB!$A$2:$I$1011,5,0)</f>
        <v>7</v>
      </c>
      <c r="G134">
        <f>$C134*VLOOKUP($B134,FoodDB!$A$2:$I$1011,6,0)</f>
        <v>135</v>
      </c>
      <c r="H134">
        <f>$C134*VLOOKUP($B134,FoodDB!$A$2:$I$1011,7,0)</f>
        <v>8</v>
      </c>
      <c r="I134">
        <f>$C134*VLOOKUP($B134,FoodDB!$A$2:$I$1011,8,0)</f>
        <v>28</v>
      </c>
      <c r="J134">
        <f>$C134*VLOOKUP($B134,FoodDB!$A$2:$I$1011,9,0)</f>
        <v>171</v>
      </c>
    </row>
    <row r="135" spans="1:23" x14ac:dyDescent="0.25">
      <c r="B135" s="94" t="s">
        <v>108</v>
      </c>
      <c r="C135" s="95">
        <v>2</v>
      </c>
      <c r="D135">
        <f>$C135*VLOOKUP($B135,FoodDB!$A$2:$I$1011,3,0)</f>
        <v>24</v>
      </c>
      <c r="E135">
        <f>$C135*VLOOKUP($B135,FoodDB!$A$2:$I$1011,4,0)</f>
        <v>0</v>
      </c>
      <c r="F135">
        <f>$C135*VLOOKUP($B135,FoodDB!$A$2:$I$1011,5,0)</f>
        <v>0</v>
      </c>
      <c r="G135">
        <f>$C135*VLOOKUP($B135,FoodDB!$A$2:$I$1011,6,0)</f>
        <v>216</v>
      </c>
      <c r="H135">
        <f>$C135*VLOOKUP($B135,FoodDB!$A$2:$I$1011,7,0)</f>
        <v>0</v>
      </c>
      <c r="I135">
        <f>$C135*VLOOKUP($B135,FoodDB!$A$2:$I$1011,8,0)</f>
        <v>0</v>
      </c>
      <c r="J135">
        <f>$C135*VLOOKUP($B135,FoodDB!$A$2:$I$1011,9,0)</f>
        <v>216</v>
      </c>
    </row>
    <row r="136" spans="1:23" x14ac:dyDescent="0.25">
      <c r="B136" s="94" t="s">
        <v>100</v>
      </c>
      <c r="C136" s="95">
        <v>1</v>
      </c>
      <c r="D136">
        <f>$C136*VLOOKUP($B136,FoodDB!$A$2:$I$1011,3,0)</f>
        <v>5</v>
      </c>
      <c r="E136">
        <f>$C136*VLOOKUP($B136,FoodDB!$A$2:$I$1011,4,0)</f>
        <v>0</v>
      </c>
      <c r="F136">
        <f>$C136*VLOOKUP($B136,FoodDB!$A$2:$I$1011,5,0)</f>
        <v>6</v>
      </c>
      <c r="G136">
        <f>$C136*VLOOKUP($B136,FoodDB!$A$2:$I$1011,6,0)</f>
        <v>45</v>
      </c>
      <c r="H136">
        <f>$C136*VLOOKUP($B136,FoodDB!$A$2:$I$1011,7,0)</f>
        <v>0</v>
      </c>
      <c r="I136">
        <f>$C136*VLOOKUP($B136,FoodDB!$A$2:$I$1011,8,0)</f>
        <v>24</v>
      </c>
      <c r="J136">
        <f>$C136*VLOOKUP($B136,FoodDB!$A$2:$I$1011,9,0)</f>
        <v>69</v>
      </c>
    </row>
    <row r="137" spans="1:23" x14ac:dyDescent="0.25">
      <c r="A137" t="s">
        <v>97</v>
      </c>
      <c r="G137">
        <f>SUM(G130:G136)</f>
        <v>452.07</v>
      </c>
      <c r="H137">
        <f>SUM(H130:H136)</f>
        <v>20</v>
      </c>
      <c r="I137">
        <f>SUM(I130:I136)</f>
        <v>525.6</v>
      </c>
      <c r="J137">
        <f>SUM(G137:I137)</f>
        <v>997.67000000000007</v>
      </c>
    </row>
    <row r="138" spans="1:23" x14ac:dyDescent="0.25">
      <c r="A138" t="s">
        <v>101</v>
      </c>
      <c r="B138" t="s">
        <v>102</v>
      </c>
      <c r="E138" s="98"/>
      <c r="F138" s="98"/>
      <c r="G138" s="98">
        <f>VLOOKUP($A130,LossChart!$A$3:$AB$105,14,0)</f>
        <v>439.62800842540992</v>
      </c>
      <c r="H138" s="98">
        <f>VLOOKUP($A130,LossChart!$A$3:$AB$105,15,0)</f>
        <v>80</v>
      </c>
      <c r="I138" s="98">
        <f>VLOOKUP($A130,LossChart!$A$3:$AB$105,16,0)</f>
        <v>482.47465271142238</v>
      </c>
      <c r="J138" s="98">
        <f>VLOOKUP($A130,LossChart!$A$3:$AB$105,17,0)</f>
        <v>1002.1026611368322</v>
      </c>
      <c r="K138" s="98"/>
    </row>
    <row r="139" spans="1:23" x14ac:dyDescent="0.25">
      <c r="A139" t="s">
        <v>103</v>
      </c>
      <c r="G139">
        <f>G138-G137</f>
        <v>-12.441991574590077</v>
      </c>
      <c r="H139">
        <f>H138-H137</f>
        <v>60</v>
      </c>
      <c r="I139">
        <f>I138-I137</f>
        <v>-43.125347288577643</v>
      </c>
      <c r="J139">
        <f>J138-J137</f>
        <v>4.4326611368321664</v>
      </c>
    </row>
    <row r="141" spans="1:23" ht="60" x14ac:dyDescent="0.25">
      <c r="A141" s="21" t="s">
        <v>63</v>
      </c>
      <c r="B141" s="21" t="s">
        <v>92</v>
      </c>
      <c r="C141" s="21" t="s">
        <v>93</v>
      </c>
      <c r="D141" s="92" t="str">
        <f>FoodDB!$C$1</f>
        <v>Fat
(g)</v>
      </c>
      <c r="E141" s="92" t="str">
        <f>FoodDB!$D$1</f>
        <v xml:space="preserve"> Carbs
(g)</v>
      </c>
      <c r="F141" s="92" t="str">
        <f>FoodDB!$E$1</f>
        <v>Protein
(g)</v>
      </c>
      <c r="G141" s="92" t="str">
        <f>FoodDB!$F$1</f>
        <v>Fat
(Cal)</v>
      </c>
      <c r="H141" s="92" t="str">
        <f>FoodDB!$G$1</f>
        <v>Carb
(Cal)</v>
      </c>
      <c r="I141" s="92" t="str">
        <f>FoodDB!$H$1</f>
        <v>Protein
(Cal)</v>
      </c>
      <c r="J141" s="92" t="str">
        <f>FoodDB!$I$1</f>
        <v>Total
Calories</v>
      </c>
      <c r="K141" s="92"/>
      <c r="L141" s="92" t="s">
        <v>109</v>
      </c>
      <c r="M141" s="92" t="s">
        <v>110</v>
      </c>
      <c r="N141" s="92" t="s">
        <v>111</v>
      </c>
      <c r="O141" s="92" t="s">
        <v>112</v>
      </c>
      <c r="P141" s="92" t="s">
        <v>117</v>
      </c>
      <c r="Q141" s="92" t="s">
        <v>118</v>
      </c>
      <c r="R141" s="92" t="s">
        <v>119</v>
      </c>
      <c r="S141" s="92" t="s">
        <v>120</v>
      </c>
      <c r="T141" s="92"/>
      <c r="U141" s="92"/>
      <c r="V141" s="92"/>
      <c r="W141" s="92"/>
    </row>
    <row r="142" spans="1:23" x14ac:dyDescent="0.25">
      <c r="A142" s="93">
        <f>A130+1</f>
        <v>43006</v>
      </c>
      <c r="B142" s="94" t="s">
        <v>124</v>
      </c>
      <c r="C142" s="95">
        <v>1</v>
      </c>
      <c r="D142">
        <f>$C142*VLOOKUP($B142,FoodDB!$A$2:$I$1011,3,0)</f>
        <v>1.5</v>
      </c>
      <c r="E142">
        <f>$C142*VLOOKUP($B142,FoodDB!$A$2:$I$1011,4,0)</f>
        <v>3</v>
      </c>
      <c r="F142">
        <f>$C142*VLOOKUP($B142,FoodDB!$A$2:$I$1011,5,0)</f>
        <v>25</v>
      </c>
      <c r="G142">
        <f>$C142*VLOOKUP($B142,FoodDB!$A$2:$I$1011,6,0)</f>
        <v>13.5</v>
      </c>
      <c r="H142">
        <f>$C142*VLOOKUP($B142,FoodDB!$A$2:$I$1011,7,0)</f>
        <v>12</v>
      </c>
      <c r="I142">
        <f>$C142*VLOOKUP($B142,FoodDB!$A$2:$I$1011,8,0)</f>
        <v>100</v>
      </c>
      <c r="J142">
        <f>$C142*VLOOKUP($B142,FoodDB!$A$2:$I$1011,9,0)</f>
        <v>125.5</v>
      </c>
      <c r="L142">
        <f>SUM(G142:G148)</f>
        <v>519.75</v>
      </c>
      <c r="M142">
        <f>SUM(H142:H148)</f>
        <v>55.542857142857144</v>
      </c>
      <c r="N142">
        <f>SUM(I142:I148)</f>
        <v>463.37142857142857</v>
      </c>
      <c r="O142">
        <f>SUM(L142:N142)</f>
        <v>1038.6642857142858</v>
      </c>
      <c r="P142" s="98">
        <f>VLOOKUP($A142,LossChart!$A$3:$AB$105,14,0)-L142</f>
        <v>-72.381111630718124</v>
      </c>
      <c r="Q142" s="98">
        <f>VLOOKUP($A142,LossChart!$A$3:$AB$105,15,0)-M142</f>
        <v>24.457142857142856</v>
      </c>
      <c r="R142" s="98">
        <f>VLOOKUP($A142,LossChart!$A$3:$AB$105,16,0)-N142</f>
        <v>19.103224139993813</v>
      </c>
      <c r="S142" s="98">
        <f>VLOOKUP($A142,LossChart!$A$3:$AB$105,17,0)-O142</f>
        <v>-28.820744633581626</v>
      </c>
      <c r="T142" s="98"/>
      <c r="U142" s="98"/>
      <c r="V142" s="98"/>
      <c r="W142" s="98"/>
    </row>
    <row r="143" spans="1:23" x14ac:dyDescent="0.25">
      <c r="B143" s="94" t="s">
        <v>94</v>
      </c>
      <c r="C143" s="95">
        <v>0.5</v>
      </c>
      <c r="D143">
        <f>$C143*VLOOKUP($B143,FoodDB!$A$2:$I$1011,3,0)</f>
        <v>0.25</v>
      </c>
      <c r="E143">
        <f>$C143*VLOOKUP($B143,FoodDB!$A$2:$I$1011,4,0)</f>
        <v>0</v>
      </c>
      <c r="F143">
        <f>$C143*VLOOKUP($B143,FoodDB!$A$2:$I$1011,5,0)</f>
        <v>25</v>
      </c>
      <c r="G143">
        <f>$C143*VLOOKUP($B143,FoodDB!$A$2:$I$1011,6,0)</f>
        <v>2.25</v>
      </c>
      <c r="H143">
        <f>$C143*VLOOKUP($B143,FoodDB!$A$2:$I$1011,7,0)</f>
        <v>0</v>
      </c>
      <c r="I143">
        <f>$C143*VLOOKUP($B143,FoodDB!$A$2:$I$1011,8,0)</f>
        <v>100</v>
      </c>
      <c r="J143">
        <f>$C143*VLOOKUP($B143,FoodDB!$A$2:$I$1011,9,0)</f>
        <v>102.25</v>
      </c>
    </row>
    <row r="144" spans="1:23" x14ac:dyDescent="0.25">
      <c r="B144" s="94" t="s">
        <v>125</v>
      </c>
      <c r="C144" s="95">
        <v>2</v>
      </c>
      <c r="D144">
        <f>$C144*VLOOKUP($B144,FoodDB!$A$2:$I$1011,3,0)</f>
        <v>7.2</v>
      </c>
      <c r="E144">
        <f>$C144*VLOOKUP($B144,FoodDB!$A$2:$I$1011,4,0)</f>
        <v>0</v>
      </c>
      <c r="F144">
        <f>$C144*VLOOKUP($B144,FoodDB!$A$2:$I$1011,5,0)</f>
        <v>62</v>
      </c>
      <c r="G144">
        <f>$C144*VLOOKUP($B144,FoodDB!$A$2:$I$1011,6,0)</f>
        <v>64.8</v>
      </c>
      <c r="H144">
        <f>$C144*VLOOKUP($B144,FoodDB!$A$2:$I$1011,7,0)</f>
        <v>0</v>
      </c>
      <c r="I144">
        <f>$C144*VLOOKUP($B144,FoodDB!$A$2:$I$1011,8,0)</f>
        <v>248</v>
      </c>
      <c r="J144">
        <f>$C144*VLOOKUP($B144,FoodDB!$A$2:$I$1011,9,0)</f>
        <v>312.8</v>
      </c>
    </row>
    <row r="145" spans="1:23" x14ac:dyDescent="0.25">
      <c r="B145" s="94" t="s">
        <v>127</v>
      </c>
      <c r="C145" s="95">
        <v>4</v>
      </c>
      <c r="D145">
        <f>$C145*VLOOKUP($B145,FoodDB!$A$2:$I$1011,3,0)</f>
        <v>0.8</v>
      </c>
      <c r="E145">
        <f>$C145*VLOOKUP($B145,FoodDB!$A$2:$I$1011,4,0)</f>
        <v>9.6</v>
      </c>
      <c r="F145">
        <f>$C145*VLOOKUP($B145,FoodDB!$A$2:$I$1011,5,0)</f>
        <v>3.2</v>
      </c>
      <c r="G145">
        <f>$C145*VLOOKUP($B145,FoodDB!$A$2:$I$1011,6,0)</f>
        <v>7.2</v>
      </c>
      <c r="H145">
        <f>$C145*VLOOKUP($B145,FoodDB!$A$2:$I$1011,7,0)</f>
        <v>38.4</v>
      </c>
      <c r="I145">
        <f>$C145*VLOOKUP($B145,FoodDB!$A$2:$I$1011,8,0)</f>
        <v>12.8</v>
      </c>
      <c r="J145">
        <f>$C145*VLOOKUP($B145,FoodDB!$A$2:$I$1011,9,0)</f>
        <v>58.400000000000006</v>
      </c>
    </row>
    <row r="146" spans="1:23" x14ac:dyDescent="0.25">
      <c r="B146" s="94" t="s">
        <v>95</v>
      </c>
      <c r="C146" s="95">
        <v>2</v>
      </c>
      <c r="D146">
        <v>0.4</v>
      </c>
      <c r="E146">
        <v>3.4</v>
      </c>
      <c r="F146">
        <v>2.8</v>
      </c>
      <c r="G146">
        <f>$C146*VLOOKUP($B146,FoodDB!$A$2:$I$1011,6,0)</f>
        <v>0</v>
      </c>
      <c r="H146">
        <f>$C146*VLOOKUP($B146,FoodDB!$A$2:$I$1011,7,0)</f>
        <v>5.1428571428571432</v>
      </c>
      <c r="I146">
        <f>$C146*VLOOKUP($B146,FoodDB!$A$2:$I$1011,8,0)</f>
        <v>2.5714285714285716</v>
      </c>
      <c r="J146">
        <f>$C146*VLOOKUP($B146,FoodDB!$A$2:$I$1011,9,0)</f>
        <v>7.7142857142857153</v>
      </c>
    </row>
    <row r="147" spans="1:23" x14ac:dyDescent="0.25">
      <c r="B147" s="94" t="s">
        <v>108</v>
      </c>
      <c r="C147" s="95">
        <v>4</v>
      </c>
      <c r="D147">
        <f>$C147*VLOOKUP($B147,FoodDB!$A$2:$I$1011,3,0)</f>
        <v>48</v>
      </c>
      <c r="E147">
        <f>$C147*VLOOKUP($B147,FoodDB!$A$2:$I$1011,4,0)</f>
        <v>0</v>
      </c>
      <c r="F147">
        <f>$C147*VLOOKUP($B147,FoodDB!$A$2:$I$1011,5,0)</f>
        <v>0</v>
      </c>
      <c r="G147">
        <f>$C147*VLOOKUP($B147,FoodDB!$A$2:$I$1011,6,0)</f>
        <v>432</v>
      </c>
      <c r="H147">
        <f>$C147*VLOOKUP($B147,FoodDB!$A$2:$I$1011,7,0)</f>
        <v>0</v>
      </c>
      <c r="I147">
        <f>$C147*VLOOKUP($B147,FoodDB!$A$2:$I$1011,8,0)</f>
        <v>0</v>
      </c>
      <c r="J147">
        <f>$C147*VLOOKUP($B147,FoodDB!$A$2:$I$1011,9,0)</f>
        <v>432</v>
      </c>
    </row>
    <row r="148" spans="1:23" x14ac:dyDescent="0.25">
      <c r="B148" s="94" t="s">
        <v>107</v>
      </c>
      <c r="C148" s="95">
        <v>0</v>
      </c>
      <c r="D148">
        <f>$C148*VLOOKUP($B148,FoodDB!$A$2:$I$1011,3,0)</f>
        <v>0</v>
      </c>
      <c r="E148">
        <f>$C148*VLOOKUP($B148,FoodDB!$A$2:$I$1011,4,0)</f>
        <v>0</v>
      </c>
      <c r="F148">
        <f>$C148*VLOOKUP($B148,FoodDB!$A$2:$I$1011,5,0)</f>
        <v>0</v>
      </c>
      <c r="G148">
        <f>$C148*VLOOKUP($B148,FoodDB!$A$2:$I$1011,6,0)</f>
        <v>0</v>
      </c>
      <c r="H148">
        <f>$C148*VLOOKUP($B148,FoodDB!$A$2:$I$1011,7,0)</f>
        <v>0</v>
      </c>
      <c r="I148">
        <f>$C148*VLOOKUP($B148,FoodDB!$A$2:$I$1011,8,0)</f>
        <v>0</v>
      </c>
      <c r="J148">
        <f>$C148*VLOOKUP($B148,FoodDB!$A$2:$I$1011,9,0)</f>
        <v>0</v>
      </c>
    </row>
    <row r="149" spans="1:23" x14ac:dyDescent="0.25">
      <c r="A149" t="s">
        <v>97</v>
      </c>
      <c r="G149">
        <f>SUM(G142:G148)</f>
        <v>519.75</v>
      </c>
      <c r="H149">
        <f>SUM(H142:H148)</f>
        <v>55.542857142857144</v>
      </c>
      <c r="I149">
        <f>SUM(I142:I148)</f>
        <v>463.37142857142857</v>
      </c>
      <c r="J149">
        <f>SUM(G149:I149)</f>
        <v>1038.6642857142858</v>
      </c>
    </row>
    <row r="150" spans="1:23" x14ac:dyDescent="0.25">
      <c r="A150" t="s">
        <v>101</v>
      </c>
      <c r="B150" t="s">
        <v>102</v>
      </c>
      <c r="E150" s="98"/>
      <c r="F150" s="98"/>
      <c r="G150" s="98">
        <f>VLOOKUP($A142,LossChart!$A$3:$AB$105,14,0)</f>
        <v>447.36888836928188</v>
      </c>
      <c r="H150" s="98">
        <f>VLOOKUP($A142,LossChart!$A$3:$AB$105,15,0)</f>
        <v>80</v>
      </c>
      <c r="I150" s="98">
        <f>VLOOKUP($A142,LossChart!$A$3:$AB$105,16,0)</f>
        <v>482.47465271142238</v>
      </c>
      <c r="J150" s="98">
        <f>VLOOKUP($A142,LossChart!$A$3:$AB$105,17,0)</f>
        <v>1009.8435410807042</v>
      </c>
      <c r="K150" s="98"/>
    </row>
    <row r="151" spans="1:23" x14ac:dyDescent="0.25">
      <c r="A151" t="s">
        <v>103</v>
      </c>
      <c r="G151">
        <f>G150-G149</f>
        <v>-72.381111630718124</v>
      </c>
      <c r="H151">
        <f>H150-H149</f>
        <v>24.457142857142856</v>
      </c>
      <c r="I151">
        <f>I150-I149</f>
        <v>19.103224139993813</v>
      </c>
      <c r="J151">
        <f>J150-J149</f>
        <v>-28.820744633581626</v>
      </c>
    </row>
    <row r="153" spans="1:23" ht="60" x14ac:dyDescent="0.25">
      <c r="A153" s="21" t="s">
        <v>63</v>
      </c>
      <c r="B153" s="21" t="s">
        <v>92</v>
      </c>
      <c r="C153" s="21" t="s">
        <v>93</v>
      </c>
      <c r="D153" s="92" t="str">
        <f>FoodDB!$C$1</f>
        <v>Fat
(g)</v>
      </c>
      <c r="E153" s="92" t="str">
        <f>FoodDB!$D$1</f>
        <v xml:space="preserve"> Carbs
(g)</v>
      </c>
      <c r="F153" s="92" t="str">
        <f>FoodDB!$E$1</f>
        <v>Protein
(g)</v>
      </c>
      <c r="G153" s="92" t="str">
        <f>FoodDB!$F$1</f>
        <v>Fat
(Cal)</v>
      </c>
      <c r="H153" s="92" t="str">
        <f>FoodDB!$G$1</f>
        <v>Carb
(Cal)</v>
      </c>
      <c r="I153" s="92" t="str">
        <f>FoodDB!$H$1</f>
        <v>Protein
(Cal)</v>
      </c>
      <c r="J153" s="92" t="str">
        <f>FoodDB!$I$1</f>
        <v>Total
Calories</v>
      </c>
      <c r="K153" s="92"/>
      <c r="L153" s="92" t="s">
        <v>109</v>
      </c>
      <c r="M153" s="92" t="s">
        <v>110</v>
      </c>
      <c r="N153" s="92" t="s">
        <v>111</v>
      </c>
      <c r="O153" s="92" t="s">
        <v>112</v>
      </c>
      <c r="P153" s="92" t="s">
        <v>117</v>
      </c>
      <c r="Q153" s="92" t="s">
        <v>118</v>
      </c>
      <c r="R153" s="92" t="s">
        <v>119</v>
      </c>
      <c r="S153" s="92" t="s">
        <v>120</v>
      </c>
      <c r="T153" s="92"/>
      <c r="U153" s="92"/>
      <c r="V153" s="92"/>
      <c r="W153" s="92"/>
    </row>
    <row r="154" spans="1:23" x14ac:dyDescent="0.25">
      <c r="A154" s="93">
        <f>A142+1</f>
        <v>43007</v>
      </c>
      <c r="B154" s="94" t="s">
        <v>125</v>
      </c>
      <c r="C154" s="95">
        <v>2</v>
      </c>
      <c r="D154">
        <f>$C154*VLOOKUP($B154,FoodDB!$A$2:$I$1011,3,0)</f>
        <v>7.2</v>
      </c>
      <c r="E154">
        <f>$C154*VLOOKUP($B154,FoodDB!$A$2:$I$1011,4,0)</f>
        <v>0</v>
      </c>
      <c r="F154">
        <f>$C154*VLOOKUP($B154,FoodDB!$A$2:$I$1011,5,0)</f>
        <v>62</v>
      </c>
      <c r="G154">
        <f>$C154*VLOOKUP($B154,FoodDB!$A$2:$I$1011,6,0)</f>
        <v>64.8</v>
      </c>
      <c r="H154">
        <f>$C154*VLOOKUP($B154,FoodDB!$A$2:$I$1011,7,0)</f>
        <v>0</v>
      </c>
      <c r="I154">
        <f>$C154*VLOOKUP($B154,FoodDB!$A$2:$I$1011,8,0)</f>
        <v>248</v>
      </c>
      <c r="J154">
        <f>$C154*VLOOKUP($B154,FoodDB!$A$2:$I$1011,9,0)</f>
        <v>312.8</v>
      </c>
      <c r="L154">
        <f>SUM(G154:G161)</f>
        <v>526.5</v>
      </c>
      <c r="M154">
        <f>SUM(H154:H161)</f>
        <v>65.485714285714295</v>
      </c>
      <c r="N154">
        <f>SUM(I154:I161)</f>
        <v>498.74285714285713</v>
      </c>
      <c r="O154">
        <f>SUM(L154:N154)</f>
        <v>1090.7285714285713</v>
      </c>
      <c r="P154" s="98">
        <f>VLOOKUP($A154,LossChart!$A$3:$AB$105,14,0)-L154</f>
        <v>-71.61160133009389</v>
      </c>
      <c r="Q154" s="98">
        <f>VLOOKUP($A154,LossChart!$A$3:$AB$105,15,0)-M154</f>
        <v>14.514285714285705</v>
      </c>
      <c r="R154" s="98">
        <f>VLOOKUP($A154,LossChart!$A$3:$AB$105,16,0)-N154</f>
        <v>-16.268204431434754</v>
      </c>
      <c r="S154" s="98">
        <f>VLOOKUP($A154,LossChart!$A$3:$AB$105,17,0)-O154</f>
        <v>-73.365520047242853</v>
      </c>
      <c r="T154" s="98"/>
      <c r="U154" s="98"/>
      <c r="V154" s="98"/>
      <c r="W154" s="98"/>
    </row>
    <row r="155" spans="1:23" x14ac:dyDescent="0.25">
      <c r="B155" s="94" t="s">
        <v>127</v>
      </c>
      <c r="C155" s="95">
        <v>2</v>
      </c>
      <c r="D155">
        <f>$C155*VLOOKUP($B155,FoodDB!$A$2:$I$1011,3,0)</f>
        <v>0.4</v>
      </c>
      <c r="E155">
        <f>$C155*VLOOKUP($B155,FoodDB!$A$2:$I$1011,4,0)</f>
        <v>4.8</v>
      </c>
      <c r="F155">
        <f>$C155*VLOOKUP($B155,FoodDB!$A$2:$I$1011,5,0)</f>
        <v>1.6</v>
      </c>
      <c r="G155">
        <f>$C155*VLOOKUP($B155,FoodDB!$A$2:$I$1011,6,0)</f>
        <v>3.6</v>
      </c>
      <c r="H155">
        <f>$C155*VLOOKUP($B155,FoodDB!$A$2:$I$1011,7,0)</f>
        <v>19.2</v>
      </c>
      <c r="I155">
        <f>$C155*VLOOKUP($B155,FoodDB!$A$2:$I$1011,8,0)</f>
        <v>6.4</v>
      </c>
      <c r="J155">
        <f>$C155*VLOOKUP($B155,FoodDB!$A$2:$I$1011,9,0)</f>
        <v>29.200000000000003</v>
      </c>
    </row>
    <row r="156" spans="1:23" x14ac:dyDescent="0.25">
      <c r="B156" s="94" t="s">
        <v>95</v>
      </c>
      <c r="C156" s="95">
        <v>4</v>
      </c>
      <c r="D156">
        <f>$C156*VLOOKUP($B156,FoodDB!$A$2:$I$1011,3,0)</f>
        <v>0</v>
      </c>
      <c r="E156">
        <f>$C156*VLOOKUP($B156,FoodDB!$A$2:$I$1011,4,0)</f>
        <v>2.5714285714285716</v>
      </c>
      <c r="F156">
        <f>$C156*VLOOKUP($B156,FoodDB!$A$2:$I$1011,5,0)</f>
        <v>1.2857142857142858</v>
      </c>
      <c r="G156">
        <f>$C156*VLOOKUP($B156,FoodDB!$A$2:$I$1011,6,0)</f>
        <v>0</v>
      </c>
      <c r="H156">
        <f>$C156*VLOOKUP($B156,FoodDB!$A$2:$I$1011,7,0)</f>
        <v>10.285714285714286</v>
      </c>
      <c r="I156">
        <f>$C156*VLOOKUP($B156,FoodDB!$A$2:$I$1011,8,0)</f>
        <v>5.1428571428571432</v>
      </c>
      <c r="J156">
        <f>$C156*VLOOKUP($B156,FoodDB!$A$2:$I$1011,9,0)</f>
        <v>15.428571428571431</v>
      </c>
    </row>
    <row r="157" spans="1:23" x14ac:dyDescent="0.25">
      <c r="B157" s="94" t="s">
        <v>99</v>
      </c>
      <c r="C157" s="95">
        <v>7</v>
      </c>
      <c r="D157">
        <f>$C157*VLOOKUP($B157,FoodDB!$A$2:$I$1011,3,0)</f>
        <v>0</v>
      </c>
      <c r="E157">
        <f>$C157*VLOOKUP($B157,FoodDB!$A$2:$I$1011,4,0)</f>
        <v>7</v>
      </c>
      <c r="F157">
        <f>$C157*VLOOKUP($B157,FoodDB!$A$2:$I$1011,5,0)</f>
        <v>4.2</v>
      </c>
      <c r="G157">
        <f>$C157*VLOOKUP($B157,FoodDB!$A$2:$I$1011,6,0)</f>
        <v>0</v>
      </c>
      <c r="H157">
        <f>$C157*VLOOKUP($B157,FoodDB!$A$2:$I$1011,7,0)</f>
        <v>28</v>
      </c>
      <c r="I157">
        <f>$C157*VLOOKUP($B157,FoodDB!$A$2:$I$1011,8,0)</f>
        <v>16.8</v>
      </c>
      <c r="J157">
        <f>$C157*VLOOKUP($B157,FoodDB!$A$2:$I$1011,9,0)</f>
        <v>44.800000000000004</v>
      </c>
    </row>
    <row r="158" spans="1:23" x14ac:dyDescent="0.25">
      <c r="B158" s="94" t="s">
        <v>98</v>
      </c>
      <c r="C158" s="95">
        <v>5</v>
      </c>
      <c r="D158">
        <f>$C158*VLOOKUP($B158,FoodDB!$A$2:$I$1011,3,0)</f>
        <v>30.9</v>
      </c>
      <c r="E158">
        <f>$C158*VLOOKUP($B158,FoodDB!$A$2:$I$1011,4,0)</f>
        <v>0</v>
      </c>
      <c r="F158">
        <f>$C158*VLOOKUP($B158,FoodDB!$A$2:$I$1011,5,0)</f>
        <v>42.599999999999994</v>
      </c>
      <c r="G158">
        <f>$C158*VLOOKUP($B158,FoodDB!$A$2:$I$1011,6,0)</f>
        <v>278.09999999999997</v>
      </c>
      <c r="H158">
        <f>$C158*VLOOKUP($B158,FoodDB!$A$2:$I$1011,7,0)</f>
        <v>0</v>
      </c>
      <c r="I158">
        <f>$C158*VLOOKUP($B158,FoodDB!$A$2:$I$1011,8,0)</f>
        <v>170.39999999999998</v>
      </c>
      <c r="J158">
        <f>$C158*VLOOKUP($B158,FoodDB!$A$2:$I$1011,9,0)</f>
        <v>448.49999999999994</v>
      </c>
    </row>
    <row r="159" spans="1:23" x14ac:dyDescent="0.25">
      <c r="B159" s="94" t="s">
        <v>107</v>
      </c>
      <c r="C159" s="95">
        <v>2</v>
      </c>
      <c r="D159">
        <f>$C159*VLOOKUP($B159,FoodDB!$A$2:$I$1011,3,0)</f>
        <v>0</v>
      </c>
      <c r="E159">
        <f>$C159*VLOOKUP($B159,FoodDB!$A$2:$I$1011,4,0)</f>
        <v>0</v>
      </c>
      <c r="F159">
        <f>$C159*VLOOKUP($B159,FoodDB!$A$2:$I$1011,5,0)</f>
        <v>0</v>
      </c>
      <c r="G159">
        <f>$C159*VLOOKUP($B159,FoodDB!$A$2:$I$1011,6,0)</f>
        <v>0</v>
      </c>
      <c r="H159">
        <f>$C159*VLOOKUP($B159,FoodDB!$A$2:$I$1011,7,0)</f>
        <v>0</v>
      </c>
      <c r="I159">
        <f>$C159*VLOOKUP($B159,FoodDB!$A$2:$I$1011,8,0)</f>
        <v>0</v>
      </c>
      <c r="J159">
        <f>$C159*VLOOKUP($B159,FoodDB!$A$2:$I$1011,9,0)</f>
        <v>0</v>
      </c>
    </row>
    <row r="160" spans="1:23" x14ac:dyDescent="0.25">
      <c r="B160" s="94" t="s">
        <v>126</v>
      </c>
      <c r="C160" s="95">
        <v>1</v>
      </c>
      <c r="D160">
        <f>$C160*VLOOKUP($B160,FoodDB!$A$2:$I$1011,3,0)</f>
        <v>15</v>
      </c>
      <c r="E160">
        <f>$C160*VLOOKUP($B160,FoodDB!$A$2:$I$1011,4,0)</f>
        <v>2</v>
      </c>
      <c r="F160">
        <f>$C160*VLOOKUP($B160,FoodDB!$A$2:$I$1011,5,0)</f>
        <v>7</v>
      </c>
      <c r="G160">
        <f>$C160*VLOOKUP($B160,FoodDB!$A$2:$I$1011,6,0)</f>
        <v>135</v>
      </c>
      <c r="H160">
        <f>$C160*VLOOKUP($B160,FoodDB!$A$2:$I$1011,7,0)</f>
        <v>8</v>
      </c>
      <c r="I160">
        <f>$C160*VLOOKUP($B160,FoodDB!$A$2:$I$1011,8,0)</f>
        <v>28</v>
      </c>
      <c r="J160">
        <f>$C160*VLOOKUP($B160,FoodDB!$A$2:$I$1011,9,0)</f>
        <v>171</v>
      </c>
    </row>
    <row r="161" spans="1:23" x14ac:dyDescent="0.25">
      <c r="B161" s="94" t="s">
        <v>100</v>
      </c>
      <c r="C161" s="95">
        <v>1</v>
      </c>
      <c r="D161">
        <f>$C161*VLOOKUP($B161,FoodDB!$A$2:$I$1011,3,0)</f>
        <v>5</v>
      </c>
      <c r="E161">
        <f>$C161*VLOOKUP($B161,FoodDB!$A$2:$I$1011,4,0)</f>
        <v>0</v>
      </c>
      <c r="F161">
        <f>$C161*VLOOKUP($B161,FoodDB!$A$2:$I$1011,5,0)</f>
        <v>6</v>
      </c>
      <c r="G161">
        <f>$C161*VLOOKUP($B161,FoodDB!$A$2:$I$1011,6,0)</f>
        <v>45</v>
      </c>
      <c r="H161">
        <f>$C161*VLOOKUP($B161,FoodDB!$A$2:$I$1011,7,0)</f>
        <v>0</v>
      </c>
      <c r="I161">
        <f>$C161*VLOOKUP($B161,FoodDB!$A$2:$I$1011,8,0)</f>
        <v>24</v>
      </c>
      <c r="J161">
        <f>$C161*VLOOKUP($B161,FoodDB!$A$2:$I$1011,9,0)</f>
        <v>69</v>
      </c>
    </row>
    <row r="162" spans="1:23" x14ac:dyDescent="0.25">
      <c r="A162" t="s">
        <v>97</v>
      </c>
      <c r="G162">
        <f>SUM(G154:G161)</f>
        <v>526.5</v>
      </c>
      <c r="H162">
        <f>SUM(H154:H161)</f>
        <v>65.485714285714295</v>
      </c>
      <c r="I162">
        <f>SUM(I154:I161)</f>
        <v>498.74285714285713</v>
      </c>
      <c r="J162">
        <f>SUM(G162:I162)</f>
        <v>1090.7285714285713</v>
      </c>
    </row>
    <row r="163" spans="1:23" x14ac:dyDescent="0.25">
      <c r="A163" t="s">
        <v>101</v>
      </c>
      <c r="B163" t="s">
        <v>102</v>
      </c>
      <c r="E163" s="98"/>
      <c r="F163" s="98"/>
      <c r="G163" s="98">
        <f>VLOOKUP($A154,LossChart!$A$3:$AB$105,14,0)</f>
        <v>454.88839866990611</v>
      </c>
      <c r="H163" s="98">
        <f>VLOOKUP($A154,LossChart!$A$3:$AB$105,15,0)</f>
        <v>80</v>
      </c>
      <c r="I163" s="98">
        <f>VLOOKUP($A154,LossChart!$A$3:$AB$105,16,0)</f>
        <v>482.47465271142238</v>
      </c>
      <c r="J163" s="98">
        <f>VLOOKUP($A154,LossChart!$A$3:$AB$105,17,0)</f>
        <v>1017.3630513813284</v>
      </c>
      <c r="K163" s="98"/>
    </row>
    <row r="164" spans="1:23" x14ac:dyDescent="0.25">
      <c r="A164" t="s">
        <v>103</v>
      </c>
      <c r="G164">
        <f>G163-G162</f>
        <v>-71.61160133009389</v>
      </c>
      <c r="H164">
        <f>H163-H162</f>
        <v>14.514285714285705</v>
      </c>
      <c r="I164">
        <f>I163-I162</f>
        <v>-16.268204431434754</v>
      </c>
      <c r="J164">
        <f>J163-J162</f>
        <v>-73.365520047242853</v>
      </c>
    </row>
    <row r="166" spans="1:23" ht="60" x14ac:dyDescent="0.25">
      <c r="A166" s="21" t="s">
        <v>63</v>
      </c>
      <c r="B166" s="21" t="s">
        <v>92</v>
      </c>
      <c r="C166" s="21" t="s">
        <v>93</v>
      </c>
      <c r="D166" s="92" t="str">
        <f>FoodDB!$C$1</f>
        <v>Fat
(g)</v>
      </c>
      <c r="E166" s="92" t="str">
        <f>FoodDB!$D$1</f>
        <v xml:space="preserve"> Carbs
(g)</v>
      </c>
      <c r="F166" s="92" t="str">
        <f>FoodDB!$E$1</f>
        <v>Protein
(g)</v>
      </c>
      <c r="G166" s="92" t="str">
        <f>FoodDB!$F$1</f>
        <v>Fat
(Cal)</v>
      </c>
      <c r="H166" s="92" t="str">
        <f>FoodDB!$G$1</f>
        <v>Carb
(Cal)</v>
      </c>
      <c r="I166" s="92" t="str">
        <f>FoodDB!$H$1</f>
        <v>Protein
(Cal)</v>
      </c>
      <c r="J166" s="92" t="str">
        <f>FoodDB!$I$1</f>
        <v>Total
Calories</v>
      </c>
      <c r="K166" s="92"/>
      <c r="L166" s="92" t="s">
        <v>109</v>
      </c>
      <c r="M166" s="92" t="s">
        <v>110</v>
      </c>
      <c r="N166" s="92" t="s">
        <v>111</v>
      </c>
      <c r="O166" s="92" t="s">
        <v>112</v>
      </c>
      <c r="P166" s="92" t="s">
        <v>117</v>
      </c>
      <c r="Q166" s="92" t="s">
        <v>118</v>
      </c>
      <c r="R166" s="92" t="s">
        <v>119</v>
      </c>
      <c r="S166" s="92" t="s">
        <v>120</v>
      </c>
      <c r="T166" s="92"/>
      <c r="U166" s="92"/>
      <c r="V166" s="92"/>
      <c r="W166" s="92"/>
    </row>
    <row r="167" spans="1:23" x14ac:dyDescent="0.25">
      <c r="A167" s="93">
        <f>A154+1</f>
        <v>43008</v>
      </c>
      <c r="B167" s="94" t="s">
        <v>125</v>
      </c>
      <c r="C167" s="95">
        <v>2.5</v>
      </c>
      <c r="D167" s="98">
        <f>$C167*VLOOKUP($B167,FoodDB!$A$2:$I$1011,3,0)</f>
        <v>9</v>
      </c>
      <c r="E167" s="98">
        <f>$C167*VLOOKUP($B167,FoodDB!$A$2:$I$1011,4,0)</f>
        <v>0</v>
      </c>
      <c r="F167" s="98">
        <f>$C167*VLOOKUP($B167,FoodDB!$A$2:$I$1011,5,0)</f>
        <v>77.5</v>
      </c>
      <c r="G167" s="98">
        <f>$C167*VLOOKUP($B167,FoodDB!$A$2:$I$1011,6,0)</f>
        <v>81</v>
      </c>
      <c r="H167" s="98">
        <f>$C167*VLOOKUP($B167,FoodDB!$A$2:$I$1011,7,0)</f>
        <v>0</v>
      </c>
      <c r="I167" s="98">
        <f>$C167*VLOOKUP($B167,FoodDB!$A$2:$I$1011,8,0)</f>
        <v>310</v>
      </c>
      <c r="J167" s="98">
        <f>$C167*VLOOKUP($B167,FoodDB!$A$2:$I$1011,9,0)</f>
        <v>391</v>
      </c>
      <c r="L167" s="98">
        <f>SUM(G167:G174)</f>
        <v>483.48</v>
      </c>
      <c r="M167" s="98">
        <f>SUM(H167:H174)</f>
        <v>43.714285714285715</v>
      </c>
      <c r="N167" s="98">
        <f>SUM(I167:I174)</f>
        <v>518.97714285714278</v>
      </c>
      <c r="O167" s="98">
        <f>SUM(L167:N167)</f>
        <v>1046.1714285714284</v>
      </c>
      <c r="P167" s="98">
        <f>VLOOKUP($A167,LossChart!$A$3:$AB$105,14,0)-L167</f>
        <v>-21.374868768099986</v>
      </c>
      <c r="Q167" s="98">
        <f>VLOOKUP($A167,LossChart!$A$3:$AB$105,15,0)-M167</f>
        <v>36.285714285714285</v>
      </c>
      <c r="R167" s="98">
        <f>VLOOKUP($A167,LossChart!$A$3:$AB$105,16,0)-N167</f>
        <v>-36.502490145720401</v>
      </c>
      <c r="S167" s="98">
        <f>VLOOKUP($A167,LossChart!$A$3:$AB$105,17,0)-O167</f>
        <v>-21.591644628105996</v>
      </c>
      <c r="T167" s="98"/>
      <c r="U167" s="98"/>
      <c r="V167" s="98"/>
      <c r="W167" s="98"/>
    </row>
    <row r="168" spans="1:23" x14ac:dyDescent="0.25">
      <c r="B168" s="94" t="s">
        <v>98</v>
      </c>
      <c r="C168" s="95">
        <v>4</v>
      </c>
      <c r="D168" s="98">
        <f>$C168*VLOOKUP($B168,FoodDB!$A$2:$I$1011,3,0)</f>
        <v>24.72</v>
      </c>
      <c r="E168" s="98">
        <f>$C168*VLOOKUP($B168,FoodDB!$A$2:$I$1011,4,0)</f>
        <v>0</v>
      </c>
      <c r="F168" s="98">
        <f>$C168*VLOOKUP($B168,FoodDB!$A$2:$I$1011,5,0)</f>
        <v>34.08</v>
      </c>
      <c r="G168" s="98">
        <f>$C168*VLOOKUP($B168,FoodDB!$A$2:$I$1011,6,0)</f>
        <v>222.48</v>
      </c>
      <c r="H168" s="98">
        <f>$C168*VLOOKUP($B168,FoodDB!$A$2:$I$1011,7,0)</f>
        <v>0</v>
      </c>
      <c r="I168" s="98">
        <f>$C168*VLOOKUP($B168,FoodDB!$A$2:$I$1011,8,0)</f>
        <v>136.32</v>
      </c>
      <c r="J168" s="98">
        <f>$C168*VLOOKUP($B168,FoodDB!$A$2:$I$1011,9,0)</f>
        <v>358.79999999999995</v>
      </c>
    </row>
    <row r="169" spans="1:23" x14ac:dyDescent="0.25">
      <c r="B169" s="94" t="s">
        <v>99</v>
      </c>
      <c r="C169" s="95">
        <v>7</v>
      </c>
      <c r="D169" s="98">
        <f>$C169*VLOOKUP($B169,FoodDB!$A$2:$I$1011,3,0)</f>
        <v>0</v>
      </c>
      <c r="E169" s="98">
        <f>$C169*VLOOKUP($B169,FoodDB!$A$2:$I$1011,4,0)</f>
        <v>7</v>
      </c>
      <c r="F169" s="98">
        <f>$C169*VLOOKUP($B169,FoodDB!$A$2:$I$1011,5,0)</f>
        <v>4.2</v>
      </c>
      <c r="G169" s="98">
        <f>$C169*VLOOKUP($B169,FoodDB!$A$2:$I$1011,6,0)</f>
        <v>0</v>
      </c>
      <c r="H169" s="98">
        <f>$C169*VLOOKUP($B169,FoodDB!$A$2:$I$1011,7,0)</f>
        <v>28</v>
      </c>
      <c r="I169" s="98">
        <f>$C169*VLOOKUP($B169,FoodDB!$A$2:$I$1011,8,0)</f>
        <v>16.8</v>
      </c>
      <c r="J169" s="98">
        <f>$C169*VLOOKUP($B169,FoodDB!$A$2:$I$1011,9,0)</f>
        <v>44.800000000000004</v>
      </c>
    </row>
    <row r="170" spans="1:23" x14ac:dyDescent="0.25">
      <c r="B170" s="94" t="s">
        <v>95</v>
      </c>
      <c r="C170" s="95">
        <v>3</v>
      </c>
      <c r="D170" s="98">
        <f>$C170*VLOOKUP($B170,FoodDB!$A$2:$I$1011,3,0)</f>
        <v>0</v>
      </c>
      <c r="E170" s="98">
        <f>$C170*VLOOKUP($B170,FoodDB!$A$2:$I$1011,4,0)</f>
        <v>1.9285714285714288</v>
      </c>
      <c r="F170" s="98">
        <f>$C170*VLOOKUP($B170,FoodDB!$A$2:$I$1011,5,0)</f>
        <v>0.96428571428571441</v>
      </c>
      <c r="G170" s="98">
        <f>$C170*VLOOKUP($B170,FoodDB!$A$2:$I$1011,6,0)</f>
        <v>0</v>
      </c>
      <c r="H170" s="98">
        <f>$C170*VLOOKUP($B170,FoodDB!$A$2:$I$1011,7,0)</f>
        <v>7.7142857142857153</v>
      </c>
      <c r="I170" s="98">
        <f>$C170*VLOOKUP($B170,FoodDB!$A$2:$I$1011,8,0)</f>
        <v>3.8571428571428577</v>
      </c>
      <c r="J170" s="98">
        <f>$C170*VLOOKUP($B170,FoodDB!$A$2:$I$1011,9,0)</f>
        <v>11.571428571428573</v>
      </c>
    </row>
    <row r="171" spans="1:23" x14ac:dyDescent="0.25">
      <c r="B171" s="94" t="s">
        <v>108</v>
      </c>
      <c r="C171" s="95">
        <v>0</v>
      </c>
      <c r="D171" s="98">
        <f>$C171*VLOOKUP($B171,FoodDB!$A$2:$I$1011,3,0)</f>
        <v>0</v>
      </c>
      <c r="E171" s="98">
        <f>$C171*VLOOKUP($B171,FoodDB!$A$2:$I$1011,4,0)</f>
        <v>0</v>
      </c>
      <c r="F171" s="98">
        <f>$C171*VLOOKUP($B171,FoodDB!$A$2:$I$1011,5,0)</f>
        <v>0</v>
      </c>
      <c r="G171" s="98">
        <f>$C171*VLOOKUP($B171,FoodDB!$A$2:$I$1011,6,0)</f>
        <v>0</v>
      </c>
      <c r="H171" s="98">
        <f>$C171*VLOOKUP($B171,FoodDB!$A$2:$I$1011,7,0)</f>
        <v>0</v>
      </c>
      <c r="I171" s="98">
        <f>$C171*VLOOKUP($B171,FoodDB!$A$2:$I$1011,8,0)</f>
        <v>0</v>
      </c>
      <c r="J171" s="98">
        <f>$C171*VLOOKUP($B171,FoodDB!$A$2:$I$1011,9,0)</f>
        <v>0</v>
      </c>
    </row>
    <row r="172" spans="1:23" x14ac:dyDescent="0.25">
      <c r="B172" s="94" t="s">
        <v>126</v>
      </c>
      <c r="C172" s="95">
        <v>1</v>
      </c>
      <c r="D172" s="98">
        <f>$C172*VLOOKUP($B172,FoodDB!$A$2:$I$1011,3,0)</f>
        <v>15</v>
      </c>
      <c r="E172" s="98">
        <f>$C172*VLOOKUP($B172,FoodDB!$A$2:$I$1011,4,0)</f>
        <v>2</v>
      </c>
      <c r="F172" s="98">
        <f>$C172*VLOOKUP($B172,FoodDB!$A$2:$I$1011,5,0)</f>
        <v>7</v>
      </c>
      <c r="G172" s="98">
        <f>$C172*VLOOKUP($B172,FoodDB!$A$2:$I$1011,6,0)</f>
        <v>135</v>
      </c>
      <c r="H172" s="98">
        <f>$C172*VLOOKUP($B172,FoodDB!$A$2:$I$1011,7,0)</f>
        <v>8</v>
      </c>
      <c r="I172" s="98">
        <f>$C172*VLOOKUP($B172,FoodDB!$A$2:$I$1011,8,0)</f>
        <v>28</v>
      </c>
      <c r="J172" s="98">
        <f>$C172*VLOOKUP($B172,FoodDB!$A$2:$I$1011,9,0)</f>
        <v>171</v>
      </c>
    </row>
    <row r="173" spans="1:23" x14ac:dyDescent="0.25">
      <c r="B173" s="94" t="s">
        <v>100</v>
      </c>
      <c r="C173" s="95">
        <v>1</v>
      </c>
      <c r="D173" s="98">
        <f>$C173*VLOOKUP($B173,FoodDB!$A$2:$I$1011,3,0)</f>
        <v>5</v>
      </c>
      <c r="E173" s="98">
        <f>$C173*VLOOKUP($B173,FoodDB!$A$2:$I$1011,4,0)</f>
        <v>0</v>
      </c>
      <c r="F173" s="98">
        <f>$C173*VLOOKUP($B173,FoodDB!$A$2:$I$1011,5,0)</f>
        <v>6</v>
      </c>
      <c r="G173" s="98">
        <f>$C173*VLOOKUP($B173,FoodDB!$A$2:$I$1011,6,0)</f>
        <v>45</v>
      </c>
      <c r="H173" s="98">
        <f>$C173*VLOOKUP($B173,FoodDB!$A$2:$I$1011,7,0)</f>
        <v>0</v>
      </c>
      <c r="I173" s="98">
        <f>$C173*VLOOKUP($B173,FoodDB!$A$2:$I$1011,8,0)</f>
        <v>24</v>
      </c>
      <c r="J173" s="98">
        <f>$C173*VLOOKUP($B173,FoodDB!$A$2:$I$1011,9,0)</f>
        <v>69</v>
      </c>
    </row>
    <row r="174" spans="1:23" x14ac:dyDescent="0.25">
      <c r="B174" s="94" t="s">
        <v>107</v>
      </c>
      <c r="C174" s="95">
        <v>0</v>
      </c>
      <c r="D174" s="98">
        <f>$C174*VLOOKUP($B174,FoodDB!$A$2:$I$1011,3,0)</f>
        <v>0</v>
      </c>
      <c r="E174" s="98">
        <f>$C174*VLOOKUP($B174,FoodDB!$A$2:$I$1011,4,0)</f>
        <v>0</v>
      </c>
      <c r="F174" s="98">
        <f>$C174*VLOOKUP($B174,FoodDB!$A$2:$I$1011,5,0)</f>
        <v>0</v>
      </c>
      <c r="G174" s="98">
        <f>$C174*VLOOKUP($B174,FoodDB!$A$2:$I$1011,6,0)</f>
        <v>0</v>
      </c>
      <c r="H174" s="98">
        <f>$C174*VLOOKUP($B174,FoodDB!$A$2:$I$1011,7,0)</f>
        <v>0</v>
      </c>
      <c r="I174" s="98">
        <f>$C174*VLOOKUP($B174,FoodDB!$A$2:$I$1011,8,0)</f>
        <v>0</v>
      </c>
      <c r="J174" s="98">
        <f>$C174*VLOOKUP($B174,FoodDB!$A$2:$I$1011,9,0)</f>
        <v>0</v>
      </c>
    </row>
    <row r="175" spans="1:23" x14ac:dyDescent="0.25">
      <c r="A175" t="s">
        <v>97</v>
      </c>
      <c r="D175" s="98"/>
      <c r="E175" s="98"/>
      <c r="F175" s="98"/>
      <c r="G175" s="98">
        <f>SUM(G167:G174)</f>
        <v>483.48</v>
      </c>
      <c r="H175" s="98">
        <f>SUM(H167:H174)</f>
        <v>43.714285714285715</v>
      </c>
      <c r="I175" s="98">
        <f>SUM(I167:I174)</f>
        <v>518.97714285714278</v>
      </c>
      <c r="J175" s="98">
        <f>SUM(G175:I175)</f>
        <v>1046.1714285714284</v>
      </c>
    </row>
    <row r="176" spans="1:23" x14ac:dyDescent="0.25">
      <c r="A176" t="s">
        <v>101</v>
      </c>
      <c r="B176" t="s">
        <v>102</v>
      </c>
      <c r="D176" s="98"/>
      <c r="E176" s="98"/>
      <c r="F176" s="98"/>
      <c r="G176" s="98">
        <f>VLOOKUP($A167,LossChart!$A$3:$AB$105,14,0)</f>
        <v>462.10513123190003</v>
      </c>
      <c r="H176" s="98">
        <f>VLOOKUP($A167,LossChart!$A$3:$AB$105,15,0)</f>
        <v>80</v>
      </c>
      <c r="I176" s="98">
        <f>VLOOKUP($A167,LossChart!$A$3:$AB$105,16,0)</f>
        <v>482.47465271142238</v>
      </c>
      <c r="J176" s="98">
        <f>VLOOKUP($A167,LossChart!$A$3:$AB$105,17,0)</f>
        <v>1024.5797839433224</v>
      </c>
      <c r="K176" s="98"/>
    </row>
    <row r="177" spans="1:23" x14ac:dyDescent="0.25">
      <c r="A177" t="s">
        <v>103</v>
      </c>
      <c r="D177" s="98"/>
      <c r="E177" s="98"/>
      <c r="F177" s="98"/>
      <c r="G177" s="98">
        <f>G176-G175</f>
        <v>-21.374868768099986</v>
      </c>
      <c r="H177" s="98">
        <f>H176-H175</f>
        <v>36.285714285714285</v>
      </c>
      <c r="I177" s="98">
        <f>I176-I175</f>
        <v>-36.502490145720401</v>
      </c>
      <c r="J177" s="98">
        <f>J176-J175</f>
        <v>-21.591644628105996</v>
      </c>
    </row>
    <row r="179" spans="1:23" ht="60" x14ac:dyDescent="0.25">
      <c r="A179" s="21" t="s">
        <v>63</v>
      </c>
      <c r="B179" s="21" t="s">
        <v>92</v>
      </c>
      <c r="C179" s="21" t="s">
        <v>93</v>
      </c>
      <c r="D179" s="92" t="str">
        <f>FoodDB!$C$1</f>
        <v>Fat
(g)</v>
      </c>
      <c r="E179" s="92" t="str">
        <f>FoodDB!$D$1</f>
        <v xml:space="preserve"> Carbs
(g)</v>
      </c>
      <c r="F179" s="92" t="str">
        <f>FoodDB!$E$1</f>
        <v>Protein
(g)</v>
      </c>
      <c r="G179" s="92" t="str">
        <f>FoodDB!$F$1</f>
        <v>Fat
(Cal)</v>
      </c>
      <c r="H179" s="92" t="str">
        <f>FoodDB!$G$1</f>
        <v>Carb
(Cal)</v>
      </c>
      <c r="I179" s="92" t="str">
        <f>FoodDB!$H$1</f>
        <v>Protein
(Cal)</v>
      </c>
      <c r="J179" s="92" t="str">
        <f>FoodDB!$I$1</f>
        <v>Total
Calories</v>
      </c>
      <c r="K179" s="92"/>
      <c r="L179" s="92" t="s">
        <v>109</v>
      </c>
      <c r="M179" s="92" t="s">
        <v>110</v>
      </c>
      <c r="N179" s="92" t="s">
        <v>111</v>
      </c>
      <c r="O179" s="92" t="s">
        <v>112</v>
      </c>
      <c r="P179" s="92" t="s">
        <v>117</v>
      </c>
      <c r="Q179" s="92" t="s">
        <v>118</v>
      </c>
      <c r="R179" s="92" t="s">
        <v>119</v>
      </c>
      <c r="S179" s="92" t="s">
        <v>120</v>
      </c>
      <c r="T179" s="92"/>
      <c r="U179" s="92"/>
      <c r="V179" s="92"/>
      <c r="W179" s="92"/>
    </row>
    <row r="180" spans="1:23" x14ac:dyDescent="0.25">
      <c r="A180" s="93">
        <f>A167+1</f>
        <v>43009</v>
      </c>
      <c r="B180" s="94" t="s">
        <v>99</v>
      </c>
      <c r="C180" s="95">
        <v>7</v>
      </c>
      <c r="D180">
        <f>$C180*VLOOKUP($B180,FoodDB!$A$2:$I$1011,3,0)</f>
        <v>0</v>
      </c>
      <c r="E180">
        <f>$C180*VLOOKUP($B180,FoodDB!$A$2:$I$1011,4,0)</f>
        <v>7</v>
      </c>
      <c r="F180">
        <f>$C180*VLOOKUP($B180,FoodDB!$A$2:$I$1011,5,0)</f>
        <v>4.2</v>
      </c>
      <c r="G180">
        <f>$C180*VLOOKUP($B180,FoodDB!$A$2:$I$1011,6,0)</f>
        <v>0</v>
      </c>
      <c r="H180">
        <f>$C180*VLOOKUP($B180,FoodDB!$A$2:$I$1011,7,0)</f>
        <v>28</v>
      </c>
      <c r="I180">
        <f>$C180*VLOOKUP($B180,FoodDB!$A$2:$I$1011,8,0)</f>
        <v>16.8</v>
      </c>
      <c r="J180">
        <f>$C180*VLOOKUP($B180,FoodDB!$A$2:$I$1011,9,0)</f>
        <v>44.800000000000004</v>
      </c>
      <c r="L180">
        <f>SUM(G180:G186)</f>
        <v>504.9</v>
      </c>
      <c r="M180">
        <f>SUM(H180:H186)</f>
        <v>51.714285714285715</v>
      </c>
      <c r="N180">
        <f>SUM(I180:I186)</f>
        <v>476.65714285714284</v>
      </c>
      <c r="O180">
        <f>SUM(L180:N180)</f>
        <v>1033.2714285714285</v>
      </c>
      <c r="P180" s="98">
        <f>VLOOKUP($A180,LossChart!$A$3:$AB$105,14,0)-L180</f>
        <v>-35.367550793554415</v>
      </c>
      <c r="Q180" s="98">
        <f>VLOOKUP($A180,LossChart!$A$3:$AB$105,15,0)-M180</f>
        <v>28.285714285714285</v>
      </c>
      <c r="R180" s="98">
        <f>VLOOKUP($A180,LossChart!$A$3:$AB$105,16,0)-N180</f>
        <v>5.8175098542795354</v>
      </c>
      <c r="S180" s="98">
        <f>VLOOKUP($A180,LossChart!$A$3:$AB$105,17,0)-O180</f>
        <v>-1.2643266535606017</v>
      </c>
      <c r="T180" s="98"/>
      <c r="U180" s="98"/>
      <c r="V180" s="98"/>
      <c r="W180" s="98"/>
    </row>
    <row r="181" spans="1:23" x14ac:dyDescent="0.25">
      <c r="B181" s="94" t="s">
        <v>98</v>
      </c>
      <c r="C181" s="95">
        <v>5</v>
      </c>
      <c r="D181">
        <f>$C181*VLOOKUP($B181,FoodDB!$A$2:$I$1011,3,0)</f>
        <v>30.9</v>
      </c>
      <c r="E181">
        <f>$C181*VLOOKUP($B181,FoodDB!$A$2:$I$1011,4,0)</f>
        <v>0</v>
      </c>
      <c r="F181">
        <f>$C181*VLOOKUP($B181,FoodDB!$A$2:$I$1011,5,0)</f>
        <v>42.599999999999994</v>
      </c>
      <c r="G181">
        <f>$C181*VLOOKUP($B181,FoodDB!$A$2:$I$1011,6,0)</f>
        <v>278.09999999999997</v>
      </c>
      <c r="H181">
        <f>$C181*VLOOKUP($B181,FoodDB!$A$2:$I$1011,7,0)</f>
        <v>0</v>
      </c>
      <c r="I181">
        <f>$C181*VLOOKUP($B181,FoodDB!$A$2:$I$1011,8,0)</f>
        <v>170.39999999999998</v>
      </c>
      <c r="J181">
        <f>$C181*VLOOKUP($B181,FoodDB!$A$2:$I$1011,9,0)</f>
        <v>448.49999999999994</v>
      </c>
    </row>
    <row r="182" spans="1:23" x14ac:dyDescent="0.25">
      <c r="B182" s="94" t="s">
        <v>125</v>
      </c>
      <c r="C182" s="95">
        <v>2</v>
      </c>
      <c r="D182">
        <f>$C182*VLOOKUP($B182,FoodDB!$A$2:$I$1011,3,0)</f>
        <v>7.2</v>
      </c>
      <c r="E182">
        <f>$C182*VLOOKUP($B182,FoodDB!$A$2:$I$1011,4,0)</f>
        <v>0</v>
      </c>
      <c r="F182">
        <f>$C182*VLOOKUP($B182,FoodDB!$A$2:$I$1011,5,0)</f>
        <v>62</v>
      </c>
      <c r="G182">
        <f>$C182*VLOOKUP($B182,FoodDB!$A$2:$I$1011,6,0)</f>
        <v>64.8</v>
      </c>
      <c r="H182">
        <f>$C182*VLOOKUP($B182,FoodDB!$A$2:$I$1011,7,0)</f>
        <v>0</v>
      </c>
      <c r="I182">
        <f>$C182*VLOOKUP($B182,FoodDB!$A$2:$I$1011,8,0)</f>
        <v>248</v>
      </c>
      <c r="J182">
        <f>$C182*VLOOKUP($B182,FoodDB!$A$2:$I$1011,9,0)</f>
        <v>312.8</v>
      </c>
    </row>
    <row r="183" spans="1:23" x14ac:dyDescent="0.25">
      <c r="B183" s="94" t="s">
        <v>95</v>
      </c>
      <c r="C183" s="95">
        <v>3</v>
      </c>
      <c r="D183">
        <f>$C183*VLOOKUP($B183,FoodDB!$A$2:$I$1011,3,0)</f>
        <v>0</v>
      </c>
      <c r="E183">
        <f>$C183*VLOOKUP($B183,FoodDB!$A$2:$I$1011,4,0)</f>
        <v>1.9285714285714288</v>
      </c>
      <c r="F183">
        <f>$C183*VLOOKUP($B183,FoodDB!$A$2:$I$1011,5,0)</f>
        <v>0.96428571428571441</v>
      </c>
      <c r="G183">
        <f>$C183*VLOOKUP($B183,FoodDB!$A$2:$I$1011,6,0)</f>
        <v>0</v>
      </c>
      <c r="H183">
        <f>$C183*VLOOKUP($B183,FoodDB!$A$2:$I$1011,7,0)</f>
        <v>7.7142857142857153</v>
      </c>
      <c r="I183">
        <f>$C183*VLOOKUP($B183,FoodDB!$A$2:$I$1011,8,0)</f>
        <v>3.8571428571428577</v>
      </c>
      <c r="J183">
        <f>$C183*VLOOKUP($B183,FoodDB!$A$2:$I$1011,9,0)</f>
        <v>11.571428571428573</v>
      </c>
    </row>
    <row r="184" spans="1:23" x14ac:dyDescent="0.25">
      <c r="B184" s="94" t="s">
        <v>96</v>
      </c>
      <c r="C184" s="95">
        <v>2</v>
      </c>
      <c r="D184">
        <f>$C184*VLOOKUP($B184,FoodDB!$A$2:$I$1011,3,0)</f>
        <v>18</v>
      </c>
      <c r="E184">
        <f>$C184*VLOOKUP($B184,FoodDB!$A$2:$I$1011,4,0)</f>
        <v>4</v>
      </c>
      <c r="F184">
        <f>$C184*VLOOKUP($B184,FoodDB!$A$2:$I$1011,5,0)</f>
        <v>9.4</v>
      </c>
      <c r="G184">
        <f>$C184*VLOOKUP($B184,FoodDB!$A$2:$I$1011,6,0)</f>
        <v>162</v>
      </c>
      <c r="H184">
        <f>$C184*VLOOKUP($B184,FoodDB!$A$2:$I$1011,7,0)</f>
        <v>16</v>
      </c>
      <c r="I184">
        <f>$C184*VLOOKUP($B184,FoodDB!$A$2:$I$1011,8,0)</f>
        <v>37.6</v>
      </c>
      <c r="J184">
        <f>$C184*VLOOKUP($B184,FoodDB!$A$2:$I$1011,9,0)</f>
        <v>215.6</v>
      </c>
    </row>
    <row r="185" spans="1:23" x14ac:dyDescent="0.25">
      <c r="B185" s="94" t="s">
        <v>107</v>
      </c>
      <c r="C185" s="95">
        <v>0</v>
      </c>
      <c r="D185">
        <f>$C185*VLOOKUP($B185,FoodDB!$A$2:$I$1011,3,0)</f>
        <v>0</v>
      </c>
      <c r="E185">
        <f>$C185*VLOOKUP($B185,FoodDB!$A$2:$I$1011,4,0)</f>
        <v>0</v>
      </c>
      <c r="F185">
        <f>$C185*VLOOKUP($B185,FoodDB!$A$2:$I$1011,5,0)</f>
        <v>0</v>
      </c>
      <c r="G185">
        <f>$C185*VLOOKUP($B185,FoodDB!$A$2:$I$1011,6,0)</f>
        <v>0</v>
      </c>
      <c r="H185">
        <f>$C185*VLOOKUP($B185,FoodDB!$A$2:$I$1011,7,0)</f>
        <v>0</v>
      </c>
      <c r="I185">
        <f>$C185*VLOOKUP($B185,FoodDB!$A$2:$I$1011,8,0)</f>
        <v>0</v>
      </c>
      <c r="J185">
        <f>$C185*VLOOKUP($B185,FoodDB!$A$2:$I$1011,9,0)</f>
        <v>0</v>
      </c>
    </row>
    <row r="186" spans="1:23" x14ac:dyDescent="0.25">
      <c r="B186" s="94" t="s">
        <v>107</v>
      </c>
      <c r="C186" s="95">
        <v>0</v>
      </c>
      <c r="D186">
        <f>$C186*VLOOKUP($B186,FoodDB!$A$2:$I$1011,3,0)</f>
        <v>0</v>
      </c>
      <c r="E186">
        <f>$C186*VLOOKUP($B186,FoodDB!$A$2:$I$1011,4,0)</f>
        <v>0</v>
      </c>
      <c r="F186">
        <f>$C186*VLOOKUP($B186,FoodDB!$A$2:$I$1011,5,0)</f>
        <v>0</v>
      </c>
      <c r="G186">
        <f>$C186*VLOOKUP($B186,FoodDB!$A$2:$I$1011,6,0)</f>
        <v>0</v>
      </c>
      <c r="H186">
        <f>$C186*VLOOKUP($B186,FoodDB!$A$2:$I$1011,7,0)</f>
        <v>0</v>
      </c>
      <c r="I186">
        <f>$C186*VLOOKUP($B186,FoodDB!$A$2:$I$1011,8,0)</f>
        <v>0</v>
      </c>
      <c r="J186">
        <f>$C186*VLOOKUP($B186,FoodDB!$A$2:$I$1011,9,0)</f>
        <v>0</v>
      </c>
    </row>
    <row r="187" spans="1:23" x14ac:dyDescent="0.25">
      <c r="A187" t="s">
        <v>97</v>
      </c>
      <c r="G187">
        <f>SUM(G180:G186)</f>
        <v>504.9</v>
      </c>
      <c r="H187">
        <f>SUM(H180:H186)</f>
        <v>51.714285714285715</v>
      </c>
      <c r="I187">
        <f>SUM(I180:I186)</f>
        <v>476.65714285714284</v>
      </c>
      <c r="J187">
        <f>SUM(G187:I187)</f>
        <v>1033.2714285714285</v>
      </c>
    </row>
    <row r="188" spans="1:23" x14ac:dyDescent="0.25">
      <c r="A188" t="s">
        <v>101</v>
      </c>
      <c r="B188" t="s">
        <v>102</v>
      </c>
      <c r="E188" s="98"/>
      <c r="F188" s="98"/>
      <c r="G188" s="98">
        <f>VLOOKUP($A180,LossChart!$A$3:$AB$105,14,0)</f>
        <v>469.53244920644556</v>
      </c>
      <c r="H188" s="98">
        <f>VLOOKUP($A180,LossChart!$A$3:$AB$105,15,0)</f>
        <v>80</v>
      </c>
      <c r="I188" s="98">
        <f>VLOOKUP($A180,LossChart!$A$3:$AB$105,16,0)</f>
        <v>482.47465271142238</v>
      </c>
      <c r="J188" s="98">
        <f>VLOOKUP($A180,LossChart!$A$3:$AB$105,17,0)</f>
        <v>1032.0071019178679</v>
      </c>
      <c r="K188" s="98"/>
    </row>
    <row r="189" spans="1:23" x14ac:dyDescent="0.25">
      <c r="A189" t="s">
        <v>103</v>
      </c>
      <c r="G189">
        <f>G188-G187</f>
        <v>-35.367550793554415</v>
      </c>
      <c r="H189">
        <f>H188-H187</f>
        <v>28.285714285714285</v>
      </c>
      <c r="I189">
        <f>I188-I187</f>
        <v>5.8175098542795354</v>
      </c>
      <c r="J189">
        <f>J188-J187</f>
        <v>-1.2643266535606017</v>
      </c>
    </row>
    <row r="191" spans="1:23" ht="60" x14ac:dyDescent="0.25">
      <c r="A191" s="21" t="s">
        <v>63</v>
      </c>
      <c r="B191" s="21" t="s">
        <v>92</v>
      </c>
      <c r="C191" s="21" t="s">
        <v>93</v>
      </c>
      <c r="D191" s="92" t="str">
        <f>FoodDB!$C$1</f>
        <v>Fat
(g)</v>
      </c>
      <c r="E191" s="92" t="str">
        <f>FoodDB!$D$1</f>
        <v xml:space="preserve"> Carbs
(g)</v>
      </c>
      <c r="F191" s="92" t="str">
        <f>FoodDB!$E$1</f>
        <v>Protein
(g)</v>
      </c>
      <c r="G191" s="92" t="str">
        <f>FoodDB!$F$1</f>
        <v>Fat
(Cal)</v>
      </c>
      <c r="H191" s="92" t="str">
        <f>FoodDB!$G$1</f>
        <v>Carb
(Cal)</v>
      </c>
      <c r="I191" s="92" t="str">
        <f>FoodDB!$H$1</f>
        <v>Protein
(Cal)</v>
      </c>
      <c r="J191" s="92" t="str">
        <f>FoodDB!$I$1</f>
        <v>Total
Calories</v>
      </c>
      <c r="K191" s="92"/>
      <c r="L191" s="92" t="s">
        <v>109</v>
      </c>
      <c r="M191" s="92" t="s">
        <v>110</v>
      </c>
      <c r="N191" s="92" t="s">
        <v>111</v>
      </c>
      <c r="O191" s="92" t="s">
        <v>112</v>
      </c>
      <c r="P191" s="92" t="s">
        <v>117</v>
      </c>
      <c r="Q191" s="92" t="s">
        <v>118</v>
      </c>
      <c r="R191" s="92" t="s">
        <v>119</v>
      </c>
      <c r="S191" s="92" t="s">
        <v>120</v>
      </c>
      <c r="T191" s="92"/>
      <c r="U191" s="92"/>
      <c r="V191" s="92"/>
      <c r="W191" s="92"/>
    </row>
    <row r="192" spans="1:23" x14ac:dyDescent="0.25">
      <c r="A192" s="93">
        <f>A180+1</f>
        <v>43010</v>
      </c>
      <c r="B192" s="94" t="s">
        <v>99</v>
      </c>
      <c r="C192" s="95">
        <v>7</v>
      </c>
      <c r="D192">
        <f>$C192*VLOOKUP($B192,FoodDB!$A$2:$I$1011,3,0)</f>
        <v>0</v>
      </c>
      <c r="E192">
        <f>$C192*VLOOKUP($B192,FoodDB!$A$2:$I$1011,4,0)</f>
        <v>7</v>
      </c>
      <c r="F192">
        <f>$C192*VLOOKUP($B192,FoodDB!$A$2:$I$1011,5,0)</f>
        <v>4.2</v>
      </c>
      <c r="G192">
        <f>$C192*VLOOKUP($B192,FoodDB!$A$2:$I$1011,6,0)</f>
        <v>0</v>
      </c>
      <c r="H192">
        <f>$C192*VLOOKUP($B192,FoodDB!$A$2:$I$1011,7,0)</f>
        <v>28</v>
      </c>
      <c r="I192">
        <f>$C192*VLOOKUP($B192,FoodDB!$A$2:$I$1011,8,0)</f>
        <v>16.8</v>
      </c>
      <c r="J192">
        <f>$C192*VLOOKUP($B192,FoodDB!$A$2:$I$1011,9,0)</f>
        <v>44.800000000000004</v>
      </c>
      <c r="L192">
        <f>SUM(G192:G198)</f>
        <v>504.9</v>
      </c>
      <c r="M192">
        <f>SUM(H192:H198)</f>
        <v>51.714285714285715</v>
      </c>
      <c r="N192">
        <f>SUM(I192:I198)</f>
        <v>476.65714285714284</v>
      </c>
      <c r="O192">
        <f>SUM(L192:N192)</f>
        <v>1033.2714285714285</v>
      </c>
      <c r="P192" s="98">
        <f>VLOOKUP($A192,LossChart!$A$3:$AB$105,14,0)-L192</f>
        <v>-27.898242212594255</v>
      </c>
      <c r="Q192" s="98">
        <f>VLOOKUP($A192,LossChart!$A$3:$AB$105,15,0)-M192</f>
        <v>28.285714285714285</v>
      </c>
      <c r="R192" s="98">
        <f>VLOOKUP($A192,LossChart!$A$3:$AB$105,16,0)-N192</f>
        <v>5.8175098542795354</v>
      </c>
      <c r="S192" s="98">
        <f>VLOOKUP($A192,LossChart!$A$3:$AB$105,17,0)-O192</f>
        <v>6.2049819273995581</v>
      </c>
      <c r="T192" s="98"/>
      <c r="U192" s="98"/>
      <c r="V192" s="98"/>
      <c r="W192" s="98"/>
    </row>
    <row r="193" spans="1:23" x14ac:dyDescent="0.25">
      <c r="B193" s="94" t="s">
        <v>98</v>
      </c>
      <c r="C193" s="95">
        <v>5</v>
      </c>
      <c r="D193">
        <f>$C193*VLOOKUP($B193,FoodDB!$A$2:$I$1011,3,0)</f>
        <v>30.9</v>
      </c>
      <c r="E193">
        <f>$C193*VLOOKUP($B193,FoodDB!$A$2:$I$1011,4,0)</f>
        <v>0</v>
      </c>
      <c r="F193">
        <f>$C193*VLOOKUP($B193,FoodDB!$A$2:$I$1011,5,0)</f>
        <v>42.599999999999994</v>
      </c>
      <c r="G193">
        <f>$C193*VLOOKUP($B193,FoodDB!$A$2:$I$1011,6,0)</f>
        <v>278.09999999999997</v>
      </c>
      <c r="H193">
        <f>$C193*VLOOKUP($B193,FoodDB!$A$2:$I$1011,7,0)</f>
        <v>0</v>
      </c>
      <c r="I193">
        <f>$C193*VLOOKUP($B193,FoodDB!$A$2:$I$1011,8,0)</f>
        <v>170.39999999999998</v>
      </c>
      <c r="J193">
        <f>$C193*VLOOKUP($B193,FoodDB!$A$2:$I$1011,9,0)</f>
        <v>448.49999999999994</v>
      </c>
    </row>
    <row r="194" spans="1:23" x14ac:dyDescent="0.25">
      <c r="B194" s="94" t="s">
        <v>125</v>
      </c>
      <c r="C194" s="95">
        <v>2</v>
      </c>
      <c r="D194">
        <f>$C194*VLOOKUP($B194,FoodDB!$A$2:$I$1011,3,0)</f>
        <v>7.2</v>
      </c>
      <c r="E194">
        <f>$C194*VLOOKUP($B194,FoodDB!$A$2:$I$1011,4,0)</f>
        <v>0</v>
      </c>
      <c r="F194">
        <f>$C194*VLOOKUP($B194,FoodDB!$A$2:$I$1011,5,0)</f>
        <v>62</v>
      </c>
      <c r="G194">
        <f>$C194*VLOOKUP($B194,FoodDB!$A$2:$I$1011,6,0)</f>
        <v>64.8</v>
      </c>
      <c r="H194">
        <f>$C194*VLOOKUP($B194,FoodDB!$A$2:$I$1011,7,0)</f>
        <v>0</v>
      </c>
      <c r="I194">
        <f>$C194*VLOOKUP($B194,FoodDB!$A$2:$I$1011,8,0)</f>
        <v>248</v>
      </c>
      <c r="J194">
        <f>$C194*VLOOKUP($B194,FoodDB!$A$2:$I$1011,9,0)</f>
        <v>312.8</v>
      </c>
    </row>
    <row r="195" spans="1:23" x14ac:dyDescent="0.25">
      <c r="B195" s="94" t="s">
        <v>95</v>
      </c>
      <c r="C195" s="95">
        <v>3</v>
      </c>
      <c r="D195">
        <f>$C195*VLOOKUP($B195,FoodDB!$A$2:$I$1011,3,0)</f>
        <v>0</v>
      </c>
      <c r="E195">
        <f>$C195*VLOOKUP($B195,FoodDB!$A$2:$I$1011,4,0)</f>
        <v>1.9285714285714288</v>
      </c>
      <c r="F195">
        <f>$C195*VLOOKUP($B195,FoodDB!$A$2:$I$1011,5,0)</f>
        <v>0.96428571428571441</v>
      </c>
      <c r="G195">
        <f>$C195*VLOOKUP($B195,FoodDB!$A$2:$I$1011,6,0)</f>
        <v>0</v>
      </c>
      <c r="H195">
        <f>$C195*VLOOKUP($B195,FoodDB!$A$2:$I$1011,7,0)</f>
        <v>7.7142857142857153</v>
      </c>
      <c r="I195">
        <f>$C195*VLOOKUP($B195,FoodDB!$A$2:$I$1011,8,0)</f>
        <v>3.8571428571428577</v>
      </c>
      <c r="J195">
        <f>$C195*VLOOKUP($B195,FoodDB!$A$2:$I$1011,9,0)</f>
        <v>11.571428571428573</v>
      </c>
    </row>
    <row r="196" spans="1:23" x14ac:dyDescent="0.25">
      <c r="B196" s="94" t="s">
        <v>96</v>
      </c>
      <c r="C196" s="95">
        <v>2</v>
      </c>
      <c r="D196">
        <f>$C196*VLOOKUP($B196,FoodDB!$A$2:$I$1011,3,0)</f>
        <v>18</v>
      </c>
      <c r="E196">
        <f>$C196*VLOOKUP($B196,FoodDB!$A$2:$I$1011,4,0)</f>
        <v>4</v>
      </c>
      <c r="F196">
        <f>$C196*VLOOKUP($B196,FoodDB!$A$2:$I$1011,5,0)</f>
        <v>9.4</v>
      </c>
      <c r="G196">
        <f>$C196*VLOOKUP($B196,FoodDB!$A$2:$I$1011,6,0)</f>
        <v>162</v>
      </c>
      <c r="H196">
        <f>$C196*VLOOKUP($B196,FoodDB!$A$2:$I$1011,7,0)</f>
        <v>16</v>
      </c>
      <c r="I196">
        <f>$C196*VLOOKUP($B196,FoodDB!$A$2:$I$1011,8,0)</f>
        <v>37.6</v>
      </c>
      <c r="J196">
        <f>$C196*VLOOKUP($B196,FoodDB!$A$2:$I$1011,9,0)</f>
        <v>215.6</v>
      </c>
    </row>
    <row r="197" spans="1:23" x14ac:dyDescent="0.25">
      <c r="B197" s="94" t="s">
        <v>107</v>
      </c>
      <c r="C197" s="95">
        <v>0</v>
      </c>
      <c r="D197">
        <f>$C197*VLOOKUP($B197,FoodDB!$A$2:$I$1011,3,0)</f>
        <v>0</v>
      </c>
      <c r="E197">
        <f>$C197*VLOOKUP($B197,FoodDB!$A$2:$I$1011,4,0)</f>
        <v>0</v>
      </c>
      <c r="F197">
        <f>$C197*VLOOKUP($B197,FoodDB!$A$2:$I$1011,5,0)</f>
        <v>0</v>
      </c>
      <c r="G197">
        <f>$C197*VLOOKUP($B197,FoodDB!$A$2:$I$1011,6,0)</f>
        <v>0</v>
      </c>
      <c r="H197">
        <f>$C197*VLOOKUP($B197,FoodDB!$A$2:$I$1011,7,0)</f>
        <v>0</v>
      </c>
      <c r="I197">
        <f>$C197*VLOOKUP($B197,FoodDB!$A$2:$I$1011,8,0)</f>
        <v>0</v>
      </c>
      <c r="J197">
        <f>$C197*VLOOKUP($B197,FoodDB!$A$2:$I$1011,9,0)</f>
        <v>0</v>
      </c>
    </row>
    <row r="198" spans="1:23" x14ac:dyDescent="0.25">
      <c r="B198" s="94" t="s">
        <v>107</v>
      </c>
      <c r="C198" s="95">
        <v>0</v>
      </c>
      <c r="D198">
        <f>$C198*VLOOKUP($B198,FoodDB!$A$2:$I$1011,3,0)</f>
        <v>0</v>
      </c>
      <c r="E198">
        <f>$C198*VLOOKUP($B198,FoodDB!$A$2:$I$1011,4,0)</f>
        <v>0</v>
      </c>
      <c r="F198">
        <f>$C198*VLOOKUP($B198,FoodDB!$A$2:$I$1011,5,0)</f>
        <v>0</v>
      </c>
      <c r="G198">
        <f>$C198*VLOOKUP($B198,FoodDB!$A$2:$I$1011,6,0)</f>
        <v>0</v>
      </c>
      <c r="H198">
        <f>$C198*VLOOKUP($B198,FoodDB!$A$2:$I$1011,7,0)</f>
        <v>0</v>
      </c>
      <c r="I198">
        <f>$C198*VLOOKUP($B198,FoodDB!$A$2:$I$1011,8,0)</f>
        <v>0</v>
      </c>
      <c r="J198">
        <f>$C198*VLOOKUP($B198,FoodDB!$A$2:$I$1011,9,0)</f>
        <v>0</v>
      </c>
    </row>
    <row r="199" spans="1:23" x14ac:dyDescent="0.25">
      <c r="A199" t="s">
        <v>97</v>
      </c>
      <c r="G199">
        <f>SUM(G192:G198)</f>
        <v>504.9</v>
      </c>
      <c r="H199">
        <f>SUM(H192:H198)</f>
        <v>51.714285714285715</v>
      </c>
      <c r="I199">
        <f>SUM(I192:I198)</f>
        <v>476.65714285714284</v>
      </c>
      <c r="J199">
        <f>SUM(G199:I199)</f>
        <v>1033.2714285714285</v>
      </c>
    </row>
    <row r="200" spans="1:23" x14ac:dyDescent="0.25">
      <c r="A200" t="s">
        <v>101</v>
      </c>
      <c r="B200" t="s">
        <v>102</v>
      </c>
      <c r="E200" s="98"/>
      <c r="F200" s="98"/>
      <c r="G200" s="98">
        <f>VLOOKUP($A192,LossChart!$A$3:$AB$105,14,0)</f>
        <v>477.00175778740572</v>
      </c>
      <c r="H200" s="98">
        <f>VLOOKUP($A192,LossChart!$A$3:$AB$105,15,0)</f>
        <v>80</v>
      </c>
      <c r="I200" s="98">
        <f>VLOOKUP($A192,LossChart!$A$3:$AB$105,16,0)</f>
        <v>482.47465271142238</v>
      </c>
      <c r="J200" s="98">
        <f>VLOOKUP($A192,LossChart!$A$3:$AB$105,17,0)</f>
        <v>1039.476410498828</v>
      </c>
      <c r="K200" s="98"/>
    </row>
    <row r="201" spans="1:23" x14ac:dyDescent="0.25">
      <c r="A201" t="s">
        <v>103</v>
      </c>
      <c r="G201">
        <f>G200-G199</f>
        <v>-27.898242212594255</v>
      </c>
      <c r="H201">
        <f>H200-H199</f>
        <v>28.285714285714285</v>
      </c>
      <c r="I201">
        <f>I200-I199</f>
        <v>5.8175098542795354</v>
      </c>
      <c r="J201">
        <f>J200-J199</f>
        <v>6.2049819273995581</v>
      </c>
    </row>
    <row r="203" spans="1:23" ht="60" x14ac:dyDescent="0.25">
      <c r="A203" s="21" t="s">
        <v>63</v>
      </c>
      <c r="B203" s="21" t="s">
        <v>92</v>
      </c>
      <c r="C203" s="21" t="s">
        <v>93</v>
      </c>
      <c r="D203" s="92" t="str">
        <f>FoodDB!$C$1</f>
        <v>Fat
(g)</v>
      </c>
      <c r="E203" s="92" t="str">
        <f>FoodDB!$D$1</f>
        <v xml:space="preserve"> Carbs
(g)</v>
      </c>
      <c r="F203" s="92" t="str">
        <f>FoodDB!$E$1</f>
        <v>Protein
(g)</v>
      </c>
      <c r="G203" s="92" t="str">
        <f>FoodDB!$F$1</f>
        <v>Fat
(Cal)</v>
      </c>
      <c r="H203" s="92" t="str">
        <f>FoodDB!$G$1</f>
        <v>Carb
(Cal)</v>
      </c>
      <c r="I203" s="92" t="str">
        <f>FoodDB!$H$1</f>
        <v>Protein
(Cal)</v>
      </c>
      <c r="J203" s="92" t="str">
        <f>FoodDB!$I$1</f>
        <v>Total
Calories</v>
      </c>
      <c r="K203" s="92"/>
      <c r="L203" s="92" t="s">
        <v>109</v>
      </c>
      <c r="M203" s="92" t="s">
        <v>110</v>
      </c>
      <c r="N203" s="92" t="s">
        <v>111</v>
      </c>
      <c r="O203" s="92" t="s">
        <v>112</v>
      </c>
      <c r="P203" s="92" t="s">
        <v>117</v>
      </c>
      <c r="Q203" s="92" t="s">
        <v>118</v>
      </c>
      <c r="R203" s="92" t="s">
        <v>119</v>
      </c>
      <c r="S203" s="92" t="s">
        <v>120</v>
      </c>
      <c r="T203" s="92"/>
      <c r="U203" s="92"/>
      <c r="V203" s="92"/>
      <c r="W203" s="92"/>
    </row>
    <row r="204" spans="1:23" x14ac:dyDescent="0.25">
      <c r="A204" s="93">
        <f>A192+1</f>
        <v>43011</v>
      </c>
      <c r="B204" s="94" t="s">
        <v>125</v>
      </c>
      <c r="C204" s="95">
        <v>2</v>
      </c>
      <c r="D204">
        <f>$C204*VLOOKUP($B204,FoodDB!$A$2:$I$1011,3,0)</f>
        <v>7.2</v>
      </c>
      <c r="E204">
        <f>$C204*VLOOKUP($B204,FoodDB!$A$2:$I$1011,4,0)</f>
        <v>0</v>
      </c>
      <c r="F204">
        <f>$C204*VLOOKUP($B204,FoodDB!$A$2:$I$1011,5,0)</f>
        <v>62</v>
      </c>
      <c r="G204">
        <f>$C204*VLOOKUP($B204,FoodDB!$A$2:$I$1011,6,0)</f>
        <v>64.8</v>
      </c>
      <c r="H204">
        <f>$C204*VLOOKUP($B204,FoodDB!$A$2:$I$1011,7,0)</f>
        <v>0</v>
      </c>
      <c r="I204">
        <f>$C204*VLOOKUP($B204,FoodDB!$A$2:$I$1011,8,0)</f>
        <v>248</v>
      </c>
      <c r="J204">
        <f>$C204*VLOOKUP($B204,FoodDB!$A$2:$I$1011,9,0)</f>
        <v>312.8</v>
      </c>
      <c r="L204">
        <f>SUM(G204:G210)</f>
        <v>64.8</v>
      </c>
      <c r="M204">
        <f>SUM(H204:H210)</f>
        <v>0</v>
      </c>
      <c r="N204">
        <f>SUM(I204:I210)</f>
        <v>248</v>
      </c>
      <c r="O204">
        <f>SUM(L204:N204)</f>
        <v>312.8</v>
      </c>
      <c r="P204" s="98">
        <f>VLOOKUP($A204,LossChart!$A$3:$AB$105,14,0)-L204</f>
        <v>419.61161309407152</v>
      </c>
      <c r="Q204" s="98">
        <f>VLOOKUP($A204,LossChart!$A$3:$AB$105,15,0)-M204</f>
        <v>80</v>
      </c>
      <c r="R204" s="98">
        <f>VLOOKUP($A204,LossChart!$A$3:$AB$105,16,0)-N204</f>
        <v>234.47465271142238</v>
      </c>
      <c r="S204" s="98">
        <f>VLOOKUP($A204,LossChart!$A$3:$AB$105,17,0)-O204</f>
        <v>734.08626580549389</v>
      </c>
      <c r="T204" s="98"/>
      <c r="U204" s="98"/>
      <c r="V204" s="98"/>
      <c r="W204" s="98"/>
    </row>
    <row r="205" spans="1:23" x14ac:dyDescent="0.25">
      <c r="B205" s="94" t="s">
        <v>107</v>
      </c>
      <c r="C205" s="95">
        <v>0</v>
      </c>
      <c r="D205">
        <f>$C205*VLOOKUP($B205,FoodDB!$A$2:$I$1011,3,0)</f>
        <v>0</v>
      </c>
      <c r="E205">
        <f>$C205*VLOOKUP($B205,FoodDB!$A$2:$I$1011,4,0)</f>
        <v>0</v>
      </c>
      <c r="F205">
        <f>$C205*VLOOKUP($B205,FoodDB!$A$2:$I$1011,5,0)</f>
        <v>0</v>
      </c>
      <c r="G205">
        <f>$C205*VLOOKUP($B205,FoodDB!$A$2:$I$1011,6,0)</f>
        <v>0</v>
      </c>
      <c r="H205">
        <f>$C205*VLOOKUP($B205,FoodDB!$A$2:$I$1011,7,0)</f>
        <v>0</v>
      </c>
      <c r="I205">
        <f>$C205*VLOOKUP($B205,FoodDB!$A$2:$I$1011,8,0)</f>
        <v>0</v>
      </c>
      <c r="J205">
        <f>$C205*VLOOKUP($B205,FoodDB!$A$2:$I$1011,9,0)</f>
        <v>0</v>
      </c>
    </row>
    <row r="206" spans="1:23" x14ac:dyDescent="0.25">
      <c r="B206" s="94" t="s">
        <v>107</v>
      </c>
      <c r="C206" s="95">
        <v>0</v>
      </c>
      <c r="D206">
        <f>$C206*VLOOKUP($B206,FoodDB!$A$2:$I$1011,3,0)</f>
        <v>0</v>
      </c>
      <c r="E206">
        <f>$C206*VLOOKUP($B206,FoodDB!$A$2:$I$1011,4,0)</f>
        <v>0</v>
      </c>
      <c r="F206">
        <f>$C206*VLOOKUP($B206,FoodDB!$A$2:$I$1011,5,0)</f>
        <v>0</v>
      </c>
      <c r="G206">
        <f>$C206*VLOOKUP($B206,FoodDB!$A$2:$I$1011,6,0)</f>
        <v>0</v>
      </c>
      <c r="H206">
        <f>$C206*VLOOKUP($B206,FoodDB!$A$2:$I$1011,7,0)</f>
        <v>0</v>
      </c>
      <c r="I206">
        <f>$C206*VLOOKUP($B206,FoodDB!$A$2:$I$1011,8,0)</f>
        <v>0</v>
      </c>
      <c r="J206">
        <f>$C206*VLOOKUP($B206,FoodDB!$A$2:$I$1011,9,0)</f>
        <v>0</v>
      </c>
    </row>
    <row r="207" spans="1:23" x14ac:dyDescent="0.25">
      <c r="B207" s="94" t="s">
        <v>107</v>
      </c>
      <c r="C207" s="95">
        <v>0</v>
      </c>
      <c r="D207">
        <f>$C207*VLOOKUP($B207,FoodDB!$A$2:$I$1011,3,0)</f>
        <v>0</v>
      </c>
      <c r="E207">
        <f>$C207*VLOOKUP($B207,FoodDB!$A$2:$I$1011,4,0)</f>
        <v>0</v>
      </c>
      <c r="F207">
        <f>$C207*VLOOKUP($B207,FoodDB!$A$2:$I$1011,5,0)</f>
        <v>0</v>
      </c>
      <c r="G207">
        <f>$C207*VLOOKUP($B207,FoodDB!$A$2:$I$1011,6,0)</f>
        <v>0</v>
      </c>
      <c r="H207">
        <f>$C207*VLOOKUP($B207,FoodDB!$A$2:$I$1011,7,0)</f>
        <v>0</v>
      </c>
      <c r="I207">
        <f>$C207*VLOOKUP($B207,FoodDB!$A$2:$I$1011,8,0)</f>
        <v>0</v>
      </c>
      <c r="J207">
        <f>$C207*VLOOKUP($B207,FoodDB!$A$2:$I$1011,9,0)</f>
        <v>0</v>
      </c>
    </row>
    <row r="208" spans="1:23" x14ac:dyDescent="0.25">
      <c r="B208" s="94" t="s">
        <v>107</v>
      </c>
      <c r="C208" s="95">
        <v>0</v>
      </c>
      <c r="D208">
        <f>$C208*VLOOKUP($B208,FoodDB!$A$2:$I$1011,3,0)</f>
        <v>0</v>
      </c>
      <c r="E208">
        <f>$C208*VLOOKUP($B208,FoodDB!$A$2:$I$1011,4,0)</f>
        <v>0</v>
      </c>
      <c r="F208">
        <f>$C208*VLOOKUP($B208,FoodDB!$A$2:$I$1011,5,0)</f>
        <v>0</v>
      </c>
      <c r="G208">
        <f>$C208*VLOOKUP($B208,FoodDB!$A$2:$I$1011,6,0)</f>
        <v>0</v>
      </c>
      <c r="H208">
        <f>$C208*VLOOKUP($B208,FoodDB!$A$2:$I$1011,7,0)</f>
        <v>0</v>
      </c>
      <c r="I208">
        <f>$C208*VLOOKUP($B208,FoodDB!$A$2:$I$1011,8,0)</f>
        <v>0</v>
      </c>
      <c r="J208">
        <f>$C208*VLOOKUP($B208,FoodDB!$A$2:$I$1011,9,0)</f>
        <v>0</v>
      </c>
    </row>
    <row r="209" spans="1:23" x14ac:dyDescent="0.25">
      <c r="B209" s="94" t="s">
        <v>107</v>
      </c>
      <c r="C209" s="95">
        <v>0</v>
      </c>
      <c r="D209">
        <f>$C209*VLOOKUP($B209,FoodDB!$A$2:$I$1011,3,0)</f>
        <v>0</v>
      </c>
      <c r="E209">
        <f>$C209*VLOOKUP($B209,FoodDB!$A$2:$I$1011,4,0)</f>
        <v>0</v>
      </c>
      <c r="F209">
        <f>$C209*VLOOKUP($B209,FoodDB!$A$2:$I$1011,5,0)</f>
        <v>0</v>
      </c>
      <c r="G209">
        <f>$C209*VLOOKUP($B209,FoodDB!$A$2:$I$1011,6,0)</f>
        <v>0</v>
      </c>
      <c r="H209">
        <f>$C209*VLOOKUP($B209,FoodDB!$A$2:$I$1011,7,0)</f>
        <v>0</v>
      </c>
      <c r="I209">
        <f>$C209*VLOOKUP($B209,FoodDB!$A$2:$I$1011,8,0)</f>
        <v>0</v>
      </c>
      <c r="J209">
        <f>$C209*VLOOKUP($B209,FoodDB!$A$2:$I$1011,9,0)</f>
        <v>0</v>
      </c>
    </row>
    <row r="210" spans="1:23" x14ac:dyDescent="0.25">
      <c r="B210" s="94" t="s">
        <v>107</v>
      </c>
      <c r="C210" s="95">
        <v>0</v>
      </c>
      <c r="D210">
        <f>$C210*VLOOKUP($B210,FoodDB!$A$2:$I$1011,3,0)</f>
        <v>0</v>
      </c>
      <c r="E210">
        <f>$C210*VLOOKUP($B210,FoodDB!$A$2:$I$1011,4,0)</f>
        <v>0</v>
      </c>
      <c r="F210">
        <f>$C210*VLOOKUP($B210,FoodDB!$A$2:$I$1011,5,0)</f>
        <v>0</v>
      </c>
      <c r="G210">
        <f>$C210*VLOOKUP($B210,FoodDB!$A$2:$I$1011,6,0)</f>
        <v>0</v>
      </c>
      <c r="H210">
        <f>$C210*VLOOKUP($B210,FoodDB!$A$2:$I$1011,7,0)</f>
        <v>0</v>
      </c>
      <c r="I210">
        <f>$C210*VLOOKUP($B210,FoodDB!$A$2:$I$1011,8,0)</f>
        <v>0</v>
      </c>
      <c r="J210">
        <f>$C210*VLOOKUP($B210,FoodDB!$A$2:$I$1011,9,0)</f>
        <v>0</v>
      </c>
    </row>
    <row r="211" spans="1:23" x14ac:dyDescent="0.25">
      <c r="A211" t="s">
        <v>97</v>
      </c>
      <c r="G211">
        <f>SUM(G204:G210)</f>
        <v>64.8</v>
      </c>
      <c r="H211">
        <f>SUM(H204:H210)</f>
        <v>0</v>
      </c>
      <c r="I211">
        <f>SUM(I204:I210)</f>
        <v>248</v>
      </c>
      <c r="J211">
        <f>SUM(G211:I211)</f>
        <v>312.8</v>
      </c>
    </row>
    <row r="212" spans="1:23" x14ac:dyDescent="0.25">
      <c r="A212" t="s">
        <v>101</v>
      </c>
      <c r="B212" t="s">
        <v>102</v>
      </c>
      <c r="E212" s="98"/>
      <c r="F212" s="98"/>
      <c r="G212" s="98">
        <f>VLOOKUP($A204,LossChart!$A$3:$AB$105,14,0)</f>
        <v>484.41161309407153</v>
      </c>
      <c r="H212" s="98">
        <f>VLOOKUP($A204,LossChart!$A$3:$AB$105,15,0)</f>
        <v>80</v>
      </c>
      <c r="I212" s="98">
        <f>VLOOKUP($A204,LossChart!$A$3:$AB$105,16,0)</f>
        <v>482.47465271142238</v>
      </c>
      <c r="J212" s="98">
        <f>VLOOKUP($A204,LossChart!$A$3:$AB$105,17,0)</f>
        <v>1046.8862658054938</v>
      </c>
      <c r="K212" s="98"/>
    </row>
    <row r="213" spans="1:23" x14ac:dyDescent="0.25">
      <c r="A213" t="s">
        <v>103</v>
      </c>
      <c r="G213">
        <f>G212-G211</f>
        <v>419.61161309407152</v>
      </c>
      <c r="H213">
        <f>H212-H211</f>
        <v>80</v>
      </c>
      <c r="I213">
        <f>I212-I211</f>
        <v>234.47465271142238</v>
      </c>
      <c r="J213">
        <f>J212-J211</f>
        <v>734.08626580549389</v>
      </c>
    </row>
    <row r="215" spans="1:23" ht="60" x14ac:dyDescent="0.25">
      <c r="A215" s="21" t="s">
        <v>63</v>
      </c>
      <c r="B215" s="21" t="s">
        <v>92</v>
      </c>
      <c r="C215" s="21" t="s">
        <v>93</v>
      </c>
      <c r="D215" s="92" t="str">
        <f>FoodDB!$C$1</f>
        <v>Fat
(g)</v>
      </c>
      <c r="E215" s="92" t="str">
        <f>FoodDB!$D$1</f>
        <v xml:space="preserve"> Carbs
(g)</v>
      </c>
      <c r="F215" s="92" t="str">
        <f>FoodDB!$E$1</f>
        <v>Protein
(g)</v>
      </c>
      <c r="G215" s="92" t="str">
        <f>FoodDB!$F$1</f>
        <v>Fat
(Cal)</v>
      </c>
      <c r="H215" s="92" t="str">
        <f>FoodDB!$G$1</f>
        <v>Carb
(Cal)</v>
      </c>
      <c r="I215" s="92" t="str">
        <f>FoodDB!$H$1</f>
        <v>Protein
(Cal)</v>
      </c>
      <c r="J215" s="92" t="str">
        <f>FoodDB!$I$1</f>
        <v>Total
Calories</v>
      </c>
      <c r="K215" s="92"/>
      <c r="L215" s="92" t="s">
        <v>109</v>
      </c>
      <c r="M215" s="92" t="s">
        <v>110</v>
      </c>
      <c r="N215" s="92" t="s">
        <v>111</v>
      </c>
      <c r="O215" s="92" t="s">
        <v>112</v>
      </c>
      <c r="P215" s="92" t="s">
        <v>117</v>
      </c>
      <c r="Q215" s="92" t="s">
        <v>118</v>
      </c>
      <c r="R215" s="92" t="s">
        <v>119</v>
      </c>
      <c r="S215" s="92" t="s">
        <v>120</v>
      </c>
      <c r="T215" s="92"/>
      <c r="U215" s="92"/>
      <c r="V215" s="92"/>
      <c r="W215" s="92"/>
    </row>
    <row r="216" spans="1:23" x14ac:dyDescent="0.25">
      <c r="A216" s="93">
        <f>A204+1</f>
        <v>43012</v>
      </c>
      <c r="B216" s="94" t="s">
        <v>107</v>
      </c>
      <c r="C216" s="95">
        <v>0</v>
      </c>
      <c r="D216">
        <f>$C216*VLOOKUP($B216,FoodDB!$A$2:$I$1011,3,0)</f>
        <v>0</v>
      </c>
      <c r="E216">
        <f>$C216*VLOOKUP($B216,FoodDB!$A$2:$I$1011,4,0)</f>
        <v>0</v>
      </c>
      <c r="F216">
        <f>$C216*VLOOKUP($B216,FoodDB!$A$2:$I$1011,5,0)</f>
        <v>0</v>
      </c>
      <c r="G216">
        <f>$C216*VLOOKUP($B216,FoodDB!$A$2:$I$1011,6,0)</f>
        <v>0</v>
      </c>
      <c r="H216">
        <f>$C216*VLOOKUP($B216,FoodDB!$A$2:$I$1011,7,0)</f>
        <v>0</v>
      </c>
      <c r="I216">
        <f>$C216*VLOOKUP($B216,FoodDB!$A$2:$I$1011,8,0)</f>
        <v>0</v>
      </c>
      <c r="J216">
        <f>$C216*VLOOKUP($B216,FoodDB!$A$2:$I$1011,9,0)</f>
        <v>0</v>
      </c>
      <c r="L216">
        <f>SUM(G216:G222)</f>
        <v>0</v>
      </c>
      <c r="M216">
        <f>SUM(H216:H222)</f>
        <v>0</v>
      </c>
      <c r="N216">
        <f>SUM(I216:I222)</f>
        <v>0</v>
      </c>
      <c r="O216">
        <f>SUM(L216:N216)</f>
        <v>0</v>
      </c>
      <c r="P216" s="98">
        <f>VLOOKUP($A216,LossChart!$A$3:$AB$105,14,0)-L216</f>
        <v>491.75583825373519</v>
      </c>
      <c r="Q216" s="98">
        <f>VLOOKUP($A216,LossChart!$A$3:$AB$105,15,0)-M216</f>
        <v>80</v>
      </c>
      <c r="R216" s="98">
        <f>VLOOKUP($A216,LossChart!$A$3:$AB$105,16,0)-N216</f>
        <v>482.47465271142238</v>
      </c>
      <c r="S216" s="98">
        <f>VLOOKUP($A216,LossChart!$A$3:$AB$105,17,0)-O216</f>
        <v>1054.2304909651575</v>
      </c>
      <c r="T216" s="98"/>
      <c r="U216" s="98"/>
      <c r="V216" s="98"/>
      <c r="W216" s="98"/>
    </row>
    <row r="217" spans="1:23" x14ac:dyDescent="0.25">
      <c r="B217" s="94" t="s">
        <v>107</v>
      </c>
      <c r="C217" s="95">
        <v>0</v>
      </c>
      <c r="D217">
        <f>$C217*VLOOKUP($B217,FoodDB!$A$2:$I$1011,3,0)</f>
        <v>0</v>
      </c>
      <c r="E217">
        <f>$C217*VLOOKUP($B217,FoodDB!$A$2:$I$1011,4,0)</f>
        <v>0</v>
      </c>
      <c r="F217">
        <f>$C217*VLOOKUP($B217,FoodDB!$A$2:$I$1011,5,0)</f>
        <v>0</v>
      </c>
      <c r="G217">
        <f>$C217*VLOOKUP($B217,FoodDB!$A$2:$I$1011,6,0)</f>
        <v>0</v>
      </c>
      <c r="H217">
        <f>$C217*VLOOKUP($B217,FoodDB!$A$2:$I$1011,7,0)</f>
        <v>0</v>
      </c>
      <c r="I217">
        <f>$C217*VLOOKUP($B217,FoodDB!$A$2:$I$1011,8,0)</f>
        <v>0</v>
      </c>
      <c r="J217">
        <f>$C217*VLOOKUP($B217,FoodDB!$A$2:$I$1011,9,0)</f>
        <v>0</v>
      </c>
    </row>
    <row r="218" spans="1:23" x14ac:dyDescent="0.25">
      <c r="B218" s="94" t="s">
        <v>107</v>
      </c>
      <c r="C218" s="95">
        <v>0</v>
      </c>
      <c r="D218">
        <f>$C218*VLOOKUP($B218,FoodDB!$A$2:$I$1011,3,0)</f>
        <v>0</v>
      </c>
      <c r="E218">
        <f>$C218*VLOOKUP($B218,FoodDB!$A$2:$I$1011,4,0)</f>
        <v>0</v>
      </c>
      <c r="F218">
        <f>$C218*VLOOKUP($B218,FoodDB!$A$2:$I$1011,5,0)</f>
        <v>0</v>
      </c>
      <c r="G218">
        <f>$C218*VLOOKUP($B218,FoodDB!$A$2:$I$1011,6,0)</f>
        <v>0</v>
      </c>
      <c r="H218">
        <f>$C218*VLOOKUP($B218,FoodDB!$A$2:$I$1011,7,0)</f>
        <v>0</v>
      </c>
      <c r="I218">
        <f>$C218*VLOOKUP($B218,FoodDB!$A$2:$I$1011,8,0)</f>
        <v>0</v>
      </c>
      <c r="J218">
        <f>$C218*VLOOKUP($B218,FoodDB!$A$2:$I$1011,9,0)</f>
        <v>0</v>
      </c>
    </row>
    <row r="219" spans="1:23" x14ac:dyDescent="0.25">
      <c r="B219" s="94" t="s">
        <v>107</v>
      </c>
      <c r="C219" s="95">
        <v>0</v>
      </c>
      <c r="D219">
        <f>$C219*VLOOKUP($B219,FoodDB!$A$2:$I$1011,3,0)</f>
        <v>0</v>
      </c>
      <c r="E219">
        <f>$C219*VLOOKUP($B219,FoodDB!$A$2:$I$1011,4,0)</f>
        <v>0</v>
      </c>
      <c r="F219">
        <f>$C219*VLOOKUP($B219,FoodDB!$A$2:$I$1011,5,0)</f>
        <v>0</v>
      </c>
      <c r="G219">
        <f>$C219*VLOOKUP($B219,FoodDB!$A$2:$I$1011,6,0)</f>
        <v>0</v>
      </c>
      <c r="H219">
        <f>$C219*VLOOKUP($B219,FoodDB!$A$2:$I$1011,7,0)</f>
        <v>0</v>
      </c>
      <c r="I219">
        <f>$C219*VLOOKUP($B219,FoodDB!$A$2:$I$1011,8,0)</f>
        <v>0</v>
      </c>
      <c r="J219">
        <f>$C219*VLOOKUP($B219,FoodDB!$A$2:$I$1011,9,0)</f>
        <v>0</v>
      </c>
    </row>
    <row r="220" spans="1:23" x14ac:dyDescent="0.25">
      <c r="B220" s="94" t="s">
        <v>107</v>
      </c>
      <c r="C220" s="95">
        <v>0</v>
      </c>
      <c r="D220">
        <f>$C220*VLOOKUP($B220,FoodDB!$A$2:$I$1011,3,0)</f>
        <v>0</v>
      </c>
      <c r="E220">
        <f>$C220*VLOOKUP($B220,FoodDB!$A$2:$I$1011,4,0)</f>
        <v>0</v>
      </c>
      <c r="F220">
        <f>$C220*VLOOKUP($B220,FoodDB!$A$2:$I$1011,5,0)</f>
        <v>0</v>
      </c>
      <c r="G220">
        <f>$C220*VLOOKUP($B220,FoodDB!$A$2:$I$1011,6,0)</f>
        <v>0</v>
      </c>
      <c r="H220">
        <f>$C220*VLOOKUP($B220,FoodDB!$A$2:$I$1011,7,0)</f>
        <v>0</v>
      </c>
      <c r="I220">
        <f>$C220*VLOOKUP($B220,FoodDB!$A$2:$I$1011,8,0)</f>
        <v>0</v>
      </c>
      <c r="J220">
        <f>$C220*VLOOKUP($B220,FoodDB!$A$2:$I$1011,9,0)</f>
        <v>0</v>
      </c>
    </row>
    <row r="221" spans="1:23" x14ac:dyDescent="0.25">
      <c r="B221" s="94" t="s">
        <v>107</v>
      </c>
      <c r="C221" s="95">
        <v>0</v>
      </c>
      <c r="D221">
        <f>$C221*VLOOKUP($B221,FoodDB!$A$2:$I$1011,3,0)</f>
        <v>0</v>
      </c>
      <c r="E221">
        <f>$C221*VLOOKUP($B221,FoodDB!$A$2:$I$1011,4,0)</f>
        <v>0</v>
      </c>
      <c r="F221">
        <f>$C221*VLOOKUP($B221,FoodDB!$A$2:$I$1011,5,0)</f>
        <v>0</v>
      </c>
      <c r="G221">
        <f>$C221*VLOOKUP($B221,FoodDB!$A$2:$I$1011,6,0)</f>
        <v>0</v>
      </c>
      <c r="H221">
        <f>$C221*VLOOKUP($B221,FoodDB!$A$2:$I$1011,7,0)</f>
        <v>0</v>
      </c>
      <c r="I221">
        <f>$C221*VLOOKUP($B221,FoodDB!$A$2:$I$1011,8,0)</f>
        <v>0</v>
      </c>
      <c r="J221">
        <f>$C221*VLOOKUP($B221,FoodDB!$A$2:$I$1011,9,0)</f>
        <v>0</v>
      </c>
    </row>
    <row r="222" spans="1:23" x14ac:dyDescent="0.25">
      <c r="B222" s="94" t="s">
        <v>107</v>
      </c>
      <c r="C222" s="95">
        <v>0</v>
      </c>
      <c r="D222">
        <f>$C222*VLOOKUP($B222,FoodDB!$A$2:$I$1011,3,0)</f>
        <v>0</v>
      </c>
      <c r="E222">
        <f>$C222*VLOOKUP($B222,FoodDB!$A$2:$I$1011,4,0)</f>
        <v>0</v>
      </c>
      <c r="F222">
        <f>$C222*VLOOKUP($B222,FoodDB!$A$2:$I$1011,5,0)</f>
        <v>0</v>
      </c>
      <c r="G222">
        <f>$C222*VLOOKUP($B222,FoodDB!$A$2:$I$1011,6,0)</f>
        <v>0</v>
      </c>
      <c r="H222">
        <f>$C222*VLOOKUP($B222,FoodDB!$A$2:$I$1011,7,0)</f>
        <v>0</v>
      </c>
      <c r="I222">
        <f>$C222*VLOOKUP($B222,FoodDB!$A$2:$I$1011,8,0)</f>
        <v>0</v>
      </c>
      <c r="J222">
        <f>$C222*VLOOKUP($B222,FoodDB!$A$2:$I$1011,9,0)</f>
        <v>0</v>
      </c>
    </row>
    <row r="223" spans="1:23" x14ac:dyDescent="0.25">
      <c r="A223" t="s">
        <v>97</v>
      </c>
      <c r="G223">
        <f>SUM(G216:G222)</f>
        <v>0</v>
      </c>
      <c r="H223">
        <f>SUM(H216:H222)</f>
        <v>0</v>
      </c>
      <c r="I223">
        <f>SUM(I216:I222)</f>
        <v>0</v>
      </c>
      <c r="J223">
        <f>SUM(G223:I223)</f>
        <v>0</v>
      </c>
    </row>
    <row r="224" spans="1:23" x14ac:dyDescent="0.25">
      <c r="A224" t="s">
        <v>101</v>
      </c>
      <c r="B224" t="s">
        <v>102</v>
      </c>
      <c r="E224" s="98"/>
      <c r="F224" s="98"/>
      <c r="G224" s="98">
        <f>VLOOKUP($A216,LossChart!$A$3:$AB$105,14,0)</f>
        <v>491.75583825373519</v>
      </c>
      <c r="H224" s="98">
        <f>VLOOKUP($A216,LossChart!$A$3:$AB$105,15,0)</f>
        <v>80</v>
      </c>
      <c r="I224" s="98">
        <f>VLOOKUP($A216,LossChart!$A$3:$AB$105,16,0)</f>
        <v>482.47465271142238</v>
      </c>
      <c r="J224" s="98">
        <f>VLOOKUP($A216,LossChart!$A$3:$AB$105,17,0)</f>
        <v>1054.2304909651575</v>
      </c>
      <c r="K224" s="98"/>
    </row>
    <row r="225" spans="1:23" x14ac:dyDescent="0.25">
      <c r="A225" t="s">
        <v>103</v>
      </c>
      <c r="G225">
        <f>G224-G223</f>
        <v>491.75583825373519</v>
      </c>
      <c r="H225">
        <f>H224-H223</f>
        <v>80</v>
      </c>
      <c r="I225">
        <f>I224-I223</f>
        <v>482.47465271142238</v>
      </c>
      <c r="J225">
        <f>J224-J223</f>
        <v>1054.2304909651575</v>
      </c>
    </row>
    <row r="227" spans="1:23" ht="60" x14ac:dyDescent="0.25">
      <c r="A227" s="21" t="s">
        <v>63</v>
      </c>
      <c r="B227" s="21" t="s">
        <v>92</v>
      </c>
      <c r="C227" s="21" t="s">
        <v>93</v>
      </c>
      <c r="D227" s="92" t="str">
        <f>FoodDB!$C$1</f>
        <v>Fat
(g)</v>
      </c>
      <c r="E227" s="92" t="str">
        <f>FoodDB!$D$1</f>
        <v xml:space="preserve"> Carbs
(g)</v>
      </c>
      <c r="F227" s="92" t="str">
        <f>FoodDB!$E$1</f>
        <v>Protein
(g)</v>
      </c>
      <c r="G227" s="92" t="str">
        <f>FoodDB!$F$1</f>
        <v>Fat
(Cal)</v>
      </c>
      <c r="H227" s="92" t="str">
        <f>FoodDB!$G$1</f>
        <v>Carb
(Cal)</v>
      </c>
      <c r="I227" s="92" t="str">
        <f>FoodDB!$H$1</f>
        <v>Protein
(Cal)</v>
      </c>
      <c r="J227" s="92" t="str">
        <f>FoodDB!$I$1</f>
        <v>Total
Calories</v>
      </c>
      <c r="K227" s="92"/>
      <c r="L227" s="92" t="s">
        <v>109</v>
      </c>
      <c r="M227" s="92" t="s">
        <v>110</v>
      </c>
      <c r="N227" s="92" t="s">
        <v>111</v>
      </c>
      <c r="O227" s="92" t="s">
        <v>112</v>
      </c>
      <c r="P227" s="92" t="s">
        <v>117</v>
      </c>
      <c r="Q227" s="92" t="s">
        <v>118</v>
      </c>
      <c r="R227" s="92" t="s">
        <v>119</v>
      </c>
      <c r="S227" s="92" t="s">
        <v>120</v>
      </c>
      <c r="T227" s="92"/>
      <c r="U227" s="92"/>
      <c r="V227" s="92"/>
      <c r="W227" s="92"/>
    </row>
    <row r="228" spans="1:23" x14ac:dyDescent="0.25">
      <c r="A228" s="93">
        <f>A216+1</f>
        <v>43013</v>
      </c>
      <c r="B228" s="94" t="s">
        <v>107</v>
      </c>
      <c r="C228" s="95">
        <v>0</v>
      </c>
      <c r="D228">
        <f>$C228*VLOOKUP($B228,FoodDB!$A$2:$I$1011,3,0)</f>
        <v>0</v>
      </c>
      <c r="E228">
        <f>$C228*VLOOKUP($B228,FoodDB!$A$2:$I$1011,4,0)</f>
        <v>0</v>
      </c>
      <c r="F228">
        <f>$C228*VLOOKUP($B228,FoodDB!$A$2:$I$1011,5,0)</f>
        <v>0</v>
      </c>
      <c r="G228">
        <f>$C228*VLOOKUP($B228,FoodDB!$A$2:$I$1011,6,0)</f>
        <v>0</v>
      </c>
      <c r="H228">
        <f>$C228*VLOOKUP($B228,FoodDB!$A$2:$I$1011,7,0)</f>
        <v>0</v>
      </c>
      <c r="I228">
        <f>$C228*VLOOKUP($B228,FoodDB!$A$2:$I$1011,8,0)</f>
        <v>0</v>
      </c>
      <c r="J228">
        <f>$C228*VLOOKUP($B228,FoodDB!$A$2:$I$1011,9,0)</f>
        <v>0</v>
      </c>
      <c r="L228">
        <f>SUM(G228:G234)</f>
        <v>0</v>
      </c>
      <c r="M228">
        <f>SUM(H228:H234)</f>
        <v>0</v>
      </c>
      <c r="N228">
        <f>SUM(I228:I234)</f>
        <v>0</v>
      </c>
      <c r="O228">
        <f>SUM(L228:N228)</f>
        <v>0</v>
      </c>
      <c r="P228" s="98">
        <f>VLOOKUP($A228,LossChart!$A$3:$AB$105,14,0)-L228</f>
        <v>499.03501456198478</v>
      </c>
      <c r="Q228" s="98">
        <f>VLOOKUP($A228,LossChart!$A$3:$AB$105,15,0)-M228</f>
        <v>80</v>
      </c>
      <c r="R228" s="98">
        <f>VLOOKUP($A228,LossChart!$A$3:$AB$105,16,0)-N228</f>
        <v>482.47465271142238</v>
      </c>
      <c r="S228" s="98">
        <f>VLOOKUP($A228,LossChart!$A$3:$AB$105,17,0)-O228</f>
        <v>1061.5096672734071</v>
      </c>
      <c r="T228" s="98"/>
      <c r="U228" s="98"/>
      <c r="V228" s="98"/>
      <c r="W228" s="98"/>
    </row>
    <row r="229" spans="1:23" x14ac:dyDescent="0.25">
      <c r="B229" s="94" t="s">
        <v>107</v>
      </c>
      <c r="C229" s="95">
        <v>0</v>
      </c>
      <c r="D229">
        <f>$C229*VLOOKUP($B229,FoodDB!$A$2:$I$1011,3,0)</f>
        <v>0</v>
      </c>
      <c r="E229">
        <f>$C229*VLOOKUP($B229,FoodDB!$A$2:$I$1011,4,0)</f>
        <v>0</v>
      </c>
      <c r="F229">
        <f>$C229*VLOOKUP($B229,FoodDB!$A$2:$I$1011,5,0)</f>
        <v>0</v>
      </c>
      <c r="G229">
        <f>$C229*VLOOKUP($B229,FoodDB!$A$2:$I$1011,6,0)</f>
        <v>0</v>
      </c>
      <c r="H229">
        <f>$C229*VLOOKUP($B229,FoodDB!$A$2:$I$1011,7,0)</f>
        <v>0</v>
      </c>
      <c r="I229">
        <f>$C229*VLOOKUP($B229,FoodDB!$A$2:$I$1011,8,0)</f>
        <v>0</v>
      </c>
      <c r="J229">
        <f>$C229*VLOOKUP($B229,FoodDB!$A$2:$I$1011,9,0)</f>
        <v>0</v>
      </c>
    </row>
    <row r="230" spans="1:23" x14ac:dyDescent="0.25">
      <c r="B230" s="94" t="s">
        <v>107</v>
      </c>
      <c r="C230" s="95">
        <v>0</v>
      </c>
      <c r="D230">
        <f>$C230*VLOOKUP($B230,FoodDB!$A$2:$I$1011,3,0)</f>
        <v>0</v>
      </c>
      <c r="E230">
        <f>$C230*VLOOKUP($B230,FoodDB!$A$2:$I$1011,4,0)</f>
        <v>0</v>
      </c>
      <c r="F230">
        <f>$C230*VLOOKUP($B230,FoodDB!$A$2:$I$1011,5,0)</f>
        <v>0</v>
      </c>
      <c r="G230">
        <f>$C230*VLOOKUP($B230,FoodDB!$A$2:$I$1011,6,0)</f>
        <v>0</v>
      </c>
      <c r="H230">
        <f>$C230*VLOOKUP($B230,FoodDB!$A$2:$I$1011,7,0)</f>
        <v>0</v>
      </c>
      <c r="I230">
        <f>$C230*VLOOKUP($B230,FoodDB!$A$2:$I$1011,8,0)</f>
        <v>0</v>
      </c>
      <c r="J230">
        <f>$C230*VLOOKUP($B230,FoodDB!$A$2:$I$1011,9,0)</f>
        <v>0</v>
      </c>
    </row>
    <row r="231" spans="1:23" x14ac:dyDescent="0.25">
      <c r="B231" s="94" t="s">
        <v>107</v>
      </c>
      <c r="C231" s="95">
        <v>0</v>
      </c>
      <c r="D231">
        <f>$C231*VLOOKUP($B231,FoodDB!$A$2:$I$1011,3,0)</f>
        <v>0</v>
      </c>
      <c r="E231">
        <f>$C231*VLOOKUP($B231,FoodDB!$A$2:$I$1011,4,0)</f>
        <v>0</v>
      </c>
      <c r="F231">
        <f>$C231*VLOOKUP($B231,FoodDB!$A$2:$I$1011,5,0)</f>
        <v>0</v>
      </c>
      <c r="G231">
        <f>$C231*VLOOKUP($B231,FoodDB!$A$2:$I$1011,6,0)</f>
        <v>0</v>
      </c>
      <c r="H231">
        <f>$C231*VLOOKUP($B231,FoodDB!$A$2:$I$1011,7,0)</f>
        <v>0</v>
      </c>
      <c r="I231">
        <f>$C231*VLOOKUP($B231,FoodDB!$A$2:$I$1011,8,0)</f>
        <v>0</v>
      </c>
      <c r="J231">
        <f>$C231*VLOOKUP($B231,FoodDB!$A$2:$I$1011,9,0)</f>
        <v>0</v>
      </c>
    </row>
    <row r="232" spans="1:23" x14ac:dyDescent="0.25">
      <c r="B232" s="94" t="s">
        <v>107</v>
      </c>
      <c r="C232" s="95">
        <v>0</v>
      </c>
      <c r="D232">
        <f>$C232*VLOOKUP($B232,FoodDB!$A$2:$I$1011,3,0)</f>
        <v>0</v>
      </c>
      <c r="E232">
        <f>$C232*VLOOKUP($B232,FoodDB!$A$2:$I$1011,4,0)</f>
        <v>0</v>
      </c>
      <c r="F232">
        <f>$C232*VLOOKUP($B232,FoodDB!$A$2:$I$1011,5,0)</f>
        <v>0</v>
      </c>
      <c r="G232">
        <f>$C232*VLOOKUP($B232,FoodDB!$A$2:$I$1011,6,0)</f>
        <v>0</v>
      </c>
      <c r="H232">
        <f>$C232*VLOOKUP($B232,FoodDB!$A$2:$I$1011,7,0)</f>
        <v>0</v>
      </c>
      <c r="I232">
        <f>$C232*VLOOKUP($B232,FoodDB!$A$2:$I$1011,8,0)</f>
        <v>0</v>
      </c>
      <c r="J232">
        <f>$C232*VLOOKUP($B232,FoodDB!$A$2:$I$1011,9,0)</f>
        <v>0</v>
      </c>
    </row>
    <row r="233" spans="1:23" x14ac:dyDescent="0.25">
      <c r="B233" s="94" t="s">
        <v>107</v>
      </c>
      <c r="C233" s="95">
        <v>0</v>
      </c>
      <c r="D233">
        <f>$C233*VLOOKUP($B233,FoodDB!$A$2:$I$1011,3,0)</f>
        <v>0</v>
      </c>
      <c r="E233">
        <f>$C233*VLOOKUP($B233,FoodDB!$A$2:$I$1011,4,0)</f>
        <v>0</v>
      </c>
      <c r="F233">
        <f>$C233*VLOOKUP($B233,FoodDB!$A$2:$I$1011,5,0)</f>
        <v>0</v>
      </c>
      <c r="G233">
        <f>$C233*VLOOKUP($B233,FoodDB!$A$2:$I$1011,6,0)</f>
        <v>0</v>
      </c>
      <c r="H233">
        <f>$C233*VLOOKUP($B233,FoodDB!$A$2:$I$1011,7,0)</f>
        <v>0</v>
      </c>
      <c r="I233">
        <f>$C233*VLOOKUP($B233,FoodDB!$A$2:$I$1011,8,0)</f>
        <v>0</v>
      </c>
      <c r="J233">
        <f>$C233*VLOOKUP($B233,FoodDB!$A$2:$I$1011,9,0)</f>
        <v>0</v>
      </c>
    </row>
    <row r="234" spans="1:23" x14ac:dyDescent="0.25">
      <c r="B234" s="94" t="s">
        <v>107</v>
      </c>
      <c r="C234" s="95">
        <v>0</v>
      </c>
      <c r="D234">
        <f>$C234*VLOOKUP($B234,FoodDB!$A$2:$I$1011,3,0)</f>
        <v>0</v>
      </c>
      <c r="E234">
        <f>$C234*VLOOKUP($B234,FoodDB!$A$2:$I$1011,4,0)</f>
        <v>0</v>
      </c>
      <c r="F234">
        <f>$C234*VLOOKUP($B234,FoodDB!$A$2:$I$1011,5,0)</f>
        <v>0</v>
      </c>
      <c r="G234">
        <f>$C234*VLOOKUP($B234,FoodDB!$A$2:$I$1011,6,0)</f>
        <v>0</v>
      </c>
      <c r="H234">
        <f>$C234*VLOOKUP($B234,FoodDB!$A$2:$I$1011,7,0)</f>
        <v>0</v>
      </c>
      <c r="I234">
        <f>$C234*VLOOKUP($B234,FoodDB!$A$2:$I$1011,8,0)</f>
        <v>0</v>
      </c>
      <c r="J234">
        <f>$C234*VLOOKUP($B234,FoodDB!$A$2:$I$1011,9,0)</f>
        <v>0</v>
      </c>
    </row>
    <row r="235" spans="1:23" x14ac:dyDescent="0.25">
      <c r="A235" t="s">
        <v>97</v>
      </c>
      <c r="G235">
        <f>SUM(G228:G234)</f>
        <v>0</v>
      </c>
      <c r="H235">
        <f>SUM(H228:H234)</f>
        <v>0</v>
      </c>
      <c r="I235">
        <f>SUM(I228:I234)</f>
        <v>0</v>
      </c>
      <c r="J235">
        <f>SUM(G235:I235)</f>
        <v>0</v>
      </c>
    </row>
    <row r="236" spans="1:23" x14ac:dyDescent="0.25">
      <c r="A236" t="s">
        <v>101</v>
      </c>
      <c r="B236" t="s">
        <v>102</v>
      </c>
      <c r="E236" s="98"/>
      <c r="F236" s="98"/>
      <c r="G236" s="98">
        <f>VLOOKUP($A228,LossChart!$A$3:$AB$105,14,0)</f>
        <v>499.03501456198478</v>
      </c>
      <c r="H236" s="98">
        <f>VLOOKUP($A228,LossChart!$A$3:$AB$105,15,0)</f>
        <v>80</v>
      </c>
      <c r="I236" s="98">
        <f>VLOOKUP($A228,LossChart!$A$3:$AB$105,16,0)</f>
        <v>482.47465271142238</v>
      </c>
      <c r="J236" s="98">
        <f>VLOOKUP($A228,LossChart!$A$3:$AB$105,17,0)</f>
        <v>1061.5096672734071</v>
      </c>
      <c r="K236" s="98"/>
    </row>
    <row r="237" spans="1:23" x14ac:dyDescent="0.25">
      <c r="A237" t="s">
        <v>103</v>
      </c>
      <c r="G237">
        <f>G236-G235</f>
        <v>499.03501456198478</v>
      </c>
      <c r="H237">
        <f>H236-H235</f>
        <v>80</v>
      </c>
      <c r="I237">
        <f>I236-I235</f>
        <v>482.47465271142238</v>
      </c>
      <c r="J237">
        <f>J236-J235</f>
        <v>1061.5096672734071</v>
      </c>
    </row>
    <row r="239" spans="1:23" ht="60" x14ac:dyDescent="0.25">
      <c r="A239" s="21" t="s">
        <v>63</v>
      </c>
      <c r="B239" s="21" t="s">
        <v>92</v>
      </c>
      <c r="C239" s="21" t="s">
        <v>93</v>
      </c>
      <c r="D239" s="92" t="str">
        <f>FoodDB!$C$1</f>
        <v>Fat
(g)</v>
      </c>
      <c r="E239" s="92" t="str">
        <f>FoodDB!$D$1</f>
        <v xml:space="preserve"> Carbs
(g)</v>
      </c>
      <c r="F239" s="92" t="str">
        <f>FoodDB!$E$1</f>
        <v>Protein
(g)</v>
      </c>
      <c r="G239" s="92" t="str">
        <f>FoodDB!$F$1</f>
        <v>Fat
(Cal)</v>
      </c>
      <c r="H239" s="92" t="str">
        <f>FoodDB!$G$1</f>
        <v>Carb
(Cal)</v>
      </c>
      <c r="I239" s="92" t="str">
        <f>FoodDB!$H$1</f>
        <v>Protein
(Cal)</v>
      </c>
      <c r="J239" s="92" t="str">
        <f>FoodDB!$I$1</f>
        <v>Total
Calories</v>
      </c>
      <c r="K239" s="92"/>
      <c r="L239" s="92" t="s">
        <v>109</v>
      </c>
      <c r="M239" s="92" t="s">
        <v>110</v>
      </c>
      <c r="N239" s="92" t="s">
        <v>111</v>
      </c>
      <c r="O239" s="92" t="s">
        <v>112</v>
      </c>
      <c r="P239" s="92" t="s">
        <v>117</v>
      </c>
      <c r="Q239" s="92" t="s">
        <v>118</v>
      </c>
      <c r="R239" s="92" t="s">
        <v>119</v>
      </c>
      <c r="S239" s="92" t="s">
        <v>120</v>
      </c>
    </row>
    <row r="240" spans="1:23" x14ac:dyDescent="0.25">
      <c r="A240" s="93">
        <f>A228+1</f>
        <v>43014</v>
      </c>
      <c r="B240" s="94" t="s">
        <v>107</v>
      </c>
      <c r="C240" s="95">
        <v>0</v>
      </c>
      <c r="D240">
        <f>$C240*VLOOKUP($B240,FoodDB!$A$2:$I$1011,3,0)</f>
        <v>0</v>
      </c>
      <c r="E240">
        <f>$C240*VLOOKUP($B240,FoodDB!$A$2:$I$1011,4,0)</f>
        <v>0</v>
      </c>
      <c r="F240">
        <f>$C240*VLOOKUP($B240,FoodDB!$A$2:$I$1011,5,0)</f>
        <v>0</v>
      </c>
      <c r="G240">
        <f>$C240*VLOOKUP($B240,FoodDB!$A$2:$I$1011,6,0)</f>
        <v>0</v>
      </c>
      <c r="H240">
        <f>$C240*VLOOKUP($B240,FoodDB!$A$2:$I$1011,7,0)</f>
        <v>0</v>
      </c>
      <c r="I240">
        <f>$C240*VLOOKUP($B240,FoodDB!$A$2:$I$1011,8,0)</f>
        <v>0</v>
      </c>
      <c r="J240">
        <f>$C240*VLOOKUP($B240,FoodDB!$A$2:$I$1011,9,0)</f>
        <v>0</v>
      </c>
      <c r="L240">
        <f>SUM(G240:G246)</f>
        <v>0</v>
      </c>
      <c r="M240">
        <f>SUM(H240:H246)</f>
        <v>0</v>
      </c>
      <c r="N240">
        <f>SUM(I240:I246)</f>
        <v>0</v>
      </c>
      <c r="O240">
        <f>SUM(L240:N240)</f>
        <v>0</v>
      </c>
      <c r="P240" s="98">
        <f>VLOOKUP($A240,LossChart!$A$3:$AB$105,14,0)-L240</f>
        <v>506.24971816578977</v>
      </c>
      <c r="Q240" s="98">
        <f>VLOOKUP($A240,LossChart!$A$3:$AB$105,15,0)-M240</f>
        <v>80</v>
      </c>
      <c r="R240" s="98">
        <f>VLOOKUP($A240,LossChart!$A$3:$AB$105,16,0)-N240</f>
        <v>482.47465271142238</v>
      </c>
      <c r="S240" s="98">
        <f>VLOOKUP($A240,LossChart!$A$3:$AB$105,17,0)-O240</f>
        <v>1068.7243708772121</v>
      </c>
    </row>
    <row r="241" spans="1:19" x14ac:dyDescent="0.25">
      <c r="B241" s="94" t="s">
        <v>107</v>
      </c>
      <c r="C241" s="95">
        <v>0</v>
      </c>
      <c r="D241">
        <f>$C241*VLOOKUP($B241,FoodDB!$A$2:$I$1011,3,0)</f>
        <v>0</v>
      </c>
      <c r="E241">
        <f>$C241*VLOOKUP($B241,FoodDB!$A$2:$I$1011,4,0)</f>
        <v>0</v>
      </c>
      <c r="F241">
        <f>$C241*VLOOKUP($B241,FoodDB!$A$2:$I$1011,5,0)</f>
        <v>0</v>
      </c>
      <c r="G241">
        <f>$C241*VLOOKUP($B241,FoodDB!$A$2:$I$1011,6,0)</f>
        <v>0</v>
      </c>
      <c r="H241">
        <f>$C241*VLOOKUP($B241,FoodDB!$A$2:$I$1011,7,0)</f>
        <v>0</v>
      </c>
      <c r="I241">
        <f>$C241*VLOOKUP($B241,FoodDB!$A$2:$I$1011,8,0)</f>
        <v>0</v>
      </c>
      <c r="J241">
        <f>$C241*VLOOKUP($B241,FoodDB!$A$2:$I$1011,9,0)</f>
        <v>0</v>
      </c>
    </row>
    <row r="242" spans="1:19" x14ac:dyDescent="0.25">
      <c r="B242" s="94" t="s">
        <v>107</v>
      </c>
      <c r="C242" s="95">
        <v>0</v>
      </c>
      <c r="D242">
        <f>$C242*VLOOKUP($B242,FoodDB!$A$2:$I$1011,3,0)</f>
        <v>0</v>
      </c>
      <c r="E242">
        <f>$C242*VLOOKUP($B242,FoodDB!$A$2:$I$1011,4,0)</f>
        <v>0</v>
      </c>
      <c r="F242">
        <f>$C242*VLOOKUP($B242,FoodDB!$A$2:$I$1011,5,0)</f>
        <v>0</v>
      </c>
      <c r="G242">
        <f>$C242*VLOOKUP($B242,FoodDB!$A$2:$I$1011,6,0)</f>
        <v>0</v>
      </c>
      <c r="H242">
        <f>$C242*VLOOKUP($B242,FoodDB!$A$2:$I$1011,7,0)</f>
        <v>0</v>
      </c>
      <c r="I242">
        <f>$C242*VLOOKUP($B242,FoodDB!$A$2:$I$1011,8,0)</f>
        <v>0</v>
      </c>
      <c r="J242">
        <f>$C242*VLOOKUP($B242,FoodDB!$A$2:$I$1011,9,0)</f>
        <v>0</v>
      </c>
    </row>
    <row r="243" spans="1:19" x14ac:dyDescent="0.25">
      <c r="B243" s="94" t="s">
        <v>107</v>
      </c>
      <c r="C243" s="95">
        <v>0</v>
      </c>
      <c r="D243">
        <f>$C243*VLOOKUP($B243,FoodDB!$A$2:$I$1011,3,0)</f>
        <v>0</v>
      </c>
      <c r="E243">
        <f>$C243*VLOOKUP($B243,FoodDB!$A$2:$I$1011,4,0)</f>
        <v>0</v>
      </c>
      <c r="F243">
        <f>$C243*VLOOKUP($B243,FoodDB!$A$2:$I$1011,5,0)</f>
        <v>0</v>
      </c>
      <c r="G243">
        <f>$C243*VLOOKUP($B243,FoodDB!$A$2:$I$1011,6,0)</f>
        <v>0</v>
      </c>
      <c r="H243">
        <f>$C243*VLOOKUP($B243,FoodDB!$A$2:$I$1011,7,0)</f>
        <v>0</v>
      </c>
      <c r="I243">
        <f>$C243*VLOOKUP($B243,FoodDB!$A$2:$I$1011,8,0)</f>
        <v>0</v>
      </c>
      <c r="J243">
        <f>$C243*VLOOKUP($B243,FoodDB!$A$2:$I$1011,9,0)</f>
        <v>0</v>
      </c>
    </row>
    <row r="244" spans="1:19" x14ac:dyDescent="0.25">
      <c r="B244" s="94" t="s">
        <v>107</v>
      </c>
      <c r="C244" s="95">
        <v>0</v>
      </c>
      <c r="D244">
        <f>$C244*VLOOKUP($B244,FoodDB!$A$2:$I$1011,3,0)</f>
        <v>0</v>
      </c>
      <c r="E244">
        <f>$C244*VLOOKUP($B244,FoodDB!$A$2:$I$1011,4,0)</f>
        <v>0</v>
      </c>
      <c r="F244">
        <f>$C244*VLOOKUP($B244,FoodDB!$A$2:$I$1011,5,0)</f>
        <v>0</v>
      </c>
      <c r="G244">
        <f>$C244*VLOOKUP($B244,FoodDB!$A$2:$I$1011,6,0)</f>
        <v>0</v>
      </c>
      <c r="H244">
        <f>$C244*VLOOKUP($B244,FoodDB!$A$2:$I$1011,7,0)</f>
        <v>0</v>
      </c>
      <c r="I244">
        <f>$C244*VLOOKUP($B244,FoodDB!$A$2:$I$1011,8,0)</f>
        <v>0</v>
      </c>
      <c r="J244">
        <f>$C244*VLOOKUP($B244,FoodDB!$A$2:$I$1011,9,0)</f>
        <v>0</v>
      </c>
    </row>
    <row r="245" spans="1:19" x14ac:dyDescent="0.25">
      <c r="B245" s="94" t="s">
        <v>107</v>
      </c>
      <c r="C245" s="95">
        <v>0</v>
      </c>
      <c r="D245">
        <f>$C245*VLOOKUP($B245,FoodDB!$A$2:$I$1011,3,0)</f>
        <v>0</v>
      </c>
      <c r="E245">
        <f>$C245*VLOOKUP($B245,FoodDB!$A$2:$I$1011,4,0)</f>
        <v>0</v>
      </c>
      <c r="F245">
        <f>$C245*VLOOKUP($B245,FoodDB!$A$2:$I$1011,5,0)</f>
        <v>0</v>
      </c>
      <c r="G245">
        <f>$C245*VLOOKUP($B245,FoodDB!$A$2:$I$1011,6,0)</f>
        <v>0</v>
      </c>
      <c r="H245">
        <f>$C245*VLOOKUP($B245,FoodDB!$A$2:$I$1011,7,0)</f>
        <v>0</v>
      </c>
      <c r="I245">
        <f>$C245*VLOOKUP($B245,FoodDB!$A$2:$I$1011,8,0)</f>
        <v>0</v>
      </c>
      <c r="J245">
        <f>$C245*VLOOKUP($B245,FoodDB!$A$2:$I$1011,9,0)</f>
        <v>0</v>
      </c>
    </row>
    <row r="246" spans="1:19" x14ac:dyDescent="0.25">
      <c r="B246" s="94" t="s">
        <v>107</v>
      </c>
      <c r="C246" s="95">
        <v>0</v>
      </c>
      <c r="D246">
        <f>$C246*VLOOKUP($B246,FoodDB!$A$2:$I$1011,3,0)</f>
        <v>0</v>
      </c>
      <c r="E246">
        <f>$C246*VLOOKUP($B246,FoodDB!$A$2:$I$1011,4,0)</f>
        <v>0</v>
      </c>
      <c r="F246">
        <f>$C246*VLOOKUP($B246,FoodDB!$A$2:$I$1011,5,0)</f>
        <v>0</v>
      </c>
      <c r="G246">
        <f>$C246*VLOOKUP($B246,FoodDB!$A$2:$I$1011,6,0)</f>
        <v>0</v>
      </c>
      <c r="H246">
        <f>$C246*VLOOKUP($B246,FoodDB!$A$2:$I$1011,7,0)</f>
        <v>0</v>
      </c>
      <c r="I246">
        <f>$C246*VLOOKUP($B246,FoodDB!$A$2:$I$1011,8,0)</f>
        <v>0</v>
      </c>
      <c r="J246">
        <f>$C246*VLOOKUP($B246,FoodDB!$A$2:$I$1011,9,0)</f>
        <v>0</v>
      </c>
    </row>
    <row r="247" spans="1:19" x14ac:dyDescent="0.25">
      <c r="A247" t="s">
        <v>97</v>
      </c>
      <c r="G247">
        <f>SUM(G240:G246)</f>
        <v>0</v>
      </c>
      <c r="H247">
        <f>SUM(H240:H246)</f>
        <v>0</v>
      </c>
      <c r="I247">
        <f>SUM(I240:I246)</f>
        <v>0</v>
      </c>
      <c r="J247">
        <f>SUM(G247:I247)</f>
        <v>0</v>
      </c>
    </row>
    <row r="248" spans="1:19" x14ac:dyDescent="0.25">
      <c r="A248" t="s">
        <v>101</v>
      </c>
      <c r="B248" t="s">
        <v>102</v>
      </c>
      <c r="E248" s="98"/>
      <c r="F248" s="98"/>
      <c r="G248" s="98">
        <f>VLOOKUP($A240,LossChart!$A$3:$AB$105,14,0)</f>
        <v>506.24971816578977</v>
      </c>
      <c r="H248" s="98">
        <f>VLOOKUP($A240,LossChart!$A$3:$AB$105,15,0)</f>
        <v>80</v>
      </c>
      <c r="I248" s="98">
        <f>VLOOKUP($A240,LossChart!$A$3:$AB$105,16,0)</f>
        <v>482.47465271142238</v>
      </c>
      <c r="J248" s="98">
        <f>VLOOKUP($A240,LossChart!$A$3:$AB$105,17,0)</f>
        <v>1068.7243708772121</v>
      </c>
      <c r="K248" s="98"/>
    </row>
    <row r="249" spans="1:19" x14ac:dyDescent="0.25">
      <c r="A249" t="s">
        <v>103</v>
      </c>
      <c r="G249">
        <f>G248-G247</f>
        <v>506.24971816578977</v>
      </c>
      <c r="H249">
        <f>H248-H247</f>
        <v>80</v>
      </c>
      <c r="I249">
        <f>I248-I247</f>
        <v>482.47465271142238</v>
      </c>
      <c r="J249">
        <f>J248-J247</f>
        <v>1068.7243708772121</v>
      </c>
    </row>
    <row r="251" spans="1:19" ht="60" x14ac:dyDescent="0.25">
      <c r="A251" s="21" t="s">
        <v>63</v>
      </c>
      <c r="B251" s="21" t="s">
        <v>92</v>
      </c>
      <c r="C251" s="21" t="s">
        <v>93</v>
      </c>
      <c r="D251" s="92" t="str">
        <f>FoodDB!$C$1</f>
        <v>Fat
(g)</v>
      </c>
      <c r="E251" s="92" t="str">
        <f>FoodDB!$D$1</f>
        <v xml:space="preserve"> Carbs
(g)</v>
      </c>
      <c r="F251" s="92" t="str">
        <f>FoodDB!$E$1</f>
        <v>Protein
(g)</v>
      </c>
      <c r="G251" s="92" t="str">
        <f>FoodDB!$F$1</f>
        <v>Fat
(Cal)</v>
      </c>
      <c r="H251" s="92" t="str">
        <f>FoodDB!$G$1</f>
        <v>Carb
(Cal)</v>
      </c>
      <c r="I251" s="92" t="str">
        <f>FoodDB!$H$1</f>
        <v>Protein
(Cal)</v>
      </c>
      <c r="J251" s="92" t="str">
        <f>FoodDB!$I$1</f>
        <v>Total
Calories</v>
      </c>
      <c r="K251" s="92"/>
      <c r="L251" s="92" t="s">
        <v>109</v>
      </c>
      <c r="M251" s="92" t="s">
        <v>110</v>
      </c>
      <c r="N251" s="92" t="s">
        <v>111</v>
      </c>
      <c r="O251" s="92" t="s">
        <v>112</v>
      </c>
      <c r="P251" s="92" t="s">
        <v>117</v>
      </c>
      <c r="Q251" s="92" t="s">
        <v>118</v>
      </c>
      <c r="R251" s="92" t="s">
        <v>119</v>
      </c>
      <c r="S251" s="92" t="s">
        <v>120</v>
      </c>
    </row>
    <row r="252" spans="1:19" x14ac:dyDescent="0.25">
      <c r="A252" s="93">
        <f>A240+1</f>
        <v>43015</v>
      </c>
      <c r="B252" s="94" t="s">
        <v>107</v>
      </c>
      <c r="C252" s="95">
        <v>0</v>
      </c>
      <c r="D252">
        <f>$C252*VLOOKUP($B252,FoodDB!$A$2:$I$1011,3,0)</f>
        <v>0</v>
      </c>
      <c r="E252">
        <f>$C252*VLOOKUP($B252,FoodDB!$A$2:$I$1011,4,0)</f>
        <v>0</v>
      </c>
      <c r="F252">
        <f>$C252*VLOOKUP($B252,FoodDB!$A$2:$I$1011,5,0)</f>
        <v>0</v>
      </c>
      <c r="G252">
        <f>$C252*VLOOKUP($B252,FoodDB!$A$2:$I$1011,6,0)</f>
        <v>0</v>
      </c>
      <c r="H252">
        <f>$C252*VLOOKUP($B252,FoodDB!$A$2:$I$1011,7,0)</f>
        <v>0</v>
      </c>
      <c r="I252">
        <f>$C252*VLOOKUP($B252,FoodDB!$A$2:$I$1011,8,0)</f>
        <v>0</v>
      </c>
      <c r="J252">
        <f>$C252*VLOOKUP($B252,FoodDB!$A$2:$I$1011,9,0)</f>
        <v>0</v>
      </c>
      <c r="L252">
        <f>SUM(G252:G258)</f>
        <v>0</v>
      </c>
      <c r="M252">
        <f>SUM(H252:H258)</f>
        <v>0</v>
      </c>
      <c r="N252">
        <f>SUM(I252:I258)</f>
        <v>0</v>
      </c>
      <c r="O252">
        <f>SUM(L252:N252)</f>
        <v>0</v>
      </c>
      <c r="P252" s="98">
        <f>VLOOKUP($A252,LossChart!$A$3:$AB$105,14,0)-L252</f>
        <v>513.40052010910381</v>
      </c>
      <c r="Q252" s="98">
        <f>VLOOKUP($A252,LossChart!$A$3:$AB$105,15,0)-M252</f>
        <v>80</v>
      </c>
      <c r="R252" s="98">
        <f>VLOOKUP($A252,LossChart!$A$3:$AB$105,16,0)-N252</f>
        <v>482.47465271142238</v>
      </c>
      <c r="S252" s="98">
        <f>VLOOKUP($A252,LossChart!$A$3:$AB$105,17,0)-O252</f>
        <v>1075.8751728205261</v>
      </c>
    </row>
    <row r="253" spans="1:19" x14ac:dyDescent="0.25">
      <c r="B253" s="94" t="s">
        <v>107</v>
      </c>
      <c r="C253" s="95">
        <v>0</v>
      </c>
      <c r="D253">
        <f>$C253*VLOOKUP($B253,FoodDB!$A$2:$I$1011,3,0)</f>
        <v>0</v>
      </c>
      <c r="E253">
        <f>$C253*VLOOKUP($B253,FoodDB!$A$2:$I$1011,4,0)</f>
        <v>0</v>
      </c>
      <c r="F253">
        <f>$C253*VLOOKUP($B253,FoodDB!$A$2:$I$1011,5,0)</f>
        <v>0</v>
      </c>
      <c r="G253">
        <f>$C253*VLOOKUP($B253,FoodDB!$A$2:$I$1011,6,0)</f>
        <v>0</v>
      </c>
      <c r="H253">
        <f>$C253*VLOOKUP($B253,FoodDB!$A$2:$I$1011,7,0)</f>
        <v>0</v>
      </c>
      <c r="I253">
        <f>$C253*VLOOKUP($B253,FoodDB!$A$2:$I$1011,8,0)</f>
        <v>0</v>
      </c>
      <c r="J253">
        <f>$C253*VLOOKUP($B253,FoodDB!$A$2:$I$1011,9,0)</f>
        <v>0</v>
      </c>
    </row>
    <row r="254" spans="1:19" x14ac:dyDescent="0.25">
      <c r="B254" s="94" t="s">
        <v>107</v>
      </c>
      <c r="C254" s="95">
        <v>0</v>
      </c>
      <c r="D254">
        <f>$C254*VLOOKUP($B254,FoodDB!$A$2:$I$1011,3,0)</f>
        <v>0</v>
      </c>
      <c r="E254">
        <f>$C254*VLOOKUP($B254,FoodDB!$A$2:$I$1011,4,0)</f>
        <v>0</v>
      </c>
      <c r="F254">
        <f>$C254*VLOOKUP($B254,FoodDB!$A$2:$I$1011,5,0)</f>
        <v>0</v>
      </c>
      <c r="G254">
        <f>$C254*VLOOKUP($B254,FoodDB!$A$2:$I$1011,6,0)</f>
        <v>0</v>
      </c>
      <c r="H254">
        <f>$C254*VLOOKUP($B254,FoodDB!$A$2:$I$1011,7,0)</f>
        <v>0</v>
      </c>
      <c r="I254">
        <f>$C254*VLOOKUP($B254,FoodDB!$A$2:$I$1011,8,0)</f>
        <v>0</v>
      </c>
      <c r="J254">
        <f>$C254*VLOOKUP($B254,FoodDB!$A$2:$I$1011,9,0)</f>
        <v>0</v>
      </c>
    </row>
    <row r="255" spans="1:19" x14ac:dyDescent="0.25">
      <c r="B255" s="94" t="s">
        <v>107</v>
      </c>
      <c r="C255" s="95">
        <v>0</v>
      </c>
      <c r="D255">
        <f>$C255*VLOOKUP($B255,FoodDB!$A$2:$I$1011,3,0)</f>
        <v>0</v>
      </c>
      <c r="E255">
        <f>$C255*VLOOKUP($B255,FoodDB!$A$2:$I$1011,4,0)</f>
        <v>0</v>
      </c>
      <c r="F255">
        <f>$C255*VLOOKUP($B255,FoodDB!$A$2:$I$1011,5,0)</f>
        <v>0</v>
      </c>
      <c r="G255">
        <f>$C255*VLOOKUP($B255,FoodDB!$A$2:$I$1011,6,0)</f>
        <v>0</v>
      </c>
      <c r="H255">
        <f>$C255*VLOOKUP($B255,FoodDB!$A$2:$I$1011,7,0)</f>
        <v>0</v>
      </c>
      <c r="I255">
        <f>$C255*VLOOKUP($B255,FoodDB!$A$2:$I$1011,8,0)</f>
        <v>0</v>
      </c>
      <c r="J255">
        <f>$C255*VLOOKUP($B255,FoodDB!$A$2:$I$1011,9,0)</f>
        <v>0</v>
      </c>
    </row>
    <row r="256" spans="1:19" x14ac:dyDescent="0.25">
      <c r="B256" s="94" t="s">
        <v>107</v>
      </c>
      <c r="C256" s="95">
        <v>0</v>
      </c>
      <c r="D256">
        <f>$C256*VLOOKUP($B256,FoodDB!$A$2:$I$1011,3,0)</f>
        <v>0</v>
      </c>
      <c r="E256">
        <f>$C256*VLOOKUP($B256,FoodDB!$A$2:$I$1011,4,0)</f>
        <v>0</v>
      </c>
      <c r="F256">
        <f>$C256*VLOOKUP($B256,FoodDB!$A$2:$I$1011,5,0)</f>
        <v>0</v>
      </c>
      <c r="G256">
        <f>$C256*VLOOKUP($B256,FoodDB!$A$2:$I$1011,6,0)</f>
        <v>0</v>
      </c>
      <c r="H256">
        <f>$C256*VLOOKUP($B256,FoodDB!$A$2:$I$1011,7,0)</f>
        <v>0</v>
      </c>
      <c r="I256">
        <f>$C256*VLOOKUP($B256,FoodDB!$A$2:$I$1011,8,0)</f>
        <v>0</v>
      </c>
      <c r="J256">
        <f>$C256*VLOOKUP($B256,FoodDB!$A$2:$I$1011,9,0)</f>
        <v>0</v>
      </c>
    </row>
    <row r="257" spans="1:19" x14ac:dyDescent="0.25">
      <c r="B257" s="94" t="s">
        <v>107</v>
      </c>
      <c r="C257" s="95">
        <v>0</v>
      </c>
      <c r="D257">
        <f>$C257*VLOOKUP($B257,FoodDB!$A$2:$I$1011,3,0)</f>
        <v>0</v>
      </c>
      <c r="E257">
        <f>$C257*VLOOKUP($B257,FoodDB!$A$2:$I$1011,4,0)</f>
        <v>0</v>
      </c>
      <c r="F257">
        <f>$C257*VLOOKUP($B257,FoodDB!$A$2:$I$1011,5,0)</f>
        <v>0</v>
      </c>
      <c r="G257">
        <f>$C257*VLOOKUP($B257,FoodDB!$A$2:$I$1011,6,0)</f>
        <v>0</v>
      </c>
      <c r="H257">
        <f>$C257*VLOOKUP($B257,FoodDB!$A$2:$I$1011,7,0)</f>
        <v>0</v>
      </c>
      <c r="I257">
        <f>$C257*VLOOKUP($B257,FoodDB!$A$2:$I$1011,8,0)</f>
        <v>0</v>
      </c>
      <c r="J257">
        <f>$C257*VLOOKUP($B257,FoodDB!$A$2:$I$1011,9,0)</f>
        <v>0</v>
      </c>
    </row>
    <row r="258" spans="1:19" x14ac:dyDescent="0.25">
      <c r="B258" s="94" t="s">
        <v>107</v>
      </c>
      <c r="C258" s="95">
        <v>0</v>
      </c>
      <c r="D258">
        <f>$C258*VLOOKUP($B258,FoodDB!$A$2:$I$1011,3,0)</f>
        <v>0</v>
      </c>
      <c r="E258">
        <f>$C258*VLOOKUP($B258,FoodDB!$A$2:$I$1011,4,0)</f>
        <v>0</v>
      </c>
      <c r="F258">
        <f>$C258*VLOOKUP($B258,FoodDB!$A$2:$I$1011,5,0)</f>
        <v>0</v>
      </c>
      <c r="G258">
        <f>$C258*VLOOKUP($B258,FoodDB!$A$2:$I$1011,6,0)</f>
        <v>0</v>
      </c>
      <c r="H258">
        <f>$C258*VLOOKUP($B258,FoodDB!$A$2:$I$1011,7,0)</f>
        <v>0</v>
      </c>
      <c r="I258">
        <f>$C258*VLOOKUP($B258,FoodDB!$A$2:$I$1011,8,0)</f>
        <v>0</v>
      </c>
      <c r="J258">
        <f>$C258*VLOOKUP($B258,FoodDB!$A$2:$I$1011,9,0)</f>
        <v>0</v>
      </c>
    </row>
    <row r="259" spans="1:19" x14ac:dyDescent="0.25">
      <c r="A259" t="s">
        <v>97</v>
      </c>
      <c r="G259">
        <f>SUM(G252:G258)</f>
        <v>0</v>
      </c>
      <c r="H259">
        <f>SUM(H252:H258)</f>
        <v>0</v>
      </c>
      <c r="I259">
        <f>SUM(I252:I258)</f>
        <v>0</v>
      </c>
      <c r="J259">
        <f>SUM(G259:I259)</f>
        <v>0</v>
      </c>
    </row>
    <row r="260" spans="1:19" x14ac:dyDescent="0.25">
      <c r="A260" t="s">
        <v>101</v>
      </c>
      <c r="B260" t="s">
        <v>102</v>
      </c>
      <c r="E260" s="98"/>
      <c r="F260" s="98"/>
      <c r="G260" s="98">
        <f>VLOOKUP($A252,LossChart!$A$3:$AB$105,14,0)</f>
        <v>513.40052010910381</v>
      </c>
      <c r="H260" s="98">
        <f>VLOOKUP($A252,LossChart!$A$3:$AB$105,15,0)</f>
        <v>80</v>
      </c>
      <c r="I260" s="98">
        <f>VLOOKUP($A252,LossChart!$A$3:$AB$105,16,0)</f>
        <v>482.47465271142238</v>
      </c>
      <c r="J260" s="98">
        <f>VLOOKUP($A252,LossChart!$A$3:$AB$105,17,0)</f>
        <v>1075.8751728205261</v>
      </c>
      <c r="K260" s="98"/>
    </row>
    <row r="261" spans="1:19" x14ac:dyDescent="0.25">
      <c r="A261" t="s">
        <v>103</v>
      </c>
      <c r="G261">
        <f>G260-G259</f>
        <v>513.40052010910381</v>
      </c>
      <c r="H261">
        <f>H260-H259</f>
        <v>80</v>
      </c>
      <c r="I261">
        <f>I260-I259</f>
        <v>482.47465271142238</v>
      </c>
      <c r="J261">
        <f>J260-J259</f>
        <v>1075.8751728205261</v>
      </c>
    </row>
    <row r="263" spans="1:19" ht="60" x14ac:dyDescent="0.25">
      <c r="A263" s="21" t="s">
        <v>63</v>
      </c>
      <c r="B263" s="21" t="s">
        <v>92</v>
      </c>
      <c r="C263" s="21" t="s">
        <v>93</v>
      </c>
      <c r="D263" s="92" t="str">
        <f>FoodDB!$C$1</f>
        <v>Fat
(g)</v>
      </c>
      <c r="E263" s="92" t="str">
        <f>FoodDB!$D$1</f>
        <v xml:space="preserve"> Carbs
(g)</v>
      </c>
      <c r="F263" s="92" t="str">
        <f>FoodDB!$E$1</f>
        <v>Protein
(g)</v>
      </c>
      <c r="G263" s="92" t="str">
        <f>FoodDB!$F$1</f>
        <v>Fat
(Cal)</v>
      </c>
      <c r="H263" s="92" t="str">
        <f>FoodDB!$G$1</f>
        <v>Carb
(Cal)</v>
      </c>
      <c r="I263" s="92" t="str">
        <f>FoodDB!$H$1</f>
        <v>Protein
(Cal)</v>
      </c>
      <c r="J263" s="92" t="str">
        <f>FoodDB!$I$1</f>
        <v>Total
Calories</v>
      </c>
      <c r="K263" s="92"/>
      <c r="L263" s="92" t="s">
        <v>109</v>
      </c>
      <c r="M263" s="92" t="s">
        <v>110</v>
      </c>
      <c r="N263" s="92" t="s">
        <v>111</v>
      </c>
      <c r="O263" s="92" t="s">
        <v>112</v>
      </c>
      <c r="P263" s="92" t="s">
        <v>117</v>
      </c>
      <c r="Q263" s="92" t="s">
        <v>118</v>
      </c>
      <c r="R263" s="92" t="s">
        <v>119</v>
      </c>
      <c r="S263" s="92" t="s">
        <v>120</v>
      </c>
    </row>
    <row r="264" spans="1:19" x14ac:dyDescent="0.25">
      <c r="A264" s="93">
        <f>A252+1</f>
        <v>43016</v>
      </c>
      <c r="B264" s="94" t="s">
        <v>107</v>
      </c>
      <c r="C264" s="95">
        <v>0</v>
      </c>
      <c r="D264">
        <f>$C264*VLOOKUP($B264,FoodDB!$A$2:$I$1011,3,0)</f>
        <v>0</v>
      </c>
      <c r="E264">
        <f>$C264*VLOOKUP($B264,FoodDB!$A$2:$I$1011,4,0)</f>
        <v>0</v>
      </c>
      <c r="F264">
        <f>$C264*VLOOKUP($B264,FoodDB!$A$2:$I$1011,5,0)</f>
        <v>0</v>
      </c>
      <c r="G264">
        <f>$C264*VLOOKUP($B264,FoodDB!$A$2:$I$1011,6,0)</f>
        <v>0</v>
      </c>
      <c r="H264">
        <f>$C264*VLOOKUP($B264,FoodDB!$A$2:$I$1011,7,0)</f>
        <v>0</v>
      </c>
      <c r="I264">
        <f>$C264*VLOOKUP($B264,FoodDB!$A$2:$I$1011,8,0)</f>
        <v>0</v>
      </c>
      <c r="J264">
        <f>$C264*VLOOKUP($B264,FoodDB!$A$2:$I$1011,9,0)</f>
        <v>0</v>
      </c>
      <c r="L264">
        <f>SUM(G264:G270)</f>
        <v>0</v>
      </c>
      <c r="M264">
        <f>SUM(H264:H270)</f>
        <v>0</v>
      </c>
      <c r="N264">
        <f>SUM(I264:I270)</f>
        <v>0</v>
      </c>
      <c r="O264">
        <f>SUM(L264:N264)</f>
        <v>0</v>
      </c>
      <c r="P264" s="98">
        <f>VLOOKUP($A264,LossChart!$A$3:$AB$105,14,0)-L264</f>
        <v>520.48798637806271</v>
      </c>
      <c r="Q264" s="98">
        <f>VLOOKUP($A264,LossChart!$A$3:$AB$105,15,0)-M264</f>
        <v>80</v>
      </c>
      <c r="R264" s="98">
        <f>VLOOKUP($A264,LossChart!$A$3:$AB$105,16,0)-N264</f>
        <v>482.47465271142238</v>
      </c>
      <c r="S264" s="98">
        <f>VLOOKUP($A264,LossChart!$A$3:$AB$105,17,0)-O264</f>
        <v>1082.962639089485</v>
      </c>
    </row>
    <row r="265" spans="1:19" x14ac:dyDescent="0.25">
      <c r="B265" s="94" t="s">
        <v>107</v>
      </c>
      <c r="C265" s="95">
        <v>0</v>
      </c>
      <c r="D265">
        <f>$C265*VLOOKUP($B265,FoodDB!$A$2:$I$1011,3,0)</f>
        <v>0</v>
      </c>
      <c r="E265">
        <f>$C265*VLOOKUP($B265,FoodDB!$A$2:$I$1011,4,0)</f>
        <v>0</v>
      </c>
      <c r="F265">
        <f>$C265*VLOOKUP($B265,FoodDB!$A$2:$I$1011,5,0)</f>
        <v>0</v>
      </c>
      <c r="G265">
        <f>$C265*VLOOKUP($B265,FoodDB!$A$2:$I$1011,6,0)</f>
        <v>0</v>
      </c>
      <c r="H265">
        <f>$C265*VLOOKUP($B265,FoodDB!$A$2:$I$1011,7,0)</f>
        <v>0</v>
      </c>
      <c r="I265">
        <f>$C265*VLOOKUP($B265,FoodDB!$A$2:$I$1011,8,0)</f>
        <v>0</v>
      </c>
      <c r="J265">
        <f>$C265*VLOOKUP($B265,FoodDB!$A$2:$I$1011,9,0)</f>
        <v>0</v>
      </c>
    </row>
    <row r="266" spans="1:19" x14ac:dyDescent="0.25">
      <c r="B266" s="94" t="s">
        <v>107</v>
      </c>
      <c r="C266" s="95">
        <v>0</v>
      </c>
      <c r="D266">
        <f>$C266*VLOOKUP($B266,FoodDB!$A$2:$I$1011,3,0)</f>
        <v>0</v>
      </c>
      <c r="E266">
        <f>$C266*VLOOKUP($B266,FoodDB!$A$2:$I$1011,4,0)</f>
        <v>0</v>
      </c>
      <c r="F266">
        <f>$C266*VLOOKUP($B266,FoodDB!$A$2:$I$1011,5,0)</f>
        <v>0</v>
      </c>
      <c r="G266">
        <f>$C266*VLOOKUP($B266,FoodDB!$A$2:$I$1011,6,0)</f>
        <v>0</v>
      </c>
      <c r="H266">
        <f>$C266*VLOOKUP($B266,FoodDB!$A$2:$I$1011,7,0)</f>
        <v>0</v>
      </c>
      <c r="I266">
        <f>$C266*VLOOKUP($B266,FoodDB!$A$2:$I$1011,8,0)</f>
        <v>0</v>
      </c>
      <c r="J266">
        <f>$C266*VLOOKUP($B266,FoodDB!$A$2:$I$1011,9,0)</f>
        <v>0</v>
      </c>
    </row>
    <row r="267" spans="1:19" x14ac:dyDescent="0.25">
      <c r="B267" s="94" t="s">
        <v>107</v>
      </c>
      <c r="C267" s="95">
        <v>0</v>
      </c>
      <c r="D267">
        <f>$C267*VLOOKUP($B267,FoodDB!$A$2:$I$1011,3,0)</f>
        <v>0</v>
      </c>
      <c r="E267">
        <f>$C267*VLOOKUP($B267,FoodDB!$A$2:$I$1011,4,0)</f>
        <v>0</v>
      </c>
      <c r="F267">
        <f>$C267*VLOOKUP($B267,FoodDB!$A$2:$I$1011,5,0)</f>
        <v>0</v>
      </c>
      <c r="G267">
        <f>$C267*VLOOKUP($B267,FoodDB!$A$2:$I$1011,6,0)</f>
        <v>0</v>
      </c>
      <c r="H267">
        <f>$C267*VLOOKUP($B267,FoodDB!$A$2:$I$1011,7,0)</f>
        <v>0</v>
      </c>
      <c r="I267">
        <f>$C267*VLOOKUP($B267,FoodDB!$A$2:$I$1011,8,0)</f>
        <v>0</v>
      </c>
      <c r="J267">
        <f>$C267*VLOOKUP($B267,FoodDB!$A$2:$I$1011,9,0)</f>
        <v>0</v>
      </c>
    </row>
    <row r="268" spans="1:19" x14ac:dyDescent="0.25">
      <c r="B268" s="94" t="s">
        <v>107</v>
      </c>
      <c r="C268" s="95">
        <v>0</v>
      </c>
      <c r="D268">
        <f>$C268*VLOOKUP($B268,FoodDB!$A$2:$I$1011,3,0)</f>
        <v>0</v>
      </c>
      <c r="E268">
        <f>$C268*VLOOKUP($B268,FoodDB!$A$2:$I$1011,4,0)</f>
        <v>0</v>
      </c>
      <c r="F268">
        <f>$C268*VLOOKUP($B268,FoodDB!$A$2:$I$1011,5,0)</f>
        <v>0</v>
      </c>
      <c r="G268">
        <f>$C268*VLOOKUP($B268,FoodDB!$A$2:$I$1011,6,0)</f>
        <v>0</v>
      </c>
      <c r="H268">
        <f>$C268*VLOOKUP($B268,FoodDB!$A$2:$I$1011,7,0)</f>
        <v>0</v>
      </c>
      <c r="I268">
        <f>$C268*VLOOKUP($B268,FoodDB!$A$2:$I$1011,8,0)</f>
        <v>0</v>
      </c>
      <c r="J268">
        <f>$C268*VLOOKUP($B268,FoodDB!$A$2:$I$1011,9,0)</f>
        <v>0</v>
      </c>
    </row>
    <row r="269" spans="1:19" x14ac:dyDescent="0.25">
      <c r="B269" s="94" t="s">
        <v>107</v>
      </c>
      <c r="C269" s="95">
        <v>0</v>
      </c>
      <c r="D269">
        <f>$C269*VLOOKUP($B269,FoodDB!$A$2:$I$1011,3,0)</f>
        <v>0</v>
      </c>
      <c r="E269">
        <f>$C269*VLOOKUP($B269,FoodDB!$A$2:$I$1011,4,0)</f>
        <v>0</v>
      </c>
      <c r="F269">
        <f>$C269*VLOOKUP($B269,FoodDB!$A$2:$I$1011,5,0)</f>
        <v>0</v>
      </c>
      <c r="G269">
        <f>$C269*VLOOKUP($B269,FoodDB!$A$2:$I$1011,6,0)</f>
        <v>0</v>
      </c>
      <c r="H269">
        <f>$C269*VLOOKUP($B269,FoodDB!$A$2:$I$1011,7,0)</f>
        <v>0</v>
      </c>
      <c r="I269">
        <f>$C269*VLOOKUP($B269,FoodDB!$A$2:$I$1011,8,0)</f>
        <v>0</v>
      </c>
      <c r="J269">
        <f>$C269*VLOOKUP($B269,FoodDB!$A$2:$I$1011,9,0)</f>
        <v>0</v>
      </c>
    </row>
    <row r="270" spans="1:19" x14ac:dyDescent="0.25">
      <c r="B270" s="94" t="s">
        <v>107</v>
      </c>
      <c r="C270" s="95">
        <v>0</v>
      </c>
      <c r="D270">
        <f>$C270*VLOOKUP($B270,FoodDB!$A$2:$I$1011,3,0)</f>
        <v>0</v>
      </c>
      <c r="E270">
        <f>$C270*VLOOKUP($B270,FoodDB!$A$2:$I$1011,4,0)</f>
        <v>0</v>
      </c>
      <c r="F270">
        <f>$C270*VLOOKUP($B270,FoodDB!$A$2:$I$1011,5,0)</f>
        <v>0</v>
      </c>
      <c r="G270">
        <f>$C270*VLOOKUP($B270,FoodDB!$A$2:$I$1011,6,0)</f>
        <v>0</v>
      </c>
      <c r="H270">
        <f>$C270*VLOOKUP($B270,FoodDB!$A$2:$I$1011,7,0)</f>
        <v>0</v>
      </c>
      <c r="I270">
        <f>$C270*VLOOKUP($B270,FoodDB!$A$2:$I$1011,8,0)</f>
        <v>0</v>
      </c>
      <c r="J270">
        <f>$C270*VLOOKUP($B270,FoodDB!$A$2:$I$1011,9,0)</f>
        <v>0</v>
      </c>
    </row>
    <row r="271" spans="1:19" x14ac:dyDescent="0.25">
      <c r="A271" t="s">
        <v>97</v>
      </c>
      <c r="G271">
        <f>SUM(G264:G270)</f>
        <v>0</v>
      </c>
      <c r="H271">
        <f>SUM(H264:H270)</f>
        <v>0</v>
      </c>
      <c r="I271">
        <f>SUM(I264:I270)</f>
        <v>0</v>
      </c>
      <c r="J271">
        <f>SUM(G271:I271)</f>
        <v>0</v>
      </c>
    </row>
    <row r="272" spans="1:19" x14ac:dyDescent="0.25">
      <c r="A272" t="s">
        <v>101</v>
      </c>
      <c r="B272" t="s">
        <v>102</v>
      </c>
      <c r="E272" s="98"/>
      <c r="F272" s="98"/>
      <c r="G272" s="98">
        <f>VLOOKUP($A264,LossChart!$A$3:$AB$105,14,0)</f>
        <v>520.48798637806271</v>
      </c>
      <c r="H272" s="98">
        <f>VLOOKUP($A264,LossChart!$A$3:$AB$105,15,0)</f>
        <v>80</v>
      </c>
      <c r="I272" s="98">
        <f>VLOOKUP($A264,LossChart!$A$3:$AB$105,16,0)</f>
        <v>482.47465271142238</v>
      </c>
      <c r="J272" s="98">
        <f>VLOOKUP($A264,LossChart!$A$3:$AB$105,17,0)</f>
        <v>1082.962639089485</v>
      </c>
      <c r="K272" s="98"/>
    </row>
    <row r="273" spans="1:19" x14ac:dyDescent="0.25">
      <c r="A273" t="s">
        <v>103</v>
      </c>
      <c r="G273">
        <f>G272-G271</f>
        <v>520.48798637806271</v>
      </c>
      <c r="H273">
        <f>H272-H271</f>
        <v>80</v>
      </c>
      <c r="I273">
        <f>I272-I271</f>
        <v>482.47465271142238</v>
      </c>
      <c r="J273">
        <f>J272-J271</f>
        <v>1082.962639089485</v>
      </c>
    </row>
    <row r="275" spans="1:19" ht="60" x14ac:dyDescent="0.25">
      <c r="A275" s="21" t="s">
        <v>63</v>
      </c>
      <c r="B275" s="21" t="s">
        <v>92</v>
      </c>
      <c r="C275" s="21" t="s">
        <v>93</v>
      </c>
      <c r="D275" s="92" t="str">
        <f>FoodDB!$C$1</f>
        <v>Fat
(g)</v>
      </c>
      <c r="E275" s="92" t="str">
        <f>FoodDB!$D$1</f>
        <v xml:space="preserve"> Carbs
(g)</v>
      </c>
      <c r="F275" s="92" t="str">
        <f>FoodDB!$E$1</f>
        <v>Protein
(g)</v>
      </c>
      <c r="G275" s="92" t="str">
        <f>FoodDB!$F$1</f>
        <v>Fat
(Cal)</v>
      </c>
      <c r="H275" s="92" t="str">
        <f>FoodDB!$G$1</f>
        <v>Carb
(Cal)</v>
      </c>
      <c r="I275" s="92" t="str">
        <f>FoodDB!$H$1</f>
        <v>Protein
(Cal)</v>
      </c>
      <c r="J275" s="92" t="str">
        <f>FoodDB!$I$1</f>
        <v>Total
Calories</v>
      </c>
      <c r="K275" s="92"/>
      <c r="L275" s="92" t="s">
        <v>109</v>
      </c>
      <c r="M275" s="92" t="s">
        <v>110</v>
      </c>
      <c r="N275" s="92" t="s">
        <v>111</v>
      </c>
      <c r="O275" s="92" t="s">
        <v>112</v>
      </c>
      <c r="P275" s="92" t="s">
        <v>117</v>
      </c>
      <c r="Q275" s="92" t="s">
        <v>118</v>
      </c>
      <c r="R275" s="92" t="s">
        <v>119</v>
      </c>
      <c r="S275" s="92" t="s">
        <v>120</v>
      </c>
    </row>
    <row r="276" spans="1:19" x14ac:dyDescent="0.25">
      <c r="A276" s="93">
        <f>A264+1</f>
        <v>43017</v>
      </c>
      <c r="B276" s="94" t="s">
        <v>107</v>
      </c>
      <c r="C276" s="95">
        <v>0</v>
      </c>
      <c r="D276">
        <f>$C276*VLOOKUP($B276,FoodDB!$A$2:$I$1011,3,0)</f>
        <v>0</v>
      </c>
      <c r="E276">
        <f>$C276*VLOOKUP($B276,FoodDB!$A$2:$I$1011,4,0)</f>
        <v>0</v>
      </c>
      <c r="F276">
        <f>$C276*VLOOKUP($B276,FoodDB!$A$2:$I$1011,5,0)</f>
        <v>0</v>
      </c>
      <c r="G276">
        <f>$C276*VLOOKUP($B276,FoodDB!$A$2:$I$1011,6,0)</f>
        <v>0</v>
      </c>
      <c r="H276">
        <f>$C276*VLOOKUP($B276,FoodDB!$A$2:$I$1011,7,0)</f>
        <v>0</v>
      </c>
      <c r="I276">
        <f>$C276*VLOOKUP($B276,FoodDB!$A$2:$I$1011,8,0)</f>
        <v>0</v>
      </c>
      <c r="J276">
        <f>$C276*VLOOKUP($B276,FoodDB!$A$2:$I$1011,9,0)</f>
        <v>0</v>
      </c>
      <c r="L276">
        <f>SUM(G276:G282)</f>
        <v>0</v>
      </c>
      <c r="M276">
        <f>SUM(H276:H282)</f>
        <v>0</v>
      </c>
      <c r="N276">
        <f>SUM(I276:I282)</f>
        <v>0</v>
      </c>
      <c r="O276">
        <f>SUM(L276:N276)</f>
        <v>0</v>
      </c>
      <c r="P276" s="98">
        <f>VLOOKUP($A276,LossChart!$A$3:$AB$105,14,0)-L276</f>
        <v>527.5126779457828</v>
      </c>
      <c r="Q276" s="98">
        <f>VLOOKUP($A276,LossChart!$A$3:$AB$105,15,0)-M276</f>
        <v>80</v>
      </c>
      <c r="R276" s="98">
        <f>VLOOKUP($A276,LossChart!$A$3:$AB$105,16,0)-N276</f>
        <v>482.47465271142238</v>
      </c>
      <c r="S276" s="98">
        <f>VLOOKUP($A276,LossChart!$A$3:$AB$105,17,0)-O276</f>
        <v>1089.9873306572051</v>
      </c>
    </row>
    <row r="277" spans="1:19" x14ac:dyDescent="0.25">
      <c r="B277" s="94" t="s">
        <v>107</v>
      </c>
      <c r="C277" s="95">
        <v>0</v>
      </c>
      <c r="D277">
        <f>$C277*VLOOKUP($B277,FoodDB!$A$2:$I$1011,3,0)</f>
        <v>0</v>
      </c>
      <c r="E277">
        <f>$C277*VLOOKUP($B277,FoodDB!$A$2:$I$1011,4,0)</f>
        <v>0</v>
      </c>
      <c r="F277">
        <f>$C277*VLOOKUP($B277,FoodDB!$A$2:$I$1011,5,0)</f>
        <v>0</v>
      </c>
      <c r="G277">
        <f>$C277*VLOOKUP($B277,FoodDB!$A$2:$I$1011,6,0)</f>
        <v>0</v>
      </c>
      <c r="H277">
        <f>$C277*VLOOKUP($B277,FoodDB!$A$2:$I$1011,7,0)</f>
        <v>0</v>
      </c>
      <c r="I277">
        <f>$C277*VLOOKUP($B277,FoodDB!$A$2:$I$1011,8,0)</f>
        <v>0</v>
      </c>
      <c r="J277">
        <f>$C277*VLOOKUP($B277,FoodDB!$A$2:$I$1011,9,0)</f>
        <v>0</v>
      </c>
    </row>
    <row r="278" spans="1:19" x14ac:dyDescent="0.25">
      <c r="B278" s="94" t="s">
        <v>107</v>
      </c>
      <c r="C278" s="95">
        <v>0</v>
      </c>
      <c r="D278">
        <f>$C278*VLOOKUP($B278,FoodDB!$A$2:$I$1011,3,0)</f>
        <v>0</v>
      </c>
      <c r="E278">
        <f>$C278*VLOOKUP($B278,FoodDB!$A$2:$I$1011,4,0)</f>
        <v>0</v>
      </c>
      <c r="F278">
        <f>$C278*VLOOKUP($B278,FoodDB!$A$2:$I$1011,5,0)</f>
        <v>0</v>
      </c>
      <c r="G278">
        <f>$C278*VLOOKUP($B278,FoodDB!$A$2:$I$1011,6,0)</f>
        <v>0</v>
      </c>
      <c r="H278">
        <f>$C278*VLOOKUP($B278,FoodDB!$A$2:$I$1011,7,0)</f>
        <v>0</v>
      </c>
      <c r="I278">
        <f>$C278*VLOOKUP($B278,FoodDB!$A$2:$I$1011,8,0)</f>
        <v>0</v>
      </c>
      <c r="J278">
        <f>$C278*VLOOKUP($B278,FoodDB!$A$2:$I$1011,9,0)</f>
        <v>0</v>
      </c>
    </row>
    <row r="279" spans="1:19" x14ac:dyDescent="0.25">
      <c r="B279" s="94" t="s">
        <v>107</v>
      </c>
      <c r="C279" s="95">
        <v>0</v>
      </c>
      <c r="D279">
        <f>$C279*VLOOKUP($B279,FoodDB!$A$2:$I$1011,3,0)</f>
        <v>0</v>
      </c>
      <c r="E279">
        <f>$C279*VLOOKUP($B279,FoodDB!$A$2:$I$1011,4,0)</f>
        <v>0</v>
      </c>
      <c r="F279">
        <f>$C279*VLOOKUP($B279,FoodDB!$A$2:$I$1011,5,0)</f>
        <v>0</v>
      </c>
      <c r="G279">
        <f>$C279*VLOOKUP($B279,FoodDB!$A$2:$I$1011,6,0)</f>
        <v>0</v>
      </c>
      <c r="H279">
        <f>$C279*VLOOKUP($B279,FoodDB!$A$2:$I$1011,7,0)</f>
        <v>0</v>
      </c>
      <c r="I279">
        <f>$C279*VLOOKUP($B279,FoodDB!$A$2:$I$1011,8,0)</f>
        <v>0</v>
      </c>
      <c r="J279">
        <f>$C279*VLOOKUP($B279,FoodDB!$A$2:$I$1011,9,0)</f>
        <v>0</v>
      </c>
    </row>
    <row r="280" spans="1:19" x14ac:dyDescent="0.25">
      <c r="B280" s="94" t="s">
        <v>107</v>
      </c>
      <c r="C280" s="95">
        <v>0</v>
      </c>
      <c r="D280">
        <f>$C280*VLOOKUP($B280,FoodDB!$A$2:$I$1011,3,0)</f>
        <v>0</v>
      </c>
      <c r="E280">
        <f>$C280*VLOOKUP($B280,FoodDB!$A$2:$I$1011,4,0)</f>
        <v>0</v>
      </c>
      <c r="F280">
        <f>$C280*VLOOKUP($B280,FoodDB!$A$2:$I$1011,5,0)</f>
        <v>0</v>
      </c>
      <c r="G280">
        <f>$C280*VLOOKUP($B280,FoodDB!$A$2:$I$1011,6,0)</f>
        <v>0</v>
      </c>
      <c r="H280">
        <f>$C280*VLOOKUP($B280,FoodDB!$A$2:$I$1011,7,0)</f>
        <v>0</v>
      </c>
      <c r="I280">
        <f>$C280*VLOOKUP($B280,FoodDB!$A$2:$I$1011,8,0)</f>
        <v>0</v>
      </c>
      <c r="J280">
        <f>$C280*VLOOKUP($B280,FoodDB!$A$2:$I$1011,9,0)</f>
        <v>0</v>
      </c>
    </row>
    <row r="281" spans="1:19" x14ac:dyDescent="0.25">
      <c r="B281" s="94" t="s">
        <v>107</v>
      </c>
      <c r="C281" s="95">
        <v>0</v>
      </c>
      <c r="D281">
        <f>$C281*VLOOKUP($B281,FoodDB!$A$2:$I$1011,3,0)</f>
        <v>0</v>
      </c>
      <c r="E281">
        <f>$C281*VLOOKUP($B281,FoodDB!$A$2:$I$1011,4,0)</f>
        <v>0</v>
      </c>
      <c r="F281">
        <f>$C281*VLOOKUP($B281,FoodDB!$A$2:$I$1011,5,0)</f>
        <v>0</v>
      </c>
      <c r="G281">
        <f>$C281*VLOOKUP($B281,FoodDB!$A$2:$I$1011,6,0)</f>
        <v>0</v>
      </c>
      <c r="H281">
        <f>$C281*VLOOKUP($B281,FoodDB!$A$2:$I$1011,7,0)</f>
        <v>0</v>
      </c>
      <c r="I281">
        <f>$C281*VLOOKUP($B281,FoodDB!$A$2:$I$1011,8,0)</f>
        <v>0</v>
      </c>
      <c r="J281">
        <f>$C281*VLOOKUP($B281,FoodDB!$A$2:$I$1011,9,0)</f>
        <v>0</v>
      </c>
    </row>
    <row r="282" spans="1:19" x14ac:dyDescent="0.25">
      <c r="B282" s="94" t="s">
        <v>107</v>
      </c>
      <c r="C282" s="95">
        <v>0</v>
      </c>
      <c r="D282">
        <f>$C282*VLOOKUP($B282,FoodDB!$A$2:$I$1011,3,0)</f>
        <v>0</v>
      </c>
      <c r="E282">
        <f>$C282*VLOOKUP($B282,FoodDB!$A$2:$I$1011,4,0)</f>
        <v>0</v>
      </c>
      <c r="F282">
        <f>$C282*VLOOKUP($B282,FoodDB!$A$2:$I$1011,5,0)</f>
        <v>0</v>
      </c>
      <c r="G282">
        <f>$C282*VLOOKUP($B282,FoodDB!$A$2:$I$1011,6,0)</f>
        <v>0</v>
      </c>
      <c r="H282">
        <f>$C282*VLOOKUP($B282,FoodDB!$A$2:$I$1011,7,0)</f>
        <v>0</v>
      </c>
      <c r="I282">
        <f>$C282*VLOOKUP($B282,FoodDB!$A$2:$I$1011,8,0)</f>
        <v>0</v>
      </c>
      <c r="J282">
        <f>$C282*VLOOKUP($B282,FoodDB!$A$2:$I$1011,9,0)</f>
        <v>0</v>
      </c>
    </row>
    <row r="283" spans="1:19" x14ac:dyDescent="0.25">
      <c r="A283" t="s">
        <v>97</v>
      </c>
      <c r="G283">
        <f>SUM(G276:G282)</f>
        <v>0</v>
      </c>
      <c r="H283">
        <f>SUM(H276:H282)</f>
        <v>0</v>
      </c>
      <c r="I283">
        <f>SUM(I276:I282)</f>
        <v>0</v>
      </c>
      <c r="J283">
        <f>SUM(G283:I283)</f>
        <v>0</v>
      </c>
    </row>
    <row r="284" spans="1:19" x14ac:dyDescent="0.25">
      <c r="A284" t="s">
        <v>101</v>
      </c>
      <c r="B284" t="s">
        <v>102</v>
      </c>
      <c r="E284" s="98"/>
      <c r="F284" s="98"/>
      <c r="G284" s="98">
        <f>VLOOKUP($A276,LossChart!$A$3:$AB$105,14,0)</f>
        <v>527.5126779457828</v>
      </c>
      <c r="H284" s="98">
        <f>VLOOKUP($A276,LossChart!$A$3:$AB$105,15,0)</f>
        <v>80</v>
      </c>
      <c r="I284" s="98">
        <f>VLOOKUP($A276,LossChart!$A$3:$AB$105,16,0)</f>
        <v>482.47465271142238</v>
      </c>
      <c r="J284" s="98">
        <f>VLOOKUP($A276,LossChart!$A$3:$AB$105,17,0)</f>
        <v>1089.9873306572051</v>
      </c>
      <c r="K284" s="98"/>
    </row>
    <row r="285" spans="1:19" x14ac:dyDescent="0.25">
      <c r="A285" t="s">
        <v>103</v>
      </c>
      <c r="G285">
        <f>G284-G283</f>
        <v>527.5126779457828</v>
      </c>
      <c r="H285">
        <f>H284-H283</f>
        <v>80</v>
      </c>
      <c r="I285">
        <f>I284-I283</f>
        <v>482.47465271142238</v>
      </c>
      <c r="J285">
        <f>J284-J283</f>
        <v>1089.9873306572051</v>
      </c>
    </row>
    <row r="287" spans="1:19" ht="60" x14ac:dyDescent="0.25">
      <c r="A287" s="21" t="s">
        <v>63</v>
      </c>
      <c r="B287" s="21" t="s">
        <v>92</v>
      </c>
      <c r="C287" s="21" t="s">
        <v>93</v>
      </c>
      <c r="D287" s="92" t="str">
        <f>FoodDB!$C$1</f>
        <v>Fat
(g)</v>
      </c>
      <c r="E287" s="92" t="str">
        <f>FoodDB!$D$1</f>
        <v xml:space="preserve"> Carbs
(g)</v>
      </c>
      <c r="F287" s="92" t="str">
        <f>FoodDB!$E$1</f>
        <v>Protein
(g)</v>
      </c>
      <c r="G287" s="92" t="str">
        <f>FoodDB!$F$1</f>
        <v>Fat
(Cal)</v>
      </c>
      <c r="H287" s="92" t="str">
        <f>FoodDB!$G$1</f>
        <v>Carb
(Cal)</v>
      </c>
      <c r="I287" s="92" t="str">
        <f>FoodDB!$H$1</f>
        <v>Protein
(Cal)</v>
      </c>
      <c r="J287" s="92" t="str">
        <f>FoodDB!$I$1</f>
        <v>Total
Calories</v>
      </c>
      <c r="K287" s="92"/>
      <c r="L287" s="92" t="s">
        <v>109</v>
      </c>
      <c r="M287" s="92" t="s">
        <v>110</v>
      </c>
      <c r="N287" s="92" t="s">
        <v>111</v>
      </c>
      <c r="O287" s="92" t="s">
        <v>112</v>
      </c>
      <c r="P287" s="92" t="s">
        <v>117</v>
      </c>
      <c r="Q287" s="92" t="s">
        <v>118</v>
      </c>
      <c r="R287" s="92" t="s">
        <v>119</v>
      </c>
      <c r="S287" s="92" t="s">
        <v>120</v>
      </c>
    </row>
    <row r="288" spans="1:19" x14ac:dyDescent="0.25">
      <c r="A288" s="93">
        <f>A276+1</f>
        <v>43018</v>
      </c>
      <c r="B288" s="94" t="s">
        <v>107</v>
      </c>
      <c r="C288" s="95">
        <v>0</v>
      </c>
      <c r="D288">
        <f>$C288*VLOOKUP($B288,FoodDB!$A$2:$I$1011,3,0)</f>
        <v>0</v>
      </c>
      <c r="E288">
        <f>$C288*VLOOKUP($B288,FoodDB!$A$2:$I$1011,4,0)</f>
        <v>0</v>
      </c>
      <c r="F288">
        <f>$C288*VLOOKUP($B288,FoodDB!$A$2:$I$1011,5,0)</f>
        <v>0</v>
      </c>
      <c r="G288">
        <f>$C288*VLOOKUP($B288,FoodDB!$A$2:$I$1011,6,0)</f>
        <v>0</v>
      </c>
      <c r="H288">
        <f>$C288*VLOOKUP($B288,FoodDB!$A$2:$I$1011,7,0)</f>
        <v>0</v>
      </c>
      <c r="I288">
        <f>$C288*VLOOKUP($B288,FoodDB!$A$2:$I$1011,8,0)</f>
        <v>0</v>
      </c>
      <c r="J288">
        <f>$C288*VLOOKUP($B288,FoodDB!$A$2:$I$1011,9,0)</f>
        <v>0</v>
      </c>
      <c r="L288">
        <f>SUM(G288:G294)</f>
        <v>0</v>
      </c>
      <c r="M288">
        <f>SUM(H288:H294)</f>
        <v>0</v>
      </c>
      <c r="N288">
        <f>SUM(I288:I294)</f>
        <v>0</v>
      </c>
      <c r="O288">
        <f>SUM(L288:N288)</f>
        <v>0</v>
      </c>
      <c r="P288" s="98">
        <f>VLOOKUP($A288,LossChart!$A$3:$AB$105,14,0)-L288</f>
        <v>534.47515081675942</v>
      </c>
      <c r="Q288" s="98">
        <f>VLOOKUP($A288,LossChart!$A$3:$AB$105,15,0)-M288</f>
        <v>80</v>
      </c>
      <c r="R288" s="98">
        <f>VLOOKUP($A288,LossChart!$A$3:$AB$105,16,0)-N288</f>
        <v>482.47465271142238</v>
      </c>
      <c r="S288" s="98">
        <f>VLOOKUP($A288,LossChart!$A$3:$AB$105,17,0)-O288</f>
        <v>1096.9498035281817</v>
      </c>
    </row>
    <row r="289" spans="1:19" x14ac:dyDescent="0.25">
      <c r="B289" s="94" t="s">
        <v>107</v>
      </c>
      <c r="C289" s="95">
        <v>0</v>
      </c>
      <c r="D289">
        <f>$C289*VLOOKUP($B289,FoodDB!$A$2:$I$1011,3,0)</f>
        <v>0</v>
      </c>
      <c r="E289">
        <f>$C289*VLOOKUP($B289,FoodDB!$A$2:$I$1011,4,0)</f>
        <v>0</v>
      </c>
      <c r="F289">
        <f>$C289*VLOOKUP($B289,FoodDB!$A$2:$I$1011,5,0)</f>
        <v>0</v>
      </c>
      <c r="G289">
        <f>$C289*VLOOKUP($B289,FoodDB!$A$2:$I$1011,6,0)</f>
        <v>0</v>
      </c>
      <c r="H289">
        <f>$C289*VLOOKUP($B289,FoodDB!$A$2:$I$1011,7,0)</f>
        <v>0</v>
      </c>
      <c r="I289">
        <f>$C289*VLOOKUP($B289,FoodDB!$A$2:$I$1011,8,0)</f>
        <v>0</v>
      </c>
      <c r="J289">
        <f>$C289*VLOOKUP($B289,FoodDB!$A$2:$I$1011,9,0)</f>
        <v>0</v>
      </c>
    </row>
    <row r="290" spans="1:19" x14ac:dyDescent="0.25">
      <c r="B290" s="94" t="s">
        <v>107</v>
      </c>
      <c r="C290" s="95">
        <v>0</v>
      </c>
      <c r="D290">
        <f>$C290*VLOOKUP($B290,FoodDB!$A$2:$I$1011,3,0)</f>
        <v>0</v>
      </c>
      <c r="E290">
        <f>$C290*VLOOKUP($B290,FoodDB!$A$2:$I$1011,4,0)</f>
        <v>0</v>
      </c>
      <c r="F290">
        <f>$C290*VLOOKUP($B290,FoodDB!$A$2:$I$1011,5,0)</f>
        <v>0</v>
      </c>
      <c r="G290">
        <f>$C290*VLOOKUP($B290,FoodDB!$A$2:$I$1011,6,0)</f>
        <v>0</v>
      </c>
      <c r="H290">
        <f>$C290*VLOOKUP($B290,FoodDB!$A$2:$I$1011,7,0)</f>
        <v>0</v>
      </c>
      <c r="I290">
        <f>$C290*VLOOKUP($B290,FoodDB!$A$2:$I$1011,8,0)</f>
        <v>0</v>
      </c>
      <c r="J290">
        <f>$C290*VLOOKUP($B290,FoodDB!$A$2:$I$1011,9,0)</f>
        <v>0</v>
      </c>
    </row>
    <row r="291" spans="1:19" x14ac:dyDescent="0.25">
      <c r="B291" s="94" t="s">
        <v>107</v>
      </c>
      <c r="C291" s="95">
        <v>0</v>
      </c>
      <c r="D291">
        <f>$C291*VLOOKUP($B291,FoodDB!$A$2:$I$1011,3,0)</f>
        <v>0</v>
      </c>
      <c r="E291">
        <f>$C291*VLOOKUP($B291,FoodDB!$A$2:$I$1011,4,0)</f>
        <v>0</v>
      </c>
      <c r="F291">
        <f>$C291*VLOOKUP($B291,FoodDB!$A$2:$I$1011,5,0)</f>
        <v>0</v>
      </c>
      <c r="G291">
        <f>$C291*VLOOKUP($B291,FoodDB!$A$2:$I$1011,6,0)</f>
        <v>0</v>
      </c>
      <c r="H291">
        <f>$C291*VLOOKUP($B291,FoodDB!$A$2:$I$1011,7,0)</f>
        <v>0</v>
      </c>
      <c r="I291">
        <f>$C291*VLOOKUP($B291,FoodDB!$A$2:$I$1011,8,0)</f>
        <v>0</v>
      </c>
      <c r="J291">
        <f>$C291*VLOOKUP($B291,FoodDB!$A$2:$I$1011,9,0)</f>
        <v>0</v>
      </c>
    </row>
    <row r="292" spans="1:19" x14ac:dyDescent="0.25">
      <c r="B292" s="94" t="s">
        <v>107</v>
      </c>
      <c r="C292" s="95">
        <v>0</v>
      </c>
      <c r="D292">
        <f>$C292*VLOOKUP($B292,FoodDB!$A$2:$I$1011,3,0)</f>
        <v>0</v>
      </c>
      <c r="E292">
        <f>$C292*VLOOKUP($B292,FoodDB!$A$2:$I$1011,4,0)</f>
        <v>0</v>
      </c>
      <c r="F292">
        <f>$C292*VLOOKUP($B292,FoodDB!$A$2:$I$1011,5,0)</f>
        <v>0</v>
      </c>
      <c r="G292">
        <f>$C292*VLOOKUP($B292,FoodDB!$A$2:$I$1011,6,0)</f>
        <v>0</v>
      </c>
      <c r="H292">
        <f>$C292*VLOOKUP($B292,FoodDB!$A$2:$I$1011,7,0)</f>
        <v>0</v>
      </c>
      <c r="I292">
        <f>$C292*VLOOKUP($B292,FoodDB!$A$2:$I$1011,8,0)</f>
        <v>0</v>
      </c>
      <c r="J292">
        <f>$C292*VLOOKUP($B292,FoodDB!$A$2:$I$1011,9,0)</f>
        <v>0</v>
      </c>
    </row>
    <row r="293" spans="1:19" x14ac:dyDescent="0.25">
      <c r="B293" s="94" t="s">
        <v>107</v>
      </c>
      <c r="C293" s="95">
        <v>0</v>
      </c>
      <c r="D293">
        <f>$C293*VLOOKUP($B293,FoodDB!$A$2:$I$1011,3,0)</f>
        <v>0</v>
      </c>
      <c r="E293">
        <f>$C293*VLOOKUP($B293,FoodDB!$A$2:$I$1011,4,0)</f>
        <v>0</v>
      </c>
      <c r="F293">
        <f>$C293*VLOOKUP($B293,FoodDB!$A$2:$I$1011,5,0)</f>
        <v>0</v>
      </c>
      <c r="G293">
        <f>$C293*VLOOKUP($B293,FoodDB!$A$2:$I$1011,6,0)</f>
        <v>0</v>
      </c>
      <c r="H293">
        <f>$C293*VLOOKUP($B293,FoodDB!$A$2:$I$1011,7,0)</f>
        <v>0</v>
      </c>
      <c r="I293">
        <f>$C293*VLOOKUP($B293,FoodDB!$A$2:$I$1011,8,0)</f>
        <v>0</v>
      </c>
      <c r="J293">
        <f>$C293*VLOOKUP($B293,FoodDB!$A$2:$I$1011,9,0)</f>
        <v>0</v>
      </c>
    </row>
    <row r="294" spans="1:19" x14ac:dyDescent="0.25">
      <c r="B294" s="94" t="s">
        <v>107</v>
      </c>
      <c r="C294" s="95">
        <v>0</v>
      </c>
      <c r="D294">
        <f>$C294*VLOOKUP($B294,FoodDB!$A$2:$I$1011,3,0)</f>
        <v>0</v>
      </c>
      <c r="E294">
        <f>$C294*VLOOKUP($B294,FoodDB!$A$2:$I$1011,4,0)</f>
        <v>0</v>
      </c>
      <c r="F294">
        <f>$C294*VLOOKUP($B294,FoodDB!$A$2:$I$1011,5,0)</f>
        <v>0</v>
      </c>
      <c r="G294">
        <f>$C294*VLOOKUP($B294,FoodDB!$A$2:$I$1011,6,0)</f>
        <v>0</v>
      </c>
      <c r="H294">
        <f>$C294*VLOOKUP($B294,FoodDB!$A$2:$I$1011,7,0)</f>
        <v>0</v>
      </c>
      <c r="I294">
        <f>$C294*VLOOKUP($B294,FoodDB!$A$2:$I$1011,8,0)</f>
        <v>0</v>
      </c>
      <c r="J294">
        <f>$C294*VLOOKUP($B294,FoodDB!$A$2:$I$1011,9,0)</f>
        <v>0</v>
      </c>
    </row>
    <row r="295" spans="1:19" x14ac:dyDescent="0.25">
      <c r="A295" t="s">
        <v>97</v>
      </c>
      <c r="G295">
        <f>SUM(G288:G294)</f>
        <v>0</v>
      </c>
      <c r="H295">
        <f>SUM(H288:H294)</f>
        <v>0</v>
      </c>
      <c r="I295">
        <f>SUM(I288:I294)</f>
        <v>0</v>
      </c>
      <c r="J295">
        <f>SUM(G295:I295)</f>
        <v>0</v>
      </c>
    </row>
    <row r="296" spans="1:19" x14ac:dyDescent="0.25">
      <c r="A296" t="s">
        <v>101</v>
      </c>
      <c r="B296" t="s">
        <v>102</v>
      </c>
      <c r="E296" s="98"/>
      <c r="F296" s="98"/>
      <c r="G296" s="98">
        <f>VLOOKUP($A288,LossChart!$A$3:$AB$105,14,0)</f>
        <v>534.47515081675942</v>
      </c>
      <c r="H296" s="98">
        <f>VLOOKUP($A288,LossChart!$A$3:$AB$105,15,0)</f>
        <v>80</v>
      </c>
      <c r="I296" s="98">
        <f>VLOOKUP($A288,LossChart!$A$3:$AB$105,16,0)</f>
        <v>482.47465271142238</v>
      </c>
      <c r="J296" s="98">
        <f>VLOOKUP($A288,LossChart!$A$3:$AB$105,17,0)</f>
        <v>1096.9498035281817</v>
      </c>
      <c r="K296" s="98"/>
    </row>
    <row r="297" spans="1:19" x14ac:dyDescent="0.25">
      <c r="A297" t="s">
        <v>103</v>
      </c>
      <c r="G297">
        <f>G296-G295</f>
        <v>534.47515081675942</v>
      </c>
      <c r="H297">
        <f>H296-H295</f>
        <v>80</v>
      </c>
      <c r="I297">
        <f>I296-I295</f>
        <v>482.47465271142238</v>
      </c>
      <c r="J297">
        <f>J296-J295</f>
        <v>1096.9498035281817</v>
      </c>
    </row>
    <row r="299" spans="1:19" ht="60" x14ac:dyDescent="0.25">
      <c r="A299" s="21" t="s">
        <v>63</v>
      </c>
      <c r="B299" s="21" t="s">
        <v>92</v>
      </c>
      <c r="C299" s="21" t="s">
        <v>93</v>
      </c>
      <c r="D299" s="92" t="str">
        <f>FoodDB!$C$1</f>
        <v>Fat
(g)</v>
      </c>
      <c r="E299" s="92" t="str">
        <f>FoodDB!$D$1</f>
        <v xml:space="preserve"> Carbs
(g)</v>
      </c>
      <c r="F299" s="92" t="str">
        <f>FoodDB!$E$1</f>
        <v>Protein
(g)</v>
      </c>
      <c r="G299" s="92" t="str">
        <f>FoodDB!$F$1</f>
        <v>Fat
(Cal)</v>
      </c>
      <c r="H299" s="92" t="str">
        <f>FoodDB!$G$1</f>
        <v>Carb
(Cal)</v>
      </c>
      <c r="I299" s="92" t="str">
        <f>FoodDB!$H$1</f>
        <v>Protein
(Cal)</v>
      </c>
      <c r="J299" s="92" t="str">
        <f>FoodDB!$I$1</f>
        <v>Total
Calories</v>
      </c>
      <c r="K299" s="92"/>
      <c r="L299" s="92" t="s">
        <v>109</v>
      </c>
      <c r="M299" s="92" t="s">
        <v>110</v>
      </c>
      <c r="N299" s="92" t="s">
        <v>111</v>
      </c>
      <c r="O299" s="92" t="s">
        <v>112</v>
      </c>
      <c r="P299" s="92" t="s">
        <v>117</v>
      </c>
      <c r="Q299" s="92" t="s">
        <v>118</v>
      </c>
      <c r="R299" s="92" t="s">
        <v>119</v>
      </c>
      <c r="S299" s="92" t="s">
        <v>120</v>
      </c>
    </row>
    <row r="300" spans="1:19" x14ac:dyDescent="0.25">
      <c r="A300" s="93">
        <f>A288+1</f>
        <v>43019</v>
      </c>
      <c r="B300" s="94" t="s">
        <v>107</v>
      </c>
      <c r="C300" s="95">
        <v>0</v>
      </c>
      <c r="D300">
        <f>$C300*VLOOKUP($B300,FoodDB!$A$2:$I$1011,3,0)</f>
        <v>0</v>
      </c>
      <c r="E300">
        <f>$C300*VLOOKUP($B300,FoodDB!$A$2:$I$1011,4,0)</f>
        <v>0</v>
      </c>
      <c r="F300">
        <f>$C300*VLOOKUP($B300,FoodDB!$A$2:$I$1011,5,0)</f>
        <v>0</v>
      </c>
      <c r="G300">
        <f>$C300*VLOOKUP($B300,FoodDB!$A$2:$I$1011,6,0)</f>
        <v>0</v>
      </c>
      <c r="H300">
        <f>$C300*VLOOKUP($B300,FoodDB!$A$2:$I$1011,7,0)</f>
        <v>0</v>
      </c>
      <c r="I300">
        <f>$C300*VLOOKUP($B300,FoodDB!$A$2:$I$1011,8,0)</f>
        <v>0</v>
      </c>
      <c r="J300">
        <f>$C300*VLOOKUP($B300,FoodDB!$A$2:$I$1011,9,0)</f>
        <v>0</v>
      </c>
      <c r="L300">
        <f>SUM(G300:G306)</f>
        <v>0</v>
      </c>
      <c r="M300">
        <f>SUM(H300:H306)</f>
        <v>0</v>
      </c>
      <c r="N300">
        <f>SUM(I300:I306)</f>
        <v>0</v>
      </c>
      <c r="O300">
        <f>SUM(L300:N300)</f>
        <v>0</v>
      </c>
      <c r="P300" s="98">
        <f>VLOOKUP($A300,LossChart!$A$3:$AB$105,14,0)-L300</f>
        <v>541.37595607087951</v>
      </c>
      <c r="Q300" s="98">
        <f>VLOOKUP($A300,LossChart!$A$3:$AB$105,15,0)-M300</f>
        <v>80</v>
      </c>
      <c r="R300" s="98">
        <f>VLOOKUP($A300,LossChart!$A$3:$AB$105,16,0)-N300</f>
        <v>482.47465271142238</v>
      </c>
      <c r="S300" s="98">
        <f>VLOOKUP($A300,LossChart!$A$3:$AB$105,17,0)-O300</f>
        <v>1103.8506087823018</v>
      </c>
    </row>
    <row r="301" spans="1:19" x14ac:dyDescent="0.25">
      <c r="B301" s="94" t="s">
        <v>107</v>
      </c>
      <c r="C301" s="95">
        <v>0</v>
      </c>
      <c r="D301">
        <f>$C301*VLOOKUP($B301,FoodDB!$A$2:$I$1011,3,0)</f>
        <v>0</v>
      </c>
      <c r="E301">
        <f>$C301*VLOOKUP($B301,FoodDB!$A$2:$I$1011,4,0)</f>
        <v>0</v>
      </c>
      <c r="F301">
        <f>$C301*VLOOKUP($B301,FoodDB!$A$2:$I$1011,5,0)</f>
        <v>0</v>
      </c>
      <c r="G301">
        <f>$C301*VLOOKUP($B301,FoodDB!$A$2:$I$1011,6,0)</f>
        <v>0</v>
      </c>
      <c r="H301">
        <f>$C301*VLOOKUP($B301,FoodDB!$A$2:$I$1011,7,0)</f>
        <v>0</v>
      </c>
      <c r="I301">
        <f>$C301*VLOOKUP($B301,FoodDB!$A$2:$I$1011,8,0)</f>
        <v>0</v>
      </c>
      <c r="J301">
        <f>$C301*VLOOKUP($B301,FoodDB!$A$2:$I$1011,9,0)</f>
        <v>0</v>
      </c>
    </row>
    <row r="302" spans="1:19" x14ac:dyDescent="0.25">
      <c r="B302" s="94" t="s">
        <v>107</v>
      </c>
      <c r="C302" s="95">
        <v>0</v>
      </c>
      <c r="D302">
        <f>$C302*VLOOKUP($B302,FoodDB!$A$2:$I$1011,3,0)</f>
        <v>0</v>
      </c>
      <c r="E302">
        <f>$C302*VLOOKUP($B302,FoodDB!$A$2:$I$1011,4,0)</f>
        <v>0</v>
      </c>
      <c r="F302">
        <f>$C302*VLOOKUP($B302,FoodDB!$A$2:$I$1011,5,0)</f>
        <v>0</v>
      </c>
      <c r="G302">
        <f>$C302*VLOOKUP($B302,FoodDB!$A$2:$I$1011,6,0)</f>
        <v>0</v>
      </c>
      <c r="H302">
        <f>$C302*VLOOKUP($B302,FoodDB!$A$2:$I$1011,7,0)</f>
        <v>0</v>
      </c>
      <c r="I302">
        <f>$C302*VLOOKUP($B302,FoodDB!$A$2:$I$1011,8,0)</f>
        <v>0</v>
      </c>
      <c r="J302">
        <f>$C302*VLOOKUP($B302,FoodDB!$A$2:$I$1011,9,0)</f>
        <v>0</v>
      </c>
    </row>
    <row r="303" spans="1:19" x14ac:dyDescent="0.25">
      <c r="B303" s="94" t="s">
        <v>107</v>
      </c>
      <c r="C303" s="95">
        <v>0</v>
      </c>
      <c r="D303">
        <f>$C303*VLOOKUP($B303,FoodDB!$A$2:$I$1011,3,0)</f>
        <v>0</v>
      </c>
      <c r="E303">
        <f>$C303*VLOOKUP($B303,FoodDB!$A$2:$I$1011,4,0)</f>
        <v>0</v>
      </c>
      <c r="F303">
        <f>$C303*VLOOKUP($B303,FoodDB!$A$2:$I$1011,5,0)</f>
        <v>0</v>
      </c>
      <c r="G303">
        <f>$C303*VLOOKUP($B303,FoodDB!$A$2:$I$1011,6,0)</f>
        <v>0</v>
      </c>
      <c r="H303">
        <f>$C303*VLOOKUP($B303,FoodDB!$A$2:$I$1011,7,0)</f>
        <v>0</v>
      </c>
      <c r="I303">
        <f>$C303*VLOOKUP($B303,FoodDB!$A$2:$I$1011,8,0)</f>
        <v>0</v>
      </c>
      <c r="J303">
        <f>$C303*VLOOKUP($B303,FoodDB!$A$2:$I$1011,9,0)</f>
        <v>0</v>
      </c>
    </row>
    <row r="304" spans="1:19" x14ac:dyDescent="0.25">
      <c r="B304" s="94" t="s">
        <v>107</v>
      </c>
      <c r="C304" s="95">
        <v>0</v>
      </c>
      <c r="D304">
        <f>$C304*VLOOKUP($B304,FoodDB!$A$2:$I$1011,3,0)</f>
        <v>0</v>
      </c>
      <c r="E304">
        <f>$C304*VLOOKUP($B304,FoodDB!$A$2:$I$1011,4,0)</f>
        <v>0</v>
      </c>
      <c r="F304">
        <f>$C304*VLOOKUP($B304,FoodDB!$A$2:$I$1011,5,0)</f>
        <v>0</v>
      </c>
      <c r="G304">
        <f>$C304*VLOOKUP($B304,FoodDB!$A$2:$I$1011,6,0)</f>
        <v>0</v>
      </c>
      <c r="H304">
        <f>$C304*VLOOKUP($B304,FoodDB!$A$2:$I$1011,7,0)</f>
        <v>0</v>
      </c>
      <c r="I304">
        <f>$C304*VLOOKUP($B304,FoodDB!$A$2:$I$1011,8,0)</f>
        <v>0</v>
      </c>
      <c r="J304">
        <f>$C304*VLOOKUP($B304,FoodDB!$A$2:$I$1011,9,0)</f>
        <v>0</v>
      </c>
    </row>
    <row r="305" spans="1:19" x14ac:dyDescent="0.25">
      <c r="B305" s="94" t="s">
        <v>107</v>
      </c>
      <c r="C305" s="95">
        <v>0</v>
      </c>
      <c r="D305">
        <f>$C305*VLOOKUP($B305,FoodDB!$A$2:$I$1011,3,0)</f>
        <v>0</v>
      </c>
      <c r="E305">
        <f>$C305*VLOOKUP($B305,FoodDB!$A$2:$I$1011,4,0)</f>
        <v>0</v>
      </c>
      <c r="F305">
        <f>$C305*VLOOKUP($B305,FoodDB!$A$2:$I$1011,5,0)</f>
        <v>0</v>
      </c>
      <c r="G305">
        <f>$C305*VLOOKUP($B305,FoodDB!$A$2:$I$1011,6,0)</f>
        <v>0</v>
      </c>
      <c r="H305">
        <f>$C305*VLOOKUP($B305,FoodDB!$A$2:$I$1011,7,0)</f>
        <v>0</v>
      </c>
      <c r="I305">
        <f>$C305*VLOOKUP($B305,FoodDB!$A$2:$I$1011,8,0)</f>
        <v>0</v>
      </c>
      <c r="J305">
        <f>$C305*VLOOKUP($B305,FoodDB!$A$2:$I$1011,9,0)</f>
        <v>0</v>
      </c>
    </row>
    <row r="306" spans="1:19" x14ac:dyDescent="0.25">
      <c r="B306" s="94" t="s">
        <v>107</v>
      </c>
      <c r="C306" s="95">
        <v>0</v>
      </c>
      <c r="D306">
        <f>$C306*VLOOKUP($B306,FoodDB!$A$2:$I$1011,3,0)</f>
        <v>0</v>
      </c>
      <c r="E306">
        <f>$C306*VLOOKUP($B306,FoodDB!$A$2:$I$1011,4,0)</f>
        <v>0</v>
      </c>
      <c r="F306">
        <f>$C306*VLOOKUP($B306,FoodDB!$A$2:$I$1011,5,0)</f>
        <v>0</v>
      </c>
      <c r="G306">
        <f>$C306*VLOOKUP($B306,FoodDB!$A$2:$I$1011,6,0)</f>
        <v>0</v>
      </c>
      <c r="H306">
        <f>$C306*VLOOKUP($B306,FoodDB!$A$2:$I$1011,7,0)</f>
        <v>0</v>
      </c>
      <c r="I306">
        <f>$C306*VLOOKUP($B306,FoodDB!$A$2:$I$1011,8,0)</f>
        <v>0</v>
      </c>
      <c r="J306">
        <f>$C306*VLOOKUP($B306,FoodDB!$A$2:$I$1011,9,0)</f>
        <v>0</v>
      </c>
    </row>
    <row r="307" spans="1:19" x14ac:dyDescent="0.25">
      <c r="A307" t="s">
        <v>97</v>
      </c>
      <c r="G307">
        <f>SUM(G300:G306)</f>
        <v>0</v>
      </c>
      <c r="H307">
        <f>SUM(H300:H306)</f>
        <v>0</v>
      </c>
      <c r="I307">
        <f>SUM(I300:I306)</f>
        <v>0</v>
      </c>
      <c r="J307">
        <f>SUM(G307:I307)</f>
        <v>0</v>
      </c>
    </row>
    <row r="308" spans="1:19" x14ac:dyDescent="0.25">
      <c r="A308" t="s">
        <v>101</v>
      </c>
      <c r="B308" t="s">
        <v>102</v>
      </c>
      <c r="E308" s="98"/>
      <c r="F308" s="98"/>
      <c r="G308" s="98">
        <f>VLOOKUP($A300,LossChart!$A$3:$AB$105,14,0)</f>
        <v>541.37595607087951</v>
      </c>
      <c r="H308" s="98">
        <f>VLOOKUP($A300,LossChart!$A$3:$AB$105,15,0)</f>
        <v>80</v>
      </c>
      <c r="I308" s="98">
        <f>VLOOKUP($A300,LossChart!$A$3:$AB$105,16,0)</f>
        <v>482.47465271142238</v>
      </c>
      <c r="J308" s="98">
        <f>VLOOKUP($A300,LossChart!$A$3:$AB$105,17,0)</f>
        <v>1103.8506087823018</v>
      </c>
      <c r="K308" s="98"/>
    </row>
    <row r="309" spans="1:19" x14ac:dyDescent="0.25">
      <c r="A309" t="s">
        <v>103</v>
      </c>
      <c r="G309">
        <f>G308-G307</f>
        <v>541.37595607087951</v>
      </c>
      <c r="H309">
        <f>H308-H307</f>
        <v>80</v>
      </c>
      <c r="I309">
        <f>I308-I307</f>
        <v>482.47465271142238</v>
      </c>
      <c r="J309">
        <f>J308-J307</f>
        <v>1103.8506087823018</v>
      </c>
    </row>
    <row r="311" spans="1:19" ht="60" x14ac:dyDescent="0.25">
      <c r="A311" s="21" t="s">
        <v>63</v>
      </c>
      <c r="B311" s="21" t="s">
        <v>92</v>
      </c>
      <c r="C311" s="21" t="s">
        <v>93</v>
      </c>
      <c r="D311" s="92" t="str">
        <f>FoodDB!$C$1</f>
        <v>Fat
(g)</v>
      </c>
      <c r="E311" s="92" t="str">
        <f>FoodDB!$D$1</f>
        <v xml:space="preserve"> Carbs
(g)</v>
      </c>
      <c r="F311" s="92" t="str">
        <f>FoodDB!$E$1</f>
        <v>Protein
(g)</v>
      </c>
      <c r="G311" s="92" t="str">
        <f>FoodDB!$F$1</f>
        <v>Fat
(Cal)</v>
      </c>
      <c r="H311" s="92" t="str">
        <f>FoodDB!$G$1</f>
        <v>Carb
(Cal)</v>
      </c>
      <c r="I311" s="92" t="str">
        <f>FoodDB!$H$1</f>
        <v>Protein
(Cal)</v>
      </c>
      <c r="J311" s="92" t="str">
        <f>FoodDB!$I$1</f>
        <v>Total
Calories</v>
      </c>
      <c r="K311" s="92"/>
      <c r="L311" s="92" t="s">
        <v>109</v>
      </c>
      <c r="M311" s="92" t="s">
        <v>110</v>
      </c>
      <c r="N311" s="92" t="s">
        <v>111</v>
      </c>
      <c r="O311" s="92" t="s">
        <v>112</v>
      </c>
      <c r="P311" s="92" t="s">
        <v>117</v>
      </c>
      <c r="Q311" s="92" t="s">
        <v>118</v>
      </c>
      <c r="R311" s="92" t="s">
        <v>119</v>
      </c>
      <c r="S311" s="92" t="s">
        <v>120</v>
      </c>
    </row>
    <row r="312" spans="1:19" x14ac:dyDescent="0.25">
      <c r="A312" s="93">
        <f>A300+1</f>
        <v>43020</v>
      </c>
      <c r="B312" s="94" t="s">
        <v>107</v>
      </c>
      <c r="C312" s="95">
        <v>0</v>
      </c>
      <c r="D312">
        <f>$C312*VLOOKUP($B312,FoodDB!$A$2:$I$1011,3,0)</f>
        <v>0</v>
      </c>
      <c r="E312">
        <f>$C312*VLOOKUP($B312,FoodDB!$A$2:$I$1011,4,0)</f>
        <v>0</v>
      </c>
      <c r="F312">
        <f>$C312*VLOOKUP($B312,FoodDB!$A$2:$I$1011,5,0)</f>
        <v>0</v>
      </c>
      <c r="G312">
        <f>$C312*VLOOKUP($B312,FoodDB!$A$2:$I$1011,6,0)</f>
        <v>0</v>
      </c>
      <c r="H312">
        <f>$C312*VLOOKUP($B312,FoodDB!$A$2:$I$1011,7,0)</f>
        <v>0</v>
      </c>
      <c r="I312">
        <f>$C312*VLOOKUP($B312,FoodDB!$A$2:$I$1011,8,0)</f>
        <v>0</v>
      </c>
      <c r="J312">
        <f>$C312*VLOOKUP($B312,FoodDB!$A$2:$I$1011,9,0)</f>
        <v>0</v>
      </c>
      <c r="L312">
        <f>SUM(G312:G318)</f>
        <v>0</v>
      </c>
      <c r="M312">
        <f>SUM(H312:H318)</f>
        <v>0</v>
      </c>
      <c r="N312">
        <f>SUM(I312:I318)</f>
        <v>0</v>
      </c>
      <c r="O312">
        <f>SUM(L312:N312)</f>
        <v>0</v>
      </c>
      <c r="P312" s="98">
        <f>VLOOKUP($A312,LossChart!$A$3:$AB$105,14,0)-L312</f>
        <v>548.2156399070343</v>
      </c>
      <c r="Q312" s="98">
        <f>VLOOKUP($A312,LossChart!$A$3:$AB$105,15,0)-M312</f>
        <v>80</v>
      </c>
      <c r="R312" s="98">
        <f>VLOOKUP($A312,LossChart!$A$3:$AB$105,16,0)-N312</f>
        <v>482.47465271142238</v>
      </c>
      <c r="S312" s="98">
        <f>VLOOKUP($A312,LossChart!$A$3:$AB$105,17,0)-O312</f>
        <v>1110.6902926184566</v>
      </c>
    </row>
    <row r="313" spans="1:19" x14ac:dyDescent="0.25">
      <c r="B313" s="94" t="s">
        <v>107</v>
      </c>
      <c r="C313" s="95">
        <v>0</v>
      </c>
      <c r="D313">
        <f>$C313*VLOOKUP($B313,FoodDB!$A$2:$I$1011,3,0)</f>
        <v>0</v>
      </c>
      <c r="E313">
        <f>$C313*VLOOKUP($B313,FoodDB!$A$2:$I$1011,4,0)</f>
        <v>0</v>
      </c>
      <c r="F313">
        <f>$C313*VLOOKUP($B313,FoodDB!$A$2:$I$1011,5,0)</f>
        <v>0</v>
      </c>
      <c r="G313">
        <f>$C313*VLOOKUP($B313,FoodDB!$A$2:$I$1011,6,0)</f>
        <v>0</v>
      </c>
      <c r="H313">
        <f>$C313*VLOOKUP($B313,FoodDB!$A$2:$I$1011,7,0)</f>
        <v>0</v>
      </c>
      <c r="I313">
        <f>$C313*VLOOKUP($B313,FoodDB!$A$2:$I$1011,8,0)</f>
        <v>0</v>
      </c>
      <c r="J313">
        <f>$C313*VLOOKUP($B313,FoodDB!$A$2:$I$1011,9,0)</f>
        <v>0</v>
      </c>
    </row>
    <row r="314" spans="1:19" x14ac:dyDescent="0.25">
      <c r="B314" s="94" t="s">
        <v>107</v>
      </c>
      <c r="C314" s="95">
        <v>0</v>
      </c>
      <c r="D314">
        <f>$C314*VLOOKUP($B314,FoodDB!$A$2:$I$1011,3,0)</f>
        <v>0</v>
      </c>
      <c r="E314">
        <f>$C314*VLOOKUP($B314,FoodDB!$A$2:$I$1011,4,0)</f>
        <v>0</v>
      </c>
      <c r="F314">
        <f>$C314*VLOOKUP($B314,FoodDB!$A$2:$I$1011,5,0)</f>
        <v>0</v>
      </c>
      <c r="G314">
        <f>$C314*VLOOKUP($B314,FoodDB!$A$2:$I$1011,6,0)</f>
        <v>0</v>
      </c>
      <c r="H314">
        <f>$C314*VLOOKUP($B314,FoodDB!$A$2:$I$1011,7,0)</f>
        <v>0</v>
      </c>
      <c r="I314">
        <f>$C314*VLOOKUP($B314,FoodDB!$A$2:$I$1011,8,0)</f>
        <v>0</v>
      </c>
      <c r="J314">
        <f>$C314*VLOOKUP($B314,FoodDB!$A$2:$I$1011,9,0)</f>
        <v>0</v>
      </c>
    </row>
    <row r="315" spans="1:19" x14ac:dyDescent="0.25">
      <c r="B315" s="94" t="s">
        <v>107</v>
      </c>
      <c r="C315" s="95">
        <v>0</v>
      </c>
      <c r="D315">
        <f>$C315*VLOOKUP($B315,FoodDB!$A$2:$I$1011,3,0)</f>
        <v>0</v>
      </c>
      <c r="E315">
        <f>$C315*VLOOKUP($B315,FoodDB!$A$2:$I$1011,4,0)</f>
        <v>0</v>
      </c>
      <c r="F315">
        <f>$C315*VLOOKUP($B315,FoodDB!$A$2:$I$1011,5,0)</f>
        <v>0</v>
      </c>
      <c r="G315">
        <f>$C315*VLOOKUP($B315,FoodDB!$A$2:$I$1011,6,0)</f>
        <v>0</v>
      </c>
      <c r="H315">
        <f>$C315*VLOOKUP($B315,FoodDB!$A$2:$I$1011,7,0)</f>
        <v>0</v>
      </c>
      <c r="I315">
        <f>$C315*VLOOKUP($B315,FoodDB!$A$2:$I$1011,8,0)</f>
        <v>0</v>
      </c>
      <c r="J315">
        <f>$C315*VLOOKUP($B315,FoodDB!$A$2:$I$1011,9,0)</f>
        <v>0</v>
      </c>
    </row>
    <row r="316" spans="1:19" x14ac:dyDescent="0.25">
      <c r="B316" s="94" t="s">
        <v>107</v>
      </c>
      <c r="C316" s="95">
        <v>0</v>
      </c>
      <c r="D316">
        <f>$C316*VLOOKUP($B316,FoodDB!$A$2:$I$1011,3,0)</f>
        <v>0</v>
      </c>
      <c r="E316">
        <f>$C316*VLOOKUP($B316,FoodDB!$A$2:$I$1011,4,0)</f>
        <v>0</v>
      </c>
      <c r="F316">
        <f>$C316*VLOOKUP($B316,FoodDB!$A$2:$I$1011,5,0)</f>
        <v>0</v>
      </c>
      <c r="G316">
        <f>$C316*VLOOKUP($B316,FoodDB!$A$2:$I$1011,6,0)</f>
        <v>0</v>
      </c>
      <c r="H316">
        <f>$C316*VLOOKUP($B316,FoodDB!$A$2:$I$1011,7,0)</f>
        <v>0</v>
      </c>
      <c r="I316">
        <f>$C316*VLOOKUP($B316,FoodDB!$A$2:$I$1011,8,0)</f>
        <v>0</v>
      </c>
      <c r="J316">
        <f>$C316*VLOOKUP($B316,FoodDB!$A$2:$I$1011,9,0)</f>
        <v>0</v>
      </c>
    </row>
    <row r="317" spans="1:19" x14ac:dyDescent="0.25">
      <c r="B317" s="94" t="s">
        <v>107</v>
      </c>
      <c r="C317" s="95">
        <v>0</v>
      </c>
      <c r="D317">
        <f>$C317*VLOOKUP($B317,FoodDB!$A$2:$I$1011,3,0)</f>
        <v>0</v>
      </c>
      <c r="E317">
        <f>$C317*VLOOKUP($B317,FoodDB!$A$2:$I$1011,4,0)</f>
        <v>0</v>
      </c>
      <c r="F317">
        <f>$C317*VLOOKUP($B317,FoodDB!$A$2:$I$1011,5,0)</f>
        <v>0</v>
      </c>
      <c r="G317">
        <f>$C317*VLOOKUP($B317,FoodDB!$A$2:$I$1011,6,0)</f>
        <v>0</v>
      </c>
      <c r="H317">
        <f>$C317*VLOOKUP($B317,FoodDB!$A$2:$I$1011,7,0)</f>
        <v>0</v>
      </c>
      <c r="I317">
        <f>$C317*VLOOKUP($B317,FoodDB!$A$2:$I$1011,8,0)</f>
        <v>0</v>
      </c>
      <c r="J317">
        <f>$C317*VLOOKUP($B317,FoodDB!$A$2:$I$1011,9,0)</f>
        <v>0</v>
      </c>
    </row>
    <row r="318" spans="1:19" x14ac:dyDescent="0.25">
      <c r="B318" s="94" t="s">
        <v>107</v>
      </c>
      <c r="C318" s="95">
        <v>0</v>
      </c>
      <c r="D318">
        <f>$C318*VLOOKUP($B318,FoodDB!$A$2:$I$1011,3,0)</f>
        <v>0</v>
      </c>
      <c r="E318">
        <f>$C318*VLOOKUP($B318,FoodDB!$A$2:$I$1011,4,0)</f>
        <v>0</v>
      </c>
      <c r="F318">
        <f>$C318*VLOOKUP($B318,FoodDB!$A$2:$I$1011,5,0)</f>
        <v>0</v>
      </c>
      <c r="G318">
        <f>$C318*VLOOKUP($B318,FoodDB!$A$2:$I$1011,6,0)</f>
        <v>0</v>
      </c>
      <c r="H318">
        <f>$C318*VLOOKUP($B318,FoodDB!$A$2:$I$1011,7,0)</f>
        <v>0</v>
      </c>
      <c r="I318">
        <f>$C318*VLOOKUP($B318,FoodDB!$A$2:$I$1011,8,0)</f>
        <v>0</v>
      </c>
      <c r="J318">
        <f>$C318*VLOOKUP($B318,FoodDB!$A$2:$I$1011,9,0)</f>
        <v>0</v>
      </c>
    </row>
    <row r="319" spans="1:19" x14ac:dyDescent="0.25">
      <c r="A319" t="s">
        <v>97</v>
      </c>
      <c r="G319">
        <f>SUM(G312:G318)</f>
        <v>0</v>
      </c>
      <c r="H319">
        <f>SUM(H312:H318)</f>
        <v>0</v>
      </c>
      <c r="I319">
        <f>SUM(I312:I318)</f>
        <v>0</v>
      </c>
      <c r="J319">
        <f>SUM(G319:I319)</f>
        <v>0</v>
      </c>
    </row>
    <row r="320" spans="1:19" x14ac:dyDescent="0.25">
      <c r="A320" t="s">
        <v>101</v>
      </c>
      <c r="B320" t="s">
        <v>102</v>
      </c>
      <c r="E320" s="98"/>
      <c r="F320" s="98"/>
      <c r="G320" s="98">
        <f>VLOOKUP($A312,LossChart!$A$3:$AB$105,14,0)</f>
        <v>548.2156399070343</v>
      </c>
      <c r="H320" s="98">
        <f>VLOOKUP($A312,LossChart!$A$3:$AB$105,15,0)</f>
        <v>80</v>
      </c>
      <c r="I320" s="98">
        <f>VLOOKUP($A312,LossChart!$A$3:$AB$105,16,0)</f>
        <v>482.47465271142238</v>
      </c>
      <c r="J320" s="98">
        <f>VLOOKUP($A312,LossChart!$A$3:$AB$105,17,0)</f>
        <v>1110.6902926184566</v>
      </c>
      <c r="K320" s="98"/>
    </row>
    <row r="321" spans="1:19" x14ac:dyDescent="0.25">
      <c r="A321" t="s">
        <v>103</v>
      </c>
      <c r="G321">
        <f>G320-G319</f>
        <v>548.2156399070343</v>
      </c>
      <c r="H321">
        <f>H320-H319</f>
        <v>80</v>
      </c>
      <c r="I321">
        <f>I320-I319</f>
        <v>482.47465271142238</v>
      </c>
      <c r="J321">
        <f>J320-J319</f>
        <v>1110.6902926184566</v>
      </c>
    </row>
    <row r="323" spans="1:19" ht="60" x14ac:dyDescent="0.25">
      <c r="A323" s="21" t="s">
        <v>63</v>
      </c>
      <c r="B323" s="21" t="s">
        <v>92</v>
      </c>
      <c r="C323" s="21" t="s">
        <v>93</v>
      </c>
      <c r="D323" s="92" t="str">
        <f>FoodDB!$C$1</f>
        <v>Fat
(g)</v>
      </c>
      <c r="E323" s="92" t="str">
        <f>FoodDB!$D$1</f>
        <v xml:space="preserve"> Carbs
(g)</v>
      </c>
      <c r="F323" s="92" t="str">
        <f>FoodDB!$E$1</f>
        <v>Protein
(g)</v>
      </c>
      <c r="G323" s="92" t="str">
        <f>FoodDB!$F$1</f>
        <v>Fat
(Cal)</v>
      </c>
      <c r="H323" s="92" t="str">
        <f>FoodDB!$G$1</f>
        <v>Carb
(Cal)</v>
      </c>
      <c r="I323" s="92" t="str">
        <f>FoodDB!$H$1</f>
        <v>Protein
(Cal)</v>
      </c>
      <c r="J323" s="92" t="str">
        <f>FoodDB!$I$1</f>
        <v>Total
Calories</v>
      </c>
      <c r="K323" s="92"/>
      <c r="L323" s="92" t="s">
        <v>109</v>
      </c>
      <c r="M323" s="92" t="s">
        <v>110</v>
      </c>
      <c r="N323" s="92" t="s">
        <v>111</v>
      </c>
      <c r="O323" s="92" t="s">
        <v>112</v>
      </c>
      <c r="P323" s="92" t="s">
        <v>117</v>
      </c>
      <c r="Q323" s="92" t="s">
        <v>118</v>
      </c>
      <c r="R323" s="92" t="s">
        <v>119</v>
      </c>
      <c r="S323" s="92" t="s">
        <v>120</v>
      </c>
    </row>
    <row r="324" spans="1:19" x14ac:dyDescent="0.25">
      <c r="A324" s="93">
        <f>A312+1</f>
        <v>43021</v>
      </c>
      <c r="B324" s="94" t="s">
        <v>107</v>
      </c>
      <c r="C324" s="95">
        <v>0</v>
      </c>
      <c r="D324">
        <f>$C324*VLOOKUP($B324,FoodDB!$A$2:$I$1011,3,0)</f>
        <v>0</v>
      </c>
      <c r="E324">
        <f>$C324*VLOOKUP($B324,FoodDB!$A$2:$I$1011,4,0)</f>
        <v>0</v>
      </c>
      <c r="F324">
        <f>$C324*VLOOKUP($B324,FoodDB!$A$2:$I$1011,5,0)</f>
        <v>0</v>
      </c>
      <c r="G324">
        <f>$C324*VLOOKUP($B324,FoodDB!$A$2:$I$1011,6,0)</f>
        <v>0</v>
      </c>
      <c r="H324">
        <f>$C324*VLOOKUP($B324,FoodDB!$A$2:$I$1011,7,0)</f>
        <v>0</v>
      </c>
      <c r="I324">
        <f>$C324*VLOOKUP($B324,FoodDB!$A$2:$I$1011,8,0)</f>
        <v>0</v>
      </c>
      <c r="J324">
        <f>$C324*VLOOKUP($B324,FoodDB!$A$2:$I$1011,9,0)</f>
        <v>0</v>
      </c>
      <c r="L324">
        <f>SUM(G324:G330)</f>
        <v>0</v>
      </c>
      <c r="M324">
        <f>SUM(H324:H330)</f>
        <v>0</v>
      </c>
      <c r="N324">
        <f>SUM(I324:I330)</f>
        <v>0</v>
      </c>
      <c r="O324">
        <f>SUM(L324:N324)</f>
        <v>0</v>
      </c>
      <c r="P324" s="98">
        <f>VLOOKUP($A324,LossChart!$A$3:$AB$105,14,0)-L324</f>
        <v>554.99474368635492</v>
      </c>
      <c r="Q324" s="98">
        <f>VLOOKUP($A324,LossChart!$A$3:$AB$105,15,0)-M324</f>
        <v>80</v>
      </c>
      <c r="R324" s="98">
        <f>VLOOKUP($A324,LossChart!$A$3:$AB$105,16,0)-N324</f>
        <v>482.47465271142238</v>
      </c>
      <c r="S324" s="98">
        <f>VLOOKUP($A324,LossChart!$A$3:$AB$105,17,0)-O324</f>
        <v>1117.4693963977772</v>
      </c>
    </row>
    <row r="325" spans="1:19" x14ac:dyDescent="0.25">
      <c r="B325" s="94" t="s">
        <v>107</v>
      </c>
      <c r="C325" s="95">
        <v>0</v>
      </c>
      <c r="D325">
        <f>$C325*VLOOKUP($B325,FoodDB!$A$2:$I$1011,3,0)</f>
        <v>0</v>
      </c>
      <c r="E325">
        <f>$C325*VLOOKUP($B325,FoodDB!$A$2:$I$1011,4,0)</f>
        <v>0</v>
      </c>
      <c r="F325">
        <f>$C325*VLOOKUP($B325,FoodDB!$A$2:$I$1011,5,0)</f>
        <v>0</v>
      </c>
      <c r="G325">
        <f>$C325*VLOOKUP($B325,FoodDB!$A$2:$I$1011,6,0)</f>
        <v>0</v>
      </c>
      <c r="H325">
        <f>$C325*VLOOKUP($B325,FoodDB!$A$2:$I$1011,7,0)</f>
        <v>0</v>
      </c>
      <c r="I325">
        <f>$C325*VLOOKUP($B325,FoodDB!$A$2:$I$1011,8,0)</f>
        <v>0</v>
      </c>
      <c r="J325">
        <f>$C325*VLOOKUP($B325,FoodDB!$A$2:$I$1011,9,0)</f>
        <v>0</v>
      </c>
    </row>
    <row r="326" spans="1:19" x14ac:dyDescent="0.25">
      <c r="B326" s="94" t="s">
        <v>107</v>
      </c>
      <c r="C326" s="95">
        <v>0</v>
      </c>
      <c r="D326">
        <f>$C326*VLOOKUP($B326,FoodDB!$A$2:$I$1011,3,0)</f>
        <v>0</v>
      </c>
      <c r="E326">
        <f>$C326*VLOOKUP($B326,FoodDB!$A$2:$I$1011,4,0)</f>
        <v>0</v>
      </c>
      <c r="F326">
        <f>$C326*VLOOKUP($B326,FoodDB!$A$2:$I$1011,5,0)</f>
        <v>0</v>
      </c>
      <c r="G326">
        <f>$C326*VLOOKUP($B326,FoodDB!$A$2:$I$1011,6,0)</f>
        <v>0</v>
      </c>
      <c r="H326">
        <f>$C326*VLOOKUP($B326,FoodDB!$A$2:$I$1011,7,0)</f>
        <v>0</v>
      </c>
      <c r="I326">
        <f>$C326*VLOOKUP($B326,FoodDB!$A$2:$I$1011,8,0)</f>
        <v>0</v>
      </c>
      <c r="J326">
        <f>$C326*VLOOKUP($B326,FoodDB!$A$2:$I$1011,9,0)</f>
        <v>0</v>
      </c>
    </row>
    <row r="327" spans="1:19" x14ac:dyDescent="0.25">
      <c r="B327" s="94" t="s">
        <v>107</v>
      </c>
      <c r="C327" s="95">
        <v>0</v>
      </c>
      <c r="D327">
        <f>$C327*VLOOKUP($B327,FoodDB!$A$2:$I$1011,3,0)</f>
        <v>0</v>
      </c>
      <c r="E327">
        <f>$C327*VLOOKUP($B327,FoodDB!$A$2:$I$1011,4,0)</f>
        <v>0</v>
      </c>
      <c r="F327">
        <f>$C327*VLOOKUP($B327,FoodDB!$A$2:$I$1011,5,0)</f>
        <v>0</v>
      </c>
      <c r="G327">
        <f>$C327*VLOOKUP($B327,FoodDB!$A$2:$I$1011,6,0)</f>
        <v>0</v>
      </c>
      <c r="H327">
        <f>$C327*VLOOKUP($B327,FoodDB!$A$2:$I$1011,7,0)</f>
        <v>0</v>
      </c>
      <c r="I327">
        <f>$C327*VLOOKUP($B327,FoodDB!$A$2:$I$1011,8,0)</f>
        <v>0</v>
      </c>
      <c r="J327">
        <f>$C327*VLOOKUP($B327,FoodDB!$A$2:$I$1011,9,0)</f>
        <v>0</v>
      </c>
    </row>
    <row r="328" spans="1:19" x14ac:dyDescent="0.25">
      <c r="B328" s="94" t="s">
        <v>107</v>
      </c>
      <c r="C328" s="95">
        <v>0</v>
      </c>
      <c r="D328">
        <f>$C328*VLOOKUP($B328,FoodDB!$A$2:$I$1011,3,0)</f>
        <v>0</v>
      </c>
      <c r="E328">
        <f>$C328*VLOOKUP($B328,FoodDB!$A$2:$I$1011,4,0)</f>
        <v>0</v>
      </c>
      <c r="F328">
        <f>$C328*VLOOKUP($B328,FoodDB!$A$2:$I$1011,5,0)</f>
        <v>0</v>
      </c>
      <c r="G328">
        <f>$C328*VLOOKUP($B328,FoodDB!$A$2:$I$1011,6,0)</f>
        <v>0</v>
      </c>
      <c r="H328">
        <f>$C328*VLOOKUP($B328,FoodDB!$A$2:$I$1011,7,0)</f>
        <v>0</v>
      </c>
      <c r="I328">
        <f>$C328*VLOOKUP($B328,FoodDB!$A$2:$I$1011,8,0)</f>
        <v>0</v>
      </c>
      <c r="J328">
        <f>$C328*VLOOKUP($B328,FoodDB!$A$2:$I$1011,9,0)</f>
        <v>0</v>
      </c>
    </row>
    <row r="329" spans="1:19" x14ac:dyDescent="0.25">
      <c r="B329" s="94" t="s">
        <v>107</v>
      </c>
      <c r="C329" s="95">
        <v>0</v>
      </c>
      <c r="D329">
        <f>$C329*VLOOKUP($B329,FoodDB!$A$2:$I$1011,3,0)</f>
        <v>0</v>
      </c>
      <c r="E329">
        <f>$C329*VLOOKUP($B329,FoodDB!$A$2:$I$1011,4,0)</f>
        <v>0</v>
      </c>
      <c r="F329">
        <f>$C329*VLOOKUP($B329,FoodDB!$A$2:$I$1011,5,0)</f>
        <v>0</v>
      </c>
      <c r="G329">
        <f>$C329*VLOOKUP($B329,FoodDB!$A$2:$I$1011,6,0)</f>
        <v>0</v>
      </c>
      <c r="H329">
        <f>$C329*VLOOKUP($B329,FoodDB!$A$2:$I$1011,7,0)</f>
        <v>0</v>
      </c>
      <c r="I329">
        <f>$C329*VLOOKUP($B329,FoodDB!$A$2:$I$1011,8,0)</f>
        <v>0</v>
      </c>
      <c r="J329">
        <f>$C329*VLOOKUP($B329,FoodDB!$A$2:$I$1011,9,0)</f>
        <v>0</v>
      </c>
    </row>
    <row r="330" spans="1:19" x14ac:dyDescent="0.25">
      <c r="B330" s="94" t="s">
        <v>107</v>
      </c>
      <c r="C330" s="95">
        <v>0</v>
      </c>
      <c r="D330">
        <f>$C330*VLOOKUP($B330,FoodDB!$A$2:$I$1011,3,0)</f>
        <v>0</v>
      </c>
      <c r="E330">
        <f>$C330*VLOOKUP($B330,FoodDB!$A$2:$I$1011,4,0)</f>
        <v>0</v>
      </c>
      <c r="F330">
        <f>$C330*VLOOKUP($B330,FoodDB!$A$2:$I$1011,5,0)</f>
        <v>0</v>
      </c>
      <c r="G330">
        <f>$C330*VLOOKUP($B330,FoodDB!$A$2:$I$1011,6,0)</f>
        <v>0</v>
      </c>
      <c r="H330">
        <f>$C330*VLOOKUP($B330,FoodDB!$A$2:$I$1011,7,0)</f>
        <v>0</v>
      </c>
      <c r="I330">
        <f>$C330*VLOOKUP($B330,FoodDB!$A$2:$I$1011,8,0)</f>
        <v>0</v>
      </c>
      <c r="J330">
        <f>$C330*VLOOKUP($B330,FoodDB!$A$2:$I$1011,9,0)</f>
        <v>0</v>
      </c>
    </row>
    <row r="331" spans="1:19" x14ac:dyDescent="0.25">
      <c r="A331" t="s">
        <v>97</v>
      </c>
      <c r="G331">
        <f>SUM(G324:G330)</f>
        <v>0</v>
      </c>
      <c r="H331">
        <f>SUM(H324:H330)</f>
        <v>0</v>
      </c>
      <c r="I331">
        <f>SUM(I324:I330)</f>
        <v>0</v>
      </c>
      <c r="J331">
        <f>SUM(G331:I331)</f>
        <v>0</v>
      </c>
    </row>
    <row r="332" spans="1:19" x14ac:dyDescent="0.25">
      <c r="A332" t="s">
        <v>101</v>
      </c>
      <c r="B332" t="s">
        <v>102</v>
      </c>
      <c r="E332" s="98"/>
      <c r="F332" s="98"/>
      <c r="G332" s="98">
        <f>VLOOKUP($A324,LossChart!$A$3:$AB$105,14,0)</f>
        <v>554.99474368635492</v>
      </c>
      <c r="H332" s="98">
        <f>VLOOKUP($A324,LossChart!$A$3:$AB$105,15,0)</f>
        <v>80</v>
      </c>
      <c r="I332" s="98">
        <f>VLOOKUP($A324,LossChart!$A$3:$AB$105,16,0)</f>
        <v>482.47465271142238</v>
      </c>
      <c r="J332" s="98">
        <f>VLOOKUP($A324,LossChart!$A$3:$AB$105,17,0)</f>
        <v>1117.4693963977772</v>
      </c>
      <c r="K332" s="98"/>
    </row>
    <row r="333" spans="1:19" x14ac:dyDescent="0.25">
      <c r="A333" t="s">
        <v>103</v>
      </c>
      <c r="G333">
        <f>G332-G331</f>
        <v>554.99474368635492</v>
      </c>
      <c r="H333">
        <f>H332-H331</f>
        <v>80</v>
      </c>
      <c r="I333">
        <f>I332-I331</f>
        <v>482.47465271142238</v>
      </c>
      <c r="J333">
        <f>J332-J331</f>
        <v>1117.4693963977772</v>
      </c>
    </row>
    <row r="335" spans="1:19" ht="60" x14ac:dyDescent="0.25">
      <c r="A335" s="21" t="s">
        <v>63</v>
      </c>
      <c r="B335" s="21" t="s">
        <v>92</v>
      </c>
      <c r="C335" s="21" t="s">
        <v>93</v>
      </c>
      <c r="D335" s="92" t="str">
        <f>FoodDB!$C$1</f>
        <v>Fat
(g)</v>
      </c>
      <c r="E335" s="92" t="str">
        <f>FoodDB!$D$1</f>
        <v xml:space="preserve"> Carbs
(g)</v>
      </c>
      <c r="F335" s="92" t="str">
        <f>FoodDB!$E$1</f>
        <v>Protein
(g)</v>
      </c>
      <c r="G335" s="92" t="str">
        <f>FoodDB!$F$1</f>
        <v>Fat
(Cal)</v>
      </c>
      <c r="H335" s="92" t="str">
        <f>FoodDB!$G$1</f>
        <v>Carb
(Cal)</v>
      </c>
      <c r="I335" s="92" t="str">
        <f>FoodDB!$H$1</f>
        <v>Protein
(Cal)</v>
      </c>
      <c r="J335" s="92" t="str">
        <f>FoodDB!$I$1</f>
        <v>Total
Calories</v>
      </c>
      <c r="K335" s="92"/>
      <c r="L335" s="92" t="s">
        <v>109</v>
      </c>
      <c r="M335" s="92" t="s">
        <v>110</v>
      </c>
      <c r="N335" s="92" t="s">
        <v>111</v>
      </c>
      <c r="O335" s="92" t="s">
        <v>112</v>
      </c>
      <c r="P335" s="92" t="s">
        <v>117</v>
      </c>
      <c r="Q335" s="92" t="s">
        <v>118</v>
      </c>
      <c r="R335" s="92" t="s">
        <v>119</v>
      </c>
      <c r="S335" s="92" t="s">
        <v>120</v>
      </c>
    </row>
    <row r="336" spans="1:19" x14ac:dyDescent="0.25">
      <c r="A336" s="93">
        <f>A324+1</f>
        <v>43022</v>
      </c>
      <c r="B336" s="94" t="s">
        <v>107</v>
      </c>
      <c r="C336" s="95">
        <v>0</v>
      </c>
      <c r="D336">
        <f>$C336*VLOOKUP($B336,FoodDB!$A$2:$I$1011,3,0)</f>
        <v>0</v>
      </c>
      <c r="E336">
        <f>$C336*VLOOKUP($B336,FoodDB!$A$2:$I$1011,4,0)</f>
        <v>0</v>
      </c>
      <c r="F336">
        <f>$C336*VLOOKUP($B336,FoodDB!$A$2:$I$1011,5,0)</f>
        <v>0</v>
      </c>
      <c r="G336">
        <f>$C336*VLOOKUP($B336,FoodDB!$A$2:$I$1011,6,0)</f>
        <v>0</v>
      </c>
      <c r="H336">
        <f>$C336*VLOOKUP($B336,FoodDB!$A$2:$I$1011,7,0)</f>
        <v>0</v>
      </c>
      <c r="I336">
        <f>$C336*VLOOKUP($B336,FoodDB!$A$2:$I$1011,8,0)</f>
        <v>0</v>
      </c>
      <c r="J336">
        <f>$C336*VLOOKUP($B336,FoodDB!$A$2:$I$1011,9,0)</f>
        <v>0</v>
      </c>
      <c r="L336">
        <f>SUM(G336:G342)</f>
        <v>0</v>
      </c>
      <c r="M336">
        <f>SUM(H336:H342)</f>
        <v>0</v>
      </c>
      <c r="N336">
        <f>SUM(I336:I342)</f>
        <v>0</v>
      </c>
      <c r="O336">
        <f>SUM(L336:N336)</f>
        <v>0</v>
      </c>
      <c r="P336" s="98">
        <f>VLOOKUP($A336,LossChart!$A$3:$AB$105,14,0)-L336</f>
        <v>561.71380397505823</v>
      </c>
      <c r="Q336" s="98">
        <f>VLOOKUP($A336,LossChart!$A$3:$AB$105,15,0)-M336</f>
        <v>80</v>
      </c>
      <c r="R336" s="98">
        <f>VLOOKUP($A336,LossChart!$A$3:$AB$105,16,0)-N336</f>
        <v>482.47465271142238</v>
      </c>
      <c r="S336" s="98">
        <f>VLOOKUP($A336,LossChart!$A$3:$AB$105,17,0)-O336</f>
        <v>1124.1884566864805</v>
      </c>
    </row>
    <row r="337" spans="1:19" x14ac:dyDescent="0.25">
      <c r="B337" s="94" t="s">
        <v>107</v>
      </c>
      <c r="C337" s="95">
        <v>0</v>
      </c>
      <c r="D337">
        <f>$C337*VLOOKUP($B337,FoodDB!$A$2:$I$1011,3,0)</f>
        <v>0</v>
      </c>
      <c r="E337">
        <f>$C337*VLOOKUP($B337,FoodDB!$A$2:$I$1011,4,0)</f>
        <v>0</v>
      </c>
      <c r="F337">
        <f>$C337*VLOOKUP($B337,FoodDB!$A$2:$I$1011,5,0)</f>
        <v>0</v>
      </c>
      <c r="G337">
        <f>$C337*VLOOKUP($B337,FoodDB!$A$2:$I$1011,6,0)</f>
        <v>0</v>
      </c>
      <c r="H337">
        <f>$C337*VLOOKUP($B337,FoodDB!$A$2:$I$1011,7,0)</f>
        <v>0</v>
      </c>
      <c r="I337">
        <f>$C337*VLOOKUP($B337,FoodDB!$A$2:$I$1011,8,0)</f>
        <v>0</v>
      </c>
      <c r="J337">
        <f>$C337*VLOOKUP($B337,FoodDB!$A$2:$I$1011,9,0)</f>
        <v>0</v>
      </c>
    </row>
    <row r="338" spans="1:19" x14ac:dyDescent="0.25">
      <c r="B338" s="94" t="s">
        <v>107</v>
      </c>
      <c r="C338" s="95">
        <v>0</v>
      </c>
      <c r="D338">
        <f>$C338*VLOOKUP($B338,FoodDB!$A$2:$I$1011,3,0)</f>
        <v>0</v>
      </c>
      <c r="E338">
        <f>$C338*VLOOKUP($B338,FoodDB!$A$2:$I$1011,4,0)</f>
        <v>0</v>
      </c>
      <c r="F338">
        <f>$C338*VLOOKUP($B338,FoodDB!$A$2:$I$1011,5,0)</f>
        <v>0</v>
      </c>
      <c r="G338">
        <f>$C338*VLOOKUP($B338,FoodDB!$A$2:$I$1011,6,0)</f>
        <v>0</v>
      </c>
      <c r="H338">
        <f>$C338*VLOOKUP($B338,FoodDB!$A$2:$I$1011,7,0)</f>
        <v>0</v>
      </c>
      <c r="I338">
        <f>$C338*VLOOKUP($B338,FoodDB!$A$2:$I$1011,8,0)</f>
        <v>0</v>
      </c>
      <c r="J338">
        <f>$C338*VLOOKUP($B338,FoodDB!$A$2:$I$1011,9,0)</f>
        <v>0</v>
      </c>
    </row>
    <row r="339" spans="1:19" x14ac:dyDescent="0.25">
      <c r="B339" s="94" t="s">
        <v>107</v>
      </c>
      <c r="C339" s="95">
        <v>0</v>
      </c>
      <c r="D339">
        <f>$C339*VLOOKUP($B339,FoodDB!$A$2:$I$1011,3,0)</f>
        <v>0</v>
      </c>
      <c r="E339">
        <f>$C339*VLOOKUP($B339,FoodDB!$A$2:$I$1011,4,0)</f>
        <v>0</v>
      </c>
      <c r="F339">
        <f>$C339*VLOOKUP($B339,FoodDB!$A$2:$I$1011,5,0)</f>
        <v>0</v>
      </c>
      <c r="G339">
        <f>$C339*VLOOKUP($B339,FoodDB!$A$2:$I$1011,6,0)</f>
        <v>0</v>
      </c>
      <c r="H339">
        <f>$C339*VLOOKUP($B339,FoodDB!$A$2:$I$1011,7,0)</f>
        <v>0</v>
      </c>
      <c r="I339">
        <f>$C339*VLOOKUP($B339,FoodDB!$A$2:$I$1011,8,0)</f>
        <v>0</v>
      </c>
      <c r="J339">
        <f>$C339*VLOOKUP($B339,FoodDB!$A$2:$I$1011,9,0)</f>
        <v>0</v>
      </c>
    </row>
    <row r="340" spans="1:19" x14ac:dyDescent="0.25">
      <c r="B340" s="94" t="s">
        <v>107</v>
      </c>
      <c r="C340" s="95">
        <v>0</v>
      </c>
      <c r="D340">
        <f>$C340*VLOOKUP($B340,FoodDB!$A$2:$I$1011,3,0)</f>
        <v>0</v>
      </c>
      <c r="E340">
        <f>$C340*VLOOKUP($B340,FoodDB!$A$2:$I$1011,4,0)</f>
        <v>0</v>
      </c>
      <c r="F340">
        <f>$C340*VLOOKUP($B340,FoodDB!$A$2:$I$1011,5,0)</f>
        <v>0</v>
      </c>
      <c r="G340">
        <f>$C340*VLOOKUP($B340,FoodDB!$A$2:$I$1011,6,0)</f>
        <v>0</v>
      </c>
      <c r="H340">
        <f>$C340*VLOOKUP($B340,FoodDB!$A$2:$I$1011,7,0)</f>
        <v>0</v>
      </c>
      <c r="I340">
        <f>$C340*VLOOKUP($B340,FoodDB!$A$2:$I$1011,8,0)</f>
        <v>0</v>
      </c>
      <c r="J340">
        <f>$C340*VLOOKUP($B340,FoodDB!$A$2:$I$1011,9,0)</f>
        <v>0</v>
      </c>
    </row>
    <row r="341" spans="1:19" x14ac:dyDescent="0.25">
      <c r="B341" s="94" t="s">
        <v>107</v>
      </c>
      <c r="C341" s="95">
        <v>0</v>
      </c>
      <c r="D341">
        <f>$C341*VLOOKUP($B341,FoodDB!$A$2:$I$1011,3,0)</f>
        <v>0</v>
      </c>
      <c r="E341">
        <f>$C341*VLOOKUP($B341,FoodDB!$A$2:$I$1011,4,0)</f>
        <v>0</v>
      </c>
      <c r="F341">
        <f>$C341*VLOOKUP($B341,FoodDB!$A$2:$I$1011,5,0)</f>
        <v>0</v>
      </c>
      <c r="G341">
        <f>$C341*VLOOKUP($B341,FoodDB!$A$2:$I$1011,6,0)</f>
        <v>0</v>
      </c>
      <c r="H341">
        <f>$C341*VLOOKUP($B341,FoodDB!$A$2:$I$1011,7,0)</f>
        <v>0</v>
      </c>
      <c r="I341">
        <f>$C341*VLOOKUP($B341,FoodDB!$A$2:$I$1011,8,0)</f>
        <v>0</v>
      </c>
      <c r="J341">
        <f>$C341*VLOOKUP($B341,FoodDB!$A$2:$I$1011,9,0)</f>
        <v>0</v>
      </c>
    </row>
    <row r="342" spans="1:19" x14ac:dyDescent="0.25">
      <c r="B342" s="94" t="s">
        <v>107</v>
      </c>
      <c r="C342" s="95">
        <v>0</v>
      </c>
      <c r="D342">
        <f>$C342*VLOOKUP($B342,FoodDB!$A$2:$I$1011,3,0)</f>
        <v>0</v>
      </c>
      <c r="E342">
        <f>$C342*VLOOKUP($B342,FoodDB!$A$2:$I$1011,4,0)</f>
        <v>0</v>
      </c>
      <c r="F342">
        <f>$C342*VLOOKUP($B342,FoodDB!$A$2:$I$1011,5,0)</f>
        <v>0</v>
      </c>
      <c r="G342">
        <f>$C342*VLOOKUP($B342,FoodDB!$A$2:$I$1011,6,0)</f>
        <v>0</v>
      </c>
      <c r="H342">
        <f>$C342*VLOOKUP($B342,FoodDB!$A$2:$I$1011,7,0)</f>
        <v>0</v>
      </c>
      <c r="I342">
        <f>$C342*VLOOKUP($B342,FoodDB!$A$2:$I$1011,8,0)</f>
        <v>0</v>
      </c>
      <c r="J342">
        <f>$C342*VLOOKUP($B342,FoodDB!$A$2:$I$1011,9,0)</f>
        <v>0</v>
      </c>
    </row>
    <row r="343" spans="1:19" x14ac:dyDescent="0.25">
      <c r="A343" t="s">
        <v>97</v>
      </c>
      <c r="G343">
        <f>SUM(G336:G342)</f>
        <v>0</v>
      </c>
      <c r="H343">
        <f>SUM(H336:H342)</f>
        <v>0</v>
      </c>
      <c r="I343">
        <f>SUM(I336:I342)</f>
        <v>0</v>
      </c>
      <c r="J343">
        <f>SUM(G343:I343)</f>
        <v>0</v>
      </c>
    </row>
    <row r="344" spans="1:19" x14ac:dyDescent="0.25">
      <c r="A344" t="s">
        <v>101</v>
      </c>
      <c r="B344" t="s">
        <v>102</v>
      </c>
      <c r="E344" s="98"/>
      <c r="F344" s="98"/>
      <c r="G344" s="98">
        <f>VLOOKUP($A336,LossChart!$A$3:$AB$105,14,0)</f>
        <v>561.71380397505823</v>
      </c>
      <c r="H344" s="98">
        <f>VLOOKUP($A336,LossChart!$A$3:$AB$105,15,0)</f>
        <v>80</v>
      </c>
      <c r="I344" s="98">
        <f>VLOOKUP($A336,LossChart!$A$3:$AB$105,16,0)</f>
        <v>482.47465271142238</v>
      </c>
      <c r="J344" s="98">
        <f>VLOOKUP($A336,LossChart!$A$3:$AB$105,17,0)</f>
        <v>1124.1884566864805</v>
      </c>
      <c r="K344" s="98"/>
    </row>
    <row r="345" spans="1:19" x14ac:dyDescent="0.25">
      <c r="A345" t="s">
        <v>103</v>
      </c>
      <c r="G345">
        <f>G344-G343</f>
        <v>561.71380397505823</v>
      </c>
      <c r="H345">
        <f>H344-H343</f>
        <v>80</v>
      </c>
      <c r="I345">
        <f>I344-I343</f>
        <v>482.47465271142238</v>
      </c>
      <c r="J345">
        <f>J344-J343</f>
        <v>1124.1884566864805</v>
      </c>
    </row>
    <row r="347" spans="1:19" ht="60" x14ac:dyDescent="0.25">
      <c r="A347" s="21" t="s">
        <v>63</v>
      </c>
      <c r="B347" s="21" t="s">
        <v>92</v>
      </c>
      <c r="C347" s="21" t="s">
        <v>93</v>
      </c>
      <c r="D347" s="92" t="str">
        <f>FoodDB!$C$1</f>
        <v>Fat
(g)</v>
      </c>
      <c r="E347" s="92" t="str">
        <f>FoodDB!$D$1</f>
        <v xml:space="preserve"> Carbs
(g)</v>
      </c>
      <c r="F347" s="92" t="str">
        <f>FoodDB!$E$1</f>
        <v>Protein
(g)</v>
      </c>
      <c r="G347" s="92" t="str">
        <f>FoodDB!$F$1</f>
        <v>Fat
(Cal)</v>
      </c>
      <c r="H347" s="92" t="str">
        <f>FoodDB!$G$1</f>
        <v>Carb
(Cal)</v>
      </c>
      <c r="I347" s="92" t="str">
        <f>FoodDB!$H$1</f>
        <v>Protein
(Cal)</v>
      </c>
      <c r="J347" s="92" t="str">
        <f>FoodDB!$I$1</f>
        <v>Total
Calories</v>
      </c>
      <c r="K347" s="92"/>
      <c r="L347" s="92" t="s">
        <v>109</v>
      </c>
      <c r="M347" s="92" t="s">
        <v>110</v>
      </c>
      <c r="N347" s="92" t="s">
        <v>111</v>
      </c>
      <c r="O347" s="92" t="s">
        <v>112</v>
      </c>
      <c r="P347" s="92" t="s">
        <v>117</v>
      </c>
      <c r="Q347" s="92" t="s">
        <v>118</v>
      </c>
      <c r="R347" s="92" t="s">
        <v>119</v>
      </c>
      <c r="S347" s="92" t="s">
        <v>120</v>
      </c>
    </row>
    <row r="348" spans="1:19" x14ac:dyDescent="0.25">
      <c r="A348" s="93">
        <f>A336+1</f>
        <v>43023</v>
      </c>
      <c r="B348" s="94" t="s">
        <v>107</v>
      </c>
      <c r="C348" s="95">
        <v>0</v>
      </c>
      <c r="D348">
        <f>$C348*VLOOKUP($B348,FoodDB!$A$2:$I$1011,3,0)</f>
        <v>0</v>
      </c>
      <c r="E348">
        <f>$C348*VLOOKUP($B348,FoodDB!$A$2:$I$1011,4,0)</f>
        <v>0</v>
      </c>
      <c r="F348">
        <f>$C348*VLOOKUP($B348,FoodDB!$A$2:$I$1011,5,0)</f>
        <v>0</v>
      </c>
      <c r="G348">
        <f>$C348*VLOOKUP($B348,FoodDB!$A$2:$I$1011,6,0)</f>
        <v>0</v>
      </c>
      <c r="H348">
        <f>$C348*VLOOKUP($B348,FoodDB!$A$2:$I$1011,7,0)</f>
        <v>0</v>
      </c>
      <c r="I348">
        <f>$C348*VLOOKUP($B348,FoodDB!$A$2:$I$1011,8,0)</f>
        <v>0</v>
      </c>
      <c r="J348">
        <f>$C348*VLOOKUP($B348,FoodDB!$A$2:$I$1011,9,0)</f>
        <v>0</v>
      </c>
      <c r="L348">
        <f>SUM(G348:G354)</f>
        <v>0</v>
      </c>
      <c r="M348">
        <f>SUM(H348:H354)</f>
        <v>0</v>
      </c>
      <c r="N348">
        <f>SUM(I348:I354)</f>
        <v>0</v>
      </c>
      <c r="O348">
        <f>SUM(L348:N348)</f>
        <v>0</v>
      </c>
      <c r="P348" s="98">
        <f>VLOOKUP($A348,LossChart!$A$3:$AB$105,14,0)-L348</f>
        <v>568.3733525869186</v>
      </c>
      <c r="Q348" s="98">
        <f>VLOOKUP($A348,LossChart!$A$3:$AB$105,15,0)-M348</f>
        <v>80</v>
      </c>
      <c r="R348" s="98">
        <f>VLOOKUP($A348,LossChart!$A$3:$AB$105,16,0)-N348</f>
        <v>482.47465271142238</v>
      </c>
      <c r="S348" s="98">
        <f>VLOOKUP($A348,LossChart!$A$3:$AB$105,17,0)-O348</f>
        <v>1130.8480052983409</v>
      </c>
    </row>
    <row r="349" spans="1:19" x14ac:dyDescent="0.25">
      <c r="B349" s="94" t="s">
        <v>107</v>
      </c>
      <c r="C349" s="95">
        <v>0</v>
      </c>
      <c r="D349">
        <f>$C349*VLOOKUP($B349,FoodDB!$A$2:$I$1011,3,0)</f>
        <v>0</v>
      </c>
      <c r="E349">
        <f>$C349*VLOOKUP($B349,FoodDB!$A$2:$I$1011,4,0)</f>
        <v>0</v>
      </c>
      <c r="F349">
        <f>$C349*VLOOKUP($B349,FoodDB!$A$2:$I$1011,5,0)</f>
        <v>0</v>
      </c>
      <c r="G349">
        <f>$C349*VLOOKUP($B349,FoodDB!$A$2:$I$1011,6,0)</f>
        <v>0</v>
      </c>
      <c r="H349">
        <f>$C349*VLOOKUP($B349,FoodDB!$A$2:$I$1011,7,0)</f>
        <v>0</v>
      </c>
      <c r="I349">
        <f>$C349*VLOOKUP($B349,FoodDB!$A$2:$I$1011,8,0)</f>
        <v>0</v>
      </c>
      <c r="J349">
        <f>$C349*VLOOKUP($B349,FoodDB!$A$2:$I$1011,9,0)</f>
        <v>0</v>
      </c>
    </row>
    <row r="350" spans="1:19" x14ac:dyDescent="0.25">
      <c r="B350" s="94" t="s">
        <v>107</v>
      </c>
      <c r="C350" s="95">
        <v>0</v>
      </c>
      <c r="D350">
        <f>$C350*VLOOKUP($B350,FoodDB!$A$2:$I$1011,3,0)</f>
        <v>0</v>
      </c>
      <c r="E350">
        <f>$C350*VLOOKUP($B350,FoodDB!$A$2:$I$1011,4,0)</f>
        <v>0</v>
      </c>
      <c r="F350">
        <f>$C350*VLOOKUP($B350,FoodDB!$A$2:$I$1011,5,0)</f>
        <v>0</v>
      </c>
      <c r="G350">
        <f>$C350*VLOOKUP($B350,FoodDB!$A$2:$I$1011,6,0)</f>
        <v>0</v>
      </c>
      <c r="H350">
        <f>$C350*VLOOKUP($B350,FoodDB!$A$2:$I$1011,7,0)</f>
        <v>0</v>
      </c>
      <c r="I350">
        <f>$C350*VLOOKUP($B350,FoodDB!$A$2:$I$1011,8,0)</f>
        <v>0</v>
      </c>
      <c r="J350">
        <f>$C350*VLOOKUP($B350,FoodDB!$A$2:$I$1011,9,0)</f>
        <v>0</v>
      </c>
    </row>
    <row r="351" spans="1:19" x14ac:dyDescent="0.25">
      <c r="B351" s="94" t="s">
        <v>107</v>
      </c>
      <c r="C351" s="95">
        <v>0</v>
      </c>
      <c r="D351">
        <f>$C351*VLOOKUP($B351,FoodDB!$A$2:$I$1011,3,0)</f>
        <v>0</v>
      </c>
      <c r="E351">
        <f>$C351*VLOOKUP($B351,FoodDB!$A$2:$I$1011,4,0)</f>
        <v>0</v>
      </c>
      <c r="F351">
        <f>$C351*VLOOKUP($B351,FoodDB!$A$2:$I$1011,5,0)</f>
        <v>0</v>
      </c>
      <c r="G351">
        <f>$C351*VLOOKUP($B351,FoodDB!$A$2:$I$1011,6,0)</f>
        <v>0</v>
      </c>
      <c r="H351">
        <f>$C351*VLOOKUP($B351,FoodDB!$A$2:$I$1011,7,0)</f>
        <v>0</v>
      </c>
      <c r="I351">
        <f>$C351*VLOOKUP($B351,FoodDB!$A$2:$I$1011,8,0)</f>
        <v>0</v>
      </c>
      <c r="J351">
        <f>$C351*VLOOKUP($B351,FoodDB!$A$2:$I$1011,9,0)</f>
        <v>0</v>
      </c>
    </row>
    <row r="352" spans="1:19" x14ac:dyDescent="0.25">
      <c r="B352" s="94" t="s">
        <v>107</v>
      </c>
      <c r="C352" s="95">
        <v>0</v>
      </c>
      <c r="D352">
        <f>$C352*VLOOKUP($B352,FoodDB!$A$2:$I$1011,3,0)</f>
        <v>0</v>
      </c>
      <c r="E352">
        <f>$C352*VLOOKUP($B352,FoodDB!$A$2:$I$1011,4,0)</f>
        <v>0</v>
      </c>
      <c r="F352">
        <f>$C352*VLOOKUP($B352,FoodDB!$A$2:$I$1011,5,0)</f>
        <v>0</v>
      </c>
      <c r="G352">
        <f>$C352*VLOOKUP($B352,FoodDB!$A$2:$I$1011,6,0)</f>
        <v>0</v>
      </c>
      <c r="H352">
        <f>$C352*VLOOKUP($B352,FoodDB!$A$2:$I$1011,7,0)</f>
        <v>0</v>
      </c>
      <c r="I352">
        <f>$C352*VLOOKUP($B352,FoodDB!$A$2:$I$1011,8,0)</f>
        <v>0</v>
      </c>
      <c r="J352">
        <f>$C352*VLOOKUP($B352,FoodDB!$A$2:$I$1011,9,0)</f>
        <v>0</v>
      </c>
    </row>
    <row r="353" spans="1:19" x14ac:dyDescent="0.25">
      <c r="B353" s="94" t="s">
        <v>107</v>
      </c>
      <c r="C353" s="95">
        <v>0</v>
      </c>
      <c r="D353">
        <f>$C353*VLOOKUP($B353,FoodDB!$A$2:$I$1011,3,0)</f>
        <v>0</v>
      </c>
      <c r="E353">
        <f>$C353*VLOOKUP($B353,FoodDB!$A$2:$I$1011,4,0)</f>
        <v>0</v>
      </c>
      <c r="F353">
        <f>$C353*VLOOKUP($B353,FoodDB!$A$2:$I$1011,5,0)</f>
        <v>0</v>
      </c>
      <c r="G353">
        <f>$C353*VLOOKUP($B353,FoodDB!$A$2:$I$1011,6,0)</f>
        <v>0</v>
      </c>
      <c r="H353">
        <f>$C353*VLOOKUP($B353,FoodDB!$A$2:$I$1011,7,0)</f>
        <v>0</v>
      </c>
      <c r="I353">
        <f>$C353*VLOOKUP($B353,FoodDB!$A$2:$I$1011,8,0)</f>
        <v>0</v>
      </c>
      <c r="J353">
        <f>$C353*VLOOKUP($B353,FoodDB!$A$2:$I$1011,9,0)</f>
        <v>0</v>
      </c>
    </row>
    <row r="354" spans="1:19" x14ac:dyDescent="0.25">
      <c r="B354" s="94" t="s">
        <v>107</v>
      </c>
      <c r="C354" s="95">
        <v>0</v>
      </c>
      <c r="D354">
        <f>$C354*VLOOKUP($B354,FoodDB!$A$2:$I$1011,3,0)</f>
        <v>0</v>
      </c>
      <c r="E354">
        <f>$C354*VLOOKUP($B354,FoodDB!$A$2:$I$1011,4,0)</f>
        <v>0</v>
      </c>
      <c r="F354">
        <f>$C354*VLOOKUP($B354,FoodDB!$A$2:$I$1011,5,0)</f>
        <v>0</v>
      </c>
      <c r="G354">
        <f>$C354*VLOOKUP($B354,FoodDB!$A$2:$I$1011,6,0)</f>
        <v>0</v>
      </c>
      <c r="H354">
        <f>$C354*VLOOKUP($B354,FoodDB!$A$2:$I$1011,7,0)</f>
        <v>0</v>
      </c>
      <c r="I354">
        <f>$C354*VLOOKUP($B354,FoodDB!$A$2:$I$1011,8,0)</f>
        <v>0</v>
      </c>
      <c r="J354">
        <f>$C354*VLOOKUP($B354,FoodDB!$A$2:$I$1011,9,0)</f>
        <v>0</v>
      </c>
    </row>
    <row r="355" spans="1:19" x14ac:dyDescent="0.25">
      <c r="A355" t="s">
        <v>97</v>
      </c>
      <c r="G355">
        <f>SUM(G348:G354)</f>
        <v>0</v>
      </c>
      <c r="H355">
        <f>SUM(H348:H354)</f>
        <v>0</v>
      </c>
      <c r="I355">
        <f>SUM(I348:I354)</f>
        <v>0</v>
      </c>
      <c r="J355">
        <f>SUM(G355:I355)</f>
        <v>0</v>
      </c>
    </row>
    <row r="356" spans="1:19" x14ac:dyDescent="0.25">
      <c r="A356" t="s">
        <v>101</v>
      </c>
      <c r="B356" t="s">
        <v>102</v>
      </c>
      <c r="E356" s="98"/>
      <c r="F356" s="98"/>
      <c r="G356" s="98">
        <f>VLOOKUP($A348,LossChart!$A$3:$AB$105,14,0)</f>
        <v>568.3733525869186</v>
      </c>
      <c r="H356" s="98">
        <f>VLOOKUP($A348,LossChart!$A$3:$AB$105,15,0)</f>
        <v>80</v>
      </c>
      <c r="I356" s="98">
        <f>VLOOKUP($A348,LossChart!$A$3:$AB$105,16,0)</f>
        <v>482.47465271142238</v>
      </c>
      <c r="J356" s="98">
        <f>VLOOKUP($A348,LossChart!$A$3:$AB$105,17,0)</f>
        <v>1130.8480052983409</v>
      </c>
      <c r="K356" s="98"/>
    </row>
    <row r="357" spans="1:19" x14ac:dyDescent="0.25">
      <c r="A357" t="s">
        <v>103</v>
      </c>
      <c r="G357">
        <f>G356-G355</f>
        <v>568.3733525869186</v>
      </c>
      <c r="H357">
        <f>H356-H355</f>
        <v>80</v>
      </c>
      <c r="I357">
        <f>I356-I355</f>
        <v>482.47465271142238</v>
      </c>
      <c r="J357">
        <f>J356-J355</f>
        <v>1130.8480052983409</v>
      </c>
    </row>
    <row r="359" spans="1:19" ht="60" x14ac:dyDescent="0.25">
      <c r="A359" s="21" t="s">
        <v>63</v>
      </c>
      <c r="B359" s="21" t="s">
        <v>92</v>
      </c>
      <c r="C359" s="21" t="s">
        <v>93</v>
      </c>
      <c r="D359" s="92" t="str">
        <f>FoodDB!$C$1</f>
        <v>Fat
(g)</v>
      </c>
      <c r="E359" s="92" t="str">
        <f>FoodDB!$D$1</f>
        <v xml:space="preserve"> Carbs
(g)</v>
      </c>
      <c r="F359" s="92" t="str">
        <f>FoodDB!$E$1</f>
        <v>Protein
(g)</v>
      </c>
      <c r="G359" s="92" t="str">
        <f>FoodDB!$F$1</f>
        <v>Fat
(Cal)</v>
      </c>
      <c r="H359" s="92" t="str">
        <f>FoodDB!$G$1</f>
        <v>Carb
(Cal)</v>
      </c>
      <c r="I359" s="92" t="str">
        <f>FoodDB!$H$1</f>
        <v>Protein
(Cal)</v>
      </c>
      <c r="J359" s="92" t="str">
        <f>FoodDB!$I$1</f>
        <v>Total
Calories</v>
      </c>
      <c r="K359" s="92"/>
      <c r="L359" s="92" t="s">
        <v>109</v>
      </c>
      <c r="M359" s="92" t="s">
        <v>110</v>
      </c>
      <c r="N359" s="92" t="s">
        <v>111</v>
      </c>
      <c r="O359" s="92" t="s">
        <v>112</v>
      </c>
      <c r="P359" s="92" t="s">
        <v>117</v>
      </c>
      <c r="Q359" s="92" t="s">
        <v>118</v>
      </c>
      <c r="R359" s="92" t="s">
        <v>119</v>
      </c>
      <c r="S359" s="92" t="s">
        <v>120</v>
      </c>
    </row>
    <row r="360" spans="1:19" x14ac:dyDescent="0.25">
      <c r="A360" s="93">
        <f>A348+1</f>
        <v>43024</v>
      </c>
      <c r="B360" s="94" t="s">
        <v>107</v>
      </c>
      <c r="C360" s="95">
        <v>0</v>
      </c>
      <c r="D360">
        <f>$C360*VLOOKUP($B360,FoodDB!$A$2:$I$1011,3,0)</f>
        <v>0</v>
      </c>
      <c r="E360">
        <f>$C360*VLOOKUP($B360,FoodDB!$A$2:$I$1011,4,0)</f>
        <v>0</v>
      </c>
      <c r="F360">
        <f>$C360*VLOOKUP($B360,FoodDB!$A$2:$I$1011,5,0)</f>
        <v>0</v>
      </c>
      <c r="G360">
        <f>$C360*VLOOKUP($B360,FoodDB!$A$2:$I$1011,6,0)</f>
        <v>0</v>
      </c>
      <c r="H360">
        <f>$C360*VLOOKUP($B360,FoodDB!$A$2:$I$1011,7,0)</f>
        <v>0</v>
      </c>
      <c r="I360">
        <f>$C360*VLOOKUP($B360,FoodDB!$A$2:$I$1011,8,0)</f>
        <v>0</v>
      </c>
      <c r="J360">
        <f>$C360*VLOOKUP($B360,FoodDB!$A$2:$I$1011,9,0)</f>
        <v>0</v>
      </c>
      <c r="L360">
        <f>SUM(G360:G366)</f>
        <v>0</v>
      </c>
      <c r="M360">
        <f>SUM(H360:H366)</f>
        <v>0</v>
      </c>
      <c r="N360">
        <f>SUM(I360:I366)</f>
        <v>0</v>
      </c>
      <c r="O360">
        <f>SUM(L360:N360)</f>
        <v>0</v>
      </c>
      <c r="P360" s="98">
        <f>VLOOKUP($A360,LossChart!$A$3:$AB$105,14,0)-L360</f>
        <v>574.97391662535983</v>
      </c>
      <c r="Q360" s="98">
        <f>VLOOKUP($A360,LossChart!$A$3:$AB$105,15,0)-M360</f>
        <v>80</v>
      </c>
      <c r="R360" s="98">
        <f>VLOOKUP($A360,LossChart!$A$3:$AB$105,16,0)-N360</f>
        <v>482.47465271142238</v>
      </c>
      <c r="S360" s="98">
        <f>VLOOKUP($A360,LossChart!$A$3:$AB$105,17,0)-O360</f>
        <v>1137.4485693367822</v>
      </c>
    </row>
    <row r="361" spans="1:19" x14ac:dyDescent="0.25">
      <c r="B361" s="94" t="s">
        <v>107</v>
      </c>
      <c r="C361" s="95">
        <v>0</v>
      </c>
      <c r="D361">
        <f>$C361*VLOOKUP($B361,FoodDB!$A$2:$I$1011,3,0)</f>
        <v>0</v>
      </c>
      <c r="E361">
        <f>$C361*VLOOKUP($B361,FoodDB!$A$2:$I$1011,4,0)</f>
        <v>0</v>
      </c>
      <c r="F361">
        <f>$C361*VLOOKUP($B361,FoodDB!$A$2:$I$1011,5,0)</f>
        <v>0</v>
      </c>
      <c r="G361">
        <f>$C361*VLOOKUP($B361,FoodDB!$A$2:$I$1011,6,0)</f>
        <v>0</v>
      </c>
      <c r="H361">
        <f>$C361*VLOOKUP($B361,FoodDB!$A$2:$I$1011,7,0)</f>
        <v>0</v>
      </c>
      <c r="I361">
        <f>$C361*VLOOKUP($B361,FoodDB!$A$2:$I$1011,8,0)</f>
        <v>0</v>
      </c>
      <c r="J361">
        <f>$C361*VLOOKUP($B361,FoodDB!$A$2:$I$1011,9,0)</f>
        <v>0</v>
      </c>
    </row>
    <row r="362" spans="1:19" x14ac:dyDescent="0.25">
      <c r="B362" s="94" t="s">
        <v>107</v>
      </c>
      <c r="C362" s="95">
        <v>0</v>
      </c>
      <c r="D362">
        <f>$C362*VLOOKUP($B362,FoodDB!$A$2:$I$1011,3,0)</f>
        <v>0</v>
      </c>
      <c r="E362">
        <f>$C362*VLOOKUP($B362,FoodDB!$A$2:$I$1011,4,0)</f>
        <v>0</v>
      </c>
      <c r="F362">
        <f>$C362*VLOOKUP($B362,FoodDB!$A$2:$I$1011,5,0)</f>
        <v>0</v>
      </c>
      <c r="G362">
        <f>$C362*VLOOKUP($B362,FoodDB!$A$2:$I$1011,6,0)</f>
        <v>0</v>
      </c>
      <c r="H362">
        <f>$C362*VLOOKUP($B362,FoodDB!$A$2:$I$1011,7,0)</f>
        <v>0</v>
      </c>
      <c r="I362">
        <f>$C362*VLOOKUP($B362,FoodDB!$A$2:$I$1011,8,0)</f>
        <v>0</v>
      </c>
      <c r="J362">
        <f>$C362*VLOOKUP($B362,FoodDB!$A$2:$I$1011,9,0)</f>
        <v>0</v>
      </c>
    </row>
    <row r="363" spans="1:19" x14ac:dyDescent="0.25">
      <c r="B363" s="94" t="s">
        <v>107</v>
      </c>
      <c r="C363" s="95">
        <v>0</v>
      </c>
      <c r="D363">
        <f>$C363*VLOOKUP($B363,FoodDB!$A$2:$I$1011,3,0)</f>
        <v>0</v>
      </c>
      <c r="E363">
        <f>$C363*VLOOKUP($B363,FoodDB!$A$2:$I$1011,4,0)</f>
        <v>0</v>
      </c>
      <c r="F363">
        <f>$C363*VLOOKUP($B363,FoodDB!$A$2:$I$1011,5,0)</f>
        <v>0</v>
      </c>
      <c r="G363">
        <f>$C363*VLOOKUP($B363,FoodDB!$A$2:$I$1011,6,0)</f>
        <v>0</v>
      </c>
      <c r="H363">
        <f>$C363*VLOOKUP($B363,FoodDB!$A$2:$I$1011,7,0)</f>
        <v>0</v>
      </c>
      <c r="I363">
        <f>$C363*VLOOKUP($B363,FoodDB!$A$2:$I$1011,8,0)</f>
        <v>0</v>
      </c>
      <c r="J363">
        <f>$C363*VLOOKUP($B363,FoodDB!$A$2:$I$1011,9,0)</f>
        <v>0</v>
      </c>
    </row>
    <row r="364" spans="1:19" x14ac:dyDescent="0.25">
      <c r="B364" s="94" t="s">
        <v>107</v>
      </c>
      <c r="C364" s="95">
        <v>0</v>
      </c>
      <c r="D364">
        <f>$C364*VLOOKUP($B364,FoodDB!$A$2:$I$1011,3,0)</f>
        <v>0</v>
      </c>
      <c r="E364">
        <f>$C364*VLOOKUP($B364,FoodDB!$A$2:$I$1011,4,0)</f>
        <v>0</v>
      </c>
      <c r="F364">
        <f>$C364*VLOOKUP($B364,FoodDB!$A$2:$I$1011,5,0)</f>
        <v>0</v>
      </c>
      <c r="G364">
        <f>$C364*VLOOKUP($B364,FoodDB!$A$2:$I$1011,6,0)</f>
        <v>0</v>
      </c>
      <c r="H364">
        <f>$C364*VLOOKUP($B364,FoodDB!$A$2:$I$1011,7,0)</f>
        <v>0</v>
      </c>
      <c r="I364">
        <f>$C364*VLOOKUP($B364,FoodDB!$A$2:$I$1011,8,0)</f>
        <v>0</v>
      </c>
      <c r="J364">
        <f>$C364*VLOOKUP($B364,FoodDB!$A$2:$I$1011,9,0)</f>
        <v>0</v>
      </c>
    </row>
    <row r="365" spans="1:19" x14ac:dyDescent="0.25">
      <c r="B365" s="94" t="s">
        <v>107</v>
      </c>
      <c r="C365" s="95">
        <v>0</v>
      </c>
      <c r="D365">
        <f>$C365*VLOOKUP($B365,FoodDB!$A$2:$I$1011,3,0)</f>
        <v>0</v>
      </c>
      <c r="E365">
        <f>$C365*VLOOKUP($B365,FoodDB!$A$2:$I$1011,4,0)</f>
        <v>0</v>
      </c>
      <c r="F365">
        <f>$C365*VLOOKUP($B365,FoodDB!$A$2:$I$1011,5,0)</f>
        <v>0</v>
      </c>
      <c r="G365">
        <f>$C365*VLOOKUP($B365,FoodDB!$A$2:$I$1011,6,0)</f>
        <v>0</v>
      </c>
      <c r="H365">
        <f>$C365*VLOOKUP($B365,FoodDB!$A$2:$I$1011,7,0)</f>
        <v>0</v>
      </c>
      <c r="I365">
        <f>$C365*VLOOKUP($B365,FoodDB!$A$2:$I$1011,8,0)</f>
        <v>0</v>
      </c>
      <c r="J365">
        <f>$C365*VLOOKUP($B365,FoodDB!$A$2:$I$1011,9,0)</f>
        <v>0</v>
      </c>
    </row>
    <row r="366" spans="1:19" x14ac:dyDescent="0.25">
      <c r="B366" s="94" t="s">
        <v>107</v>
      </c>
      <c r="C366" s="95">
        <v>0</v>
      </c>
      <c r="D366">
        <f>$C366*VLOOKUP($B366,FoodDB!$A$2:$I$1011,3,0)</f>
        <v>0</v>
      </c>
      <c r="E366">
        <f>$C366*VLOOKUP($B366,FoodDB!$A$2:$I$1011,4,0)</f>
        <v>0</v>
      </c>
      <c r="F366">
        <f>$C366*VLOOKUP($B366,FoodDB!$A$2:$I$1011,5,0)</f>
        <v>0</v>
      </c>
      <c r="G366">
        <f>$C366*VLOOKUP($B366,FoodDB!$A$2:$I$1011,6,0)</f>
        <v>0</v>
      </c>
      <c r="H366">
        <f>$C366*VLOOKUP($B366,FoodDB!$A$2:$I$1011,7,0)</f>
        <v>0</v>
      </c>
      <c r="I366">
        <f>$C366*VLOOKUP($B366,FoodDB!$A$2:$I$1011,8,0)</f>
        <v>0</v>
      </c>
      <c r="J366">
        <f>$C366*VLOOKUP($B366,FoodDB!$A$2:$I$1011,9,0)</f>
        <v>0</v>
      </c>
    </row>
    <row r="367" spans="1:19" x14ac:dyDescent="0.25">
      <c r="A367" t="s">
        <v>97</v>
      </c>
      <c r="G367">
        <f>SUM(G360:G366)</f>
        <v>0</v>
      </c>
      <c r="H367">
        <f>SUM(H360:H366)</f>
        <v>0</v>
      </c>
      <c r="I367">
        <f>SUM(I360:I366)</f>
        <v>0</v>
      </c>
      <c r="J367">
        <f>SUM(G367:I367)</f>
        <v>0</v>
      </c>
    </row>
    <row r="368" spans="1:19" x14ac:dyDescent="0.25">
      <c r="A368" t="s">
        <v>101</v>
      </c>
      <c r="B368" t="s">
        <v>102</v>
      </c>
      <c r="E368" s="98"/>
      <c r="F368" s="98"/>
      <c r="G368" s="98">
        <f>VLOOKUP($A360,LossChart!$A$3:$AB$105,14,0)</f>
        <v>574.97391662535983</v>
      </c>
      <c r="H368" s="98">
        <f>VLOOKUP($A360,LossChart!$A$3:$AB$105,15,0)</f>
        <v>80</v>
      </c>
      <c r="I368" s="98">
        <f>VLOOKUP($A360,LossChart!$A$3:$AB$105,16,0)</f>
        <v>482.47465271142238</v>
      </c>
      <c r="J368" s="98">
        <f>VLOOKUP($A360,LossChart!$A$3:$AB$105,17,0)</f>
        <v>1137.4485693367822</v>
      </c>
      <c r="K368" s="98"/>
    </row>
    <row r="369" spans="1:19" x14ac:dyDescent="0.25">
      <c r="A369" t="s">
        <v>103</v>
      </c>
      <c r="G369">
        <f>G368-G367</f>
        <v>574.97391662535983</v>
      </c>
      <c r="H369">
        <f>H368-H367</f>
        <v>80</v>
      </c>
      <c r="I369">
        <f>I368-I367</f>
        <v>482.47465271142238</v>
      </c>
      <c r="J369">
        <f>J368-J367</f>
        <v>1137.4485693367822</v>
      </c>
    </row>
    <row r="371" spans="1:19" ht="60" x14ac:dyDescent="0.25">
      <c r="A371" s="21" t="s">
        <v>63</v>
      </c>
      <c r="B371" s="21" t="s">
        <v>92</v>
      </c>
      <c r="C371" s="21" t="s">
        <v>93</v>
      </c>
      <c r="D371" s="92" t="str">
        <f>FoodDB!$C$1</f>
        <v>Fat
(g)</v>
      </c>
      <c r="E371" s="92" t="str">
        <f>FoodDB!$D$1</f>
        <v xml:space="preserve"> Carbs
(g)</v>
      </c>
      <c r="F371" s="92" t="str">
        <f>FoodDB!$E$1</f>
        <v>Protein
(g)</v>
      </c>
      <c r="G371" s="92" t="str">
        <f>FoodDB!$F$1</f>
        <v>Fat
(Cal)</v>
      </c>
      <c r="H371" s="92" t="str">
        <f>FoodDB!$G$1</f>
        <v>Carb
(Cal)</v>
      </c>
      <c r="I371" s="92" t="str">
        <f>FoodDB!$H$1</f>
        <v>Protein
(Cal)</v>
      </c>
      <c r="J371" s="92" t="str">
        <f>FoodDB!$I$1</f>
        <v>Total
Calories</v>
      </c>
      <c r="K371" s="92"/>
      <c r="L371" s="92" t="s">
        <v>109</v>
      </c>
      <c r="M371" s="92" t="s">
        <v>110</v>
      </c>
      <c r="N371" s="92" t="s">
        <v>111</v>
      </c>
      <c r="O371" s="92" t="s">
        <v>112</v>
      </c>
      <c r="P371" s="92" t="s">
        <v>117</v>
      </c>
      <c r="Q371" s="92" t="s">
        <v>118</v>
      </c>
      <c r="R371" s="92" t="s">
        <v>119</v>
      </c>
      <c r="S371" s="92" t="s">
        <v>120</v>
      </c>
    </row>
    <row r="372" spans="1:19" x14ac:dyDescent="0.25">
      <c r="A372" s="93">
        <f>A360+1</f>
        <v>43025</v>
      </c>
      <c r="B372" s="94" t="s">
        <v>107</v>
      </c>
      <c r="C372" s="95">
        <v>0</v>
      </c>
      <c r="D372">
        <f>$C372*VLOOKUP($B372,FoodDB!$A$2:$I$1011,3,0)</f>
        <v>0</v>
      </c>
      <c r="E372">
        <f>$C372*VLOOKUP($B372,FoodDB!$A$2:$I$1011,4,0)</f>
        <v>0</v>
      </c>
      <c r="F372">
        <f>$C372*VLOOKUP($B372,FoodDB!$A$2:$I$1011,5,0)</f>
        <v>0</v>
      </c>
      <c r="G372">
        <f>$C372*VLOOKUP($B372,FoodDB!$A$2:$I$1011,6,0)</f>
        <v>0</v>
      </c>
      <c r="H372">
        <f>$C372*VLOOKUP($B372,FoodDB!$A$2:$I$1011,7,0)</f>
        <v>0</v>
      </c>
      <c r="I372">
        <f>$C372*VLOOKUP($B372,FoodDB!$A$2:$I$1011,8,0)</f>
        <v>0</v>
      </c>
      <c r="J372">
        <f>$C372*VLOOKUP($B372,FoodDB!$A$2:$I$1011,9,0)</f>
        <v>0</v>
      </c>
      <c r="L372">
        <f>SUM(G372:G378)</f>
        <v>0</v>
      </c>
      <c r="M372">
        <f>SUM(H372:H378)</f>
        <v>0</v>
      </c>
      <c r="N372">
        <f>SUM(I372:I378)</f>
        <v>0</v>
      </c>
      <c r="O372">
        <f>SUM(L372:N372)</f>
        <v>0</v>
      </c>
      <c r="P372" s="98">
        <f>VLOOKUP($A372,LossChart!$A$3:$AB$105,14,0)-L372</f>
        <v>581.51601852517456</v>
      </c>
      <c r="Q372" s="98">
        <f>VLOOKUP($A372,LossChart!$A$3:$AB$105,15,0)-M372</f>
        <v>80</v>
      </c>
      <c r="R372" s="98">
        <f>VLOOKUP($A372,LossChart!$A$3:$AB$105,16,0)-N372</f>
        <v>482.47465271142238</v>
      </c>
      <c r="S372" s="98">
        <f>VLOOKUP($A372,LossChart!$A$3:$AB$105,17,0)-O372</f>
        <v>1143.9906712365969</v>
      </c>
    </row>
    <row r="373" spans="1:19" x14ac:dyDescent="0.25">
      <c r="B373" s="94" t="s">
        <v>107</v>
      </c>
      <c r="C373" s="95">
        <v>0</v>
      </c>
      <c r="D373">
        <f>$C373*VLOOKUP($B373,FoodDB!$A$2:$I$1011,3,0)</f>
        <v>0</v>
      </c>
      <c r="E373">
        <f>$C373*VLOOKUP($B373,FoodDB!$A$2:$I$1011,4,0)</f>
        <v>0</v>
      </c>
      <c r="F373">
        <f>$C373*VLOOKUP($B373,FoodDB!$A$2:$I$1011,5,0)</f>
        <v>0</v>
      </c>
      <c r="G373">
        <f>$C373*VLOOKUP($B373,FoodDB!$A$2:$I$1011,6,0)</f>
        <v>0</v>
      </c>
      <c r="H373">
        <f>$C373*VLOOKUP($B373,FoodDB!$A$2:$I$1011,7,0)</f>
        <v>0</v>
      </c>
      <c r="I373">
        <f>$C373*VLOOKUP($B373,FoodDB!$A$2:$I$1011,8,0)</f>
        <v>0</v>
      </c>
      <c r="J373">
        <f>$C373*VLOOKUP($B373,FoodDB!$A$2:$I$1011,9,0)</f>
        <v>0</v>
      </c>
    </row>
    <row r="374" spans="1:19" x14ac:dyDescent="0.25">
      <c r="B374" s="94" t="s">
        <v>107</v>
      </c>
      <c r="C374" s="95">
        <v>0</v>
      </c>
      <c r="D374">
        <f>$C374*VLOOKUP($B374,FoodDB!$A$2:$I$1011,3,0)</f>
        <v>0</v>
      </c>
      <c r="E374">
        <f>$C374*VLOOKUP($B374,FoodDB!$A$2:$I$1011,4,0)</f>
        <v>0</v>
      </c>
      <c r="F374">
        <f>$C374*VLOOKUP($B374,FoodDB!$A$2:$I$1011,5,0)</f>
        <v>0</v>
      </c>
      <c r="G374">
        <f>$C374*VLOOKUP($B374,FoodDB!$A$2:$I$1011,6,0)</f>
        <v>0</v>
      </c>
      <c r="H374">
        <f>$C374*VLOOKUP($B374,FoodDB!$A$2:$I$1011,7,0)</f>
        <v>0</v>
      </c>
      <c r="I374">
        <f>$C374*VLOOKUP($B374,FoodDB!$A$2:$I$1011,8,0)</f>
        <v>0</v>
      </c>
      <c r="J374">
        <f>$C374*VLOOKUP($B374,FoodDB!$A$2:$I$1011,9,0)</f>
        <v>0</v>
      </c>
    </row>
    <row r="375" spans="1:19" x14ac:dyDescent="0.25">
      <c r="B375" s="94" t="s">
        <v>107</v>
      </c>
      <c r="C375" s="95">
        <v>0</v>
      </c>
      <c r="D375">
        <f>$C375*VLOOKUP($B375,FoodDB!$A$2:$I$1011,3,0)</f>
        <v>0</v>
      </c>
      <c r="E375">
        <f>$C375*VLOOKUP($B375,FoodDB!$A$2:$I$1011,4,0)</f>
        <v>0</v>
      </c>
      <c r="F375">
        <f>$C375*VLOOKUP($B375,FoodDB!$A$2:$I$1011,5,0)</f>
        <v>0</v>
      </c>
      <c r="G375">
        <f>$C375*VLOOKUP($B375,FoodDB!$A$2:$I$1011,6,0)</f>
        <v>0</v>
      </c>
      <c r="H375">
        <f>$C375*VLOOKUP($B375,FoodDB!$A$2:$I$1011,7,0)</f>
        <v>0</v>
      </c>
      <c r="I375">
        <f>$C375*VLOOKUP($B375,FoodDB!$A$2:$I$1011,8,0)</f>
        <v>0</v>
      </c>
      <c r="J375">
        <f>$C375*VLOOKUP($B375,FoodDB!$A$2:$I$1011,9,0)</f>
        <v>0</v>
      </c>
    </row>
    <row r="376" spans="1:19" x14ac:dyDescent="0.25">
      <c r="B376" s="94" t="s">
        <v>107</v>
      </c>
      <c r="C376" s="95">
        <v>0</v>
      </c>
      <c r="D376">
        <f>$C376*VLOOKUP($B376,FoodDB!$A$2:$I$1011,3,0)</f>
        <v>0</v>
      </c>
      <c r="E376">
        <f>$C376*VLOOKUP($B376,FoodDB!$A$2:$I$1011,4,0)</f>
        <v>0</v>
      </c>
      <c r="F376">
        <f>$C376*VLOOKUP($B376,FoodDB!$A$2:$I$1011,5,0)</f>
        <v>0</v>
      </c>
      <c r="G376">
        <f>$C376*VLOOKUP($B376,FoodDB!$A$2:$I$1011,6,0)</f>
        <v>0</v>
      </c>
      <c r="H376">
        <f>$C376*VLOOKUP($B376,FoodDB!$A$2:$I$1011,7,0)</f>
        <v>0</v>
      </c>
      <c r="I376">
        <f>$C376*VLOOKUP($B376,FoodDB!$A$2:$I$1011,8,0)</f>
        <v>0</v>
      </c>
      <c r="J376">
        <f>$C376*VLOOKUP($B376,FoodDB!$A$2:$I$1011,9,0)</f>
        <v>0</v>
      </c>
    </row>
    <row r="377" spans="1:19" x14ac:dyDescent="0.25">
      <c r="B377" s="94" t="s">
        <v>107</v>
      </c>
      <c r="C377" s="95">
        <v>0</v>
      </c>
      <c r="D377">
        <f>$C377*VLOOKUP($B377,FoodDB!$A$2:$I$1011,3,0)</f>
        <v>0</v>
      </c>
      <c r="E377">
        <f>$C377*VLOOKUP($B377,FoodDB!$A$2:$I$1011,4,0)</f>
        <v>0</v>
      </c>
      <c r="F377">
        <f>$C377*VLOOKUP($B377,FoodDB!$A$2:$I$1011,5,0)</f>
        <v>0</v>
      </c>
      <c r="G377">
        <f>$C377*VLOOKUP($B377,FoodDB!$A$2:$I$1011,6,0)</f>
        <v>0</v>
      </c>
      <c r="H377">
        <f>$C377*VLOOKUP($B377,FoodDB!$A$2:$I$1011,7,0)</f>
        <v>0</v>
      </c>
      <c r="I377">
        <f>$C377*VLOOKUP($B377,FoodDB!$A$2:$I$1011,8,0)</f>
        <v>0</v>
      </c>
      <c r="J377">
        <f>$C377*VLOOKUP($B377,FoodDB!$A$2:$I$1011,9,0)</f>
        <v>0</v>
      </c>
    </row>
    <row r="378" spans="1:19" x14ac:dyDescent="0.25">
      <c r="B378" s="94" t="s">
        <v>107</v>
      </c>
      <c r="C378" s="95">
        <v>0</v>
      </c>
      <c r="D378">
        <f>$C378*VLOOKUP($B378,FoodDB!$A$2:$I$1011,3,0)</f>
        <v>0</v>
      </c>
      <c r="E378">
        <f>$C378*VLOOKUP($B378,FoodDB!$A$2:$I$1011,4,0)</f>
        <v>0</v>
      </c>
      <c r="F378">
        <f>$C378*VLOOKUP($B378,FoodDB!$A$2:$I$1011,5,0)</f>
        <v>0</v>
      </c>
      <c r="G378">
        <f>$C378*VLOOKUP($B378,FoodDB!$A$2:$I$1011,6,0)</f>
        <v>0</v>
      </c>
      <c r="H378">
        <f>$C378*VLOOKUP($B378,FoodDB!$A$2:$I$1011,7,0)</f>
        <v>0</v>
      </c>
      <c r="I378">
        <f>$C378*VLOOKUP($B378,FoodDB!$A$2:$I$1011,8,0)</f>
        <v>0</v>
      </c>
      <c r="J378">
        <f>$C378*VLOOKUP($B378,FoodDB!$A$2:$I$1011,9,0)</f>
        <v>0</v>
      </c>
    </row>
    <row r="379" spans="1:19" x14ac:dyDescent="0.25">
      <c r="A379" t="s">
        <v>97</v>
      </c>
      <c r="G379">
        <f>SUM(G372:G378)</f>
        <v>0</v>
      </c>
      <c r="H379">
        <f>SUM(H372:H378)</f>
        <v>0</v>
      </c>
      <c r="I379">
        <f>SUM(I372:I378)</f>
        <v>0</v>
      </c>
      <c r="J379">
        <f>SUM(G379:I379)</f>
        <v>0</v>
      </c>
    </row>
    <row r="380" spans="1:19" x14ac:dyDescent="0.25">
      <c r="A380" t="s">
        <v>101</v>
      </c>
      <c r="B380" t="s">
        <v>102</v>
      </c>
      <c r="E380" s="98"/>
      <c r="F380" s="98"/>
      <c r="G380" s="98">
        <f>VLOOKUP($A372,LossChart!$A$3:$AB$105,14,0)</f>
        <v>581.51601852517456</v>
      </c>
      <c r="H380" s="98">
        <f>VLOOKUP($A372,LossChart!$A$3:$AB$105,15,0)</f>
        <v>80</v>
      </c>
      <c r="I380" s="98">
        <f>VLOOKUP($A372,LossChart!$A$3:$AB$105,16,0)</f>
        <v>482.47465271142238</v>
      </c>
      <c r="J380" s="98">
        <f>VLOOKUP($A372,LossChart!$A$3:$AB$105,17,0)</f>
        <v>1143.9906712365969</v>
      </c>
      <c r="K380" s="98"/>
    </row>
    <row r="381" spans="1:19" x14ac:dyDescent="0.25">
      <c r="A381" t="s">
        <v>103</v>
      </c>
      <c r="G381">
        <f>G380-G379</f>
        <v>581.51601852517456</v>
      </c>
      <c r="H381">
        <f>H380-H379</f>
        <v>80</v>
      </c>
      <c r="I381">
        <f>I380-I379</f>
        <v>482.47465271142238</v>
      </c>
      <c r="J381">
        <f>J380-J379</f>
        <v>1143.9906712365969</v>
      </c>
    </row>
    <row r="383" spans="1:19" ht="60" x14ac:dyDescent="0.25">
      <c r="A383" s="21" t="s">
        <v>63</v>
      </c>
      <c r="B383" s="21" t="s">
        <v>92</v>
      </c>
      <c r="C383" s="21" t="s">
        <v>93</v>
      </c>
      <c r="D383" s="92" t="str">
        <f>FoodDB!$C$1</f>
        <v>Fat
(g)</v>
      </c>
      <c r="E383" s="92" t="str">
        <f>FoodDB!$D$1</f>
        <v xml:space="preserve"> Carbs
(g)</v>
      </c>
      <c r="F383" s="92" t="str">
        <f>FoodDB!$E$1</f>
        <v>Protein
(g)</v>
      </c>
      <c r="G383" s="92" t="str">
        <f>FoodDB!$F$1</f>
        <v>Fat
(Cal)</v>
      </c>
      <c r="H383" s="92" t="str">
        <f>FoodDB!$G$1</f>
        <v>Carb
(Cal)</v>
      </c>
      <c r="I383" s="92" t="str">
        <f>FoodDB!$H$1</f>
        <v>Protein
(Cal)</v>
      </c>
      <c r="J383" s="92" t="str">
        <f>FoodDB!$I$1</f>
        <v>Total
Calories</v>
      </c>
      <c r="K383" s="92"/>
      <c r="L383" s="92" t="s">
        <v>109</v>
      </c>
      <c r="M383" s="92" t="s">
        <v>110</v>
      </c>
      <c r="N383" s="92" t="s">
        <v>111</v>
      </c>
      <c r="O383" s="92" t="s">
        <v>112</v>
      </c>
      <c r="P383" s="92" t="s">
        <v>117</v>
      </c>
      <c r="Q383" s="92" t="s">
        <v>118</v>
      </c>
      <c r="R383" s="92" t="s">
        <v>119</v>
      </c>
      <c r="S383" s="92" t="s">
        <v>120</v>
      </c>
    </row>
    <row r="384" spans="1:19" x14ac:dyDescent="0.25">
      <c r="A384" s="93">
        <f>A372+1</f>
        <v>43026</v>
      </c>
      <c r="B384" s="94" t="s">
        <v>107</v>
      </c>
      <c r="C384" s="95">
        <v>0</v>
      </c>
      <c r="D384">
        <f>$C384*VLOOKUP($B384,FoodDB!$A$2:$I$1011,3,0)</f>
        <v>0</v>
      </c>
      <c r="E384">
        <f>$C384*VLOOKUP($B384,FoodDB!$A$2:$I$1011,4,0)</f>
        <v>0</v>
      </c>
      <c r="F384">
        <f>$C384*VLOOKUP($B384,FoodDB!$A$2:$I$1011,5,0)</f>
        <v>0</v>
      </c>
      <c r="G384">
        <f>$C384*VLOOKUP($B384,FoodDB!$A$2:$I$1011,6,0)</f>
        <v>0</v>
      </c>
      <c r="H384">
        <f>$C384*VLOOKUP($B384,FoodDB!$A$2:$I$1011,7,0)</f>
        <v>0</v>
      </c>
      <c r="I384">
        <f>$C384*VLOOKUP($B384,FoodDB!$A$2:$I$1011,8,0)</f>
        <v>0</v>
      </c>
      <c r="J384">
        <f>$C384*VLOOKUP($B384,FoodDB!$A$2:$I$1011,9,0)</f>
        <v>0</v>
      </c>
      <c r="L384">
        <f>SUM(G384:G390)</f>
        <v>0</v>
      </c>
      <c r="M384">
        <f>SUM(H384:H390)</f>
        <v>0</v>
      </c>
      <c r="N384">
        <f>SUM(I384:I390)</f>
        <v>0</v>
      </c>
      <c r="O384">
        <f>SUM(L384:N384)</f>
        <v>0</v>
      </c>
      <c r="P384" s="98">
        <f>VLOOKUP($A384,LossChart!$A$3:$AB$105,14,0)-L384</f>
        <v>588.00017609387714</v>
      </c>
      <c r="Q384" s="98">
        <f>VLOOKUP($A384,LossChart!$A$3:$AB$105,15,0)-M384</f>
        <v>80</v>
      </c>
      <c r="R384" s="98">
        <f>VLOOKUP($A384,LossChart!$A$3:$AB$105,16,0)-N384</f>
        <v>482.47465271142238</v>
      </c>
      <c r="S384" s="98">
        <f>VLOOKUP($A384,LossChart!$A$3:$AB$105,17,0)-O384</f>
        <v>1150.4748288052995</v>
      </c>
    </row>
    <row r="385" spans="1:19" x14ac:dyDescent="0.25">
      <c r="B385" s="94" t="s">
        <v>107</v>
      </c>
      <c r="C385" s="95">
        <v>0</v>
      </c>
      <c r="D385">
        <f>$C385*VLOOKUP($B385,FoodDB!$A$2:$I$1011,3,0)</f>
        <v>0</v>
      </c>
      <c r="E385">
        <f>$C385*VLOOKUP($B385,FoodDB!$A$2:$I$1011,4,0)</f>
        <v>0</v>
      </c>
      <c r="F385">
        <f>$C385*VLOOKUP($B385,FoodDB!$A$2:$I$1011,5,0)</f>
        <v>0</v>
      </c>
      <c r="G385">
        <f>$C385*VLOOKUP($B385,FoodDB!$A$2:$I$1011,6,0)</f>
        <v>0</v>
      </c>
      <c r="H385">
        <f>$C385*VLOOKUP($B385,FoodDB!$A$2:$I$1011,7,0)</f>
        <v>0</v>
      </c>
      <c r="I385">
        <f>$C385*VLOOKUP($B385,FoodDB!$A$2:$I$1011,8,0)</f>
        <v>0</v>
      </c>
      <c r="J385">
        <f>$C385*VLOOKUP($B385,FoodDB!$A$2:$I$1011,9,0)</f>
        <v>0</v>
      </c>
    </row>
    <row r="386" spans="1:19" x14ac:dyDescent="0.25">
      <c r="B386" s="94" t="s">
        <v>107</v>
      </c>
      <c r="C386" s="95">
        <v>0</v>
      </c>
      <c r="D386">
        <f>$C386*VLOOKUP($B386,FoodDB!$A$2:$I$1011,3,0)</f>
        <v>0</v>
      </c>
      <c r="E386">
        <f>$C386*VLOOKUP($B386,FoodDB!$A$2:$I$1011,4,0)</f>
        <v>0</v>
      </c>
      <c r="F386">
        <f>$C386*VLOOKUP($B386,FoodDB!$A$2:$I$1011,5,0)</f>
        <v>0</v>
      </c>
      <c r="G386">
        <f>$C386*VLOOKUP($B386,FoodDB!$A$2:$I$1011,6,0)</f>
        <v>0</v>
      </c>
      <c r="H386">
        <f>$C386*VLOOKUP($B386,FoodDB!$A$2:$I$1011,7,0)</f>
        <v>0</v>
      </c>
      <c r="I386">
        <f>$C386*VLOOKUP($B386,FoodDB!$A$2:$I$1011,8,0)</f>
        <v>0</v>
      </c>
      <c r="J386">
        <f>$C386*VLOOKUP($B386,FoodDB!$A$2:$I$1011,9,0)</f>
        <v>0</v>
      </c>
    </row>
    <row r="387" spans="1:19" x14ac:dyDescent="0.25">
      <c r="B387" s="94" t="s">
        <v>107</v>
      </c>
      <c r="C387" s="95">
        <v>0</v>
      </c>
      <c r="D387">
        <f>$C387*VLOOKUP($B387,FoodDB!$A$2:$I$1011,3,0)</f>
        <v>0</v>
      </c>
      <c r="E387">
        <f>$C387*VLOOKUP($B387,FoodDB!$A$2:$I$1011,4,0)</f>
        <v>0</v>
      </c>
      <c r="F387">
        <f>$C387*VLOOKUP($B387,FoodDB!$A$2:$I$1011,5,0)</f>
        <v>0</v>
      </c>
      <c r="G387">
        <f>$C387*VLOOKUP($B387,FoodDB!$A$2:$I$1011,6,0)</f>
        <v>0</v>
      </c>
      <c r="H387">
        <f>$C387*VLOOKUP($B387,FoodDB!$A$2:$I$1011,7,0)</f>
        <v>0</v>
      </c>
      <c r="I387">
        <f>$C387*VLOOKUP($B387,FoodDB!$A$2:$I$1011,8,0)</f>
        <v>0</v>
      </c>
      <c r="J387">
        <f>$C387*VLOOKUP($B387,FoodDB!$A$2:$I$1011,9,0)</f>
        <v>0</v>
      </c>
    </row>
    <row r="388" spans="1:19" x14ac:dyDescent="0.25">
      <c r="B388" s="94" t="s">
        <v>107</v>
      </c>
      <c r="C388" s="95">
        <v>0</v>
      </c>
      <c r="D388">
        <f>$C388*VLOOKUP($B388,FoodDB!$A$2:$I$1011,3,0)</f>
        <v>0</v>
      </c>
      <c r="E388">
        <f>$C388*VLOOKUP($B388,FoodDB!$A$2:$I$1011,4,0)</f>
        <v>0</v>
      </c>
      <c r="F388">
        <f>$C388*VLOOKUP($B388,FoodDB!$A$2:$I$1011,5,0)</f>
        <v>0</v>
      </c>
      <c r="G388">
        <f>$C388*VLOOKUP($B388,FoodDB!$A$2:$I$1011,6,0)</f>
        <v>0</v>
      </c>
      <c r="H388">
        <f>$C388*VLOOKUP($B388,FoodDB!$A$2:$I$1011,7,0)</f>
        <v>0</v>
      </c>
      <c r="I388">
        <f>$C388*VLOOKUP($B388,FoodDB!$A$2:$I$1011,8,0)</f>
        <v>0</v>
      </c>
      <c r="J388">
        <f>$C388*VLOOKUP($B388,FoodDB!$A$2:$I$1011,9,0)</f>
        <v>0</v>
      </c>
    </row>
    <row r="389" spans="1:19" x14ac:dyDescent="0.25">
      <c r="B389" s="94" t="s">
        <v>107</v>
      </c>
      <c r="C389" s="95">
        <v>0</v>
      </c>
      <c r="D389">
        <f>$C389*VLOOKUP($B389,FoodDB!$A$2:$I$1011,3,0)</f>
        <v>0</v>
      </c>
      <c r="E389">
        <f>$C389*VLOOKUP($B389,FoodDB!$A$2:$I$1011,4,0)</f>
        <v>0</v>
      </c>
      <c r="F389">
        <f>$C389*VLOOKUP($B389,FoodDB!$A$2:$I$1011,5,0)</f>
        <v>0</v>
      </c>
      <c r="G389">
        <f>$C389*VLOOKUP($B389,FoodDB!$A$2:$I$1011,6,0)</f>
        <v>0</v>
      </c>
      <c r="H389">
        <f>$C389*VLOOKUP($B389,FoodDB!$A$2:$I$1011,7,0)</f>
        <v>0</v>
      </c>
      <c r="I389">
        <f>$C389*VLOOKUP($B389,FoodDB!$A$2:$I$1011,8,0)</f>
        <v>0</v>
      </c>
      <c r="J389">
        <f>$C389*VLOOKUP($B389,FoodDB!$A$2:$I$1011,9,0)</f>
        <v>0</v>
      </c>
    </row>
    <row r="390" spans="1:19" x14ac:dyDescent="0.25">
      <c r="B390" s="94" t="s">
        <v>107</v>
      </c>
      <c r="C390" s="95">
        <v>0</v>
      </c>
      <c r="D390">
        <f>$C390*VLOOKUP($B390,FoodDB!$A$2:$I$1011,3,0)</f>
        <v>0</v>
      </c>
      <c r="E390">
        <f>$C390*VLOOKUP($B390,FoodDB!$A$2:$I$1011,4,0)</f>
        <v>0</v>
      </c>
      <c r="F390">
        <f>$C390*VLOOKUP($B390,FoodDB!$A$2:$I$1011,5,0)</f>
        <v>0</v>
      </c>
      <c r="G390">
        <f>$C390*VLOOKUP($B390,FoodDB!$A$2:$I$1011,6,0)</f>
        <v>0</v>
      </c>
      <c r="H390">
        <f>$C390*VLOOKUP($B390,FoodDB!$A$2:$I$1011,7,0)</f>
        <v>0</v>
      </c>
      <c r="I390">
        <f>$C390*VLOOKUP($B390,FoodDB!$A$2:$I$1011,8,0)</f>
        <v>0</v>
      </c>
      <c r="J390">
        <f>$C390*VLOOKUP($B390,FoodDB!$A$2:$I$1011,9,0)</f>
        <v>0</v>
      </c>
    </row>
    <row r="391" spans="1:19" x14ac:dyDescent="0.25">
      <c r="A391" t="s">
        <v>97</v>
      </c>
      <c r="G391">
        <f>SUM(G384:G390)</f>
        <v>0</v>
      </c>
      <c r="H391">
        <f>SUM(H384:H390)</f>
        <v>0</v>
      </c>
      <c r="I391">
        <f>SUM(I384:I390)</f>
        <v>0</v>
      </c>
      <c r="J391">
        <f>SUM(G391:I391)</f>
        <v>0</v>
      </c>
    </row>
    <row r="392" spans="1:19" x14ac:dyDescent="0.25">
      <c r="A392" t="s">
        <v>101</v>
      </c>
      <c r="B392" t="s">
        <v>102</v>
      </c>
      <c r="E392" s="98"/>
      <c r="F392" s="98"/>
      <c r="G392" s="98">
        <f>VLOOKUP($A384,LossChart!$A$3:$AB$105,14,0)</f>
        <v>588.00017609387714</v>
      </c>
      <c r="H392" s="98">
        <f>VLOOKUP($A384,LossChart!$A$3:$AB$105,15,0)</f>
        <v>80</v>
      </c>
      <c r="I392" s="98">
        <f>VLOOKUP($A384,LossChart!$A$3:$AB$105,16,0)</f>
        <v>482.47465271142238</v>
      </c>
      <c r="J392" s="98">
        <f>VLOOKUP($A384,LossChart!$A$3:$AB$105,17,0)</f>
        <v>1150.4748288052995</v>
      </c>
      <c r="K392" s="98"/>
    </row>
    <row r="393" spans="1:19" x14ac:dyDescent="0.25">
      <c r="A393" t="s">
        <v>103</v>
      </c>
      <c r="G393">
        <f>G392-G391</f>
        <v>588.00017609387714</v>
      </c>
      <c r="H393">
        <f>H392-H391</f>
        <v>80</v>
      </c>
      <c r="I393">
        <f>I392-I391</f>
        <v>482.47465271142238</v>
      </c>
      <c r="J393">
        <f>J392-J391</f>
        <v>1150.4748288052995</v>
      </c>
    </row>
    <row r="395" spans="1:19" ht="60" x14ac:dyDescent="0.25">
      <c r="A395" s="21" t="s">
        <v>63</v>
      </c>
      <c r="B395" s="21" t="s">
        <v>92</v>
      </c>
      <c r="C395" s="21" t="s">
        <v>93</v>
      </c>
      <c r="D395" s="92" t="str">
        <f>FoodDB!$C$1</f>
        <v>Fat
(g)</v>
      </c>
      <c r="E395" s="92" t="str">
        <f>FoodDB!$D$1</f>
        <v xml:space="preserve"> Carbs
(g)</v>
      </c>
      <c r="F395" s="92" t="str">
        <f>FoodDB!$E$1</f>
        <v>Protein
(g)</v>
      </c>
      <c r="G395" s="92" t="str">
        <f>FoodDB!$F$1</f>
        <v>Fat
(Cal)</v>
      </c>
      <c r="H395" s="92" t="str">
        <f>FoodDB!$G$1</f>
        <v>Carb
(Cal)</v>
      </c>
      <c r="I395" s="92" t="str">
        <f>FoodDB!$H$1</f>
        <v>Protein
(Cal)</v>
      </c>
      <c r="J395" s="92" t="str">
        <f>FoodDB!$I$1</f>
        <v>Total
Calories</v>
      </c>
      <c r="K395" s="92"/>
      <c r="L395" s="92" t="s">
        <v>109</v>
      </c>
      <c r="M395" s="92" t="s">
        <v>110</v>
      </c>
      <c r="N395" s="92" t="s">
        <v>111</v>
      </c>
      <c r="O395" s="92" t="s">
        <v>112</v>
      </c>
      <c r="P395" s="92" t="s">
        <v>117</v>
      </c>
      <c r="Q395" s="92" t="s">
        <v>118</v>
      </c>
      <c r="R395" s="92" t="s">
        <v>119</v>
      </c>
      <c r="S395" s="92" t="s">
        <v>120</v>
      </c>
    </row>
    <row r="396" spans="1:19" x14ac:dyDescent="0.25">
      <c r="A396" s="93">
        <f>A384+1</f>
        <v>43027</v>
      </c>
      <c r="B396" s="94" t="s">
        <v>107</v>
      </c>
      <c r="C396" s="95">
        <v>0</v>
      </c>
      <c r="D396">
        <f>$C396*VLOOKUP($B396,FoodDB!$A$2:$I$1011,3,0)</f>
        <v>0</v>
      </c>
      <c r="E396">
        <f>$C396*VLOOKUP($B396,FoodDB!$A$2:$I$1011,4,0)</f>
        <v>0</v>
      </c>
      <c r="F396">
        <f>$C396*VLOOKUP($B396,FoodDB!$A$2:$I$1011,5,0)</f>
        <v>0</v>
      </c>
      <c r="G396">
        <f>$C396*VLOOKUP($B396,FoodDB!$A$2:$I$1011,6,0)</f>
        <v>0</v>
      </c>
      <c r="H396">
        <f>$C396*VLOOKUP($B396,FoodDB!$A$2:$I$1011,7,0)</f>
        <v>0</v>
      </c>
      <c r="I396">
        <f>$C396*VLOOKUP($B396,FoodDB!$A$2:$I$1011,8,0)</f>
        <v>0</v>
      </c>
      <c r="J396">
        <f>$C396*VLOOKUP($B396,FoodDB!$A$2:$I$1011,9,0)</f>
        <v>0</v>
      </c>
      <c r="L396">
        <f>SUM(G396:G402)</f>
        <v>0</v>
      </c>
      <c r="M396">
        <f>SUM(H396:H402)</f>
        <v>0</v>
      </c>
      <c r="N396">
        <f>SUM(I396:I402)</f>
        <v>0</v>
      </c>
      <c r="O396">
        <f>SUM(L396:N396)</f>
        <v>0</v>
      </c>
      <c r="P396" s="98">
        <f>VLOOKUP($A396,LossChart!$A$3:$AB$105,14,0)-L396</f>
        <v>594.42690255268508</v>
      </c>
      <c r="Q396" s="98">
        <f>VLOOKUP($A396,LossChart!$A$3:$AB$105,15,0)-M396</f>
        <v>80</v>
      </c>
      <c r="R396" s="98">
        <f>VLOOKUP($A396,LossChart!$A$3:$AB$105,16,0)-N396</f>
        <v>482.47465271142238</v>
      </c>
      <c r="S396" s="98">
        <f>VLOOKUP($A396,LossChart!$A$3:$AB$105,17,0)-O396</f>
        <v>1156.9015552641074</v>
      </c>
    </row>
    <row r="397" spans="1:19" x14ac:dyDescent="0.25">
      <c r="B397" s="94" t="s">
        <v>107</v>
      </c>
      <c r="C397" s="95">
        <v>0</v>
      </c>
      <c r="D397">
        <f>$C397*VLOOKUP($B397,FoodDB!$A$2:$I$1011,3,0)</f>
        <v>0</v>
      </c>
      <c r="E397">
        <f>$C397*VLOOKUP($B397,FoodDB!$A$2:$I$1011,4,0)</f>
        <v>0</v>
      </c>
      <c r="F397">
        <f>$C397*VLOOKUP($B397,FoodDB!$A$2:$I$1011,5,0)</f>
        <v>0</v>
      </c>
      <c r="G397">
        <f>$C397*VLOOKUP($B397,FoodDB!$A$2:$I$1011,6,0)</f>
        <v>0</v>
      </c>
      <c r="H397">
        <f>$C397*VLOOKUP($B397,FoodDB!$A$2:$I$1011,7,0)</f>
        <v>0</v>
      </c>
      <c r="I397">
        <f>$C397*VLOOKUP($B397,FoodDB!$A$2:$I$1011,8,0)</f>
        <v>0</v>
      </c>
      <c r="J397">
        <f>$C397*VLOOKUP($B397,FoodDB!$A$2:$I$1011,9,0)</f>
        <v>0</v>
      </c>
    </row>
    <row r="398" spans="1:19" x14ac:dyDescent="0.25">
      <c r="B398" s="94" t="s">
        <v>107</v>
      </c>
      <c r="C398" s="95">
        <v>0</v>
      </c>
      <c r="D398">
        <f>$C398*VLOOKUP($B398,FoodDB!$A$2:$I$1011,3,0)</f>
        <v>0</v>
      </c>
      <c r="E398">
        <f>$C398*VLOOKUP($B398,FoodDB!$A$2:$I$1011,4,0)</f>
        <v>0</v>
      </c>
      <c r="F398">
        <f>$C398*VLOOKUP($B398,FoodDB!$A$2:$I$1011,5,0)</f>
        <v>0</v>
      </c>
      <c r="G398">
        <f>$C398*VLOOKUP($B398,FoodDB!$A$2:$I$1011,6,0)</f>
        <v>0</v>
      </c>
      <c r="H398">
        <f>$C398*VLOOKUP($B398,FoodDB!$A$2:$I$1011,7,0)</f>
        <v>0</v>
      </c>
      <c r="I398">
        <f>$C398*VLOOKUP($B398,FoodDB!$A$2:$I$1011,8,0)</f>
        <v>0</v>
      </c>
      <c r="J398">
        <f>$C398*VLOOKUP($B398,FoodDB!$A$2:$I$1011,9,0)</f>
        <v>0</v>
      </c>
    </row>
    <row r="399" spans="1:19" x14ac:dyDescent="0.25">
      <c r="B399" s="94" t="s">
        <v>107</v>
      </c>
      <c r="C399" s="95">
        <v>0</v>
      </c>
      <c r="D399">
        <f>$C399*VLOOKUP($B399,FoodDB!$A$2:$I$1011,3,0)</f>
        <v>0</v>
      </c>
      <c r="E399">
        <f>$C399*VLOOKUP($B399,FoodDB!$A$2:$I$1011,4,0)</f>
        <v>0</v>
      </c>
      <c r="F399">
        <f>$C399*VLOOKUP($B399,FoodDB!$A$2:$I$1011,5,0)</f>
        <v>0</v>
      </c>
      <c r="G399">
        <f>$C399*VLOOKUP($B399,FoodDB!$A$2:$I$1011,6,0)</f>
        <v>0</v>
      </c>
      <c r="H399">
        <f>$C399*VLOOKUP($B399,FoodDB!$A$2:$I$1011,7,0)</f>
        <v>0</v>
      </c>
      <c r="I399">
        <f>$C399*VLOOKUP($B399,FoodDB!$A$2:$I$1011,8,0)</f>
        <v>0</v>
      </c>
      <c r="J399">
        <f>$C399*VLOOKUP($B399,FoodDB!$A$2:$I$1011,9,0)</f>
        <v>0</v>
      </c>
    </row>
    <row r="400" spans="1:19" x14ac:dyDescent="0.25">
      <c r="B400" s="94" t="s">
        <v>107</v>
      </c>
      <c r="C400" s="95">
        <v>0</v>
      </c>
      <c r="D400">
        <f>$C400*VLOOKUP($B400,FoodDB!$A$2:$I$1011,3,0)</f>
        <v>0</v>
      </c>
      <c r="E400">
        <f>$C400*VLOOKUP($B400,FoodDB!$A$2:$I$1011,4,0)</f>
        <v>0</v>
      </c>
      <c r="F400">
        <f>$C400*VLOOKUP($B400,FoodDB!$A$2:$I$1011,5,0)</f>
        <v>0</v>
      </c>
      <c r="G400">
        <f>$C400*VLOOKUP($B400,FoodDB!$A$2:$I$1011,6,0)</f>
        <v>0</v>
      </c>
      <c r="H400">
        <f>$C400*VLOOKUP($B400,FoodDB!$A$2:$I$1011,7,0)</f>
        <v>0</v>
      </c>
      <c r="I400">
        <f>$C400*VLOOKUP($B400,FoodDB!$A$2:$I$1011,8,0)</f>
        <v>0</v>
      </c>
      <c r="J400">
        <f>$C400*VLOOKUP($B400,FoodDB!$A$2:$I$1011,9,0)</f>
        <v>0</v>
      </c>
    </row>
    <row r="401" spans="1:19" x14ac:dyDescent="0.25">
      <c r="B401" s="94" t="s">
        <v>107</v>
      </c>
      <c r="C401" s="95">
        <v>0</v>
      </c>
      <c r="D401">
        <f>$C401*VLOOKUP($B401,FoodDB!$A$2:$I$1011,3,0)</f>
        <v>0</v>
      </c>
      <c r="E401">
        <f>$C401*VLOOKUP($B401,FoodDB!$A$2:$I$1011,4,0)</f>
        <v>0</v>
      </c>
      <c r="F401">
        <f>$C401*VLOOKUP($B401,FoodDB!$A$2:$I$1011,5,0)</f>
        <v>0</v>
      </c>
      <c r="G401">
        <f>$C401*VLOOKUP($B401,FoodDB!$A$2:$I$1011,6,0)</f>
        <v>0</v>
      </c>
      <c r="H401">
        <f>$C401*VLOOKUP($B401,FoodDB!$A$2:$I$1011,7,0)</f>
        <v>0</v>
      </c>
      <c r="I401">
        <f>$C401*VLOOKUP($B401,FoodDB!$A$2:$I$1011,8,0)</f>
        <v>0</v>
      </c>
      <c r="J401">
        <f>$C401*VLOOKUP($B401,FoodDB!$A$2:$I$1011,9,0)</f>
        <v>0</v>
      </c>
    </row>
    <row r="402" spans="1:19" x14ac:dyDescent="0.25">
      <c r="B402" s="94" t="s">
        <v>107</v>
      </c>
      <c r="C402" s="95">
        <v>0</v>
      </c>
      <c r="D402">
        <f>$C402*VLOOKUP($B402,FoodDB!$A$2:$I$1011,3,0)</f>
        <v>0</v>
      </c>
      <c r="E402">
        <f>$C402*VLOOKUP($B402,FoodDB!$A$2:$I$1011,4,0)</f>
        <v>0</v>
      </c>
      <c r="F402">
        <f>$C402*VLOOKUP($B402,FoodDB!$A$2:$I$1011,5,0)</f>
        <v>0</v>
      </c>
      <c r="G402">
        <f>$C402*VLOOKUP($B402,FoodDB!$A$2:$I$1011,6,0)</f>
        <v>0</v>
      </c>
      <c r="H402">
        <f>$C402*VLOOKUP($B402,FoodDB!$A$2:$I$1011,7,0)</f>
        <v>0</v>
      </c>
      <c r="I402">
        <f>$C402*VLOOKUP($B402,FoodDB!$A$2:$I$1011,8,0)</f>
        <v>0</v>
      </c>
      <c r="J402">
        <f>$C402*VLOOKUP($B402,FoodDB!$A$2:$I$1011,9,0)</f>
        <v>0</v>
      </c>
    </row>
    <row r="403" spans="1:19" x14ac:dyDescent="0.25">
      <c r="A403" t="s">
        <v>97</v>
      </c>
      <c r="G403">
        <f>SUM(G396:G402)</f>
        <v>0</v>
      </c>
      <c r="H403">
        <f>SUM(H396:H402)</f>
        <v>0</v>
      </c>
      <c r="I403">
        <f>SUM(I396:I402)</f>
        <v>0</v>
      </c>
      <c r="J403">
        <f>SUM(G403:I403)</f>
        <v>0</v>
      </c>
    </row>
    <row r="404" spans="1:19" x14ac:dyDescent="0.25">
      <c r="A404" t="s">
        <v>101</v>
      </c>
      <c r="B404" t="s">
        <v>102</v>
      </c>
      <c r="E404" s="98"/>
      <c r="F404" s="98"/>
      <c r="G404" s="98">
        <f>VLOOKUP($A396,LossChart!$A$3:$AB$105,14,0)</f>
        <v>594.42690255268508</v>
      </c>
      <c r="H404" s="98">
        <f>VLOOKUP($A396,LossChart!$A$3:$AB$105,15,0)</f>
        <v>80</v>
      </c>
      <c r="I404" s="98">
        <f>VLOOKUP($A396,LossChart!$A$3:$AB$105,16,0)</f>
        <v>482.47465271142238</v>
      </c>
      <c r="J404" s="98">
        <f>VLOOKUP($A396,LossChart!$A$3:$AB$105,17,0)</f>
        <v>1156.9015552641074</v>
      </c>
      <c r="K404" s="98"/>
    </row>
    <row r="405" spans="1:19" x14ac:dyDescent="0.25">
      <c r="A405" t="s">
        <v>103</v>
      </c>
      <c r="G405">
        <f>G404-G403</f>
        <v>594.42690255268508</v>
      </c>
      <c r="H405">
        <f>H404-H403</f>
        <v>80</v>
      </c>
      <c r="I405">
        <f>I404-I403</f>
        <v>482.47465271142238</v>
      </c>
      <c r="J405">
        <f>J404-J403</f>
        <v>1156.9015552641074</v>
      </c>
    </row>
    <row r="407" spans="1:19" ht="60" x14ac:dyDescent="0.25">
      <c r="A407" s="21" t="s">
        <v>63</v>
      </c>
      <c r="B407" s="21" t="s">
        <v>92</v>
      </c>
      <c r="C407" s="21" t="s">
        <v>93</v>
      </c>
      <c r="D407" s="92" t="str">
        <f>FoodDB!$C$1</f>
        <v>Fat
(g)</v>
      </c>
      <c r="E407" s="92" t="str">
        <f>FoodDB!$D$1</f>
        <v xml:space="preserve"> Carbs
(g)</v>
      </c>
      <c r="F407" s="92" t="str">
        <f>FoodDB!$E$1</f>
        <v>Protein
(g)</v>
      </c>
      <c r="G407" s="92" t="str">
        <f>FoodDB!$F$1</f>
        <v>Fat
(Cal)</v>
      </c>
      <c r="H407" s="92" t="str">
        <f>FoodDB!$G$1</f>
        <v>Carb
(Cal)</v>
      </c>
      <c r="I407" s="92" t="str">
        <f>FoodDB!$H$1</f>
        <v>Protein
(Cal)</v>
      </c>
      <c r="J407" s="92" t="str">
        <f>FoodDB!$I$1</f>
        <v>Total
Calories</v>
      </c>
      <c r="K407" s="92"/>
      <c r="L407" s="92" t="s">
        <v>109</v>
      </c>
      <c r="M407" s="92" t="s">
        <v>110</v>
      </c>
      <c r="N407" s="92" t="s">
        <v>111</v>
      </c>
      <c r="O407" s="92" t="s">
        <v>112</v>
      </c>
      <c r="P407" s="92" t="s">
        <v>117</v>
      </c>
      <c r="Q407" s="92" t="s">
        <v>118</v>
      </c>
      <c r="R407" s="92" t="s">
        <v>119</v>
      </c>
      <c r="S407" s="92" t="s">
        <v>120</v>
      </c>
    </row>
    <row r="408" spans="1:19" x14ac:dyDescent="0.25">
      <c r="A408" s="93">
        <f>A396+1</f>
        <v>43028</v>
      </c>
      <c r="B408" s="94" t="s">
        <v>107</v>
      </c>
      <c r="C408" s="95">
        <v>0</v>
      </c>
      <c r="D408">
        <f>$C408*VLOOKUP($B408,FoodDB!$A$2:$I$1011,3,0)</f>
        <v>0</v>
      </c>
      <c r="E408">
        <f>$C408*VLOOKUP($B408,FoodDB!$A$2:$I$1011,4,0)</f>
        <v>0</v>
      </c>
      <c r="F408">
        <f>$C408*VLOOKUP($B408,FoodDB!$A$2:$I$1011,5,0)</f>
        <v>0</v>
      </c>
      <c r="G408">
        <f>$C408*VLOOKUP($B408,FoodDB!$A$2:$I$1011,6,0)</f>
        <v>0</v>
      </c>
      <c r="H408">
        <f>$C408*VLOOKUP($B408,FoodDB!$A$2:$I$1011,7,0)</f>
        <v>0</v>
      </c>
      <c r="I408">
        <f>$C408*VLOOKUP($B408,FoodDB!$A$2:$I$1011,8,0)</f>
        <v>0</v>
      </c>
      <c r="J408">
        <f>$C408*VLOOKUP($B408,FoodDB!$A$2:$I$1011,9,0)</f>
        <v>0</v>
      </c>
      <c r="L408">
        <f>SUM(G408:G414)</f>
        <v>0</v>
      </c>
      <c r="M408">
        <f>SUM(H408:H414)</f>
        <v>0</v>
      </c>
      <c r="N408">
        <f>SUM(I408:I414)</f>
        <v>0</v>
      </c>
      <c r="O408">
        <f>SUM(L408:N408)</f>
        <v>0</v>
      </c>
      <c r="P408" s="98">
        <f>VLOOKUP($A408,LossChart!$A$3:$AB$105,14,0)-L408</f>
        <v>600.79670657714428</v>
      </c>
      <c r="Q408" s="98">
        <f>VLOOKUP($A408,LossChart!$A$3:$AB$105,15,0)-M408</f>
        <v>80</v>
      </c>
      <c r="R408" s="98">
        <f>VLOOKUP($A408,LossChart!$A$3:$AB$105,16,0)-N408</f>
        <v>482.47465271142238</v>
      </c>
      <c r="S408" s="98">
        <f>VLOOKUP($A408,LossChart!$A$3:$AB$105,17,0)-O408</f>
        <v>1163.2713592885666</v>
      </c>
    </row>
    <row r="409" spans="1:19" x14ac:dyDescent="0.25">
      <c r="B409" s="94" t="s">
        <v>107</v>
      </c>
      <c r="C409" s="95">
        <v>0</v>
      </c>
      <c r="D409">
        <f>$C409*VLOOKUP($B409,FoodDB!$A$2:$I$1011,3,0)</f>
        <v>0</v>
      </c>
      <c r="E409">
        <f>$C409*VLOOKUP($B409,FoodDB!$A$2:$I$1011,4,0)</f>
        <v>0</v>
      </c>
      <c r="F409">
        <f>$C409*VLOOKUP($B409,FoodDB!$A$2:$I$1011,5,0)</f>
        <v>0</v>
      </c>
      <c r="G409">
        <f>$C409*VLOOKUP($B409,FoodDB!$A$2:$I$1011,6,0)</f>
        <v>0</v>
      </c>
      <c r="H409">
        <f>$C409*VLOOKUP($B409,FoodDB!$A$2:$I$1011,7,0)</f>
        <v>0</v>
      </c>
      <c r="I409">
        <f>$C409*VLOOKUP($B409,FoodDB!$A$2:$I$1011,8,0)</f>
        <v>0</v>
      </c>
      <c r="J409">
        <f>$C409*VLOOKUP($B409,FoodDB!$A$2:$I$1011,9,0)</f>
        <v>0</v>
      </c>
    </row>
    <row r="410" spans="1:19" x14ac:dyDescent="0.25">
      <c r="B410" s="94" t="s">
        <v>107</v>
      </c>
      <c r="C410" s="95">
        <v>0</v>
      </c>
      <c r="D410">
        <f>$C410*VLOOKUP($B410,FoodDB!$A$2:$I$1011,3,0)</f>
        <v>0</v>
      </c>
      <c r="E410">
        <f>$C410*VLOOKUP($B410,FoodDB!$A$2:$I$1011,4,0)</f>
        <v>0</v>
      </c>
      <c r="F410">
        <f>$C410*VLOOKUP($B410,FoodDB!$A$2:$I$1011,5,0)</f>
        <v>0</v>
      </c>
      <c r="G410">
        <f>$C410*VLOOKUP($B410,FoodDB!$A$2:$I$1011,6,0)</f>
        <v>0</v>
      </c>
      <c r="H410">
        <f>$C410*VLOOKUP($B410,FoodDB!$A$2:$I$1011,7,0)</f>
        <v>0</v>
      </c>
      <c r="I410">
        <f>$C410*VLOOKUP($B410,FoodDB!$A$2:$I$1011,8,0)</f>
        <v>0</v>
      </c>
      <c r="J410">
        <f>$C410*VLOOKUP($B410,FoodDB!$A$2:$I$1011,9,0)</f>
        <v>0</v>
      </c>
    </row>
    <row r="411" spans="1:19" x14ac:dyDescent="0.25">
      <c r="B411" s="94" t="s">
        <v>107</v>
      </c>
      <c r="C411" s="95">
        <v>0</v>
      </c>
      <c r="D411">
        <f>$C411*VLOOKUP($B411,FoodDB!$A$2:$I$1011,3,0)</f>
        <v>0</v>
      </c>
      <c r="E411">
        <f>$C411*VLOOKUP($B411,FoodDB!$A$2:$I$1011,4,0)</f>
        <v>0</v>
      </c>
      <c r="F411">
        <f>$C411*VLOOKUP($B411,FoodDB!$A$2:$I$1011,5,0)</f>
        <v>0</v>
      </c>
      <c r="G411">
        <f>$C411*VLOOKUP($B411,FoodDB!$A$2:$I$1011,6,0)</f>
        <v>0</v>
      </c>
      <c r="H411">
        <f>$C411*VLOOKUP($B411,FoodDB!$A$2:$I$1011,7,0)</f>
        <v>0</v>
      </c>
      <c r="I411">
        <f>$C411*VLOOKUP($B411,FoodDB!$A$2:$I$1011,8,0)</f>
        <v>0</v>
      </c>
      <c r="J411">
        <f>$C411*VLOOKUP($B411,FoodDB!$A$2:$I$1011,9,0)</f>
        <v>0</v>
      </c>
    </row>
    <row r="412" spans="1:19" x14ac:dyDescent="0.25">
      <c r="B412" s="94" t="s">
        <v>107</v>
      </c>
      <c r="C412" s="95">
        <v>0</v>
      </c>
      <c r="D412">
        <f>$C412*VLOOKUP($B412,FoodDB!$A$2:$I$1011,3,0)</f>
        <v>0</v>
      </c>
      <c r="E412">
        <f>$C412*VLOOKUP($B412,FoodDB!$A$2:$I$1011,4,0)</f>
        <v>0</v>
      </c>
      <c r="F412">
        <f>$C412*VLOOKUP($B412,FoodDB!$A$2:$I$1011,5,0)</f>
        <v>0</v>
      </c>
      <c r="G412">
        <f>$C412*VLOOKUP($B412,FoodDB!$A$2:$I$1011,6,0)</f>
        <v>0</v>
      </c>
      <c r="H412">
        <f>$C412*VLOOKUP($B412,FoodDB!$A$2:$I$1011,7,0)</f>
        <v>0</v>
      </c>
      <c r="I412">
        <f>$C412*VLOOKUP($B412,FoodDB!$A$2:$I$1011,8,0)</f>
        <v>0</v>
      </c>
      <c r="J412">
        <f>$C412*VLOOKUP($B412,FoodDB!$A$2:$I$1011,9,0)</f>
        <v>0</v>
      </c>
    </row>
    <row r="413" spans="1:19" x14ac:dyDescent="0.25">
      <c r="B413" s="94" t="s">
        <v>107</v>
      </c>
      <c r="C413" s="95">
        <v>0</v>
      </c>
      <c r="D413">
        <f>$C413*VLOOKUP($B413,FoodDB!$A$2:$I$1011,3,0)</f>
        <v>0</v>
      </c>
      <c r="E413">
        <f>$C413*VLOOKUP($B413,FoodDB!$A$2:$I$1011,4,0)</f>
        <v>0</v>
      </c>
      <c r="F413">
        <f>$C413*VLOOKUP($B413,FoodDB!$A$2:$I$1011,5,0)</f>
        <v>0</v>
      </c>
      <c r="G413">
        <f>$C413*VLOOKUP($B413,FoodDB!$A$2:$I$1011,6,0)</f>
        <v>0</v>
      </c>
      <c r="H413">
        <f>$C413*VLOOKUP($B413,FoodDB!$A$2:$I$1011,7,0)</f>
        <v>0</v>
      </c>
      <c r="I413">
        <f>$C413*VLOOKUP($B413,FoodDB!$A$2:$I$1011,8,0)</f>
        <v>0</v>
      </c>
      <c r="J413">
        <f>$C413*VLOOKUP($B413,FoodDB!$A$2:$I$1011,9,0)</f>
        <v>0</v>
      </c>
    </row>
    <row r="414" spans="1:19" x14ac:dyDescent="0.25">
      <c r="B414" s="94" t="s">
        <v>107</v>
      </c>
      <c r="C414" s="95">
        <v>0</v>
      </c>
      <c r="D414">
        <f>$C414*VLOOKUP($B414,FoodDB!$A$2:$I$1011,3,0)</f>
        <v>0</v>
      </c>
      <c r="E414">
        <f>$C414*VLOOKUP($B414,FoodDB!$A$2:$I$1011,4,0)</f>
        <v>0</v>
      </c>
      <c r="F414">
        <f>$C414*VLOOKUP($B414,FoodDB!$A$2:$I$1011,5,0)</f>
        <v>0</v>
      </c>
      <c r="G414">
        <f>$C414*VLOOKUP($B414,FoodDB!$A$2:$I$1011,6,0)</f>
        <v>0</v>
      </c>
      <c r="H414">
        <f>$C414*VLOOKUP($B414,FoodDB!$A$2:$I$1011,7,0)</f>
        <v>0</v>
      </c>
      <c r="I414">
        <f>$C414*VLOOKUP($B414,FoodDB!$A$2:$I$1011,8,0)</f>
        <v>0</v>
      </c>
      <c r="J414">
        <f>$C414*VLOOKUP($B414,FoodDB!$A$2:$I$1011,9,0)</f>
        <v>0</v>
      </c>
    </row>
    <row r="415" spans="1:19" x14ac:dyDescent="0.25">
      <c r="A415" t="s">
        <v>97</v>
      </c>
      <c r="G415">
        <f>SUM(G408:G414)</f>
        <v>0</v>
      </c>
      <c r="H415">
        <f>SUM(H408:H414)</f>
        <v>0</v>
      </c>
      <c r="I415">
        <f>SUM(I408:I414)</f>
        <v>0</v>
      </c>
      <c r="J415">
        <f>SUM(G415:I415)</f>
        <v>0</v>
      </c>
    </row>
    <row r="416" spans="1:19" x14ac:dyDescent="0.25">
      <c r="A416" t="s">
        <v>101</v>
      </c>
      <c r="B416" t="s">
        <v>102</v>
      </c>
      <c r="E416" s="98"/>
      <c r="F416" s="98"/>
      <c r="G416" s="98">
        <f>VLOOKUP($A408,LossChart!$A$3:$AB$105,14,0)</f>
        <v>600.79670657714428</v>
      </c>
      <c r="H416" s="98">
        <f>VLOOKUP($A408,LossChart!$A$3:$AB$105,15,0)</f>
        <v>80</v>
      </c>
      <c r="I416" s="98">
        <f>VLOOKUP($A408,LossChart!$A$3:$AB$105,16,0)</f>
        <v>482.47465271142238</v>
      </c>
      <c r="J416" s="98">
        <f>VLOOKUP($A408,LossChart!$A$3:$AB$105,17,0)</f>
        <v>1163.2713592885666</v>
      </c>
      <c r="K416" s="98"/>
    </row>
    <row r="417" spans="1:19" x14ac:dyDescent="0.25">
      <c r="A417" t="s">
        <v>103</v>
      </c>
      <c r="G417">
        <f>G416-G415</f>
        <v>600.79670657714428</v>
      </c>
      <c r="H417">
        <f>H416-H415</f>
        <v>80</v>
      </c>
      <c r="I417">
        <f>I416-I415</f>
        <v>482.47465271142238</v>
      </c>
      <c r="J417">
        <f>J416-J415</f>
        <v>1163.2713592885666</v>
      </c>
    </row>
    <row r="419" spans="1:19" ht="60" x14ac:dyDescent="0.25">
      <c r="A419" s="21" t="s">
        <v>63</v>
      </c>
      <c r="B419" s="21" t="s">
        <v>92</v>
      </c>
      <c r="C419" s="21" t="s">
        <v>93</v>
      </c>
      <c r="D419" s="92" t="str">
        <f>FoodDB!$C$1</f>
        <v>Fat
(g)</v>
      </c>
      <c r="E419" s="92" t="str">
        <f>FoodDB!$D$1</f>
        <v xml:space="preserve"> Carbs
(g)</v>
      </c>
      <c r="F419" s="92" t="str">
        <f>FoodDB!$E$1</f>
        <v>Protein
(g)</v>
      </c>
      <c r="G419" s="92" t="str">
        <f>FoodDB!$F$1</f>
        <v>Fat
(Cal)</v>
      </c>
      <c r="H419" s="92" t="str">
        <f>FoodDB!$G$1</f>
        <v>Carb
(Cal)</v>
      </c>
      <c r="I419" s="92" t="str">
        <f>FoodDB!$H$1</f>
        <v>Protein
(Cal)</v>
      </c>
      <c r="J419" s="92" t="str">
        <f>FoodDB!$I$1</f>
        <v>Total
Calories</v>
      </c>
      <c r="K419" s="92"/>
      <c r="L419" s="92" t="s">
        <v>109</v>
      </c>
      <c r="M419" s="92" t="s">
        <v>110</v>
      </c>
      <c r="N419" s="92" t="s">
        <v>111</v>
      </c>
      <c r="O419" s="92" t="s">
        <v>112</v>
      </c>
      <c r="P419" s="92" t="s">
        <v>117</v>
      </c>
      <c r="Q419" s="92" t="s">
        <v>118</v>
      </c>
      <c r="R419" s="92" t="s">
        <v>119</v>
      </c>
      <c r="S419" s="92" t="s">
        <v>120</v>
      </c>
    </row>
    <row r="420" spans="1:19" x14ac:dyDescent="0.25">
      <c r="A420" s="93">
        <f>A408+1</f>
        <v>43029</v>
      </c>
      <c r="B420" s="94" t="s">
        <v>107</v>
      </c>
      <c r="C420" s="95">
        <v>0</v>
      </c>
      <c r="D420">
        <f>$C420*VLOOKUP($B420,FoodDB!$A$2:$I$1011,3,0)</f>
        <v>0</v>
      </c>
      <c r="E420">
        <f>$C420*VLOOKUP($B420,FoodDB!$A$2:$I$1011,4,0)</f>
        <v>0</v>
      </c>
      <c r="F420">
        <f>$C420*VLOOKUP($B420,FoodDB!$A$2:$I$1011,5,0)</f>
        <v>0</v>
      </c>
      <c r="G420">
        <f>$C420*VLOOKUP($B420,FoodDB!$A$2:$I$1011,6,0)</f>
        <v>0</v>
      </c>
      <c r="H420">
        <f>$C420*VLOOKUP($B420,FoodDB!$A$2:$I$1011,7,0)</f>
        <v>0</v>
      </c>
      <c r="I420">
        <f>$C420*VLOOKUP($B420,FoodDB!$A$2:$I$1011,8,0)</f>
        <v>0</v>
      </c>
      <c r="J420">
        <f>$C420*VLOOKUP($B420,FoodDB!$A$2:$I$1011,9,0)</f>
        <v>0</v>
      </c>
      <c r="L420">
        <f>SUM(G420:G426)</f>
        <v>0</v>
      </c>
      <c r="M420">
        <f>SUM(H420:H426)</f>
        <v>0</v>
      </c>
      <c r="N420">
        <f>SUM(I420:I426)</f>
        <v>0</v>
      </c>
      <c r="O420">
        <f>SUM(L420:N420)</f>
        <v>0</v>
      </c>
      <c r="P420" s="98">
        <f>VLOOKUP($A420,LossChart!$A$3:$AB$105,14,0)-L420</f>
        <v>607.1100923373865</v>
      </c>
      <c r="Q420" s="98">
        <f>VLOOKUP($A420,LossChart!$A$3:$AB$105,15,0)-M420</f>
        <v>80</v>
      </c>
      <c r="R420" s="98">
        <f>VLOOKUP($A420,LossChart!$A$3:$AB$105,16,0)-N420</f>
        <v>482.47465271142238</v>
      </c>
      <c r="S420" s="98">
        <f>VLOOKUP($A420,LossChart!$A$3:$AB$105,17,0)-O420</f>
        <v>1169.5847450488088</v>
      </c>
    </row>
    <row r="421" spans="1:19" x14ac:dyDescent="0.25">
      <c r="B421" s="94" t="s">
        <v>107</v>
      </c>
      <c r="C421" s="95">
        <v>0</v>
      </c>
      <c r="D421">
        <f>$C421*VLOOKUP($B421,FoodDB!$A$2:$I$1011,3,0)</f>
        <v>0</v>
      </c>
      <c r="E421">
        <f>$C421*VLOOKUP($B421,FoodDB!$A$2:$I$1011,4,0)</f>
        <v>0</v>
      </c>
      <c r="F421">
        <f>$C421*VLOOKUP($B421,FoodDB!$A$2:$I$1011,5,0)</f>
        <v>0</v>
      </c>
      <c r="G421">
        <f>$C421*VLOOKUP($B421,FoodDB!$A$2:$I$1011,6,0)</f>
        <v>0</v>
      </c>
      <c r="H421">
        <f>$C421*VLOOKUP($B421,FoodDB!$A$2:$I$1011,7,0)</f>
        <v>0</v>
      </c>
      <c r="I421">
        <f>$C421*VLOOKUP($B421,FoodDB!$A$2:$I$1011,8,0)</f>
        <v>0</v>
      </c>
      <c r="J421">
        <f>$C421*VLOOKUP($B421,FoodDB!$A$2:$I$1011,9,0)</f>
        <v>0</v>
      </c>
    </row>
    <row r="422" spans="1:19" x14ac:dyDescent="0.25">
      <c r="B422" s="94" t="s">
        <v>107</v>
      </c>
      <c r="C422" s="95">
        <v>0</v>
      </c>
      <c r="D422">
        <f>$C422*VLOOKUP($B422,FoodDB!$A$2:$I$1011,3,0)</f>
        <v>0</v>
      </c>
      <c r="E422">
        <f>$C422*VLOOKUP($B422,FoodDB!$A$2:$I$1011,4,0)</f>
        <v>0</v>
      </c>
      <c r="F422">
        <f>$C422*VLOOKUP($B422,FoodDB!$A$2:$I$1011,5,0)</f>
        <v>0</v>
      </c>
      <c r="G422">
        <f>$C422*VLOOKUP($B422,FoodDB!$A$2:$I$1011,6,0)</f>
        <v>0</v>
      </c>
      <c r="H422">
        <f>$C422*VLOOKUP($B422,FoodDB!$A$2:$I$1011,7,0)</f>
        <v>0</v>
      </c>
      <c r="I422">
        <f>$C422*VLOOKUP($B422,FoodDB!$A$2:$I$1011,8,0)</f>
        <v>0</v>
      </c>
      <c r="J422">
        <f>$C422*VLOOKUP($B422,FoodDB!$A$2:$I$1011,9,0)</f>
        <v>0</v>
      </c>
    </row>
    <row r="423" spans="1:19" x14ac:dyDescent="0.25">
      <c r="B423" s="94" t="s">
        <v>107</v>
      </c>
      <c r="C423" s="95">
        <v>0</v>
      </c>
      <c r="D423">
        <f>$C423*VLOOKUP($B423,FoodDB!$A$2:$I$1011,3,0)</f>
        <v>0</v>
      </c>
      <c r="E423">
        <f>$C423*VLOOKUP($B423,FoodDB!$A$2:$I$1011,4,0)</f>
        <v>0</v>
      </c>
      <c r="F423">
        <f>$C423*VLOOKUP($B423,FoodDB!$A$2:$I$1011,5,0)</f>
        <v>0</v>
      </c>
      <c r="G423">
        <f>$C423*VLOOKUP($B423,FoodDB!$A$2:$I$1011,6,0)</f>
        <v>0</v>
      </c>
      <c r="H423">
        <f>$C423*VLOOKUP($B423,FoodDB!$A$2:$I$1011,7,0)</f>
        <v>0</v>
      </c>
      <c r="I423">
        <f>$C423*VLOOKUP($B423,FoodDB!$A$2:$I$1011,8,0)</f>
        <v>0</v>
      </c>
      <c r="J423">
        <f>$C423*VLOOKUP($B423,FoodDB!$A$2:$I$1011,9,0)</f>
        <v>0</v>
      </c>
    </row>
    <row r="424" spans="1:19" x14ac:dyDescent="0.25">
      <c r="B424" s="94" t="s">
        <v>107</v>
      </c>
      <c r="C424" s="95">
        <v>0</v>
      </c>
      <c r="D424">
        <f>$C424*VLOOKUP($B424,FoodDB!$A$2:$I$1011,3,0)</f>
        <v>0</v>
      </c>
      <c r="E424">
        <f>$C424*VLOOKUP($B424,FoodDB!$A$2:$I$1011,4,0)</f>
        <v>0</v>
      </c>
      <c r="F424">
        <f>$C424*VLOOKUP($B424,FoodDB!$A$2:$I$1011,5,0)</f>
        <v>0</v>
      </c>
      <c r="G424">
        <f>$C424*VLOOKUP($B424,FoodDB!$A$2:$I$1011,6,0)</f>
        <v>0</v>
      </c>
      <c r="H424">
        <f>$C424*VLOOKUP($B424,FoodDB!$A$2:$I$1011,7,0)</f>
        <v>0</v>
      </c>
      <c r="I424">
        <f>$C424*VLOOKUP($B424,FoodDB!$A$2:$I$1011,8,0)</f>
        <v>0</v>
      </c>
      <c r="J424">
        <f>$C424*VLOOKUP($B424,FoodDB!$A$2:$I$1011,9,0)</f>
        <v>0</v>
      </c>
    </row>
    <row r="425" spans="1:19" x14ac:dyDescent="0.25">
      <c r="B425" s="94" t="s">
        <v>107</v>
      </c>
      <c r="C425" s="95">
        <v>0</v>
      </c>
      <c r="D425">
        <f>$C425*VLOOKUP($B425,FoodDB!$A$2:$I$1011,3,0)</f>
        <v>0</v>
      </c>
      <c r="E425">
        <f>$C425*VLOOKUP($B425,FoodDB!$A$2:$I$1011,4,0)</f>
        <v>0</v>
      </c>
      <c r="F425">
        <f>$C425*VLOOKUP($B425,FoodDB!$A$2:$I$1011,5,0)</f>
        <v>0</v>
      </c>
      <c r="G425">
        <f>$C425*VLOOKUP($B425,FoodDB!$A$2:$I$1011,6,0)</f>
        <v>0</v>
      </c>
      <c r="H425">
        <f>$C425*VLOOKUP($B425,FoodDB!$A$2:$I$1011,7,0)</f>
        <v>0</v>
      </c>
      <c r="I425">
        <f>$C425*VLOOKUP($B425,FoodDB!$A$2:$I$1011,8,0)</f>
        <v>0</v>
      </c>
      <c r="J425">
        <f>$C425*VLOOKUP($B425,FoodDB!$A$2:$I$1011,9,0)</f>
        <v>0</v>
      </c>
    </row>
    <row r="426" spans="1:19" x14ac:dyDescent="0.25">
      <c r="B426" s="94" t="s">
        <v>107</v>
      </c>
      <c r="C426" s="95">
        <v>0</v>
      </c>
      <c r="D426">
        <f>$C426*VLOOKUP($B426,FoodDB!$A$2:$I$1011,3,0)</f>
        <v>0</v>
      </c>
      <c r="E426">
        <f>$C426*VLOOKUP($B426,FoodDB!$A$2:$I$1011,4,0)</f>
        <v>0</v>
      </c>
      <c r="F426">
        <f>$C426*VLOOKUP($B426,FoodDB!$A$2:$I$1011,5,0)</f>
        <v>0</v>
      </c>
      <c r="G426">
        <f>$C426*VLOOKUP($B426,FoodDB!$A$2:$I$1011,6,0)</f>
        <v>0</v>
      </c>
      <c r="H426">
        <f>$C426*VLOOKUP($B426,FoodDB!$A$2:$I$1011,7,0)</f>
        <v>0</v>
      </c>
      <c r="I426">
        <f>$C426*VLOOKUP($B426,FoodDB!$A$2:$I$1011,8,0)</f>
        <v>0</v>
      </c>
      <c r="J426">
        <f>$C426*VLOOKUP($B426,FoodDB!$A$2:$I$1011,9,0)</f>
        <v>0</v>
      </c>
    </row>
    <row r="427" spans="1:19" x14ac:dyDescent="0.25">
      <c r="A427" t="s">
        <v>97</v>
      </c>
      <c r="G427">
        <f>SUM(G420:G426)</f>
        <v>0</v>
      </c>
      <c r="H427">
        <f>SUM(H420:H426)</f>
        <v>0</v>
      </c>
      <c r="I427">
        <f>SUM(I420:I426)</f>
        <v>0</v>
      </c>
      <c r="J427">
        <f>SUM(G427:I427)</f>
        <v>0</v>
      </c>
    </row>
    <row r="428" spans="1:19" x14ac:dyDescent="0.25">
      <c r="A428" t="s">
        <v>101</v>
      </c>
      <c r="B428" t="s">
        <v>102</v>
      </c>
      <c r="E428" s="98"/>
      <c r="F428" s="98"/>
      <c r="G428" s="98">
        <f>VLOOKUP($A420,LossChart!$A$3:$AB$105,14,0)</f>
        <v>607.1100923373865</v>
      </c>
      <c r="H428" s="98">
        <f>VLOOKUP($A420,LossChart!$A$3:$AB$105,15,0)</f>
        <v>80</v>
      </c>
      <c r="I428" s="98">
        <f>VLOOKUP($A420,LossChart!$A$3:$AB$105,16,0)</f>
        <v>482.47465271142238</v>
      </c>
      <c r="J428" s="98">
        <f>VLOOKUP($A420,LossChart!$A$3:$AB$105,17,0)</f>
        <v>1169.5847450488088</v>
      </c>
      <c r="K428" s="98"/>
    </row>
    <row r="429" spans="1:19" x14ac:dyDescent="0.25">
      <c r="A429" t="s">
        <v>103</v>
      </c>
      <c r="G429">
        <f>G428-G427</f>
        <v>607.1100923373865</v>
      </c>
      <c r="H429">
        <f>H428-H427</f>
        <v>80</v>
      </c>
      <c r="I429">
        <f>I428-I427</f>
        <v>482.47465271142238</v>
      </c>
      <c r="J429">
        <f>J428-J427</f>
        <v>1169.5847450488088</v>
      </c>
    </row>
    <row r="431" spans="1:19" ht="60" x14ac:dyDescent="0.25">
      <c r="A431" s="21" t="s">
        <v>63</v>
      </c>
      <c r="B431" s="21" t="s">
        <v>92</v>
      </c>
      <c r="C431" s="21" t="s">
        <v>93</v>
      </c>
      <c r="D431" s="92" t="str">
        <f>FoodDB!$C$1</f>
        <v>Fat
(g)</v>
      </c>
      <c r="E431" s="92" t="str">
        <f>FoodDB!$D$1</f>
        <v xml:space="preserve"> Carbs
(g)</v>
      </c>
      <c r="F431" s="92" t="str">
        <f>FoodDB!$E$1</f>
        <v>Protein
(g)</v>
      </c>
      <c r="G431" s="92" t="str">
        <f>FoodDB!$F$1</f>
        <v>Fat
(Cal)</v>
      </c>
      <c r="H431" s="92" t="str">
        <f>FoodDB!$G$1</f>
        <v>Carb
(Cal)</v>
      </c>
      <c r="I431" s="92" t="str">
        <f>FoodDB!$H$1</f>
        <v>Protein
(Cal)</v>
      </c>
      <c r="J431" s="92" t="str">
        <f>FoodDB!$I$1</f>
        <v>Total
Calories</v>
      </c>
      <c r="K431" s="92"/>
      <c r="L431" s="92" t="s">
        <v>109</v>
      </c>
      <c r="M431" s="92" t="s">
        <v>110</v>
      </c>
      <c r="N431" s="92" t="s">
        <v>111</v>
      </c>
      <c r="O431" s="92" t="s">
        <v>112</v>
      </c>
      <c r="P431" s="92" t="s">
        <v>117</v>
      </c>
      <c r="Q431" s="92" t="s">
        <v>118</v>
      </c>
      <c r="R431" s="92" t="s">
        <v>119</v>
      </c>
      <c r="S431" s="92" t="s">
        <v>120</v>
      </c>
    </row>
    <row r="432" spans="1:19" x14ac:dyDescent="0.25">
      <c r="A432" s="93">
        <f>A420+1</f>
        <v>43030</v>
      </c>
      <c r="B432" s="94" t="s">
        <v>107</v>
      </c>
      <c r="C432" s="95">
        <v>0</v>
      </c>
      <c r="D432">
        <f>$C432*VLOOKUP($B432,FoodDB!$A$2:$I$1011,3,0)</f>
        <v>0</v>
      </c>
      <c r="E432">
        <f>$C432*VLOOKUP($B432,FoodDB!$A$2:$I$1011,4,0)</f>
        <v>0</v>
      </c>
      <c r="F432">
        <f>$C432*VLOOKUP($B432,FoodDB!$A$2:$I$1011,5,0)</f>
        <v>0</v>
      </c>
      <c r="G432">
        <f>$C432*VLOOKUP($B432,FoodDB!$A$2:$I$1011,6,0)</f>
        <v>0</v>
      </c>
      <c r="H432">
        <f>$C432*VLOOKUP($B432,FoodDB!$A$2:$I$1011,7,0)</f>
        <v>0</v>
      </c>
      <c r="I432">
        <f>$C432*VLOOKUP($B432,FoodDB!$A$2:$I$1011,8,0)</f>
        <v>0</v>
      </c>
      <c r="J432">
        <f>$C432*VLOOKUP($B432,FoodDB!$A$2:$I$1011,9,0)</f>
        <v>0</v>
      </c>
      <c r="L432">
        <f>SUM(G432:G438)</f>
        <v>0</v>
      </c>
      <c r="M432">
        <f>SUM(H432:H438)</f>
        <v>0</v>
      </c>
      <c r="N432">
        <f>SUM(I432:I438)</f>
        <v>0</v>
      </c>
      <c r="O432">
        <f>SUM(L432:N432)</f>
        <v>0</v>
      </c>
      <c r="P432" s="98">
        <f>VLOOKUP($A432,LossChart!$A$3:$AB$105,14,0)-L432</f>
        <v>613.36755953803799</v>
      </c>
      <c r="Q432" s="98">
        <f>VLOOKUP($A432,LossChart!$A$3:$AB$105,15,0)-M432</f>
        <v>80</v>
      </c>
      <c r="R432" s="98">
        <f>VLOOKUP($A432,LossChart!$A$3:$AB$105,16,0)-N432</f>
        <v>482.47465271142238</v>
      </c>
      <c r="S432" s="98">
        <f>VLOOKUP($A432,LossChart!$A$3:$AB$105,17,0)-O432</f>
        <v>1175.8422122494603</v>
      </c>
    </row>
    <row r="433" spans="1:19" x14ac:dyDescent="0.25">
      <c r="B433" s="94" t="s">
        <v>107</v>
      </c>
      <c r="C433" s="95">
        <v>0</v>
      </c>
      <c r="D433">
        <f>$C433*VLOOKUP($B433,FoodDB!$A$2:$I$1011,3,0)</f>
        <v>0</v>
      </c>
      <c r="E433">
        <f>$C433*VLOOKUP($B433,FoodDB!$A$2:$I$1011,4,0)</f>
        <v>0</v>
      </c>
      <c r="F433">
        <f>$C433*VLOOKUP($B433,FoodDB!$A$2:$I$1011,5,0)</f>
        <v>0</v>
      </c>
      <c r="G433">
        <f>$C433*VLOOKUP($B433,FoodDB!$A$2:$I$1011,6,0)</f>
        <v>0</v>
      </c>
      <c r="H433">
        <f>$C433*VLOOKUP($B433,FoodDB!$A$2:$I$1011,7,0)</f>
        <v>0</v>
      </c>
      <c r="I433">
        <f>$C433*VLOOKUP($B433,FoodDB!$A$2:$I$1011,8,0)</f>
        <v>0</v>
      </c>
      <c r="J433">
        <f>$C433*VLOOKUP($B433,FoodDB!$A$2:$I$1011,9,0)</f>
        <v>0</v>
      </c>
    </row>
    <row r="434" spans="1:19" x14ac:dyDescent="0.25">
      <c r="B434" s="94" t="s">
        <v>107</v>
      </c>
      <c r="C434" s="95">
        <v>0</v>
      </c>
      <c r="D434">
        <f>$C434*VLOOKUP($B434,FoodDB!$A$2:$I$1011,3,0)</f>
        <v>0</v>
      </c>
      <c r="E434">
        <f>$C434*VLOOKUP($B434,FoodDB!$A$2:$I$1011,4,0)</f>
        <v>0</v>
      </c>
      <c r="F434">
        <f>$C434*VLOOKUP($B434,FoodDB!$A$2:$I$1011,5,0)</f>
        <v>0</v>
      </c>
      <c r="G434">
        <f>$C434*VLOOKUP($B434,FoodDB!$A$2:$I$1011,6,0)</f>
        <v>0</v>
      </c>
      <c r="H434">
        <f>$C434*VLOOKUP($B434,FoodDB!$A$2:$I$1011,7,0)</f>
        <v>0</v>
      </c>
      <c r="I434">
        <f>$C434*VLOOKUP($B434,FoodDB!$A$2:$I$1011,8,0)</f>
        <v>0</v>
      </c>
      <c r="J434">
        <f>$C434*VLOOKUP($B434,FoodDB!$A$2:$I$1011,9,0)</f>
        <v>0</v>
      </c>
    </row>
    <row r="435" spans="1:19" x14ac:dyDescent="0.25">
      <c r="B435" s="94" t="s">
        <v>107</v>
      </c>
      <c r="C435" s="95">
        <v>0</v>
      </c>
      <c r="D435">
        <f>$C435*VLOOKUP($B435,FoodDB!$A$2:$I$1011,3,0)</f>
        <v>0</v>
      </c>
      <c r="E435">
        <f>$C435*VLOOKUP($B435,FoodDB!$A$2:$I$1011,4,0)</f>
        <v>0</v>
      </c>
      <c r="F435">
        <f>$C435*VLOOKUP($B435,FoodDB!$A$2:$I$1011,5,0)</f>
        <v>0</v>
      </c>
      <c r="G435">
        <f>$C435*VLOOKUP($B435,FoodDB!$A$2:$I$1011,6,0)</f>
        <v>0</v>
      </c>
      <c r="H435">
        <f>$C435*VLOOKUP($B435,FoodDB!$A$2:$I$1011,7,0)</f>
        <v>0</v>
      </c>
      <c r="I435">
        <f>$C435*VLOOKUP($B435,FoodDB!$A$2:$I$1011,8,0)</f>
        <v>0</v>
      </c>
      <c r="J435">
        <f>$C435*VLOOKUP($B435,FoodDB!$A$2:$I$1011,9,0)</f>
        <v>0</v>
      </c>
    </row>
    <row r="436" spans="1:19" x14ac:dyDescent="0.25">
      <c r="B436" s="94" t="s">
        <v>107</v>
      </c>
      <c r="C436" s="95">
        <v>0</v>
      </c>
      <c r="D436">
        <f>$C436*VLOOKUP($B436,FoodDB!$A$2:$I$1011,3,0)</f>
        <v>0</v>
      </c>
      <c r="E436">
        <f>$C436*VLOOKUP($B436,FoodDB!$A$2:$I$1011,4,0)</f>
        <v>0</v>
      </c>
      <c r="F436">
        <f>$C436*VLOOKUP($B436,FoodDB!$A$2:$I$1011,5,0)</f>
        <v>0</v>
      </c>
      <c r="G436">
        <f>$C436*VLOOKUP($B436,FoodDB!$A$2:$I$1011,6,0)</f>
        <v>0</v>
      </c>
      <c r="H436">
        <f>$C436*VLOOKUP($B436,FoodDB!$A$2:$I$1011,7,0)</f>
        <v>0</v>
      </c>
      <c r="I436">
        <f>$C436*VLOOKUP($B436,FoodDB!$A$2:$I$1011,8,0)</f>
        <v>0</v>
      </c>
      <c r="J436">
        <f>$C436*VLOOKUP($B436,FoodDB!$A$2:$I$1011,9,0)</f>
        <v>0</v>
      </c>
    </row>
    <row r="437" spans="1:19" x14ac:dyDescent="0.25">
      <c r="B437" s="94" t="s">
        <v>107</v>
      </c>
      <c r="C437" s="95">
        <v>0</v>
      </c>
      <c r="D437">
        <f>$C437*VLOOKUP($B437,FoodDB!$A$2:$I$1011,3,0)</f>
        <v>0</v>
      </c>
      <c r="E437">
        <f>$C437*VLOOKUP($B437,FoodDB!$A$2:$I$1011,4,0)</f>
        <v>0</v>
      </c>
      <c r="F437">
        <f>$C437*VLOOKUP($B437,FoodDB!$A$2:$I$1011,5,0)</f>
        <v>0</v>
      </c>
      <c r="G437">
        <f>$C437*VLOOKUP($B437,FoodDB!$A$2:$I$1011,6,0)</f>
        <v>0</v>
      </c>
      <c r="H437">
        <f>$C437*VLOOKUP($B437,FoodDB!$A$2:$I$1011,7,0)</f>
        <v>0</v>
      </c>
      <c r="I437">
        <f>$C437*VLOOKUP($B437,FoodDB!$A$2:$I$1011,8,0)</f>
        <v>0</v>
      </c>
      <c r="J437">
        <f>$C437*VLOOKUP($B437,FoodDB!$A$2:$I$1011,9,0)</f>
        <v>0</v>
      </c>
    </row>
    <row r="438" spans="1:19" x14ac:dyDescent="0.25">
      <c r="B438" s="94" t="s">
        <v>107</v>
      </c>
      <c r="C438" s="95">
        <v>0</v>
      </c>
      <c r="D438">
        <f>$C438*VLOOKUP($B438,FoodDB!$A$2:$I$1011,3,0)</f>
        <v>0</v>
      </c>
      <c r="E438">
        <f>$C438*VLOOKUP($B438,FoodDB!$A$2:$I$1011,4,0)</f>
        <v>0</v>
      </c>
      <c r="F438">
        <f>$C438*VLOOKUP($B438,FoodDB!$A$2:$I$1011,5,0)</f>
        <v>0</v>
      </c>
      <c r="G438">
        <f>$C438*VLOOKUP($B438,FoodDB!$A$2:$I$1011,6,0)</f>
        <v>0</v>
      </c>
      <c r="H438">
        <f>$C438*VLOOKUP($B438,FoodDB!$A$2:$I$1011,7,0)</f>
        <v>0</v>
      </c>
      <c r="I438">
        <f>$C438*VLOOKUP($B438,FoodDB!$A$2:$I$1011,8,0)</f>
        <v>0</v>
      </c>
      <c r="J438">
        <f>$C438*VLOOKUP($B438,FoodDB!$A$2:$I$1011,9,0)</f>
        <v>0</v>
      </c>
    </row>
    <row r="439" spans="1:19" x14ac:dyDescent="0.25">
      <c r="A439" t="s">
        <v>97</v>
      </c>
      <c r="G439">
        <f>SUM(G432:G438)</f>
        <v>0</v>
      </c>
      <c r="H439">
        <f>SUM(H432:H438)</f>
        <v>0</v>
      </c>
      <c r="I439">
        <f>SUM(I432:I438)</f>
        <v>0</v>
      </c>
      <c r="J439">
        <f>SUM(G439:I439)</f>
        <v>0</v>
      </c>
    </row>
    <row r="440" spans="1:19" x14ac:dyDescent="0.25">
      <c r="A440" t="s">
        <v>101</v>
      </c>
      <c r="B440" t="s">
        <v>102</v>
      </c>
      <c r="E440" s="98"/>
      <c r="F440" s="98"/>
      <c r="G440" s="98">
        <f>VLOOKUP($A432,LossChart!$A$3:$AB$105,14,0)</f>
        <v>613.36755953803799</v>
      </c>
      <c r="H440" s="98">
        <f>VLOOKUP($A432,LossChart!$A$3:$AB$105,15,0)</f>
        <v>80</v>
      </c>
      <c r="I440" s="98">
        <f>VLOOKUP($A432,LossChart!$A$3:$AB$105,16,0)</f>
        <v>482.47465271142238</v>
      </c>
      <c r="J440" s="98">
        <f>VLOOKUP($A432,LossChart!$A$3:$AB$105,17,0)</f>
        <v>1175.8422122494603</v>
      </c>
      <c r="K440" s="98"/>
    </row>
    <row r="441" spans="1:19" x14ac:dyDescent="0.25">
      <c r="A441" t="s">
        <v>103</v>
      </c>
      <c r="G441">
        <f>G440-G439</f>
        <v>613.36755953803799</v>
      </c>
      <c r="H441">
        <f>H440-H439</f>
        <v>80</v>
      </c>
      <c r="I441">
        <f>I440-I439</f>
        <v>482.47465271142238</v>
      </c>
      <c r="J441">
        <f>J440-J439</f>
        <v>1175.8422122494603</v>
      </c>
    </row>
    <row r="443" spans="1:19" ht="60" x14ac:dyDescent="0.25">
      <c r="A443" s="21" t="s">
        <v>63</v>
      </c>
      <c r="B443" s="21" t="s">
        <v>92</v>
      </c>
      <c r="C443" s="21" t="s">
        <v>93</v>
      </c>
      <c r="D443" s="92" t="str">
        <f>FoodDB!$C$1</f>
        <v>Fat
(g)</v>
      </c>
      <c r="E443" s="92" t="str">
        <f>FoodDB!$D$1</f>
        <v xml:space="preserve"> Carbs
(g)</v>
      </c>
      <c r="F443" s="92" t="str">
        <f>FoodDB!$E$1</f>
        <v>Protein
(g)</v>
      </c>
      <c r="G443" s="92" t="str">
        <f>FoodDB!$F$1</f>
        <v>Fat
(Cal)</v>
      </c>
      <c r="H443" s="92" t="str">
        <f>FoodDB!$G$1</f>
        <v>Carb
(Cal)</v>
      </c>
      <c r="I443" s="92" t="str">
        <f>FoodDB!$H$1</f>
        <v>Protein
(Cal)</v>
      </c>
      <c r="J443" s="92" t="str">
        <f>FoodDB!$I$1</f>
        <v>Total
Calories</v>
      </c>
      <c r="K443" s="92"/>
      <c r="L443" s="92" t="s">
        <v>109</v>
      </c>
      <c r="M443" s="92" t="s">
        <v>110</v>
      </c>
      <c r="N443" s="92" t="s">
        <v>111</v>
      </c>
      <c r="O443" s="92" t="s">
        <v>112</v>
      </c>
      <c r="P443" s="92" t="s">
        <v>117</v>
      </c>
      <c r="Q443" s="92" t="s">
        <v>118</v>
      </c>
      <c r="R443" s="92" t="s">
        <v>119</v>
      </c>
      <c r="S443" s="92" t="s">
        <v>120</v>
      </c>
    </row>
    <row r="444" spans="1:19" x14ac:dyDescent="0.25">
      <c r="A444" s="93">
        <f>A432+1</f>
        <v>43031</v>
      </c>
      <c r="B444" s="94" t="s">
        <v>107</v>
      </c>
      <c r="C444" s="95">
        <v>0</v>
      </c>
      <c r="D444">
        <f>$C444*VLOOKUP($B444,FoodDB!$A$2:$I$1011,3,0)</f>
        <v>0</v>
      </c>
      <c r="E444">
        <f>$C444*VLOOKUP($B444,FoodDB!$A$2:$I$1011,4,0)</f>
        <v>0</v>
      </c>
      <c r="F444">
        <f>$C444*VLOOKUP($B444,FoodDB!$A$2:$I$1011,5,0)</f>
        <v>0</v>
      </c>
      <c r="G444">
        <f>$C444*VLOOKUP($B444,FoodDB!$A$2:$I$1011,6,0)</f>
        <v>0</v>
      </c>
      <c r="H444">
        <f>$C444*VLOOKUP($B444,FoodDB!$A$2:$I$1011,7,0)</f>
        <v>0</v>
      </c>
      <c r="I444">
        <f>$C444*VLOOKUP($B444,FoodDB!$A$2:$I$1011,8,0)</f>
        <v>0</v>
      </c>
      <c r="J444">
        <f>$C444*VLOOKUP($B444,FoodDB!$A$2:$I$1011,9,0)</f>
        <v>0</v>
      </c>
      <c r="L444">
        <f>SUM(G444:G450)</f>
        <v>0</v>
      </c>
      <c r="M444">
        <f>SUM(H444:H450)</f>
        <v>0</v>
      </c>
      <c r="N444">
        <f>SUM(I444:I450)</f>
        <v>0</v>
      </c>
      <c r="O444">
        <f>SUM(L444:N444)</f>
        <v>0</v>
      </c>
      <c r="P444" s="98">
        <f>VLOOKUP($A444,LossChart!$A$3:$AB$105,14,0)-L444</f>
        <v>619.56960345776952</v>
      </c>
      <c r="Q444" s="98">
        <f>VLOOKUP($A444,LossChart!$A$3:$AB$105,15,0)-M444</f>
        <v>80</v>
      </c>
      <c r="R444" s="98">
        <f>VLOOKUP($A444,LossChart!$A$3:$AB$105,16,0)-N444</f>
        <v>482.47465271142238</v>
      </c>
      <c r="S444" s="98">
        <f>VLOOKUP($A444,LossChart!$A$3:$AB$105,17,0)-O444</f>
        <v>1182.0442561691918</v>
      </c>
    </row>
    <row r="445" spans="1:19" x14ac:dyDescent="0.25">
      <c r="B445" s="94" t="s">
        <v>107</v>
      </c>
      <c r="C445" s="95">
        <v>0</v>
      </c>
      <c r="D445">
        <f>$C445*VLOOKUP($B445,FoodDB!$A$2:$I$1011,3,0)</f>
        <v>0</v>
      </c>
      <c r="E445">
        <f>$C445*VLOOKUP($B445,FoodDB!$A$2:$I$1011,4,0)</f>
        <v>0</v>
      </c>
      <c r="F445">
        <f>$C445*VLOOKUP($B445,FoodDB!$A$2:$I$1011,5,0)</f>
        <v>0</v>
      </c>
      <c r="G445">
        <f>$C445*VLOOKUP($B445,FoodDB!$A$2:$I$1011,6,0)</f>
        <v>0</v>
      </c>
      <c r="H445">
        <f>$C445*VLOOKUP($B445,FoodDB!$A$2:$I$1011,7,0)</f>
        <v>0</v>
      </c>
      <c r="I445">
        <f>$C445*VLOOKUP($B445,FoodDB!$A$2:$I$1011,8,0)</f>
        <v>0</v>
      </c>
      <c r="J445">
        <f>$C445*VLOOKUP($B445,FoodDB!$A$2:$I$1011,9,0)</f>
        <v>0</v>
      </c>
    </row>
    <row r="446" spans="1:19" x14ac:dyDescent="0.25">
      <c r="B446" s="94" t="s">
        <v>107</v>
      </c>
      <c r="C446" s="95">
        <v>0</v>
      </c>
      <c r="D446">
        <f>$C446*VLOOKUP($B446,FoodDB!$A$2:$I$1011,3,0)</f>
        <v>0</v>
      </c>
      <c r="E446">
        <f>$C446*VLOOKUP($B446,FoodDB!$A$2:$I$1011,4,0)</f>
        <v>0</v>
      </c>
      <c r="F446">
        <f>$C446*VLOOKUP($B446,FoodDB!$A$2:$I$1011,5,0)</f>
        <v>0</v>
      </c>
      <c r="G446">
        <f>$C446*VLOOKUP($B446,FoodDB!$A$2:$I$1011,6,0)</f>
        <v>0</v>
      </c>
      <c r="H446">
        <f>$C446*VLOOKUP($B446,FoodDB!$A$2:$I$1011,7,0)</f>
        <v>0</v>
      </c>
      <c r="I446">
        <f>$C446*VLOOKUP($B446,FoodDB!$A$2:$I$1011,8,0)</f>
        <v>0</v>
      </c>
      <c r="J446">
        <f>$C446*VLOOKUP($B446,FoodDB!$A$2:$I$1011,9,0)</f>
        <v>0</v>
      </c>
    </row>
    <row r="447" spans="1:19" x14ac:dyDescent="0.25">
      <c r="B447" s="94" t="s">
        <v>107</v>
      </c>
      <c r="C447" s="95">
        <v>0</v>
      </c>
      <c r="D447">
        <f>$C447*VLOOKUP($B447,FoodDB!$A$2:$I$1011,3,0)</f>
        <v>0</v>
      </c>
      <c r="E447">
        <f>$C447*VLOOKUP($B447,FoodDB!$A$2:$I$1011,4,0)</f>
        <v>0</v>
      </c>
      <c r="F447">
        <f>$C447*VLOOKUP($B447,FoodDB!$A$2:$I$1011,5,0)</f>
        <v>0</v>
      </c>
      <c r="G447">
        <f>$C447*VLOOKUP($B447,FoodDB!$A$2:$I$1011,6,0)</f>
        <v>0</v>
      </c>
      <c r="H447">
        <f>$C447*VLOOKUP($B447,FoodDB!$A$2:$I$1011,7,0)</f>
        <v>0</v>
      </c>
      <c r="I447">
        <f>$C447*VLOOKUP($B447,FoodDB!$A$2:$I$1011,8,0)</f>
        <v>0</v>
      </c>
      <c r="J447">
        <f>$C447*VLOOKUP($B447,FoodDB!$A$2:$I$1011,9,0)</f>
        <v>0</v>
      </c>
    </row>
    <row r="448" spans="1:19" x14ac:dyDescent="0.25">
      <c r="B448" s="94" t="s">
        <v>107</v>
      </c>
      <c r="C448" s="95">
        <v>0</v>
      </c>
      <c r="D448">
        <f>$C448*VLOOKUP($B448,FoodDB!$A$2:$I$1011,3,0)</f>
        <v>0</v>
      </c>
      <c r="E448">
        <f>$C448*VLOOKUP($B448,FoodDB!$A$2:$I$1011,4,0)</f>
        <v>0</v>
      </c>
      <c r="F448">
        <f>$C448*VLOOKUP($B448,FoodDB!$A$2:$I$1011,5,0)</f>
        <v>0</v>
      </c>
      <c r="G448">
        <f>$C448*VLOOKUP($B448,FoodDB!$A$2:$I$1011,6,0)</f>
        <v>0</v>
      </c>
      <c r="H448">
        <f>$C448*VLOOKUP($B448,FoodDB!$A$2:$I$1011,7,0)</f>
        <v>0</v>
      </c>
      <c r="I448">
        <f>$C448*VLOOKUP($B448,FoodDB!$A$2:$I$1011,8,0)</f>
        <v>0</v>
      </c>
      <c r="J448">
        <f>$C448*VLOOKUP($B448,FoodDB!$A$2:$I$1011,9,0)</f>
        <v>0</v>
      </c>
    </row>
    <row r="449" spans="1:19" x14ac:dyDescent="0.25">
      <c r="B449" s="94" t="s">
        <v>107</v>
      </c>
      <c r="C449" s="95">
        <v>0</v>
      </c>
      <c r="D449">
        <f>$C449*VLOOKUP($B449,FoodDB!$A$2:$I$1011,3,0)</f>
        <v>0</v>
      </c>
      <c r="E449">
        <f>$C449*VLOOKUP($B449,FoodDB!$A$2:$I$1011,4,0)</f>
        <v>0</v>
      </c>
      <c r="F449">
        <f>$C449*VLOOKUP($B449,FoodDB!$A$2:$I$1011,5,0)</f>
        <v>0</v>
      </c>
      <c r="G449">
        <f>$C449*VLOOKUP($B449,FoodDB!$A$2:$I$1011,6,0)</f>
        <v>0</v>
      </c>
      <c r="H449">
        <f>$C449*VLOOKUP($B449,FoodDB!$A$2:$I$1011,7,0)</f>
        <v>0</v>
      </c>
      <c r="I449">
        <f>$C449*VLOOKUP($B449,FoodDB!$A$2:$I$1011,8,0)</f>
        <v>0</v>
      </c>
      <c r="J449">
        <f>$C449*VLOOKUP($B449,FoodDB!$A$2:$I$1011,9,0)</f>
        <v>0</v>
      </c>
    </row>
    <row r="450" spans="1:19" x14ac:dyDescent="0.25">
      <c r="B450" s="94" t="s">
        <v>107</v>
      </c>
      <c r="C450" s="95">
        <v>0</v>
      </c>
      <c r="D450">
        <f>$C450*VLOOKUP($B450,FoodDB!$A$2:$I$1011,3,0)</f>
        <v>0</v>
      </c>
      <c r="E450">
        <f>$C450*VLOOKUP($B450,FoodDB!$A$2:$I$1011,4,0)</f>
        <v>0</v>
      </c>
      <c r="F450">
        <f>$C450*VLOOKUP($B450,FoodDB!$A$2:$I$1011,5,0)</f>
        <v>0</v>
      </c>
      <c r="G450">
        <f>$C450*VLOOKUP($B450,FoodDB!$A$2:$I$1011,6,0)</f>
        <v>0</v>
      </c>
      <c r="H450">
        <f>$C450*VLOOKUP($B450,FoodDB!$A$2:$I$1011,7,0)</f>
        <v>0</v>
      </c>
      <c r="I450">
        <f>$C450*VLOOKUP($B450,FoodDB!$A$2:$I$1011,8,0)</f>
        <v>0</v>
      </c>
      <c r="J450">
        <f>$C450*VLOOKUP($B450,FoodDB!$A$2:$I$1011,9,0)</f>
        <v>0</v>
      </c>
    </row>
    <row r="451" spans="1:19" x14ac:dyDescent="0.25">
      <c r="A451" t="s">
        <v>97</v>
      </c>
      <c r="G451">
        <f>SUM(G444:G450)</f>
        <v>0</v>
      </c>
      <c r="H451">
        <f>SUM(H444:H450)</f>
        <v>0</v>
      </c>
      <c r="I451">
        <f>SUM(I444:I450)</f>
        <v>0</v>
      </c>
      <c r="J451">
        <f>SUM(G451:I451)</f>
        <v>0</v>
      </c>
    </row>
    <row r="452" spans="1:19" x14ac:dyDescent="0.25">
      <c r="A452" t="s">
        <v>101</v>
      </c>
      <c r="B452" t="s">
        <v>102</v>
      </c>
      <c r="E452" s="98"/>
      <c r="F452" s="98"/>
      <c r="G452" s="98">
        <f>VLOOKUP($A444,LossChart!$A$3:$AB$105,14,0)</f>
        <v>619.56960345776952</v>
      </c>
      <c r="H452" s="98">
        <f>VLOOKUP($A444,LossChart!$A$3:$AB$105,15,0)</f>
        <v>80</v>
      </c>
      <c r="I452" s="98">
        <f>VLOOKUP($A444,LossChart!$A$3:$AB$105,16,0)</f>
        <v>482.47465271142238</v>
      </c>
      <c r="J452" s="98">
        <f>VLOOKUP($A444,LossChart!$A$3:$AB$105,17,0)</f>
        <v>1182.0442561691918</v>
      </c>
      <c r="K452" s="98"/>
    </row>
    <row r="453" spans="1:19" x14ac:dyDescent="0.25">
      <c r="A453" t="s">
        <v>103</v>
      </c>
      <c r="G453">
        <f>G452-G451</f>
        <v>619.56960345776952</v>
      </c>
      <c r="H453">
        <f>H452-H451</f>
        <v>80</v>
      </c>
      <c r="I453">
        <f>I452-I451</f>
        <v>482.47465271142238</v>
      </c>
      <c r="J453">
        <f>J452-J451</f>
        <v>1182.0442561691918</v>
      </c>
    </row>
    <row r="455" spans="1:19" ht="60" x14ac:dyDescent="0.25">
      <c r="A455" s="21" t="s">
        <v>63</v>
      </c>
      <c r="B455" s="21" t="s">
        <v>92</v>
      </c>
      <c r="C455" s="21" t="s">
        <v>93</v>
      </c>
      <c r="D455" s="92" t="str">
        <f>FoodDB!$C$1</f>
        <v>Fat
(g)</v>
      </c>
      <c r="E455" s="92" t="str">
        <f>FoodDB!$D$1</f>
        <v xml:space="preserve"> Carbs
(g)</v>
      </c>
      <c r="F455" s="92" t="str">
        <f>FoodDB!$E$1</f>
        <v>Protein
(g)</v>
      </c>
      <c r="G455" s="92" t="str">
        <f>FoodDB!$F$1</f>
        <v>Fat
(Cal)</v>
      </c>
      <c r="H455" s="92" t="str">
        <f>FoodDB!$G$1</f>
        <v>Carb
(Cal)</v>
      </c>
      <c r="I455" s="92" t="str">
        <f>FoodDB!$H$1</f>
        <v>Protein
(Cal)</v>
      </c>
      <c r="J455" s="92" t="str">
        <f>FoodDB!$I$1</f>
        <v>Total
Calories</v>
      </c>
      <c r="K455" s="92"/>
      <c r="L455" s="92" t="s">
        <v>109</v>
      </c>
      <c r="M455" s="92" t="s">
        <v>110</v>
      </c>
      <c r="N455" s="92" t="s">
        <v>111</v>
      </c>
      <c r="O455" s="92" t="s">
        <v>112</v>
      </c>
      <c r="P455" s="92" t="s">
        <v>117</v>
      </c>
      <c r="Q455" s="92" t="s">
        <v>118</v>
      </c>
      <c r="R455" s="92" t="s">
        <v>119</v>
      </c>
      <c r="S455" s="92" t="s">
        <v>120</v>
      </c>
    </row>
    <row r="456" spans="1:19" x14ac:dyDescent="0.25">
      <c r="A456" s="93">
        <f>A444+1</f>
        <v>43032</v>
      </c>
      <c r="B456" s="94" t="s">
        <v>107</v>
      </c>
      <c r="C456" s="95">
        <v>0</v>
      </c>
      <c r="D456">
        <f>$C456*VLOOKUP($B456,FoodDB!$A$2:$I$1011,3,0)</f>
        <v>0</v>
      </c>
      <c r="E456">
        <f>$C456*VLOOKUP($B456,FoodDB!$A$2:$I$1011,4,0)</f>
        <v>0</v>
      </c>
      <c r="F456">
        <f>$C456*VLOOKUP($B456,FoodDB!$A$2:$I$1011,5,0)</f>
        <v>0</v>
      </c>
      <c r="G456">
        <f>$C456*VLOOKUP($B456,FoodDB!$A$2:$I$1011,6,0)</f>
        <v>0</v>
      </c>
      <c r="H456">
        <f>$C456*VLOOKUP($B456,FoodDB!$A$2:$I$1011,7,0)</f>
        <v>0</v>
      </c>
      <c r="I456">
        <f>$C456*VLOOKUP($B456,FoodDB!$A$2:$I$1011,8,0)</f>
        <v>0</v>
      </c>
      <c r="J456">
        <f>$C456*VLOOKUP($B456,FoodDB!$A$2:$I$1011,9,0)</f>
        <v>0</v>
      </c>
      <c r="L456">
        <f>SUM(G456:G462)</f>
        <v>0</v>
      </c>
      <c r="M456">
        <f>SUM(H456:H462)</f>
        <v>0</v>
      </c>
      <c r="N456">
        <f>SUM(I456:I462)</f>
        <v>0</v>
      </c>
      <c r="O456">
        <f>SUM(L456:N456)</f>
        <v>0</v>
      </c>
      <c r="P456" s="98">
        <f>VLOOKUP($A456,LossChart!$A$3:$AB$105,14,0)-L456</f>
        <v>625.71671498849764</v>
      </c>
      <c r="Q456" s="98">
        <f>VLOOKUP($A456,LossChart!$A$3:$AB$105,15,0)-M456</f>
        <v>80</v>
      </c>
      <c r="R456" s="98">
        <f>VLOOKUP($A456,LossChart!$A$3:$AB$105,16,0)-N456</f>
        <v>482.47465271142238</v>
      </c>
      <c r="S456" s="98">
        <f>VLOOKUP($A456,LossChart!$A$3:$AB$105,17,0)-O456</f>
        <v>1188.19136769992</v>
      </c>
    </row>
    <row r="457" spans="1:19" x14ac:dyDescent="0.25">
      <c r="B457" s="94" t="s">
        <v>107</v>
      </c>
      <c r="C457" s="95">
        <v>0</v>
      </c>
      <c r="D457">
        <f>$C457*VLOOKUP($B457,FoodDB!$A$2:$I$1011,3,0)</f>
        <v>0</v>
      </c>
      <c r="E457">
        <f>$C457*VLOOKUP($B457,FoodDB!$A$2:$I$1011,4,0)</f>
        <v>0</v>
      </c>
      <c r="F457">
        <f>$C457*VLOOKUP($B457,FoodDB!$A$2:$I$1011,5,0)</f>
        <v>0</v>
      </c>
      <c r="G457">
        <f>$C457*VLOOKUP($B457,FoodDB!$A$2:$I$1011,6,0)</f>
        <v>0</v>
      </c>
      <c r="H457">
        <f>$C457*VLOOKUP($B457,FoodDB!$A$2:$I$1011,7,0)</f>
        <v>0</v>
      </c>
      <c r="I457">
        <f>$C457*VLOOKUP($B457,FoodDB!$A$2:$I$1011,8,0)</f>
        <v>0</v>
      </c>
      <c r="J457">
        <f>$C457*VLOOKUP($B457,FoodDB!$A$2:$I$1011,9,0)</f>
        <v>0</v>
      </c>
    </row>
    <row r="458" spans="1:19" x14ac:dyDescent="0.25">
      <c r="B458" s="94" t="s">
        <v>107</v>
      </c>
      <c r="C458" s="95">
        <v>0</v>
      </c>
      <c r="D458">
        <f>$C458*VLOOKUP($B458,FoodDB!$A$2:$I$1011,3,0)</f>
        <v>0</v>
      </c>
      <c r="E458">
        <f>$C458*VLOOKUP($B458,FoodDB!$A$2:$I$1011,4,0)</f>
        <v>0</v>
      </c>
      <c r="F458">
        <f>$C458*VLOOKUP($B458,FoodDB!$A$2:$I$1011,5,0)</f>
        <v>0</v>
      </c>
      <c r="G458">
        <f>$C458*VLOOKUP($B458,FoodDB!$A$2:$I$1011,6,0)</f>
        <v>0</v>
      </c>
      <c r="H458">
        <f>$C458*VLOOKUP($B458,FoodDB!$A$2:$I$1011,7,0)</f>
        <v>0</v>
      </c>
      <c r="I458">
        <f>$C458*VLOOKUP($B458,FoodDB!$A$2:$I$1011,8,0)</f>
        <v>0</v>
      </c>
      <c r="J458">
        <f>$C458*VLOOKUP($B458,FoodDB!$A$2:$I$1011,9,0)</f>
        <v>0</v>
      </c>
    </row>
    <row r="459" spans="1:19" x14ac:dyDescent="0.25">
      <c r="B459" s="94" t="s">
        <v>107</v>
      </c>
      <c r="C459" s="95">
        <v>0</v>
      </c>
      <c r="D459">
        <f>$C459*VLOOKUP($B459,FoodDB!$A$2:$I$1011,3,0)</f>
        <v>0</v>
      </c>
      <c r="E459">
        <f>$C459*VLOOKUP($B459,FoodDB!$A$2:$I$1011,4,0)</f>
        <v>0</v>
      </c>
      <c r="F459">
        <f>$C459*VLOOKUP($B459,FoodDB!$A$2:$I$1011,5,0)</f>
        <v>0</v>
      </c>
      <c r="G459">
        <f>$C459*VLOOKUP($B459,FoodDB!$A$2:$I$1011,6,0)</f>
        <v>0</v>
      </c>
      <c r="H459">
        <f>$C459*VLOOKUP($B459,FoodDB!$A$2:$I$1011,7,0)</f>
        <v>0</v>
      </c>
      <c r="I459">
        <f>$C459*VLOOKUP($B459,FoodDB!$A$2:$I$1011,8,0)</f>
        <v>0</v>
      </c>
      <c r="J459">
        <f>$C459*VLOOKUP($B459,FoodDB!$A$2:$I$1011,9,0)</f>
        <v>0</v>
      </c>
    </row>
    <row r="460" spans="1:19" x14ac:dyDescent="0.25">
      <c r="B460" s="94" t="s">
        <v>107</v>
      </c>
      <c r="C460" s="95">
        <v>0</v>
      </c>
      <c r="D460">
        <f>$C460*VLOOKUP($B460,FoodDB!$A$2:$I$1011,3,0)</f>
        <v>0</v>
      </c>
      <c r="E460">
        <f>$C460*VLOOKUP($B460,FoodDB!$A$2:$I$1011,4,0)</f>
        <v>0</v>
      </c>
      <c r="F460">
        <f>$C460*VLOOKUP($B460,FoodDB!$A$2:$I$1011,5,0)</f>
        <v>0</v>
      </c>
      <c r="G460">
        <f>$C460*VLOOKUP($B460,FoodDB!$A$2:$I$1011,6,0)</f>
        <v>0</v>
      </c>
      <c r="H460">
        <f>$C460*VLOOKUP($B460,FoodDB!$A$2:$I$1011,7,0)</f>
        <v>0</v>
      </c>
      <c r="I460">
        <f>$C460*VLOOKUP($B460,FoodDB!$A$2:$I$1011,8,0)</f>
        <v>0</v>
      </c>
      <c r="J460">
        <f>$C460*VLOOKUP($B460,FoodDB!$A$2:$I$1011,9,0)</f>
        <v>0</v>
      </c>
    </row>
    <row r="461" spans="1:19" x14ac:dyDescent="0.25">
      <c r="B461" s="94" t="s">
        <v>107</v>
      </c>
      <c r="C461" s="95">
        <v>0</v>
      </c>
      <c r="D461">
        <f>$C461*VLOOKUP($B461,FoodDB!$A$2:$I$1011,3,0)</f>
        <v>0</v>
      </c>
      <c r="E461">
        <f>$C461*VLOOKUP($B461,FoodDB!$A$2:$I$1011,4,0)</f>
        <v>0</v>
      </c>
      <c r="F461">
        <f>$C461*VLOOKUP($B461,FoodDB!$A$2:$I$1011,5,0)</f>
        <v>0</v>
      </c>
      <c r="G461">
        <f>$C461*VLOOKUP($B461,FoodDB!$A$2:$I$1011,6,0)</f>
        <v>0</v>
      </c>
      <c r="H461">
        <f>$C461*VLOOKUP($B461,FoodDB!$A$2:$I$1011,7,0)</f>
        <v>0</v>
      </c>
      <c r="I461">
        <f>$C461*VLOOKUP($B461,FoodDB!$A$2:$I$1011,8,0)</f>
        <v>0</v>
      </c>
      <c r="J461">
        <f>$C461*VLOOKUP($B461,FoodDB!$A$2:$I$1011,9,0)</f>
        <v>0</v>
      </c>
    </row>
    <row r="462" spans="1:19" x14ac:dyDescent="0.25">
      <c r="B462" s="94" t="s">
        <v>107</v>
      </c>
      <c r="C462" s="95">
        <v>0</v>
      </c>
      <c r="D462">
        <f>$C462*VLOOKUP($B462,FoodDB!$A$2:$I$1011,3,0)</f>
        <v>0</v>
      </c>
      <c r="E462">
        <f>$C462*VLOOKUP($B462,FoodDB!$A$2:$I$1011,4,0)</f>
        <v>0</v>
      </c>
      <c r="F462">
        <f>$C462*VLOOKUP($B462,FoodDB!$A$2:$I$1011,5,0)</f>
        <v>0</v>
      </c>
      <c r="G462">
        <f>$C462*VLOOKUP($B462,FoodDB!$A$2:$I$1011,6,0)</f>
        <v>0</v>
      </c>
      <c r="H462">
        <f>$C462*VLOOKUP($B462,FoodDB!$A$2:$I$1011,7,0)</f>
        <v>0</v>
      </c>
      <c r="I462">
        <f>$C462*VLOOKUP($B462,FoodDB!$A$2:$I$1011,8,0)</f>
        <v>0</v>
      </c>
      <c r="J462">
        <f>$C462*VLOOKUP($B462,FoodDB!$A$2:$I$1011,9,0)</f>
        <v>0</v>
      </c>
    </row>
    <row r="463" spans="1:19" x14ac:dyDescent="0.25">
      <c r="A463" t="s">
        <v>97</v>
      </c>
      <c r="G463">
        <f>SUM(G456:G462)</f>
        <v>0</v>
      </c>
      <c r="H463">
        <f>SUM(H456:H462)</f>
        <v>0</v>
      </c>
      <c r="I463">
        <f>SUM(I456:I462)</f>
        <v>0</v>
      </c>
      <c r="J463">
        <f>SUM(G463:I463)</f>
        <v>0</v>
      </c>
    </row>
    <row r="464" spans="1:19" x14ac:dyDescent="0.25">
      <c r="A464" t="s">
        <v>101</v>
      </c>
      <c r="B464" t="s">
        <v>102</v>
      </c>
      <c r="E464" s="98"/>
      <c r="F464" s="98"/>
      <c r="G464" s="98">
        <f>VLOOKUP($A456,LossChart!$A$3:$AB$105,14,0)</f>
        <v>625.71671498849764</v>
      </c>
      <c r="H464" s="98">
        <f>VLOOKUP($A456,LossChart!$A$3:$AB$105,15,0)</f>
        <v>80</v>
      </c>
      <c r="I464" s="98">
        <f>VLOOKUP($A456,LossChart!$A$3:$AB$105,16,0)</f>
        <v>482.47465271142238</v>
      </c>
      <c r="J464" s="98">
        <f>VLOOKUP($A456,LossChart!$A$3:$AB$105,17,0)</f>
        <v>1188.19136769992</v>
      </c>
      <c r="K464" s="98"/>
    </row>
    <row r="465" spans="1:19" x14ac:dyDescent="0.25">
      <c r="A465" t="s">
        <v>103</v>
      </c>
      <c r="G465">
        <f>G464-G463</f>
        <v>625.71671498849764</v>
      </c>
      <c r="H465">
        <f>H464-H463</f>
        <v>80</v>
      </c>
      <c r="I465">
        <f>I464-I463</f>
        <v>482.47465271142238</v>
      </c>
      <c r="J465">
        <f>J464-J463</f>
        <v>1188.19136769992</v>
      </c>
    </row>
    <row r="467" spans="1:19" ht="60" x14ac:dyDescent="0.25">
      <c r="A467" s="21" t="s">
        <v>63</v>
      </c>
      <c r="B467" s="21" t="s">
        <v>92</v>
      </c>
      <c r="C467" s="21" t="s">
        <v>93</v>
      </c>
      <c r="D467" s="92" t="str">
        <f>FoodDB!$C$1</f>
        <v>Fat
(g)</v>
      </c>
      <c r="E467" s="92" t="str">
        <f>FoodDB!$D$1</f>
        <v xml:space="preserve"> Carbs
(g)</v>
      </c>
      <c r="F467" s="92" t="str">
        <f>FoodDB!$E$1</f>
        <v>Protein
(g)</v>
      </c>
      <c r="G467" s="92" t="str">
        <f>FoodDB!$F$1</f>
        <v>Fat
(Cal)</v>
      </c>
      <c r="H467" s="92" t="str">
        <f>FoodDB!$G$1</f>
        <v>Carb
(Cal)</v>
      </c>
      <c r="I467" s="92" t="str">
        <f>FoodDB!$H$1</f>
        <v>Protein
(Cal)</v>
      </c>
      <c r="J467" s="92" t="str">
        <f>FoodDB!$I$1</f>
        <v>Total
Calories</v>
      </c>
      <c r="K467" s="92"/>
      <c r="L467" s="92" t="s">
        <v>109</v>
      </c>
      <c r="M467" s="92" t="s">
        <v>110</v>
      </c>
      <c r="N467" s="92" t="s">
        <v>111</v>
      </c>
      <c r="O467" s="92" t="s">
        <v>112</v>
      </c>
      <c r="P467" s="92" t="s">
        <v>117</v>
      </c>
      <c r="Q467" s="92" t="s">
        <v>118</v>
      </c>
      <c r="R467" s="92" t="s">
        <v>119</v>
      </c>
      <c r="S467" s="92" t="s">
        <v>120</v>
      </c>
    </row>
    <row r="468" spans="1:19" x14ac:dyDescent="0.25">
      <c r="A468" s="93">
        <f>A456+1</f>
        <v>43033</v>
      </c>
      <c r="B468" s="94" t="s">
        <v>107</v>
      </c>
      <c r="C468" s="95">
        <v>0</v>
      </c>
      <c r="D468">
        <f>$C468*VLOOKUP($B468,FoodDB!$A$2:$I$1011,3,0)</f>
        <v>0</v>
      </c>
      <c r="E468">
        <f>$C468*VLOOKUP($B468,FoodDB!$A$2:$I$1011,4,0)</f>
        <v>0</v>
      </c>
      <c r="F468">
        <f>$C468*VLOOKUP($B468,FoodDB!$A$2:$I$1011,5,0)</f>
        <v>0</v>
      </c>
      <c r="G468">
        <f>$C468*VLOOKUP($B468,FoodDB!$A$2:$I$1011,6,0)</f>
        <v>0</v>
      </c>
      <c r="H468">
        <f>$C468*VLOOKUP($B468,FoodDB!$A$2:$I$1011,7,0)</f>
        <v>0</v>
      </c>
      <c r="I468">
        <f>$C468*VLOOKUP($B468,FoodDB!$A$2:$I$1011,8,0)</f>
        <v>0</v>
      </c>
      <c r="J468">
        <f>$C468*VLOOKUP($B468,FoodDB!$A$2:$I$1011,9,0)</f>
        <v>0</v>
      </c>
      <c r="L468">
        <f>SUM(G468:G474)</f>
        <v>0</v>
      </c>
      <c r="M468">
        <f>SUM(H468:H474)</f>
        <v>0</v>
      </c>
      <c r="N468">
        <f>SUM(I468:I474)</f>
        <v>0</v>
      </c>
      <c r="O468">
        <f>SUM(L468:N468)</f>
        <v>0</v>
      </c>
      <c r="P468" s="98">
        <f>VLOOKUP($A468,LossChart!$A$3:$AB$105,14,0)-L468</f>
        <v>631.80938067423904</v>
      </c>
      <c r="Q468" s="98">
        <f>VLOOKUP($A468,LossChart!$A$3:$AB$105,15,0)-M468</f>
        <v>80</v>
      </c>
      <c r="R468" s="98">
        <f>VLOOKUP($A468,LossChart!$A$3:$AB$105,16,0)-N468</f>
        <v>482.47465271142238</v>
      </c>
      <c r="S468" s="98">
        <f>VLOOKUP($A468,LossChart!$A$3:$AB$105,17,0)-O468</f>
        <v>1194.2840333856614</v>
      </c>
    </row>
    <row r="469" spans="1:19" x14ac:dyDescent="0.25">
      <c r="B469" s="94" t="s">
        <v>107</v>
      </c>
      <c r="C469" s="95">
        <v>0</v>
      </c>
      <c r="D469">
        <f>$C469*VLOOKUP($B469,FoodDB!$A$2:$I$1011,3,0)</f>
        <v>0</v>
      </c>
      <c r="E469">
        <f>$C469*VLOOKUP($B469,FoodDB!$A$2:$I$1011,4,0)</f>
        <v>0</v>
      </c>
      <c r="F469">
        <f>$C469*VLOOKUP($B469,FoodDB!$A$2:$I$1011,5,0)</f>
        <v>0</v>
      </c>
      <c r="G469">
        <f>$C469*VLOOKUP($B469,FoodDB!$A$2:$I$1011,6,0)</f>
        <v>0</v>
      </c>
      <c r="H469">
        <f>$C469*VLOOKUP($B469,FoodDB!$A$2:$I$1011,7,0)</f>
        <v>0</v>
      </c>
      <c r="I469">
        <f>$C469*VLOOKUP($B469,FoodDB!$A$2:$I$1011,8,0)</f>
        <v>0</v>
      </c>
      <c r="J469">
        <f>$C469*VLOOKUP($B469,FoodDB!$A$2:$I$1011,9,0)</f>
        <v>0</v>
      </c>
    </row>
    <row r="470" spans="1:19" x14ac:dyDescent="0.25">
      <c r="B470" s="94" t="s">
        <v>107</v>
      </c>
      <c r="C470" s="95">
        <v>0</v>
      </c>
      <c r="D470">
        <f>$C470*VLOOKUP($B470,FoodDB!$A$2:$I$1011,3,0)</f>
        <v>0</v>
      </c>
      <c r="E470">
        <f>$C470*VLOOKUP($B470,FoodDB!$A$2:$I$1011,4,0)</f>
        <v>0</v>
      </c>
      <c r="F470">
        <f>$C470*VLOOKUP($B470,FoodDB!$A$2:$I$1011,5,0)</f>
        <v>0</v>
      </c>
      <c r="G470">
        <f>$C470*VLOOKUP($B470,FoodDB!$A$2:$I$1011,6,0)</f>
        <v>0</v>
      </c>
      <c r="H470">
        <f>$C470*VLOOKUP($B470,FoodDB!$A$2:$I$1011,7,0)</f>
        <v>0</v>
      </c>
      <c r="I470">
        <f>$C470*VLOOKUP($B470,FoodDB!$A$2:$I$1011,8,0)</f>
        <v>0</v>
      </c>
      <c r="J470">
        <f>$C470*VLOOKUP($B470,FoodDB!$A$2:$I$1011,9,0)</f>
        <v>0</v>
      </c>
    </row>
    <row r="471" spans="1:19" x14ac:dyDescent="0.25">
      <c r="B471" s="94" t="s">
        <v>107</v>
      </c>
      <c r="C471" s="95">
        <v>0</v>
      </c>
      <c r="D471">
        <f>$C471*VLOOKUP($B471,FoodDB!$A$2:$I$1011,3,0)</f>
        <v>0</v>
      </c>
      <c r="E471">
        <f>$C471*VLOOKUP($B471,FoodDB!$A$2:$I$1011,4,0)</f>
        <v>0</v>
      </c>
      <c r="F471">
        <f>$C471*VLOOKUP($B471,FoodDB!$A$2:$I$1011,5,0)</f>
        <v>0</v>
      </c>
      <c r="G471">
        <f>$C471*VLOOKUP($B471,FoodDB!$A$2:$I$1011,6,0)</f>
        <v>0</v>
      </c>
      <c r="H471">
        <f>$C471*VLOOKUP($B471,FoodDB!$A$2:$I$1011,7,0)</f>
        <v>0</v>
      </c>
      <c r="I471">
        <f>$C471*VLOOKUP($B471,FoodDB!$A$2:$I$1011,8,0)</f>
        <v>0</v>
      </c>
      <c r="J471">
        <f>$C471*VLOOKUP($B471,FoodDB!$A$2:$I$1011,9,0)</f>
        <v>0</v>
      </c>
    </row>
    <row r="472" spans="1:19" x14ac:dyDescent="0.25">
      <c r="B472" s="94" t="s">
        <v>107</v>
      </c>
      <c r="C472" s="95">
        <v>0</v>
      </c>
      <c r="D472">
        <f>$C472*VLOOKUP($B472,FoodDB!$A$2:$I$1011,3,0)</f>
        <v>0</v>
      </c>
      <c r="E472">
        <f>$C472*VLOOKUP($B472,FoodDB!$A$2:$I$1011,4,0)</f>
        <v>0</v>
      </c>
      <c r="F472">
        <f>$C472*VLOOKUP($B472,FoodDB!$A$2:$I$1011,5,0)</f>
        <v>0</v>
      </c>
      <c r="G472">
        <f>$C472*VLOOKUP($B472,FoodDB!$A$2:$I$1011,6,0)</f>
        <v>0</v>
      </c>
      <c r="H472">
        <f>$C472*VLOOKUP($B472,FoodDB!$A$2:$I$1011,7,0)</f>
        <v>0</v>
      </c>
      <c r="I472">
        <f>$C472*VLOOKUP($B472,FoodDB!$A$2:$I$1011,8,0)</f>
        <v>0</v>
      </c>
      <c r="J472">
        <f>$C472*VLOOKUP($B472,FoodDB!$A$2:$I$1011,9,0)</f>
        <v>0</v>
      </c>
    </row>
    <row r="473" spans="1:19" x14ac:dyDescent="0.25">
      <c r="B473" s="94" t="s">
        <v>107</v>
      </c>
      <c r="C473" s="95">
        <v>0</v>
      </c>
      <c r="D473">
        <f>$C473*VLOOKUP($B473,FoodDB!$A$2:$I$1011,3,0)</f>
        <v>0</v>
      </c>
      <c r="E473">
        <f>$C473*VLOOKUP($B473,FoodDB!$A$2:$I$1011,4,0)</f>
        <v>0</v>
      </c>
      <c r="F473">
        <f>$C473*VLOOKUP($B473,FoodDB!$A$2:$I$1011,5,0)</f>
        <v>0</v>
      </c>
      <c r="G473">
        <f>$C473*VLOOKUP($B473,FoodDB!$A$2:$I$1011,6,0)</f>
        <v>0</v>
      </c>
      <c r="H473">
        <f>$C473*VLOOKUP($B473,FoodDB!$A$2:$I$1011,7,0)</f>
        <v>0</v>
      </c>
      <c r="I473">
        <f>$C473*VLOOKUP($B473,FoodDB!$A$2:$I$1011,8,0)</f>
        <v>0</v>
      </c>
      <c r="J473">
        <f>$C473*VLOOKUP($B473,FoodDB!$A$2:$I$1011,9,0)</f>
        <v>0</v>
      </c>
    </row>
    <row r="474" spans="1:19" x14ac:dyDescent="0.25">
      <c r="B474" s="94" t="s">
        <v>107</v>
      </c>
      <c r="C474" s="95">
        <v>0</v>
      </c>
      <c r="D474">
        <f>$C474*VLOOKUP($B474,FoodDB!$A$2:$I$1011,3,0)</f>
        <v>0</v>
      </c>
      <c r="E474">
        <f>$C474*VLOOKUP($B474,FoodDB!$A$2:$I$1011,4,0)</f>
        <v>0</v>
      </c>
      <c r="F474">
        <f>$C474*VLOOKUP($B474,FoodDB!$A$2:$I$1011,5,0)</f>
        <v>0</v>
      </c>
      <c r="G474">
        <f>$C474*VLOOKUP($B474,FoodDB!$A$2:$I$1011,6,0)</f>
        <v>0</v>
      </c>
      <c r="H474">
        <f>$C474*VLOOKUP($B474,FoodDB!$A$2:$I$1011,7,0)</f>
        <v>0</v>
      </c>
      <c r="I474">
        <f>$C474*VLOOKUP($B474,FoodDB!$A$2:$I$1011,8,0)</f>
        <v>0</v>
      </c>
      <c r="J474">
        <f>$C474*VLOOKUP($B474,FoodDB!$A$2:$I$1011,9,0)</f>
        <v>0</v>
      </c>
    </row>
    <row r="475" spans="1:19" x14ac:dyDescent="0.25">
      <c r="A475" t="s">
        <v>97</v>
      </c>
      <c r="G475">
        <f>SUM(G468:G474)</f>
        <v>0</v>
      </c>
      <c r="H475">
        <f>SUM(H468:H474)</f>
        <v>0</v>
      </c>
      <c r="I475">
        <f>SUM(I468:I474)</f>
        <v>0</v>
      </c>
      <c r="J475">
        <f>SUM(G475:I475)</f>
        <v>0</v>
      </c>
    </row>
    <row r="476" spans="1:19" x14ac:dyDescent="0.25">
      <c r="A476" t="s">
        <v>101</v>
      </c>
      <c r="B476" t="s">
        <v>102</v>
      </c>
      <c r="E476" s="98"/>
      <c r="F476" s="98"/>
      <c r="G476" s="98">
        <f>VLOOKUP($A468,LossChart!$A$3:$AB$105,14,0)</f>
        <v>631.80938067423904</v>
      </c>
      <c r="H476" s="98">
        <f>VLOOKUP($A468,LossChart!$A$3:$AB$105,15,0)</f>
        <v>80</v>
      </c>
      <c r="I476" s="98">
        <f>VLOOKUP($A468,LossChart!$A$3:$AB$105,16,0)</f>
        <v>482.47465271142238</v>
      </c>
      <c r="J476" s="98">
        <f>VLOOKUP($A468,LossChart!$A$3:$AB$105,17,0)</f>
        <v>1194.2840333856614</v>
      </c>
      <c r="K476" s="98"/>
    </row>
    <row r="477" spans="1:19" x14ac:dyDescent="0.25">
      <c r="A477" t="s">
        <v>103</v>
      </c>
      <c r="G477">
        <f>G476-G475</f>
        <v>631.80938067423904</v>
      </c>
      <c r="H477">
        <f>H476-H475</f>
        <v>80</v>
      </c>
      <c r="I477">
        <f>I476-I475</f>
        <v>482.47465271142238</v>
      </c>
      <c r="J477">
        <f>J476-J475</f>
        <v>1194.2840333856614</v>
      </c>
    </row>
    <row r="479" spans="1:19" ht="60" x14ac:dyDescent="0.25">
      <c r="A479" s="21" t="s">
        <v>63</v>
      </c>
      <c r="B479" s="21" t="s">
        <v>92</v>
      </c>
      <c r="C479" s="21" t="s">
        <v>93</v>
      </c>
      <c r="D479" s="92" t="str">
        <f>FoodDB!$C$1</f>
        <v>Fat
(g)</v>
      </c>
      <c r="E479" s="92" t="str">
        <f>FoodDB!$D$1</f>
        <v xml:space="preserve"> Carbs
(g)</v>
      </c>
      <c r="F479" s="92" t="str">
        <f>FoodDB!$E$1</f>
        <v>Protein
(g)</v>
      </c>
      <c r="G479" s="92" t="str">
        <f>FoodDB!$F$1</f>
        <v>Fat
(Cal)</v>
      </c>
      <c r="H479" s="92" t="str">
        <f>FoodDB!$G$1</f>
        <v>Carb
(Cal)</v>
      </c>
      <c r="I479" s="92" t="str">
        <f>FoodDB!$H$1</f>
        <v>Protein
(Cal)</v>
      </c>
      <c r="J479" s="92" t="str">
        <f>FoodDB!$I$1</f>
        <v>Total
Calories</v>
      </c>
      <c r="K479" s="92"/>
      <c r="L479" s="92" t="s">
        <v>109</v>
      </c>
      <c r="M479" s="92" t="s">
        <v>110</v>
      </c>
      <c r="N479" s="92" t="s">
        <v>111</v>
      </c>
      <c r="O479" s="92" t="s">
        <v>112</v>
      </c>
      <c r="P479" s="92" t="s">
        <v>117</v>
      </c>
      <c r="Q479" s="92" t="s">
        <v>118</v>
      </c>
      <c r="R479" s="92" t="s">
        <v>119</v>
      </c>
      <c r="S479" s="92" t="s">
        <v>120</v>
      </c>
    </row>
    <row r="480" spans="1:19" x14ac:dyDescent="0.25">
      <c r="A480" s="93">
        <f>A468+1</f>
        <v>43034</v>
      </c>
      <c r="B480" s="94" t="s">
        <v>107</v>
      </c>
      <c r="C480" s="95">
        <v>0</v>
      </c>
      <c r="D480">
        <f>$C480*VLOOKUP($B480,FoodDB!$A$2:$I$1011,3,0)</f>
        <v>0</v>
      </c>
      <c r="E480">
        <f>$C480*VLOOKUP($B480,FoodDB!$A$2:$I$1011,4,0)</f>
        <v>0</v>
      </c>
      <c r="F480">
        <f>$C480*VLOOKUP($B480,FoodDB!$A$2:$I$1011,5,0)</f>
        <v>0</v>
      </c>
      <c r="G480">
        <f>$C480*VLOOKUP($B480,FoodDB!$A$2:$I$1011,6,0)</f>
        <v>0</v>
      </c>
      <c r="H480">
        <f>$C480*VLOOKUP($B480,FoodDB!$A$2:$I$1011,7,0)</f>
        <v>0</v>
      </c>
      <c r="I480">
        <f>$C480*VLOOKUP($B480,FoodDB!$A$2:$I$1011,8,0)</f>
        <v>0</v>
      </c>
      <c r="J480">
        <f>$C480*VLOOKUP($B480,FoodDB!$A$2:$I$1011,9,0)</f>
        <v>0</v>
      </c>
      <c r="L480">
        <f>SUM(G480:G486)</f>
        <v>0</v>
      </c>
      <c r="M480">
        <f>SUM(H480:H486)</f>
        <v>0</v>
      </c>
      <c r="N480">
        <f>SUM(I480:I486)</f>
        <v>0</v>
      </c>
      <c r="O480">
        <f>SUM(L480:N480)</f>
        <v>0</v>
      </c>
      <c r="P480" s="98">
        <f>VLOOKUP($A480,LossChart!$A$3:$AB$105,14,0)-L480</f>
        <v>637.84808274962143</v>
      </c>
      <c r="Q480" s="98">
        <f>VLOOKUP($A480,LossChart!$A$3:$AB$105,15,0)-M480</f>
        <v>80</v>
      </c>
      <c r="R480" s="98">
        <f>VLOOKUP($A480,LossChart!$A$3:$AB$105,16,0)-N480</f>
        <v>482.47465271142238</v>
      </c>
      <c r="S480" s="98">
        <f>VLOOKUP($A480,LossChart!$A$3:$AB$105,17,0)-O480</f>
        <v>1200.3227354610437</v>
      </c>
    </row>
    <row r="481" spans="1:19" x14ac:dyDescent="0.25">
      <c r="B481" s="94" t="s">
        <v>107</v>
      </c>
      <c r="C481" s="95">
        <v>0</v>
      </c>
      <c r="D481">
        <f>$C481*VLOOKUP($B481,FoodDB!$A$2:$I$1011,3,0)</f>
        <v>0</v>
      </c>
      <c r="E481">
        <f>$C481*VLOOKUP($B481,FoodDB!$A$2:$I$1011,4,0)</f>
        <v>0</v>
      </c>
      <c r="F481">
        <f>$C481*VLOOKUP($B481,FoodDB!$A$2:$I$1011,5,0)</f>
        <v>0</v>
      </c>
      <c r="G481">
        <f>$C481*VLOOKUP($B481,FoodDB!$A$2:$I$1011,6,0)</f>
        <v>0</v>
      </c>
      <c r="H481">
        <f>$C481*VLOOKUP($B481,FoodDB!$A$2:$I$1011,7,0)</f>
        <v>0</v>
      </c>
      <c r="I481">
        <f>$C481*VLOOKUP($B481,FoodDB!$A$2:$I$1011,8,0)</f>
        <v>0</v>
      </c>
      <c r="J481">
        <f>$C481*VLOOKUP($B481,FoodDB!$A$2:$I$1011,9,0)</f>
        <v>0</v>
      </c>
    </row>
    <row r="482" spans="1:19" x14ac:dyDescent="0.25">
      <c r="B482" s="94" t="s">
        <v>107</v>
      </c>
      <c r="C482" s="95">
        <v>0</v>
      </c>
      <c r="D482">
        <f>$C482*VLOOKUP($B482,FoodDB!$A$2:$I$1011,3,0)</f>
        <v>0</v>
      </c>
      <c r="E482">
        <f>$C482*VLOOKUP($B482,FoodDB!$A$2:$I$1011,4,0)</f>
        <v>0</v>
      </c>
      <c r="F482">
        <f>$C482*VLOOKUP($B482,FoodDB!$A$2:$I$1011,5,0)</f>
        <v>0</v>
      </c>
      <c r="G482">
        <f>$C482*VLOOKUP($B482,FoodDB!$A$2:$I$1011,6,0)</f>
        <v>0</v>
      </c>
      <c r="H482">
        <f>$C482*VLOOKUP($B482,FoodDB!$A$2:$I$1011,7,0)</f>
        <v>0</v>
      </c>
      <c r="I482">
        <f>$C482*VLOOKUP($B482,FoodDB!$A$2:$I$1011,8,0)</f>
        <v>0</v>
      </c>
      <c r="J482">
        <f>$C482*VLOOKUP($B482,FoodDB!$A$2:$I$1011,9,0)</f>
        <v>0</v>
      </c>
    </row>
    <row r="483" spans="1:19" x14ac:dyDescent="0.25">
      <c r="B483" s="94" t="s">
        <v>107</v>
      </c>
      <c r="C483" s="95">
        <v>0</v>
      </c>
      <c r="D483">
        <f>$C483*VLOOKUP($B483,FoodDB!$A$2:$I$1011,3,0)</f>
        <v>0</v>
      </c>
      <c r="E483">
        <f>$C483*VLOOKUP($B483,FoodDB!$A$2:$I$1011,4,0)</f>
        <v>0</v>
      </c>
      <c r="F483">
        <f>$C483*VLOOKUP($B483,FoodDB!$A$2:$I$1011,5,0)</f>
        <v>0</v>
      </c>
      <c r="G483">
        <f>$C483*VLOOKUP($B483,FoodDB!$A$2:$I$1011,6,0)</f>
        <v>0</v>
      </c>
      <c r="H483">
        <f>$C483*VLOOKUP($B483,FoodDB!$A$2:$I$1011,7,0)</f>
        <v>0</v>
      </c>
      <c r="I483">
        <f>$C483*VLOOKUP($B483,FoodDB!$A$2:$I$1011,8,0)</f>
        <v>0</v>
      </c>
      <c r="J483">
        <f>$C483*VLOOKUP($B483,FoodDB!$A$2:$I$1011,9,0)</f>
        <v>0</v>
      </c>
    </row>
    <row r="484" spans="1:19" x14ac:dyDescent="0.25">
      <c r="B484" s="94" t="s">
        <v>107</v>
      </c>
      <c r="C484" s="95">
        <v>0</v>
      </c>
      <c r="D484">
        <f>$C484*VLOOKUP($B484,FoodDB!$A$2:$I$1011,3,0)</f>
        <v>0</v>
      </c>
      <c r="E484">
        <f>$C484*VLOOKUP($B484,FoodDB!$A$2:$I$1011,4,0)</f>
        <v>0</v>
      </c>
      <c r="F484">
        <f>$C484*VLOOKUP($B484,FoodDB!$A$2:$I$1011,5,0)</f>
        <v>0</v>
      </c>
      <c r="G484">
        <f>$C484*VLOOKUP($B484,FoodDB!$A$2:$I$1011,6,0)</f>
        <v>0</v>
      </c>
      <c r="H484">
        <f>$C484*VLOOKUP($B484,FoodDB!$A$2:$I$1011,7,0)</f>
        <v>0</v>
      </c>
      <c r="I484">
        <f>$C484*VLOOKUP($B484,FoodDB!$A$2:$I$1011,8,0)</f>
        <v>0</v>
      </c>
      <c r="J484">
        <f>$C484*VLOOKUP($B484,FoodDB!$A$2:$I$1011,9,0)</f>
        <v>0</v>
      </c>
    </row>
    <row r="485" spans="1:19" x14ac:dyDescent="0.25">
      <c r="B485" s="94" t="s">
        <v>107</v>
      </c>
      <c r="C485" s="95">
        <v>0</v>
      </c>
      <c r="D485">
        <f>$C485*VLOOKUP($B485,FoodDB!$A$2:$I$1011,3,0)</f>
        <v>0</v>
      </c>
      <c r="E485">
        <f>$C485*VLOOKUP($B485,FoodDB!$A$2:$I$1011,4,0)</f>
        <v>0</v>
      </c>
      <c r="F485">
        <f>$C485*VLOOKUP($B485,FoodDB!$A$2:$I$1011,5,0)</f>
        <v>0</v>
      </c>
      <c r="G485">
        <f>$C485*VLOOKUP($B485,FoodDB!$A$2:$I$1011,6,0)</f>
        <v>0</v>
      </c>
      <c r="H485">
        <f>$C485*VLOOKUP($B485,FoodDB!$A$2:$I$1011,7,0)</f>
        <v>0</v>
      </c>
      <c r="I485">
        <f>$C485*VLOOKUP($B485,FoodDB!$A$2:$I$1011,8,0)</f>
        <v>0</v>
      </c>
      <c r="J485">
        <f>$C485*VLOOKUP($B485,FoodDB!$A$2:$I$1011,9,0)</f>
        <v>0</v>
      </c>
    </row>
    <row r="486" spans="1:19" x14ac:dyDescent="0.25">
      <c r="B486" s="94" t="s">
        <v>107</v>
      </c>
      <c r="C486" s="95">
        <v>0</v>
      </c>
      <c r="D486">
        <f>$C486*VLOOKUP($B486,FoodDB!$A$2:$I$1011,3,0)</f>
        <v>0</v>
      </c>
      <c r="E486">
        <f>$C486*VLOOKUP($B486,FoodDB!$A$2:$I$1011,4,0)</f>
        <v>0</v>
      </c>
      <c r="F486">
        <f>$C486*VLOOKUP($B486,FoodDB!$A$2:$I$1011,5,0)</f>
        <v>0</v>
      </c>
      <c r="G486">
        <f>$C486*VLOOKUP($B486,FoodDB!$A$2:$I$1011,6,0)</f>
        <v>0</v>
      </c>
      <c r="H486">
        <f>$C486*VLOOKUP($B486,FoodDB!$A$2:$I$1011,7,0)</f>
        <v>0</v>
      </c>
      <c r="I486">
        <f>$C486*VLOOKUP($B486,FoodDB!$A$2:$I$1011,8,0)</f>
        <v>0</v>
      </c>
      <c r="J486">
        <f>$C486*VLOOKUP($B486,FoodDB!$A$2:$I$1011,9,0)</f>
        <v>0</v>
      </c>
    </row>
    <row r="487" spans="1:19" x14ac:dyDescent="0.25">
      <c r="A487" t="s">
        <v>97</v>
      </c>
      <c r="G487">
        <f>SUM(G480:G486)</f>
        <v>0</v>
      </c>
      <c r="H487">
        <f>SUM(H480:H486)</f>
        <v>0</v>
      </c>
      <c r="I487">
        <f>SUM(I480:I486)</f>
        <v>0</v>
      </c>
      <c r="J487">
        <f>SUM(G487:I487)</f>
        <v>0</v>
      </c>
    </row>
    <row r="488" spans="1:19" x14ac:dyDescent="0.25">
      <c r="A488" t="s">
        <v>101</v>
      </c>
      <c r="B488" t="s">
        <v>102</v>
      </c>
      <c r="E488" s="98"/>
      <c r="F488" s="98"/>
      <c r="G488" s="98">
        <f>VLOOKUP($A480,LossChart!$A$3:$AB$105,14,0)</f>
        <v>637.84808274962143</v>
      </c>
      <c r="H488" s="98">
        <f>VLOOKUP($A480,LossChart!$A$3:$AB$105,15,0)</f>
        <v>80</v>
      </c>
      <c r="I488" s="98">
        <f>VLOOKUP($A480,LossChart!$A$3:$AB$105,16,0)</f>
        <v>482.47465271142238</v>
      </c>
      <c r="J488" s="98">
        <f>VLOOKUP($A480,LossChart!$A$3:$AB$105,17,0)</f>
        <v>1200.3227354610437</v>
      </c>
      <c r="K488" s="98"/>
    </row>
    <row r="489" spans="1:19" x14ac:dyDescent="0.25">
      <c r="A489" t="s">
        <v>103</v>
      </c>
      <c r="G489">
        <f>G488-G487</f>
        <v>637.84808274962143</v>
      </c>
      <c r="H489">
        <f>H488-H487</f>
        <v>80</v>
      </c>
      <c r="I489">
        <f>I488-I487</f>
        <v>482.47465271142238</v>
      </c>
      <c r="J489">
        <f>J488-J487</f>
        <v>1200.3227354610437</v>
      </c>
    </row>
    <row r="491" spans="1:19" ht="60" x14ac:dyDescent="0.25">
      <c r="A491" s="21" t="s">
        <v>63</v>
      </c>
      <c r="B491" s="21" t="s">
        <v>92</v>
      </c>
      <c r="C491" s="21" t="s">
        <v>93</v>
      </c>
      <c r="D491" s="92" t="str">
        <f>FoodDB!$C$1</f>
        <v>Fat
(g)</v>
      </c>
      <c r="E491" s="92" t="str">
        <f>FoodDB!$D$1</f>
        <v xml:space="preserve"> Carbs
(g)</v>
      </c>
      <c r="F491" s="92" t="str">
        <f>FoodDB!$E$1</f>
        <v>Protein
(g)</v>
      </c>
      <c r="G491" s="92" t="str">
        <f>FoodDB!$F$1</f>
        <v>Fat
(Cal)</v>
      </c>
      <c r="H491" s="92" t="str">
        <f>FoodDB!$G$1</f>
        <v>Carb
(Cal)</v>
      </c>
      <c r="I491" s="92" t="str">
        <f>FoodDB!$H$1</f>
        <v>Protein
(Cal)</v>
      </c>
      <c r="J491" s="92" t="str">
        <f>FoodDB!$I$1</f>
        <v>Total
Calories</v>
      </c>
      <c r="K491" s="92"/>
      <c r="L491" s="92" t="s">
        <v>109</v>
      </c>
      <c r="M491" s="92" t="s">
        <v>110</v>
      </c>
      <c r="N491" s="92" t="s">
        <v>111</v>
      </c>
      <c r="O491" s="92" t="s">
        <v>112</v>
      </c>
      <c r="P491" s="92" t="s">
        <v>117</v>
      </c>
      <c r="Q491" s="92" t="s">
        <v>118</v>
      </c>
      <c r="R491" s="92" t="s">
        <v>119</v>
      </c>
      <c r="S491" s="92" t="s">
        <v>120</v>
      </c>
    </row>
    <row r="492" spans="1:19" x14ac:dyDescent="0.25">
      <c r="A492" s="93">
        <f>A480+1</f>
        <v>43035</v>
      </c>
      <c r="B492" s="94" t="s">
        <v>107</v>
      </c>
      <c r="C492" s="95">
        <v>0</v>
      </c>
      <c r="D492">
        <f>$C492*VLOOKUP($B492,FoodDB!$A$2:$I$1011,3,0)</f>
        <v>0</v>
      </c>
      <c r="E492">
        <f>$C492*VLOOKUP($B492,FoodDB!$A$2:$I$1011,4,0)</f>
        <v>0</v>
      </c>
      <c r="F492">
        <f>$C492*VLOOKUP($B492,FoodDB!$A$2:$I$1011,5,0)</f>
        <v>0</v>
      </c>
      <c r="G492">
        <f>$C492*VLOOKUP($B492,FoodDB!$A$2:$I$1011,6,0)</f>
        <v>0</v>
      </c>
      <c r="H492">
        <f>$C492*VLOOKUP($B492,FoodDB!$A$2:$I$1011,7,0)</f>
        <v>0</v>
      </c>
      <c r="I492">
        <f>$C492*VLOOKUP($B492,FoodDB!$A$2:$I$1011,8,0)</f>
        <v>0</v>
      </c>
      <c r="J492">
        <f>$C492*VLOOKUP($B492,FoodDB!$A$2:$I$1011,9,0)</f>
        <v>0</v>
      </c>
      <c r="L492">
        <f>SUM(G492:G498)</f>
        <v>0</v>
      </c>
      <c r="M492">
        <f>SUM(H492:H498)</f>
        <v>0</v>
      </c>
      <c r="N492">
        <f>SUM(I492:I498)</f>
        <v>0</v>
      </c>
      <c r="O492">
        <f>SUM(L492:N492)</f>
        <v>0</v>
      </c>
      <c r="P492" s="98">
        <f>VLOOKUP($A492,LossChart!$A$3:$AB$105,14,0)-L492</f>
        <v>643.83329917805031</v>
      </c>
      <c r="Q492" s="98">
        <f>VLOOKUP($A492,LossChart!$A$3:$AB$105,15,0)-M492</f>
        <v>80</v>
      </c>
      <c r="R492" s="98">
        <f>VLOOKUP($A492,LossChart!$A$3:$AB$105,16,0)-N492</f>
        <v>482.47465271142238</v>
      </c>
      <c r="S492" s="98">
        <f>VLOOKUP($A492,LossChart!$A$3:$AB$105,17,0)-O492</f>
        <v>1206.3079518894726</v>
      </c>
    </row>
    <row r="493" spans="1:19" x14ac:dyDescent="0.25">
      <c r="B493" s="94" t="s">
        <v>107</v>
      </c>
      <c r="C493" s="95">
        <v>0</v>
      </c>
      <c r="D493">
        <f>$C493*VLOOKUP($B493,FoodDB!$A$2:$I$1011,3,0)</f>
        <v>0</v>
      </c>
      <c r="E493">
        <f>$C493*VLOOKUP($B493,FoodDB!$A$2:$I$1011,4,0)</f>
        <v>0</v>
      </c>
      <c r="F493">
        <f>$C493*VLOOKUP($B493,FoodDB!$A$2:$I$1011,5,0)</f>
        <v>0</v>
      </c>
      <c r="G493">
        <f>$C493*VLOOKUP($B493,FoodDB!$A$2:$I$1011,6,0)</f>
        <v>0</v>
      </c>
      <c r="H493">
        <f>$C493*VLOOKUP($B493,FoodDB!$A$2:$I$1011,7,0)</f>
        <v>0</v>
      </c>
      <c r="I493">
        <f>$C493*VLOOKUP($B493,FoodDB!$A$2:$I$1011,8,0)</f>
        <v>0</v>
      </c>
      <c r="J493">
        <f>$C493*VLOOKUP($B493,FoodDB!$A$2:$I$1011,9,0)</f>
        <v>0</v>
      </c>
    </row>
    <row r="494" spans="1:19" x14ac:dyDescent="0.25">
      <c r="B494" s="94" t="s">
        <v>107</v>
      </c>
      <c r="C494" s="95">
        <v>0</v>
      </c>
      <c r="D494">
        <f>$C494*VLOOKUP($B494,FoodDB!$A$2:$I$1011,3,0)</f>
        <v>0</v>
      </c>
      <c r="E494">
        <f>$C494*VLOOKUP($B494,FoodDB!$A$2:$I$1011,4,0)</f>
        <v>0</v>
      </c>
      <c r="F494">
        <f>$C494*VLOOKUP($B494,FoodDB!$A$2:$I$1011,5,0)</f>
        <v>0</v>
      </c>
      <c r="G494">
        <f>$C494*VLOOKUP($B494,FoodDB!$A$2:$I$1011,6,0)</f>
        <v>0</v>
      </c>
      <c r="H494">
        <f>$C494*VLOOKUP($B494,FoodDB!$A$2:$I$1011,7,0)</f>
        <v>0</v>
      </c>
      <c r="I494">
        <f>$C494*VLOOKUP($B494,FoodDB!$A$2:$I$1011,8,0)</f>
        <v>0</v>
      </c>
      <c r="J494">
        <f>$C494*VLOOKUP($B494,FoodDB!$A$2:$I$1011,9,0)</f>
        <v>0</v>
      </c>
    </row>
    <row r="495" spans="1:19" x14ac:dyDescent="0.25">
      <c r="B495" s="94" t="s">
        <v>107</v>
      </c>
      <c r="C495" s="95">
        <v>0</v>
      </c>
      <c r="D495">
        <f>$C495*VLOOKUP($B495,FoodDB!$A$2:$I$1011,3,0)</f>
        <v>0</v>
      </c>
      <c r="E495">
        <f>$C495*VLOOKUP($B495,FoodDB!$A$2:$I$1011,4,0)</f>
        <v>0</v>
      </c>
      <c r="F495">
        <f>$C495*VLOOKUP($B495,FoodDB!$A$2:$I$1011,5,0)</f>
        <v>0</v>
      </c>
      <c r="G495">
        <f>$C495*VLOOKUP($B495,FoodDB!$A$2:$I$1011,6,0)</f>
        <v>0</v>
      </c>
      <c r="H495">
        <f>$C495*VLOOKUP($B495,FoodDB!$A$2:$I$1011,7,0)</f>
        <v>0</v>
      </c>
      <c r="I495">
        <f>$C495*VLOOKUP($B495,FoodDB!$A$2:$I$1011,8,0)</f>
        <v>0</v>
      </c>
      <c r="J495">
        <f>$C495*VLOOKUP($B495,FoodDB!$A$2:$I$1011,9,0)</f>
        <v>0</v>
      </c>
    </row>
    <row r="496" spans="1:19" x14ac:dyDescent="0.25">
      <c r="B496" s="94" t="s">
        <v>107</v>
      </c>
      <c r="C496" s="95">
        <v>0</v>
      </c>
      <c r="D496">
        <f>$C496*VLOOKUP($B496,FoodDB!$A$2:$I$1011,3,0)</f>
        <v>0</v>
      </c>
      <c r="E496">
        <f>$C496*VLOOKUP($B496,FoodDB!$A$2:$I$1011,4,0)</f>
        <v>0</v>
      </c>
      <c r="F496">
        <f>$C496*VLOOKUP($B496,FoodDB!$A$2:$I$1011,5,0)</f>
        <v>0</v>
      </c>
      <c r="G496">
        <f>$C496*VLOOKUP($B496,FoodDB!$A$2:$I$1011,6,0)</f>
        <v>0</v>
      </c>
      <c r="H496">
        <f>$C496*VLOOKUP($B496,FoodDB!$A$2:$I$1011,7,0)</f>
        <v>0</v>
      </c>
      <c r="I496">
        <f>$C496*VLOOKUP($B496,FoodDB!$A$2:$I$1011,8,0)</f>
        <v>0</v>
      </c>
      <c r="J496">
        <f>$C496*VLOOKUP($B496,FoodDB!$A$2:$I$1011,9,0)</f>
        <v>0</v>
      </c>
    </row>
    <row r="497" spans="1:19" x14ac:dyDescent="0.25">
      <c r="B497" s="94" t="s">
        <v>107</v>
      </c>
      <c r="C497" s="95">
        <v>0</v>
      </c>
      <c r="D497">
        <f>$C497*VLOOKUP($B497,FoodDB!$A$2:$I$1011,3,0)</f>
        <v>0</v>
      </c>
      <c r="E497">
        <f>$C497*VLOOKUP($B497,FoodDB!$A$2:$I$1011,4,0)</f>
        <v>0</v>
      </c>
      <c r="F497">
        <f>$C497*VLOOKUP($B497,FoodDB!$A$2:$I$1011,5,0)</f>
        <v>0</v>
      </c>
      <c r="G497">
        <f>$C497*VLOOKUP($B497,FoodDB!$A$2:$I$1011,6,0)</f>
        <v>0</v>
      </c>
      <c r="H497">
        <f>$C497*VLOOKUP($B497,FoodDB!$A$2:$I$1011,7,0)</f>
        <v>0</v>
      </c>
      <c r="I497">
        <f>$C497*VLOOKUP($B497,FoodDB!$A$2:$I$1011,8,0)</f>
        <v>0</v>
      </c>
      <c r="J497">
        <f>$C497*VLOOKUP($B497,FoodDB!$A$2:$I$1011,9,0)</f>
        <v>0</v>
      </c>
    </row>
    <row r="498" spans="1:19" x14ac:dyDescent="0.25">
      <c r="B498" s="94" t="s">
        <v>107</v>
      </c>
      <c r="C498" s="95">
        <v>0</v>
      </c>
      <c r="D498">
        <f>$C498*VLOOKUP($B498,FoodDB!$A$2:$I$1011,3,0)</f>
        <v>0</v>
      </c>
      <c r="E498">
        <f>$C498*VLOOKUP($B498,FoodDB!$A$2:$I$1011,4,0)</f>
        <v>0</v>
      </c>
      <c r="F498">
        <f>$C498*VLOOKUP($B498,FoodDB!$A$2:$I$1011,5,0)</f>
        <v>0</v>
      </c>
      <c r="G498">
        <f>$C498*VLOOKUP($B498,FoodDB!$A$2:$I$1011,6,0)</f>
        <v>0</v>
      </c>
      <c r="H498">
        <f>$C498*VLOOKUP($B498,FoodDB!$A$2:$I$1011,7,0)</f>
        <v>0</v>
      </c>
      <c r="I498">
        <f>$C498*VLOOKUP($B498,FoodDB!$A$2:$I$1011,8,0)</f>
        <v>0</v>
      </c>
      <c r="J498">
        <f>$C498*VLOOKUP($B498,FoodDB!$A$2:$I$1011,9,0)</f>
        <v>0</v>
      </c>
    </row>
    <row r="499" spans="1:19" x14ac:dyDescent="0.25">
      <c r="A499" t="s">
        <v>97</v>
      </c>
      <c r="G499">
        <f>SUM(G492:G498)</f>
        <v>0</v>
      </c>
      <c r="H499">
        <f>SUM(H492:H498)</f>
        <v>0</v>
      </c>
      <c r="I499">
        <f>SUM(I492:I498)</f>
        <v>0</v>
      </c>
      <c r="J499">
        <f>SUM(G499:I499)</f>
        <v>0</v>
      </c>
    </row>
    <row r="500" spans="1:19" x14ac:dyDescent="0.25">
      <c r="A500" t="s">
        <v>101</v>
      </c>
      <c r="B500" t="s">
        <v>102</v>
      </c>
      <c r="E500" s="98"/>
      <c r="F500" s="98"/>
      <c r="G500" s="98">
        <f>VLOOKUP($A492,LossChart!$A$3:$AB$105,14,0)</f>
        <v>643.83329917805031</v>
      </c>
      <c r="H500" s="98">
        <f>VLOOKUP($A492,LossChart!$A$3:$AB$105,15,0)</f>
        <v>80</v>
      </c>
      <c r="I500" s="98">
        <f>VLOOKUP($A492,LossChart!$A$3:$AB$105,16,0)</f>
        <v>482.47465271142238</v>
      </c>
      <c r="J500" s="98">
        <f>VLOOKUP($A492,LossChart!$A$3:$AB$105,17,0)</f>
        <v>1206.3079518894726</v>
      </c>
      <c r="K500" s="98"/>
    </row>
    <row r="501" spans="1:19" x14ac:dyDescent="0.25">
      <c r="A501" t="s">
        <v>103</v>
      </c>
      <c r="G501">
        <f>G500-G499</f>
        <v>643.83329917805031</v>
      </c>
      <c r="H501">
        <f>H500-H499</f>
        <v>80</v>
      </c>
      <c r="I501">
        <f>I500-I499</f>
        <v>482.47465271142238</v>
      </c>
      <c r="J501">
        <f>J500-J499</f>
        <v>1206.3079518894726</v>
      </c>
    </row>
    <row r="503" spans="1:19" ht="60" x14ac:dyDescent="0.25">
      <c r="A503" s="21" t="s">
        <v>63</v>
      </c>
      <c r="B503" s="21" t="s">
        <v>92</v>
      </c>
      <c r="C503" s="21" t="s">
        <v>93</v>
      </c>
      <c r="D503" s="92" t="str">
        <f>FoodDB!$C$1</f>
        <v>Fat
(g)</v>
      </c>
      <c r="E503" s="92" t="str">
        <f>FoodDB!$D$1</f>
        <v xml:space="preserve"> Carbs
(g)</v>
      </c>
      <c r="F503" s="92" t="str">
        <f>FoodDB!$E$1</f>
        <v>Protein
(g)</v>
      </c>
      <c r="G503" s="92" t="str">
        <f>FoodDB!$F$1</f>
        <v>Fat
(Cal)</v>
      </c>
      <c r="H503" s="92" t="str">
        <f>FoodDB!$G$1</f>
        <v>Carb
(Cal)</v>
      </c>
      <c r="I503" s="92" t="str">
        <f>FoodDB!$H$1</f>
        <v>Protein
(Cal)</v>
      </c>
      <c r="J503" s="92" t="str">
        <f>FoodDB!$I$1</f>
        <v>Total
Calories</v>
      </c>
      <c r="K503" s="92"/>
      <c r="L503" s="92" t="s">
        <v>109</v>
      </c>
      <c r="M503" s="92" t="s">
        <v>110</v>
      </c>
      <c r="N503" s="92" t="s">
        <v>111</v>
      </c>
      <c r="O503" s="92" t="s">
        <v>112</v>
      </c>
      <c r="P503" s="92" t="s">
        <v>117</v>
      </c>
      <c r="Q503" s="92" t="s">
        <v>118</v>
      </c>
      <c r="R503" s="92" t="s">
        <v>119</v>
      </c>
      <c r="S503" s="92" t="s">
        <v>120</v>
      </c>
    </row>
    <row r="504" spans="1:19" x14ac:dyDescent="0.25">
      <c r="A504" s="93">
        <f>A492+1</f>
        <v>43036</v>
      </c>
      <c r="B504" s="94" t="s">
        <v>107</v>
      </c>
      <c r="C504" s="95">
        <v>0</v>
      </c>
      <c r="D504">
        <f>$C504*VLOOKUP($B504,FoodDB!$A$2:$I$1011,3,0)</f>
        <v>0</v>
      </c>
      <c r="E504">
        <f>$C504*VLOOKUP($B504,FoodDB!$A$2:$I$1011,4,0)</f>
        <v>0</v>
      </c>
      <c r="F504">
        <f>$C504*VLOOKUP($B504,FoodDB!$A$2:$I$1011,5,0)</f>
        <v>0</v>
      </c>
      <c r="G504">
        <f>$C504*VLOOKUP($B504,FoodDB!$A$2:$I$1011,6,0)</f>
        <v>0</v>
      </c>
      <c r="H504">
        <f>$C504*VLOOKUP($B504,FoodDB!$A$2:$I$1011,7,0)</f>
        <v>0</v>
      </c>
      <c r="I504">
        <f>$C504*VLOOKUP($B504,FoodDB!$A$2:$I$1011,8,0)</f>
        <v>0</v>
      </c>
      <c r="J504">
        <f>$C504*VLOOKUP($B504,FoodDB!$A$2:$I$1011,9,0)</f>
        <v>0</v>
      </c>
      <c r="L504">
        <f>SUM(G504:G510)</f>
        <v>0</v>
      </c>
      <c r="M504">
        <f>SUM(H504:H510)</f>
        <v>0</v>
      </c>
      <c r="N504">
        <f>SUM(I504:I510)</f>
        <v>0</v>
      </c>
      <c r="O504">
        <f>SUM(L504:N504)</f>
        <v>0</v>
      </c>
      <c r="P504" s="98">
        <f>VLOOKUP($A504,LossChart!$A$3:$AB$105,14,0)-L504</f>
        <v>649.76550368954122</v>
      </c>
      <c r="Q504" s="98">
        <f>VLOOKUP($A504,LossChart!$A$3:$AB$105,15,0)-M504</f>
        <v>80</v>
      </c>
      <c r="R504" s="98">
        <f>VLOOKUP($A504,LossChart!$A$3:$AB$105,16,0)-N504</f>
        <v>482.47465271142238</v>
      </c>
      <c r="S504" s="98">
        <f>VLOOKUP($A504,LossChart!$A$3:$AB$105,17,0)-O504</f>
        <v>1212.2401564009635</v>
      </c>
    </row>
    <row r="505" spans="1:19" x14ac:dyDescent="0.25">
      <c r="B505" s="94" t="s">
        <v>107</v>
      </c>
      <c r="C505" s="95">
        <v>0</v>
      </c>
      <c r="D505">
        <f>$C505*VLOOKUP($B505,FoodDB!$A$2:$I$1011,3,0)</f>
        <v>0</v>
      </c>
      <c r="E505">
        <f>$C505*VLOOKUP($B505,FoodDB!$A$2:$I$1011,4,0)</f>
        <v>0</v>
      </c>
      <c r="F505">
        <f>$C505*VLOOKUP($B505,FoodDB!$A$2:$I$1011,5,0)</f>
        <v>0</v>
      </c>
      <c r="G505">
        <f>$C505*VLOOKUP($B505,FoodDB!$A$2:$I$1011,6,0)</f>
        <v>0</v>
      </c>
      <c r="H505">
        <f>$C505*VLOOKUP($B505,FoodDB!$A$2:$I$1011,7,0)</f>
        <v>0</v>
      </c>
      <c r="I505">
        <f>$C505*VLOOKUP($B505,FoodDB!$A$2:$I$1011,8,0)</f>
        <v>0</v>
      </c>
      <c r="J505">
        <f>$C505*VLOOKUP($B505,FoodDB!$A$2:$I$1011,9,0)</f>
        <v>0</v>
      </c>
    </row>
    <row r="506" spans="1:19" x14ac:dyDescent="0.25">
      <c r="B506" s="94" t="s">
        <v>107</v>
      </c>
      <c r="C506" s="95">
        <v>0</v>
      </c>
      <c r="D506">
        <f>$C506*VLOOKUP($B506,FoodDB!$A$2:$I$1011,3,0)</f>
        <v>0</v>
      </c>
      <c r="E506">
        <f>$C506*VLOOKUP($B506,FoodDB!$A$2:$I$1011,4,0)</f>
        <v>0</v>
      </c>
      <c r="F506">
        <f>$C506*VLOOKUP($B506,FoodDB!$A$2:$I$1011,5,0)</f>
        <v>0</v>
      </c>
      <c r="G506">
        <f>$C506*VLOOKUP($B506,FoodDB!$A$2:$I$1011,6,0)</f>
        <v>0</v>
      </c>
      <c r="H506">
        <f>$C506*VLOOKUP($B506,FoodDB!$A$2:$I$1011,7,0)</f>
        <v>0</v>
      </c>
      <c r="I506">
        <f>$C506*VLOOKUP($B506,FoodDB!$A$2:$I$1011,8,0)</f>
        <v>0</v>
      </c>
      <c r="J506">
        <f>$C506*VLOOKUP($B506,FoodDB!$A$2:$I$1011,9,0)</f>
        <v>0</v>
      </c>
    </row>
    <row r="507" spans="1:19" x14ac:dyDescent="0.25">
      <c r="B507" s="94" t="s">
        <v>107</v>
      </c>
      <c r="C507" s="95">
        <v>0</v>
      </c>
      <c r="D507">
        <f>$C507*VLOOKUP($B507,FoodDB!$A$2:$I$1011,3,0)</f>
        <v>0</v>
      </c>
      <c r="E507">
        <f>$C507*VLOOKUP($B507,FoodDB!$A$2:$I$1011,4,0)</f>
        <v>0</v>
      </c>
      <c r="F507">
        <f>$C507*VLOOKUP($B507,FoodDB!$A$2:$I$1011,5,0)</f>
        <v>0</v>
      </c>
      <c r="G507">
        <f>$C507*VLOOKUP($B507,FoodDB!$A$2:$I$1011,6,0)</f>
        <v>0</v>
      </c>
      <c r="H507">
        <f>$C507*VLOOKUP($B507,FoodDB!$A$2:$I$1011,7,0)</f>
        <v>0</v>
      </c>
      <c r="I507">
        <f>$C507*VLOOKUP($B507,FoodDB!$A$2:$I$1011,8,0)</f>
        <v>0</v>
      </c>
      <c r="J507">
        <f>$C507*VLOOKUP($B507,FoodDB!$A$2:$I$1011,9,0)</f>
        <v>0</v>
      </c>
    </row>
    <row r="508" spans="1:19" x14ac:dyDescent="0.25">
      <c r="B508" s="94" t="s">
        <v>107</v>
      </c>
      <c r="C508" s="95">
        <v>0</v>
      </c>
      <c r="D508">
        <f>$C508*VLOOKUP($B508,FoodDB!$A$2:$I$1011,3,0)</f>
        <v>0</v>
      </c>
      <c r="E508">
        <f>$C508*VLOOKUP($B508,FoodDB!$A$2:$I$1011,4,0)</f>
        <v>0</v>
      </c>
      <c r="F508">
        <f>$C508*VLOOKUP($B508,FoodDB!$A$2:$I$1011,5,0)</f>
        <v>0</v>
      </c>
      <c r="G508">
        <f>$C508*VLOOKUP($B508,FoodDB!$A$2:$I$1011,6,0)</f>
        <v>0</v>
      </c>
      <c r="H508">
        <f>$C508*VLOOKUP($B508,FoodDB!$A$2:$I$1011,7,0)</f>
        <v>0</v>
      </c>
      <c r="I508">
        <f>$C508*VLOOKUP($B508,FoodDB!$A$2:$I$1011,8,0)</f>
        <v>0</v>
      </c>
      <c r="J508">
        <f>$C508*VLOOKUP($B508,FoodDB!$A$2:$I$1011,9,0)</f>
        <v>0</v>
      </c>
    </row>
    <row r="509" spans="1:19" x14ac:dyDescent="0.25">
      <c r="B509" s="94" t="s">
        <v>107</v>
      </c>
      <c r="C509" s="95">
        <v>0</v>
      </c>
      <c r="D509">
        <f>$C509*VLOOKUP($B509,FoodDB!$A$2:$I$1011,3,0)</f>
        <v>0</v>
      </c>
      <c r="E509">
        <f>$C509*VLOOKUP($B509,FoodDB!$A$2:$I$1011,4,0)</f>
        <v>0</v>
      </c>
      <c r="F509">
        <f>$C509*VLOOKUP($B509,FoodDB!$A$2:$I$1011,5,0)</f>
        <v>0</v>
      </c>
      <c r="G509">
        <f>$C509*VLOOKUP($B509,FoodDB!$A$2:$I$1011,6,0)</f>
        <v>0</v>
      </c>
      <c r="H509">
        <f>$C509*VLOOKUP($B509,FoodDB!$A$2:$I$1011,7,0)</f>
        <v>0</v>
      </c>
      <c r="I509">
        <f>$C509*VLOOKUP($B509,FoodDB!$A$2:$I$1011,8,0)</f>
        <v>0</v>
      </c>
      <c r="J509">
        <f>$C509*VLOOKUP($B509,FoodDB!$A$2:$I$1011,9,0)</f>
        <v>0</v>
      </c>
    </row>
    <row r="510" spans="1:19" x14ac:dyDescent="0.25">
      <c r="B510" s="94" t="s">
        <v>107</v>
      </c>
      <c r="C510" s="95">
        <v>0</v>
      </c>
      <c r="D510">
        <f>$C510*VLOOKUP($B510,FoodDB!$A$2:$I$1011,3,0)</f>
        <v>0</v>
      </c>
      <c r="E510">
        <f>$C510*VLOOKUP($B510,FoodDB!$A$2:$I$1011,4,0)</f>
        <v>0</v>
      </c>
      <c r="F510">
        <f>$C510*VLOOKUP($B510,FoodDB!$A$2:$I$1011,5,0)</f>
        <v>0</v>
      </c>
      <c r="G510">
        <f>$C510*VLOOKUP($B510,FoodDB!$A$2:$I$1011,6,0)</f>
        <v>0</v>
      </c>
      <c r="H510">
        <f>$C510*VLOOKUP($B510,FoodDB!$A$2:$I$1011,7,0)</f>
        <v>0</v>
      </c>
      <c r="I510">
        <f>$C510*VLOOKUP($B510,FoodDB!$A$2:$I$1011,8,0)</f>
        <v>0</v>
      </c>
      <c r="J510">
        <f>$C510*VLOOKUP($B510,FoodDB!$A$2:$I$1011,9,0)</f>
        <v>0</v>
      </c>
    </row>
    <row r="511" spans="1:19" x14ac:dyDescent="0.25">
      <c r="A511" t="s">
        <v>97</v>
      </c>
      <c r="G511">
        <f>SUM(G504:G510)</f>
        <v>0</v>
      </c>
      <c r="H511">
        <f>SUM(H504:H510)</f>
        <v>0</v>
      </c>
      <c r="I511">
        <f>SUM(I504:I510)</f>
        <v>0</v>
      </c>
      <c r="J511">
        <f>SUM(G511:I511)</f>
        <v>0</v>
      </c>
    </row>
    <row r="512" spans="1:19" x14ac:dyDescent="0.25">
      <c r="A512" t="s">
        <v>101</v>
      </c>
      <c r="B512" t="s">
        <v>102</v>
      </c>
      <c r="E512" s="98"/>
      <c r="F512" s="98"/>
      <c r="G512" s="98">
        <f>VLOOKUP($A504,LossChart!$A$3:$AB$105,14,0)</f>
        <v>649.76550368954122</v>
      </c>
      <c r="H512" s="98">
        <f>VLOOKUP($A504,LossChart!$A$3:$AB$105,15,0)</f>
        <v>80</v>
      </c>
      <c r="I512" s="98">
        <f>VLOOKUP($A504,LossChart!$A$3:$AB$105,16,0)</f>
        <v>482.47465271142238</v>
      </c>
      <c r="J512" s="98">
        <f>VLOOKUP($A504,LossChart!$A$3:$AB$105,17,0)</f>
        <v>1212.2401564009635</v>
      </c>
      <c r="K512" s="98"/>
    </row>
    <row r="513" spans="1:19" x14ac:dyDescent="0.25">
      <c r="A513" t="s">
        <v>103</v>
      </c>
      <c r="G513">
        <f>G512-G511</f>
        <v>649.76550368954122</v>
      </c>
      <c r="H513">
        <f>H512-H511</f>
        <v>80</v>
      </c>
      <c r="I513">
        <f>I512-I511</f>
        <v>482.47465271142238</v>
      </c>
      <c r="J513">
        <f>J512-J511</f>
        <v>1212.2401564009635</v>
      </c>
    </row>
    <row r="515" spans="1:19" ht="60" x14ac:dyDescent="0.25">
      <c r="A515" s="21" t="s">
        <v>63</v>
      </c>
      <c r="B515" s="21" t="s">
        <v>92</v>
      </c>
      <c r="C515" s="21" t="s">
        <v>93</v>
      </c>
      <c r="D515" s="92" t="str">
        <f>FoodDB!$C$1</f>
        <v>Fat
(g)</v>
      </c>
      <c r="E515" s="92" t="str">
        <f>FoodDB!$D$1</f>
        <v xml:space="preserve"> Carbs
(g)</v>
      </c>
      <c r="F515" s="92" t="str">
        <f>FoodDB!$E$1</f>
        <v>Protein
(g)</v>
      </c>
      <c r="G515" s="92" t="str">
        <f>FoodDB!$F$1</f>
        <v>Fat
(Cal)</v>
      </c>
      <c r="H515" s="92" t="str">
        <f>FoodDB!$G$1</f>
        <v>Carb
(Cal)</v>
      </c>
      <c r="I515" s="92" t="str">
        <f>FoodDB!$H$1</f>
        <v>Protein
(Cal)</v>
      </c>
      <c r="J515" s="92" t="str">
        <f>FoodDB!$I$1</f>
        <v>Total
Calories</v>
      </c>
      <c r="K515" s="92"/>
      <c r="L515" s="92" t="s">
        <v>109</v>
      </c>
      <c r="M515" s="92" t="s">
        <v>110</v>
      </c>
      <c r="N515" s="92" t="s">
        <v>111</v>
      </c>
      <c r="O515" s="92" t="s">
        <v>112</v>
      </c>
      <c r="P515" s="92" t="s">
        <v>117</v>
      </c>
      <c r="Q515" s="92" t="s">
        <v>118</v>
      </c>
      <c r="R515" s="92" t="s">
        <v>119</v>
      </c>
      <c r="S515" s="92" t="s">
        <v>120</v>
      </c>
    </row>
    <row r="516" spans="1:19" x14ac:dyDescent="0.25">
      <c r="A516" s="93">
        <f>A504+1</f>
        <v>43037</v>
      </c>
      <c r="B516" s="94" t="s">
        <v>107</v>
      </c>
      <c r="C516" s="95">
        <v>0</v>
      </c>
      <c r="D516">
        <f>$C516*VLOOKUP($B516,FoodDB!$A$2:$I$1011,3,0)</f>
        <v>0</v>
      </c>
      <c r="E516">
        <f>$C516*VLOOKUP($B516,FoodDB!$A$2:$I$1011,4,0)</f>
        <v>0</v>
      </c>
      <c r="F516">
        <f>$C516*VLOOKUP($B516,FoodDB!$A$2:$I$1011,5,0)</f>
        <v>0</v>
      </c>
      <c r="G516">
        <f>$C516*VLOOKUP($B516,FoodDB!$A$2:$I$1011,6,0)</f>
        <v>0</v>
      </c>
      <c r="H516">
        <f>$C516*VLOOKUP($B516,FoodDB!$A$2:$I$1011,7,0)</f>
        <v>0</v>
      </c>
      <c r="I516">
        <f>$C516*VLOOKUP($B516,FoodDB!$A$2:$I$1011,8,0)</f>
        <v>0</v>
      </c>
      <c r="J516">
        <f>$C516*VLOOKUP($B516,FoodDB!$A$2:$I$1011,9,0)</f>
        <v>0</v>
      </c>
      <c r="L516">
        <f>SUM(G516:G522)</f>
        <v>0</v>
      </c>
      <c r="M516">
        <f>SUM(H516:H522)</f>
        <v>0</v>
      </c>
      <c r="N516">
        <f>SUM(I516:I522)</f>
        <v>0</v>
      </c>
      <c r="O516">
        <f>SUM(L516:N516)</f>
        <v>0</v>
      </c>
      <c r="P516" s="98">
        <f>VLOOKUP($A516,LossChart!$A$3:$AB$105,14,0)-L516</f>
        <v>655.64516581821658</v>
      </c>
      <c r="Q516" s="98">
        <f>VLOOKUP($A516,LossChart!$A$3:$AB$105,15,0)-M516</f>
        <v>80</v>
      </c>
      <c r="R516" s="98">
        <f>VLOOKUP($A516,LossChart!$A$3:$AB$105,16,0)-N516</f>
        <v>482.47465271142238</v>
      </c>
      <c r="S516" s="98">
        <f>VLOOKUP($A516,LossChart!$A$3:$AB$105,17,0)-O516</f>
        <v>1218.1198185296389</v>
      </c>
    </row>
    <row r="517" spans="1:19" x14ac:dyDescent="0.25">
      <c r="B517" s="94" t="s">
        <v>107</v>
      </c>
      <c r="C517" s="95">
        <v>0</v>
      </c>
      <c r="D517">
        <f>$C517*VLOOKUP($B517,FoodDB!$A$2:$I$1011,3,0)</f>
        <v>0</v>
      </c>
      <c r="E517">
        <f>$C517*VLOOKUP($B517,FoodDB!$A$2:$I$1011,4,0)</f>
        <v>0</v>
      </c>
      <c r="F517">
        <f>$C517*VLOOKUP($B517,FoodDB!$A$2:$I$1011,5,0)</f>
        <v>0</v>
      </c>
      <c r="G517">
        <f>$C517*VLOOKUP($B517,FoodDB!$A$2:$I$1011,6,0)</f>
        <v>0</v>
      </c>
      <c r="H517">
        <f>$C517*VLOOKUP($B517,FoodDB!$A$2:$I$1011,7,0)</f>
        <v>0</v>
      </c>
      <c r="I517">
        <f>$C517*VLOOKUP($B517,FoodDB!$A$2:$I$1011,8,0)</f>
        <v>0</v>
      </c>
      <c r="J517">
        <f>$C517*VLOOKUP($B517,FoodDB!$A$2:$I$1011,9,0)</f>
        <v>0</v>
      </c>
    </row>
    <row r="518" spans="1:19" x14ac:dyDescent="0.25">
      <c r="B518" s="94" t="s">
        <v>107</v>
      </c>
      <c r="C518" s="95">
        <v>0</v>
      </c>
      <c r="D518">
        <f>$C518*VLOOKUP($B518,FoodDB!$A$2:$I$1011,3,0)</f>
        <v>0</v>
      </c>
      <c r="E518">
        <f>$C518*VLOOKUP($B518,FoodDB!$A$2:$I$1011,4,0)</f>
        <v>0</v>
      </c>
      <c r="F518">
        <f>$C518*VLOOKUP($B518,FoodDB!$A$2:$I$1011,5,0)</f>
        <v>0</v>
      </c>
      <c r="G518">
        <f>$C518*VLOOKUP($B518,FoodDB!$A$2:$I$1011,6,0)</f>
        <v>0</v>
      </c>
      <c r="H518">
        <f>$C518*VLOOKUP($B518,FoodDB!$A$2:$I$1011,7,0)</f>
        <v>0</v>
      </c>
      <c r="I518">
        <f>$C518*VLOOKUP($B518,FoodDB!$A$2:$I$1011,8,0)</f>
        <v>0</v>
      </c>
      <c r="J518">
        <f>$C518*VLOOKUP($B518,FoodDB!$A$2:$I$1011,9,0)</f>
        <v>0</v>
      </c>
    </row>
    <row r="519" spans="1:19" x14ac:dyDescent="0.25">
      <c r="B519" s="94" t="s">
        <v>107</v>
      </c>
      <c r="C519" s="95">
        <v>0</v>
      </c>
      <c r="D519">
        <f>$C519*VLOOKUP($B519,FoodDB!$A$2:$I$1011,3,0)</f>
        <v>0</v>
      </c>
      <c r="E519">
        <f>$C519*VLOOKUP($B519,FoodDB!$A$2:$I$1011,4,0)</f>
        <v>0</v>
      </c>
      <c r="F519">
        <f>$C519*VLOOKUP($B519,FoodDB!$A$2:$I$1011,5,0)</f>
        <v>0</v>
      </c>
      <c r="G519">
        <f>$C519*VLOOKUP($B519,FoodDB!$A$2:$I$1011,6,0)</f>
        <v>0</v>
      </c>
      <c r="H519">
        <f>$C519*VLOOKUP($B519,FoodDB!$A$2:$I$1011,7,0)</f>
        <v>0</v>
      </c>
      <c r="I519">
        <f>$C519*VLOOKUP($B519,FoodDB!$A$2:$I$1011,8,0)</f>
        <v>0</v>
      </c>
      <c r="J519">
        <f>$C519*VLOOKUP($B519,FoodDB!$A$2:$I$1011,9,0)</f>
        <v>0</v>
      </c>
    </row>
    <row r="520" spans="1:19" x14ac:dyDescent="0.25">
      <c r="B520" s="94" t="s">
        <v>107</v>
      </c>
      <c r="C520" s="95">
        <v>0</v>
      </c>
      <c r="D520">
        <f>$C520*VLOOKUP($B520,FoodDB!$A$2:$I$1011,3,0)</f>
        <v>0</v>
      </c>
      <c r="E520">
        <f>$C520*VLOOKUP($B520,FoodDB!$A$2:$I$1011,4,0)</f>
        <v>0</v>
      </c>
      <c r="F520">
        <f>$C520*VLOOKUP($B520,FoodDB!$A$2:$I$1011,5,0)</f>
        <v>0</v>
      </c>
      <c r="G520">
        <f>$C520*VLOOKUP($B520,FoodDB!$A$2:$I$1011,6,0)</f>
        <v>0</v>
      </c>
      <c r="H520">
        <f>$C520*VLOOKUP($B520,FoodDB!$A$2:$I$1011,7,0)</f>
        <v>0</v>
      </c>
      <c r="I520">
        <f>$C520*VLOOKUP($B520,FoodDB!$A$2:$I$1011,8,0)</f>
        <v>0</v>
      </c>
      <c r="J520">
        <f>$C520*VLOOKUP($B520,FoodDB!$A$2:$I$1011,9,0)</f>
        <v>0</v>
      </c>
    </row>
    <row r="521" spans="1:19" x14ac:dyDescent="0.25">
      <c r="B521" s="94" t="s">
        <v>107</v>
      </c>
      <c r="C521" s="95">
        <v>0</v>
      </c>
      <c r="D521">
        <f>$C521*VLOOKUP($B521,FoodDB!$A$2:$I$1011,3,0)</f>
        <v>0</v>
      </c>
      <c r="E521">
        <f>$C521*VLOOKUP($B521,FoodDB!$A$2:$I$1011,4,0)</f>
        <v>0</v>
      </c>
      <c r="F521">
        <f>$C521*VLOOKUP($B521,FoodDB!$A$2:$I$1011,5,0)</f>
        <v>0</v>
      </c>
      <c r="G521">
        <f>$C521*VLOOKUP($B521,FoodDB!$A$2:$I$1011,6,0)</f>
        <v>0</v>
      </c>
      <c r="H521">
        <f>$C521*VLOOKUP($B521,FoodDB!$A$2:$I$1011,7,0)</f>
        <v>0</v>
      </c>
      <c r="I521">
        <f>$C521*VLOOKUP($B521,FoodDB!$A$2:$I$1011,8,0)</f>
        <v>0</v>
      </c>
      <c r="J521">
        <f>$C521*VLOOKUP($B521,FoodDB!$A$2:$I$1011,9,0)</f>
        <v>0</v>
      </c>
    </row>
    <row r="522" spans="1:19" x14ac:dyDescent="0.25">
      <c r="B522" s="94" t="s">
        <v>107</v>
      </c>
      <c r="C522" s="95">
        <v>0</v>
      </c>
      <c r="D522">
        <f>$C522*VLOOKUP($B522,FoodDB!$A$2:$I$1011,3,0)</f>
        <v>0</v>
      </c>
      <c r="E522">
        <f>$C522*VLOOKUP($B522,FoodDB!$A$2:$I$1011,4,0)</f>
        <v>0</v>
      </c>
      <c r="F522">
        <f>$C522*VLOOKUP($B522,FoodDB!$A$2:$I$1011,5,0)</f>
        <v>0</v>
      </c>
      <c r="G522">
        <f>$C522*VLOOKUP($B522,FoodDB!$A$2:$I$1011,6,0)</f>
        <v>0</v>
      </c>
      <c r="H522">
        <f>$C522*VLOOKUP($B522,FoodDB!$A$2:$I$1011,7,0)</f>
        <v>0</v>
      </c>
      <c r="I522">
        <f>$C522*VLOOKUP($B522,FoodDB!$A$2:$I$1011,8,0)</f>
        <v>0</v>
      </c>
      <c r="J522">
        <f>$C522*VLOOKUP($B522,FoodDB!$A$2:$I$1011,9,0)</f>
        <v>0</v>
      </c>
    </row>
    <row r="523" spans="1:19" x14ac:dyDescent="0.25">
      <c r="A523" t="s">
        <v>97</v>
      </c>
      <c r="G523">
        <f>SUM(G516:G522)</f>
        <v>0</v>
      </c>
      <c r="H523">
        <f>SUM(H516:H522)</f>
        <v>0</v>
      </c>
      <c r="I523">
        <f>SUM(I516:I522)</f>
        <v>0</v>
      </c>
      <c r="J523">
        <f>SUM(G523:I523)</f>
        <v>0</v>
      </c>
    </row>
    <row r="524" spans="1:19" x14ac:dyDescent="0.25">
      <c r="A524" t="s">
        <v>101</v>
      </c>
      <c r="B524" t="s">
        <v>102</v>
      </c>
      <c r="E524" s="98"/>
      <c r="F524" s="98"/>
      <c r="G524" s="98">
        <f>VLOOKUP($A516,LossChart!$A$3:$AB$105,14,0)</f>
        <v>655.64516581821658</v>
      </c>
      <c r="H524" s="98">
        <f>VLOOKUP($A516,LossChart!$A$3:$AB$105,15,0)</f>
        <v>80</v>
      </c>
      <c r="I524" s="98">
        <f>VLOOKUP($A516,LossChart!$A$3:$AB$105,16,0)</f>
        <v>482.47465271142238</v>
      </c>
      <c r="J524" s="98">
        <f>VLOOKUP($A516,LossChart!$A$3:$AB$105,17,0)</f>
        <v>1218.1198185296389</v>
      </c>
      <c r="K524" s="98"/>
    </row>
    <row r="525" spans="1:19" x14ac:dyDescent="0.25">
      <c r="A525" t="s">
        <v>103</v>
      </c>
      <c r="G525">
        <f>G524-G523</f>
        <v>655.64516581821658</v>
      </c>
      <c r="H525">
        <f>H524-H523</f>
        <v>80</v>
      </c>
      <c r="I525">
        <f>I524-I523</f>
        <v>482.47465271142238</v>
      </c>
      <c r="J525">
        <f>J524-J523</f>
        <v>1218.1198185296389</v>
      </c>
    </row>
    <row r="527" spans="1:19" ht="60" x14ac:dyDescent="0.25">
      <c r="A527" s="21" t="s">
        <v>63</v>
      </c>
      <c r="B527" s="21" t="s">
        <v>92</v>
      </c>
      <c r="C527" s="21" t="s">
        <v>93</v>
      </c>
      <c r="D527" s="92" t="str">
        <f>FoodDB!$C$1</f>
        <v>Fat
(g)</v>
      </c>
      <c r="E527" s="92" t="str">
        <f>FoodDB!$D$1</f>
        <v xml:space="preserve"> Carbs
(g)</v>
      </c>
      <c r="F527" s="92" t="str">
        <f>FoodDB!$E$1</f>
        <v>Protein
(g)</v>
      </c>
      <c r="G527" s="92" t="str">
        <f>FoodDB!$F$1</f>
        <v>Fat
(Cal)</v>
      </c>
      <c r="H527" s="92" t="str">
        <f>FoodDB!$G$1</f>
        <v>Carb
(Cal)</v>
      </c>
      <c r="I527" s="92" t="str">
        <f>FoodDB!$H$1</f>
        <v>Protein
(Cal)</v>
      </c>
      <c r="J527" s="92" t="str">
        <f>FoodDB!$I$1</f>
        <v>Total
Calories</v>
      </c>
      <c r="K527" s="92"/>
      <c r="L527" s="92" t="s">
        <v>109</v>
      </c>
      <c r="M527" s="92" t="s">
        <v>110</v>
      </c>
      <c r="N527" s="92" t="s">
        <v>111</v>
      </c>
      <c r="O527" s="92" t="s">
        <v>112</v>
      </c>
      <c r="P527" s="92" t="s">
        <v>117</v>
      </c>
      <c r="Q527" s="92" t="s">
        <v>118</v>
      </c>
      <c r="R527" s="92" t="s">
        <v>119</v>
      </c>
      <c r="S527" s="92" t="s">
        <v>120</v>
      </c>
    </row>
    <row r="528" spans="1:19" x14ac:dyDescent="0.25">
      <c r="A528" s="93">
        <f>A516+1</f>
        <v>43038</v>
      </c>
      <c r="B528" s="94" t="s">
        <v>107</v>
      </c>
      <c r="C528" s="95">
        <v>0</v>
      </c>
      <c r="D528">
        <f>$C528*VLOOKUP($B528,FoodDB!$A$2:$I$1011,3,0)</f>
        <v>0</v>
      </c>
      <c r="E528">
        <f>$C528*VLOOKUP($B528,FoodDB!$A$2:$I$1011,4,0)</f>
        <v>0</v>
      </c>
      <c r="F528">
        <f>$C528*VLOOKUP($B528,FoodDB!$A$2:$I$1011,5,0)</f>
        <v>0</v>
      </c>
      <c r="G528">
        <f>$C528*VLOOKUP($B528,FoodDB!$A$2:$I$1011,6,0)</f>
        <v>0</v>
      </c>
      <c r="H528">
        <f>$C528*VLOOKUP($B528,FoodDB!$A$2:$I$1011,7,0)</f>
        <v>0</v>
      </c>
      <c r="I528">
        <f>$C528*VLOOKUP($B528,FoodDB!$A$2:$I$1011,8,0)</f>
        <v>0</v>
      </c>
      <c r="J528">
        <f>$C528*VLOOKUP($B528,FoodDB!$A$2:$I$1011,9,0)</f>
        <v>0</v>
      </c>
      <c r="L528">
        <f>SUM(G528:G534)</f>
        <v>0</v>
      </c>
      <c r="M528">
        <f>SUM(H528:H534)</f>
        <v>0</v>
      </c>
      <c r="N528">
        <f>SUM(I528:I534)</f>
        <v>0</v>
      </c>
      <c r="O528">
        <f>SUM(L528:N528)</f>
        <v>0</v>
      </c>
      <c r="P528" s="98">
        <f>VLOOKUP($A528,LossChart!$A$3:$AB$105,14,0)-L528</f>
        <v>661.47275093946632</v>
      </c>
      <c r="Q528" s="98">
        <f>VLOOKUP($A528,LossChart!$A$3:$AB$105,15,0)-M528</f>
        <v>80</v>
      </c>
      <c r="R528" s="98">
        <f>VLOOKUP($A528,LossChart!$A$3:$AB$105,16,0)-N528</f>
        <v>482.47465271142238</v>
      </c>
      <c r="S528" s="98">
        <f>VLOOKUP($A528,LossChart!$A$3:$AB$105,17,0)-O528</f>
        <v>1223.9474036508886</v>
      </c>
    </row>
    <row r="529" spans="1:19" x14ac:dyDescent="0.25">
      <c r="B529" s="94" t="s">
        <v>107</v>
      </c>
      <c r="C529" s="95">
        <v>0</v>
      </c>
      <c r="D529">
        <f>$C529*VLOOKUP($B529,FoodDB!$A$2:$I$1011,3,0)</f>
        <v>0</v>
      </c>
      <c r="E529">
        <f>$C529*VLOOKUP($B529,FoodDB!$A$2:$I$1011,4,0)</f>
        <v>0</v>
      </c>
      <c r="F529">
        <f>$C529*VLOOKUP($B529,FoodDB!$A$2:$I$1011,5,0)</f>
        <v>0</v>
      </c>
      <c r="G529">
        <f>$C529*VLOOKUP($B529,FoodDB!$A$2:$I$1011,6,0)</f>
        <v>0</v>
      </c>
      <c r="H529">
        <f>$C529*VLOOKUP($B529,FoodDB!$A$2:$I$1011,7,0)</f>
        <v>0</v>
      </c>
      <c r="I529">
        <f>$C529*VLOOKUP($B529,FoodDB!$A$2:$I$1011,8,0)</f>
        <v>0</v>
      </c>
      <c r="J529">
        <f>$C529*VLOOKUP($B529,FoodDB!$A$2:$I$1011,9,0)</f>
        <v>0</v>
      </c>
    </row>
    <row r="530" spans="1:19" x14ac:dyDescent="0.25">
      <c r="B530" s="94" t="s">
        <v>107</v>
      </c>
      <c r="C530" s="95">
        <v>0</v>
      </c>
      <c r="D530">
        <f>$C530*VLOOKUP($B530,FoodDB!$A$2:$I$1011,3,0)</f>
        <v>0</v>
      </c>
      <c r="E530">
        <f>$C530*VLOOKUP($B530,FoodDB!$A$2:$I$1011,4,0)</f>
        <v>0</v>
      </c>
      <c r="F530">
        <f>$C530*VLOOKUP($B530,FoodDB!$A$2:$I$1011,5,0)</f>
        <v>0</v>
      </c>
      <c r="G530">
        <f>$C530*VLOOKUP($B530,FoodDB!$A$2:$I$1011,6,0)</f>
        <v>0</v>
      </c>
      <c r="H530">
        <f>$C530*VLOOKUP($B530,FoodDB!$A$2:$I$1011,7,0)</f>
        <v>0</v>
      </c>
      <c r="I530">
        <f>$C530*VLOOKUP($B530,FoodDB!$A$2:$I$1011,8,0)</f>
        <v>0</v>
      </c>
      <c r="J530">
        <f>$C530*VLOOKUP($B530,FoodDB!$A$2:$I$1011,9,0)</f>
        <v>0</v>
      </c>
    </row>
    <row r="531" spans="1:19" x14ac:dyDescent="0.25">
      <c r="B531" s="94" t="s">
        <v>107</v>
      </c>
      <c r="C531" s="95">
        <v>0</v>
      </c>
      <c r="D531">
        <f>$C531*VLOOKUP($B531,FoodDB!$A$2:$I$1011,3,0)</f>
        <v>0</v>
      </c>
      <c r="E531">
        <f>$C531*VLOOKUP($B531,FoodDB!$A$2:$I$1011,4,0)</f>
        <v>0</v>
      </c>
      <c r="F531">
        <f>$C531*VLOOKUP($B531,FoodDB!$A$2:$I$1011,5,0)</f>
        <v>0</v>
      </c>
      <c r="G531">
        <f>$C531*VLOOKUP($B531,FoodDB!$A$2:$I$1011,6,0)</f>
        <v>0</v>
      </c>
      <c r="H531">
        <f>$C531*VLOOKUP($B531,FoodDB!$A$2:$I$1011,7,0)</f>
        <v>0</v>
      </c>
      <c r="I531">
        <f>$C531*VLOOKUP($B531,FoodDB!$A$2:$I$1011,8,0)</f>
        <v>0</v>
      </c>
      <c r="J531">
        <f>$C531*VLOOKUP($B531,FoodDB!$A$2:$I$1011,9,0)</f>
        <v>0</v>
      </c>
    </row>
    <row r="532" spans="1:19" x14ac:dyDescent="0.25">
      <c r="B532" s="94" t="s">
        <v>107</v>
      </c>
      <c r="C532" s="95">
        <v>0</v>
      </c>
      <c r="D532">
        <f>$C532*VLOOKUP($B532,FoodDB!$A$2:$I$1011,3,0)</f>
        <v>0</v>
      </c>
      <c r="E532">
        <f>$C532*VLOOKUP($B532,FoodDB!$A$2:$I$1011,4,0)</f>
        <v>0</v>
      </c>
      <c r="F532">
        <f>$C532*VLOOKUP($B532,FoodDB!$A$2:$I$1011,5,0)</f>
        <v>0</v>
      </c>
      <c r="G532">
        <f>$C532*VLOOKUP($B532,FoodDB!$A$2:$I$1011,6,0)</f>
        <v>0</v>
      </c>
      <c r="H532">
        <f>$C532*VLOOKUP($B532,FoodDB!$A$2:$I$1011,7,0)</f>
        <v>0</v>
      </c>
      <c r="I532">
        <f>$C532*VLOOKUP($B532,FoodDB!$A$2:$I$1011,8,0)</f>
        <v>0</v>
      </c>
      <c r="J532">
        <f>$C532*VLOOKUP($B532,FoodDB!$A$2:$I$1011,9,0)</f>
        <v>0</v>
      </c>
    </row>
    <row r="533" spans="1:19" x14ac:dyDescent="0.25">
      <c r="B533" s="94" t="s">
        <v>107</v>
      </c>
      <c r="C533" s="95">
        <v>0</v>
      </c>
      <c r="D533">
        <f>$C533*VLOOKUP($B533,FoodDB!$A$2:$I$1011,3,0)</f>
        <v>0</v>
      </c>
      <c r="E533">
        <f>$C533*VLOOKUP($B533,FoodDB!$A$2:$I$1011,4,0)</f>
        <v>0</v>
      </c>
      <c r="F533">
        <f>$C533*VLOOKUP($B533,FoodDB!$A$2:$I$1011,5,0)</f>
        <v>0</v>
      </c>
      <c r="G533">
        <f>$C533*VLOOKUP($B533,FoodDB!$A$2:$I$1011,6,0)</f>
        <v>0</v>
      </c>
      <c r="H533">
        <f>$C533*VLOOKUP($B533,FoodDB!$A$2:$I$1011,7,0)</f>
        <v>0</v>
      </c>
      <c r="I533">
        <f>$C533*VLOOKUP($B533,FoodDB!$A$2:$I$1011,8,0)</f>
        <v>0</v>
      </c>
      <c r="J533">
        <f>$C533*VLOOKUP($B533,FoodDB!$A$2:$I$1011,9,0)</f>
        <v>0</v>
      </c>
    </row>
    <row r="534" spans="1:19" x14ac:dyDescent="0.25">
      <c r="B534" s="94" t="s">
        <v>107</v>
      </c>
      <c r="C534" s="95">
        <v>0</v>
      </c>
      <c r="D534">
        <f>$C534*VLOOKUP($B534,FoodDB!$A$2:$I$1011,3,0)</f>
        <v>0</v>
      </c>
      <c r="E534">
        <f>$C534*VLOOKUP($B534,FoodDB!$A$2:$I$1011,4,0)</f>
        <v>0</v>
      </c>
      <c r="F534">
        <f>$C534*VLOOKUP($B534,FoodDB!$A$2:$I$1011,5,0)</f>
        <v>0</v>
      </c>
      <c r="G534">
        <f>$C534*VLOOKUP($B534,FoodDB!$A$2:$I$1011,6,0)</f>
        <v>0</v>
      </c>
      <c r="H534">
        <f>$C534*VLOOKUP($B534,FoodDB!$A$2:$I$1011,7,0)</f>
        <v>0</v>
      </c>
      <c r="I534">
        <f>$C534*VLOOKUP($B534,FoodDB!$A$2:$I$1011,8,0)</f>
        <v>0</v>
      </c>
      <c r="J534">
        <f>$C534*VLOOKUP($B534,FoodDB!$A$2:$I$1011,9,0)</f>
        <v>0</v>
      </c>
    </row>
    <row r="535" spans="1:19" x14ac:dyDescent="0.25">
      <c r="A535" t="s">
        <v>97</v>
      </c>
      <c r="G535">
        <f>SUM(G528:G534)</f>
        <v>0</v>
      </c>
      <c r="H535">
        <f>SUM(H528:H534)</f>
        <v>0</v>
      </c>
      <c r="I535">
        <f>SUM(I528:I534)</f>
        <v>0</v>
      </c>
      <c r="J535">
        <f>SUM(G535:I535)</f>
        <v>0</v>
      </c>
    </row>
    <row r="536" spans="1:19" x14ac:dyDescent="0.25">
      <c r="A536" t="s">
        <v>101</v>
      </c>
      <c r="B536" t="s">
        <v>102</v>
      </c>
      <c r="E536" s="98"/>
      <c r="F536" s="98"/>
      <c r="G536" s="98">
        <f>VLOOKUP($A528,LossChart!$A$3:$AB$105,14,0)</f>
        <v>661.47275093946632</v>
      </c>
      <c r="H536" s="98">
        <f>VLOOKUP($A528,LossChart!$A$3:$AB$105,15,0)</f>
        <v>80</v>
      </c>
      <c r="I536" s="98">
        <f>VLOOKUP($A528,LossChart!$A$3:$AB$105,16,0)</f>
        <v>482.47465271142238</v>
      </c>
      <c r="J536" s="98">
        <f>VLOOKUP($A528,LossChart!$A$3:$AB$105,17,0)</f>
        <v>1223.9474036508886</v>
      </c>
      <c r="K536" s="98"/>
    </row>
    <row r="537" spans="1:19" x14ac:dyDescent="0.25">
      <c r="A537" t="s">
        <v>103</v>
      </c>
      <c r="G537">
        <f>G536-G535</f>
        <v>661.47275093946632</v>
      </c>
      <c r="H537">
        <f>H536-H535</f>
        <v>80</v>
      </c>
      <c r="I537">
        <f>I536-I535</f>
        <v>482.47465271142238</v>
      </c>
      <c r="J537">
        <f>J536-J535</f>
        <v>1223.9474036508886</v>
      </c>
    </row>
    <row r="539" spans="1:19" ht="60" x14ac:dyDescent="0.25">
      <c r="A539" s="21" t="s">
        <v>63</v>
      </c>
      <c r="B539" s="21" t="s">
        <v>92</v>
      </c>
      <c r="C539" s="21" t="s">
        <v>93</v>
      </c>
      <c r="D539" s="92" t="str">
        <f>FoodDB!$C$1</f>
        <v>Fat
(g)</v>
      </c>
      <c r="E539" s="92" t="str">
        <f>FoodDB!$D$1</f>
        <v xml:space="preserve"> Carbs
(g)</v>
      </c>
      <c r="F539" s="92" t="str">
        <f>FoodDB!$E$1</f>
        <v>Protein
(g)</v>
      </c>
      <c r="G539" s="92" t="str">
        <f>FoodDB!$F$1</f>
        <v>Fat
(Cal)</v>
      </c>
      <c r="H539" s="92" t="str">
        <f>FoodDB!$G$1</f>
        <v>Carb
(Cal)</v>
      </c>
      <c r="I539" s="92" t="str">
        <f>FoodDB!$H$1</f>
        <v>Protein
(Cal)</v>
      </c>
      <c r="J539" s="92" t="str">
        <f>FoodDB!$I$1</f>
        <v>Total
Calories</v>
      </c>
      <c r="K539" s="92"/>
      <c r="L539" s="92" t="s">
        <v>109</v>
      </c>
      <c r="M539" s="92" t="s">
        <v>110</v>
      </c>
      <c r="N539" s="92" t="s">
        <v>111</v>
      </c>
      <c r="O539" s="92" t="s">
        <v>112</v>
      </c>
      <c r="P539" s="92" t="s">
        <v>117</v>
      </c>
      <c r="Q539" s="92" t="s">
        <v>118</v>
      </c>
      <c r="R539" s="92" t="s">
        <v>119</v>
      </c>
      <c r="S539" s="92" t="s">
        <v>120</v>
      </c>
    </row>
    <row r="540" spans="1:19" x14ac:dyDescent="0.25">
      <c r="A540" s="93">
        <f>A528+1</f>
        <v>43039</v>
      </c>
      <c r="B540" s="94" t="s">
        <v>107</v>
      </c>
      <c r="C540" s="95">
        <v>0</v>
      </c>
      <c r="D540">
        <f>$C540*VLOOKUP($B540,FoodDB!$A$2:$I$1011,3,0)</f>
        <v>0</v>
      </c>
      <c r="E540">
        <f>$C540*VLOOKUP($B540,FoodDB!$A$2:$I$1011,4,0)</f>
        <v>0</v>
      </c>
      <c r="F540">
        <f>$C540*VLOOKUP($B540,FoodDB!$A$2:$I$1011,5,0)</f>
        <v>0</v>
      </c>
      <c r="G540">
        <f>$C540*VLOOKUP($B540,FoodDB!$A$2:$I$1011,6,0)</f>
        <v>0</v>
      </c>
      <c r="H540">
        <f>$C540*VLOOKUP($B540,FoodDB!$A$2:$I$1011,7,0)</f>
        <v>0</v>
      </c>
      <c r="I540">
        <f>$C540*VLOOKUP($B540,FoodDB!$A$2:$I$1011,8,0)</f>
        <v>0</v>
      </c>
      <c r="J540">
        <f>$C540*VLOOKUP($B540,FoodDB!$A$2:$I$1011,9,0)</f>
        <v>0</v>
      </c>
      <c r="L540">
        <f>SUM(G540:G546)</f>
        <v>0</v>
      </c>
      <c r="M540">
        <f>SUM(H540:H546)</f>
        <v>0</v>
      </c>
      <c r="N540">
        <f>SUM(I540:I546)</f>
        <v>0</v>
      </c>
      <c r="O540">
        <f>SUM(L540:N540)</f>
        <v>0</v>
      </c>
      <c r="P540" s="98">
        <f>VLOOKUP($A540,LossChart!$A$3:$AB$105,14,0)-L540</f>
        <v>667.24872030678557</v>
      </c>
      <c r="Q540" s="98">
        <f>VLOOKUP($A540,LossChart!$A$3:$AB$105,15,0)-M540</f>
        <v>80</v>
      </c>
      <c r="R540" s="98">
        <f>VLOOKUP($A540,LossChart!$A$3:$AB$105,16,0)-N540</f>
        <v>482.47465271142238</v>
      </c>
      <c r="S540" s="98">
        <f>VLOOKUP($A540,LossChart!$A$3:$AB$105,17,0)-O540</f>
        <v>1229.7233730182079</v>
      </c>
    </row>
    <row r="541" spans="1:19" x14ac:dyDescent="0.25">
      <c r="B541" s="94" t="s">
        <v>107</v>
      </c>
      <c r="C541" s="95">
        <v>0</v>
      </c>
      <c r="D541">
        <f>$C541*VLOOKUP($B541,FoodDB!$A$2:$I$1011,3,0)</f>
        <v>0</v>
      </c>
      <c r="E541">
        <f>$C541*VLOOKUP($B541,FoodDB!$A$2:$I$1011,4,0)</f>
        <v>0</v>
      </c>
      <c r="F541">
        <f>$C541*VLOOKUP($B541,FoodDB!$A$2:$I$1011,5,0)</f>
        <v>0</v>
      </c>
      <c r="G541">
        <f>$C541*VLOOKUP($B541,FoodDB!$A$2:$I$1011,6,0)</f>
        <v>0</v>
      </c>
      <c r="H541">
        <f>$C541*VLOOKUP($B541,FoodDB!$A$2:$I$1011,7,0)</f>
        <v>0</v>
      </c>
      <c r="I541">
        <f>$C541*VLOOKUP($B541,FoodDB!$A$2:$I$1011,8,0)</f>
        <v>0</v>
      </c>
      <c r="J541">
        <f>$C541*VLOOKUP($B541,FoodDB!$A$2:$I$1011,9,0)</f>
        <v>0</v>
      </c>
    </row>
    <row r="542" spans="1:19" x14ac:dyDescent="0.25">
      <c r="B542" s="94" t="s">
        <v>107</v>
      </c>
      <c r="C542" s="95">
        <v>0</v>
      </c>
      <c r="D542">
        <f>$C542*VLOOKUP($B542,FoodDB!$A$2:$I$1011,3,0)</f>
        <v>0</v>
      </c>
      <c r="E542">
        <f>$C542*VLOOKUP($B542,FoodDB!$A$2:$I$1011,4,0)</f>
        <v>0</v>
      </c>
      <c r="F542">
        <f>$C542*VLOOKUP($B542,FoodDB!$A$2:$I$1011,5,0)</f>
        <v>0</v>
      </c>
      <c r="G542">
        <f>$C542*VLOOKUP($B542,FoodDB!$A$2:$I$1011,6,0)</f>
        <v>0</v>
      </c>
      <c r="H542">
        <f>$C542*VLOOKUP($B542,FoodDB!$A$2:$I$1011,7,0)</f>
        <v>0</v>
      </c>
      <c r="I542">
        <f>$C542*VLOOKUP($B542,FoodDB!$A$2:$I$1011,8,0)</f>
        <v>0</v>
      </c>
      <c r="J542">
        <f>$C542*VLOOKUP($B542,FoodDB!$A$2:$I$1011,9,0)</f>
        <v>0</v>
      </c>
    </row>
    <row r="543" spans="1:19" x14ac:dyDescent="0.25">
      <c r="B543" s="94" t="s">
        <v>107</v>
      </c>
      <c r="C543" s="95">
        <v>0</v>
      </c>
      <c r="D543">
        <f>$C543*VLOOKUP($B543,FoodDB!$A$2:$I$1011,3,0)</f>
        <v>0</v>
      </c>
      <c r="E543">
        <f>$C543*VLOOKUP($B543,FoodDB!$A$2:$I$1011,4,0)</f>
        <v>0</v>
      </c>
      <c r="F543">
        <f>$C543*VLOOKUP($B543,FoodDB!$A$2:$I$1011,5,0)</f>
        <v>0</v>
      </c>
      <c r="G543">
        <f>$C543*VLOOKUP($B543,FoodDB!$A$2:$I$1011,6,0)</f>
        <v>0</v>
      </c>
      <c r="H543">
        <f>$C543*VLOOKUP($B543,FoodDB!$A$2:$I$1011,7,0)</f>
        <v>0</v>
      </c>
      <c r="I543">
        <f>$C543*VLOOKUP($B543,FoodDB!$A$2:$I$1011,8,0)</f>
        <v>0</v>
      </c>
      <c r="J543">
        <f>$C543*VLOOKUP($B543,FoodDB!$A$2:$I$1011,9,0)</f>
        <v>0</v>
      </c>
    </row>
    <row r="544" spans="1:19" x14ac:dyDescent="0.25">
      <c r="B544" s="94" t="s">
        <v>107</v>
      </c>
      <c r="C544" s="95">
        <v>0</v>
      </c>
      <c r="D544">
        <f>$C544*VLOOKUP($B544,FoodDB!$A$2:$I$1011,3,0)</f>
        <v>0</v>
      </c>
      <c r="E544">
        <f>$C544*VLOOKUP($B544,FoodDB!$A$2:$I$1011,4,0)</f>
        <v>0</v>
      </c>
      <c r="F544">
        <f>$C544*VLOOKUP($B544,FoodDB!$A$2:$I$1011,5,0)</f>
        <v>0</v>
      </c>
      <c r="G544">
        <f>$C544*VLOOKUP($B544,FoodDB!$A$2:$I$1011,6,0)</f>
        <v>0</v>
      </c>
      <c r="H544">
        <f>$C544*VLOOKUP($B544,FoodDB!$A$2:$I$1011,7,0)</f>
        <v>0</v>
      </c>
      <c r="I544">
        <f>$C544*VLOOKUP($B544,FoodDB!$A$2:$I$1011,8,0)</f>
        <v>0</v>
      </c>
      <c r="J544">
        <f>$C544*VLOOKUP($B544,FoodDB!$A$2:$I$1011,9,0)</f>
        <v>0</v>
      </c>
    </row>
    <row r="545" spans="1:19" x14ac:dyDescent="0.25">
      <c r="B545" s="94" t="s">
        <v>107</v>
      </c>
      <c r="C545" s="95">
        <v>0</v>
      </c>
      <c r="D545">
        <f>$C545*VLOOKUP($B545,FoodDB!$A$2:$I$1011,3,0)</f>
        <v>0</v>
      </c>
      <c r="E545">
        <f>$C545*VLOOKUP($B545,FoodDB!$A$2:$I$1011,4,0)</f>
        <v>0</v>
      </c>
      <c r="F545">
        <f>$C545*VLOOKUP($B545,FoodDB!$A$2:$I$1011,5,0)</f>
        <v>0</v>
      </c>
      <c r="G545">
        <f>$C545*VLOOKUP($B545,FoodDB!$A$2:$I$1011,6,0)</f>
        <v>0</v>
      </c>
      <c r="H545">
        <f>$C545*VLOOKUP($B545,FoodDB!$A$2:$I$1011,7,0)</f>
        <v>0</v>
      </c>
      <c r="I545">
        <f>$C545*VLOOKUP($B545,FoodDB!$A$2:$I$1011,8,0)</f>
        <v>0</v>
      </c>
      <c r="J545">
        <f>$C545*VLOOKUP($B545,FoodDB!$A$2:$I$1011,9,0)</f>
        <v>0</v>
      </c>
    </row>
    <row r="546" spans="1:19" x14ac:dyDescent="0.25">
      <c r="B546" s="94" t="s">
        <v>107</v>
      </c>
      <c r="C546" s="95">
        <v>0</v>
      </c>
      <c r="D546">
        <f>$C546*VLOOKUP($B546,FoodDB!$A$2:$I$1011,3,0)</f>
        <v>0</v>
      </c>
      <c r="E546">
        <f>$C546*VLOOKUP($B546,FoodDB!$A$2:$I$1011,4,0)</f>
        <v>0</v>
      </c>
      <c r="F546">
        <f>$C546*VLOOKUP($B546,FoodDB!$A$2:$I$1011,5,0)</f>
        <v>0</v>
      </c>
      <c r="G546">
        <f>$C546*VLOOKUP($B546,FoodDB!$A$2:$I$1011,6,0)</f>
        <v>0</v>
      </c>
      <c r="H546">
        <f>$C546*VLOOKUP($B546,FoodDB!$A$2:$I$1011,7,0)</f>
        <v>0</v>
      </c>
      <c r="I546">
        <f>$C546*VLOOKUP($B546,FoodDB!$A$2:$I$1011,8,0)</f>
        <v>0</v>
      </c>
      <c r="J546">
        <f>$C546*VLOOKUP($B546,FoodDB!$A$2:$I$1011,9,0)</f>
        <v>0</v>
      </c>
    </row>
    <row r="547" spans="1:19" x14ac:dyDescent="0.25">
      <c r="A547" t="s">
        <v>97</v>
      </c>
      <c r="G547">
        <f>SUM(G540:G546)</f>
        <v>0</v>
      </c>
      <c r="H547">
        <f>SUM(H540:H546)</f>
        <v>0</v>
      </c>
      <c r="I547">
        <f>SUM(I540:I546)</f>
        <v>0</v>
      </c>
      <c r="J547">
        <f>SUM(G547:I547)</f>
        <v>0</v>
      </c>
    </row>
    <row r="548" spans="1:19" x14ac:dyDescent="0.25">
      <c r="A548" t="s">
        <v>101</v>
      </c>
      <c r="B548" t="s">
        <v>102</v>
      </c>
      <c r="E548" s="98"/>
      <c r="F548" s="98"/>
      <c r="G548" s="98">
        <f>VLOOKUP($A540,LossChart!$A$3:$AB$105,14,0)</f>
        <v>667.24872030678557</v>
      </c>
      <c r="H548" s="98">
        <f>VLOOKUP($A540,LossChart!$A$3:$AB$105,15,0)</f>
        <v>80</v>
      </c>
      <c r="I548" s="98">
        <f>VLOOKUP($A540,LossChart!$A$3:$AB$105,16,0)</f>
        <v>482.47465271142238</v>
      </c>
      <c r="J548" s="98">
        <f>VLOOKUP($A540,LossChart!$A$3:$AB$105,17,0)</f>
        <v>1229.7233730182079</v>
      </c>
      <c r="K548" s="98"/>
    </row>
    <row r="549" spans="1:19" x14ac:dyDescent="0.25">
      <c r="A549" t="s">
        <v>103</v>
      </c>
      <c r="G549">
        <f>G548-G547</f>
        <v>667.24872030678557</v>
      </c>
      <c r="H549">
        <f>H548-H547</f>
        <v>80</v>
      </c>
      <c r="I549">
        <f>I548-I547</f>
        <v>482.47465271142238</v>
      </c>
      <c r="J549">
        <f>J548-J547</f>
        <v>1229.7233730182079</v>
      </c>
    </row>
    <row r="551" spans="1:19" ht="60" x14ac:dyDescent="0.25">
      <c r="A551" s="21" t="s">
        <v>63</v>
      </c>
      <c r="B551" s="21" t="s">
        <v>92</v>
      </c>
      <c r="C551" s="21" t="s">
        <v>93</v>
      </c>
      <c r="D551" s="92" t="str">
        <f>FoodDB!$C$1</f>
        <v>Fat
(g)</v>
      </c>
      <c r="E551" s="92" t="str">
        <f>FoodDB!$D$1</f>
        <v xml:space="preserve"> Carbs
(g)</v>
      </c>
      <c r="F551" s="92" t="str">
        <f>FoodDB!$E$1</f>
        <v>Protein
(g)</v>
      </c>
      <c r="G551" s="92" t="str">
        <f>FoodDB!$F$1</f>
        <v>Fat
(Cal)</v>
      </c>
      <c r="H551" s="92" t="str">
        <f>FoodDB!$G$1</f>
        <v>Carb
(Cal)</v>
      </c>
      <c r="I551" s="92" t="str">
        <f>FoodDB!$H$1</f>
        <v>Protein
(Cal)</v>
      </c>
      <c r="J551" s="92" t="str">
        <f>FoodDB!$I$1</f>
        <v>Total
Calories</v>
      </c>
      <c r="K551" s="92"/>
      <c r="L551" s="92" t="s">
        <v>109</v>
      </c>
      <c r="M551" s="92" t="s">
        <v>110</v>
      </c>
      <c r="N551" s="92" t="s">
        <v>111</v>
      </c>
      <c r="O551" s="92" t="s">
        <v>112</v>
      </c>
      <c r="P551" s="92" t="s">
        <v>117</v>
      </c>
      <c r="Q551" s="92" t="s">
        <v>118</v>
      </c>
      <c r="R551" s="92" t="s">
        <v>119</v>
      </c>
      <c r="S551" s="92" t="s">
        <v>120</v>
      </c>
    </row>
    <row r="552" spans="1:19" x14ac:dyDescent="0.25">
      <c r="A552" s="93">
        <f>A540+1</f>
        <v>43040</v>
      </c>
      <c r="B552" s="94" t="s">
        <v>107</v>
      </c>
      <c r="C552" s="95">
        <v>0</v>
      </c>
      <c r="D552">
        <f>$C552*VLOOKUP($B552,FoodDB!$A$2:$I$1011,3,0)</f>
        <v>0</v>
      </c>
      <c r="E552">
        <f>$C552*VLOOKUP($B552,FoodDB!$A$2:$I$1011,4,0)</f>
        <v>0</v>
      </c>
      <c r="F552">
        <f>$C552*VLOOKUP($B552,FoodDB!$A$2:$I$1011,5,0)</f>
        <v>0</v>
      </c>
      <c r="G552">
        <f>$C552*VLOOKUP($B552,FoodDB!$A$2:$I$1011,6,0)</f>
        <v>0</v>
      </c>
      <c r="H552">
        <f>$C552*VLOOKUP($B552,FoodDB!$A$2:$I$1011,7,0)</f>
        <v>0</v>
      </c>
      <c r="I552">
        <f>$C552*VLOOKUP($B552,FoodDB!$A$2:$I$1011,8,0)</f>
        <v>0</v>
      </c>
      <c r="J552">
        <f>$C552*VLOOKUP($B552,FoodDB!$A$2:$I$1011,9,0)</f>
        <v>0</v>
      </c>
      <c r="L552">
        <f>SUM(G552:G558)</f>
        <v>0</v>
      </c>
      <c r="M552">
        <f>SUM(H552:H558)</f>
        <v>0</v>
      </c>
      <c r="N552">
        <f>SUM(I552:I558)</f>
        <v>0</v>
      </c>
      <c r="O552">
        <f>SUM(L552:N552)</f>
        <v>0</v>
      </c>
      <c r="P552" s="98">
        <f>VLOOKUP($A552,LossChart!$A$3:$AB$105,14,0)-L552</f>
        <v>672.97353108827906</v>
      </c>
      <c r="Q552" s="98">
        <f>VLOOKUP($A552,LossChart!$A$3:$AB$105,15,0)-M552</f>
        <v>80</v>
      </c>
      <c r="R552" s="98">
        <f>VLOOKUP($A552,LossChart!$A$3:$AB$105,16,0)-N552</f>
        <v>482.47465271142238</v>
      </c>
      <c r="S552" s="98">
        <f>VLOOKUP($A552,LossChart!$A$3:$AB$105,17,0)-O552</f>
        <v>1235.4481837997014</v>
      </c>
    </row>
    <row r="553" spans="1:19" x14ac:dyDescent="0.25">
      <c r="B553" s="94" t="s">
        <v>107</v>
      </c>
      <c r="C553" s="95">
        <v>0</v>
      </c>
      <c r="D553">
        <f>$C553*VLOOKUP($B553,FoodDB!$A$2:$I$1011,3,0)</f>
        <v>0</v>
      </c>
      <c r="E553">
        <f>$C553*VLOOKUP($B553,FoodDB!$A$2:$I$1011,4,0)</f>
        <v>0</v>
      </c>
      <c r="F553">
        <f>$C553*VLOOKUP($B553,FoodDB!$A$2:$I$1011,5,0)</f>
        <v>0</v>
      </c>
      <c r="G553">
        <f>$C553*VLOOKUP($B553,FoodDB!$A$2:$I$1011,6,0)</f>
        <v>0</v>
      </c>
      <c r="H553">
        <f>$C553*VLOOKUP($B553,FoodDB!$A$2:$I$1011,7,0)</f>
        <v>0</v>
      </c>
      <c r="I553">
        <f>$C553*VLOOKUP($B553,FoodDB!$A$2:$I$1011,8,0)</f>
        <v>0</v>
      </c>
      <c r="J553">
        <f>$C553*VLOOKUP($B553,FoodDB!$A$2:$I$1011,9,0)</f>
        <v>0</v>
      </c>
    </row>
    <row r="554" spans="1:19" x14ac:dyDescent="0.25">
      <c r="B554" s="94" t="s">
        <v>107</v>
      </c>
      <c r="C554" s="95">
        <v>0</v>
      </c>
      <c r="D554">
        <f>$C554*VLOOKUP($B554,FoodDB!$A$2:$I$1011,3,0)</f>
        <v>0</v>
      </c>
      <c r="E554">
        <f>$C554*VLOOKUP($B554,FoodDB!$A$2:$I$1011,4,0)</f>
        <v>0</v>
      </c>
      <c r="F554">
        <f>$C554*VLOOKUP($B554,FoodDB!$A$2:$I$1011,5,0)</f>
        <v>0</v>
      </c>
      <c r="G554">
        <f>$C554*VLOOKUP($B554,FoodDB!$A$2:$I$1011,6,0)</f>
        <v>0</v>
      </c>
      <c r="H554">
        <f>$C554*VLOOKUP($B554,FoodDB!$A$2:$I$1011,7,0)</f>
        <v>0</v>
      </c>
      <c r="I554">
        <f>$C554*VLOOKUP($B554,FoodDB!$A$2:$I$1011,8,0)</f>
        <v>0</v>
      </c>
      <c r="J554">
        <f>$C554*VLOOKUP($B554,FoodDB!$A$2:$I$1011,9,0)</f>
        <v>0</v>
      </c>
    </row>
    <row r="555" spans="1:19" x14ac:dyDescent="0.25">
      <c r="B555" s="94" t="s">
        <v>107</v>
      </c>
      <c r="C555" s="95">
        <v>0</v>
      </c>
      <c r="D555">
        <f>$C555*VLOOKUP($B555,FoodDB!$A$2:$I$1011,3,0)</f>
        <v>0</v>
      </c>
      <c r="E555">
        <f>$C555*VLOOKUP($B555,FoodDB!$A$2:$I$1011,4,0)</f>
        <v>0</v>
      </c>
      <c r="F555">
        <f>$C555*VLOOKUP($B555,FoodDB!$A$2:$I$1011,5,0)</f>
        <v>0</v>
      </c>
      <c r="G555">
        <f>$C555*VLOOKUP($B555,FoodDB!$A$2:$I$1011,6,0)</f>
        <v>0</v>
      </c>
      <c r="H555">
        <f>$C555*VLOOKUP($B555,FoodDB!$A$2:$I$1011,7,0)</f>
        <v>0</v>
      </c>
      <c r="I555">
        <f>$C555*VLOOKUP($B555,FoodDB!$A$2:$I$1011,8,0)</f>
        <v>0</v>
      </c>
      <c r="J555">
        <f>$C555*VLOOKUP($B555,FoodDB!$A$2:$I$1011,9,0)</f>
        <v>0</v>
      </c>
    </row>
    <row r="556" spans="1:19" x14ac:dyDescent="0.25">
      <c r="B556" s="94" t="s">
        <v>107</v>
      </c>
      <c r="C556" s="95">
        <v>0</v>
      </c>
      <c r="D556">
        <f>$C556*VLOOKUP($B556,FoodDB!$A$2:$I$1011,3,0)</f>
        <v>0</v>
      </c>
      <c r="E556">
        <f>$C556*VLOOKUP($B556,FoodDB!$A$2:$I$1011,4,0)</f>
        <v>0</v>
      </c>
      <c r="F556">
        <f>$C556*VLOOKUP($B556,FoodDB!$A$2:$I$1011,5,0)</f>
        <v>0</v>
      </c>
      <c r="G556">
        <f>$C556*VLOOKUP($B556,FoodDB!$A$2:$I$1011,6,0)</f>
        <v>0</v>
      </c>
      <c r="H556">
        <f>$C556*VLOOKUP($B556,FoodDB!$A$2:$I$1011,7,0)</f>
        <v>0</v>
      </c>
      <c r="I556">
        <f>$C556*VLOOKUP($B556,FoodDB!$A$2:$I$1011,8,0)</f>
        <v>0</v>
      </c>
      <c r="J556">
        <f>$C556*VLOOKUP($B556,FoodDB!$A$2:$I$1011,9,0)</f>
        <v>0</v>
      </c>
    </row>
    <row r="557" spans="1:19" x14ac:dyDescent="0.25">
      <c r="B557" s="94" t="s">
        <v>107</v>
      </c>
      <c r="C557" s="95">
        <v>0</v>
      </c>
      <c r="D557">
        <f>$C557*VLOOKUP($B557,FoodDB!$A$2:$I$1011,3,0)</f>
        <v>0</v>
      </c>
      <c r="E557">
        <f>$C557*VLOOKUP($B557,FoodDB!$A$2:$I$1011,4,0)</f>
        <v>0</v>
      </c>
      <c r="F557">
        <f>$C557*VLOOKUP($B557,FoodDB!$A$2:$I$1011,5,0)</f>
        <v>0</v>
      </c>
      <c r="G557">
        <f>$C557*VLOOKUP($B557,FoodDB!$A$2:$I$1011,6,0)</f>
        <v>0</v>
      </c>
      <c r="H557">
        <f>$C557*VLOOKUP($B557,FoodDB!$A$2:$I$1011,7,0)</f>
        <v>0</v>
      </c>
      <c r="I557">
        <f>$C557*VLOOKUP($B557,FoodDB!$A$2:$I$1011,8,0)</f>
        <v>0</v>
      </c>
      <c r="J557">
        <f>$C557*VLOOKUP($B557,FoodDB!$A$2:$I$1011,9,0)</f>
        <v>0</v>
      </c>
    </row>
    <row r="558" spans="1:19" x14ac:dyDescent="0.25">
      <c r="B558" s="94" t="s">
        <v>107</v>
      </c>
      <c r="C558" s="95">
        <v>0</v>
      </c>
      <c r="D558">
        <f>$C558*VLOOKUP($B558,FoodDB!$A$2:$I$1011,3,0)</f>
        <v>0</v>
      </c>
      <c r="E558">
        <f>$C558*VLOOKUP($B558,FoodDB!$A$2:$I$1011,4,0)</f>
        <v>0</v>
      </c>
      <c r="F558">
        <f>$C558*VLOOKUP($B558,FoodDB!$A$2:$I$1011,5,0)</f>
        <v>0</v>
      </c>
      <c r="G558">
        <f>$C558*VLOOKUP($B558,FoodDB!$A$2:$I$1011,6,0)</f>
        <v>0</v>
      </c>
      <c r="H558">
        <f>$C558*VLOOKUP($B558,FoodDB!$A$2:$I$1011,7,0)</f>
        <v>0</v>
      </c>
      <c r="I558">
        <f>$C558*VLOOKUP($B558,FoodDB!$A$2:$I$1011,8,0)</f>
        <v>0</v>
      </c>
      <c r="J558">
        <f>$C558*VLOOKUP($B558,FoodDB!$A$2:$I$1011,9,0)</f>
        <v>0</v>
      </c>
    </row>
    <row r="559" spans="1:19" x14ac:dyDescent="0.25">
      <c r="A559" t="s">
        <v>97</v>
      </c>
      <c r="G559">
        <f>SUM(G552:G558)</f>
        <v>0</v>
      </c>
      <c r="H559">
        <f>SUM(H552:H558)</f>
        <v>0</v>
      </c>
      <c r="I559">
        <f>SUM(I552:I558)</f>
        <v>0</v>
      </c>
      <c r="J559">
        <f>SUM(G559:I559)</f>
        <v>0</v>
      </c>
    </row>
    <row r="560" spans="1:19" x14ac:dyDescent="0.25">
      <c r="A560" t="s">
        <v>101</v>
      </c>
      <c r="B560" t="s">
        <v>102</v>
      </c>
      <c r="E560" s="98"/>
      <c r="F560" s="98"/>
      <c r="G560" s="98">
        <f>VLOOKUP($A552,LossChart!$A$3:$AB$105,14,0)</f>
        <v>672.97353108827906</v>
      </c>
      <c r="H560" s="98">
        <f>VLOOKUP($A552,LossChart!$A$3:$AB$105,15,0)</f>
        <v>80</v>
      </c>
      <c r="I560" s="98">
        <f>VLOOKUP($A552,LossChart!$A$3:$AB$105,16,0)</f>
        <v>482.47465271142238</v>
      </c>
      <c r="J560" s="98">
        <f>VLOOKUP($A552,LossChart!$A$3:$AB$105,17,0)</f>
        <v>1235.4481837997014</v>
      </c>
      <c r="K560" s="98"/>
    </row>
    <row r="561" spans="1:19" x14ac:dyDescent="0.25">
      <c r="A561" t="s">
        <v>103</v>
      </c>
      <c r="G561">
        <f>G560-G559</f>
        <v>672.97353108827906</v>
      </c>
      <c r="H561">
        <f>H560-H559</f>
        <v>80</v>
      </c>
      <c r="I561">
        <f>I560-I559</f>
        <v>482.47465271142238</v>
      </c>
      <c r="J561">
        <f>J560-J559</f>
        <v>1235.4481837997014</v>
      </c>
    </row>
    <row r="563" spans="1:19" ht="60" x14ac:dyDescent="0.25">
      <c r="A563" s="21" t="s">
        <v>63</v>
      </c>
      <c r="B563" s="21" t="s">
        <v>92</v>
      </c>
      <c r="C563" s="21" t="s">
        <v>93</v>
      </c>
      <c r="D563" s="92" t="str">
        <f>FoodDB!$C$1</f>
        <v>Fat
(g)</v>
      </c>
      <c r="E563" s="92" t="str">
        <f>FoodDB!$D$1</f>
        <v xml:space="preserve"> Carbs
(g)</v>
      </c>
      <c r="F563" s="92" t="str">
        <f>FoodDB!$E$1</f>
        <v>Protein
(g)</v>
      </c>
      <c r="G563" s="92" t="str">
        <f>FoodDB!$F$1</f>
        <v>Fat
(Cal)</v>
      </c>
      <c r="H563" s="92" t="str">
        <f>FoodDB!$G$1</f>
        <v>Carb
(Cal)</v>
      </c>
      <c r="I563" s="92" t="str">
        <f>FoodDB!$H$1</f>
        <v>Protein
(Cal)</v>
      </c>
      <c r="J563" s="92" t="str">
        <f>FoodDB!$I$1</f>
        <v>Total
Calories</v>
      </c>
      <c r="K563" s="92"/>
      <c r="L563" s="92" t="s">
        <v>109</v>
      </c>
      <c r="M563" s="92" t="s">
        <v>110</v>
      </c>
      <c r="N563" s="92" t="s">
        <v>111</v>
      </c>
      <c r="O563" s="92" t="s">
        <v>112</v>
      </c>
      <c r="P563" s="92" t="s">
        <v>117</v>
      </c>
      <c r="Q563" s="92" t="s">
        <v>118</v>
      </c>
      <c r="R563" s="92" t="s">
        <v>119</v>
      </c>
      <c r="S563" s="92" t="s">
        <v>120</v>
      </c>
    </row>
    <row r="564" spans="1:19" x14ac:dyDescent="0.25">
      <c r="A564" s="93">
        <f>A552+1</f>
        <v>43041</v>
      </c>
      <c r="B564" s="94" t="s">
        <v>107</v>
      </c>
      <c r="C564" s="95">
        <v>0</v>
      </c>
      <c r="D564">
        <f>$C564*VLOOKUP($B564,FoodDB!$A$2:$I$1011,3,0)</f>
        <v>0</v>
      </c>
      <c r="E564">
        <f>$C564*VLOOKUP($B564,FoodDB!$A$2:$I$1011,4,0)</f>
        <v>0</v>
      </c>
      <c r="F564">
        <f>$C564*VLOOKUP($B564,FoodDB!$A$2:$I$1011,5,0)</f>
        <v>0</v>
      </c>
      <c r="G564">
        <f>$C564*VLOOKUP($B564,FoodDB!$A$2:$I$1011,6,0)</f>
        <v>0</v>
      </c>
      <c r="H564">
        <f>$C564*VLOOKUP($B564,FoodDB!$A$2:$I$1011,7,0)</f>
        <v>0</v>
      </c>
      <c r="I564">
        <f>$C564*VLOOKUP($B564,FoodDB!$A$2:$I$1011,8,0)</f>
        <v>0</v>
      </c>
      <c r="J564">
        <f>$C564*VLOOKUP($B564,FoodDB!$A$2:$I$1011,9,0)</f>
        <v>0</v>
      </c>
      <c r="L564">
        <f>SUM(G564:G570)</f>
        <v>0</v>
      </c>
      <c r="M564">
        <f>SUM(H564:H570)</f>
        <v>0</v>
      </c>
      <c r="N564">
        <f>SUM(I564:I570)</f>
        <v>0</v>
      </c>
      <c r="O564">
        <f>SUM(L564:N564)</f>
        <v>0</v>
      </c>
      <c r="P564" s="98">
        <f>VLOOKUP($A564,LossChart!$A$3:$AB$105,14,0)-L564</f>
        <v>678.6476364028515</v>
      </c>
      <c r="Q564" s="98">
        <f>VLOOKUP($A564,LossChart!$A$3:$AB$105,15,0)-M564</f>
        <v>80</v>
      </c>
      <c r="R564" s="98">
        <f>VLOOKUP($A564,LossChart!$A$3:$AB$105,16,0)-N564</f>
        <v>482.47465271142238</v>
      </c>
      <c r="S564" s="98">
        <f>VLOOKUP($A564,LossChart!$A$3:$AB$105,17,0)-O564</f>
        <v>1241.1222891142738</v>
      </c>
    </row>
    <row r="565" spans="1:19" x14ac:dyDescent="0.25">
      <c r="B565" s="94" t="s">
        <v>107</v>
      </c>
      <c r="C565" s="95">
        <v>0</v>
      </c>
      <c r="D565">
        <f>$C565*VLOOKUP($B565,FoodDB!$A$2:$I$1011,3,0)</f>
        <v>0</v>
      </c>
      <c r="E565">
        <f>$C565*VLOOKUP($B565,FoodDB!$A$2:$I$1011,4,0)</f>
        <v>0</v>
      </c>
      <c r="F565">
        <f>$C565*VLOOKUP($B565,FoodDB!$A$2:$I$1011,5,0)</f>
        <v>0</v>
      </c>
      <c r="G565">
        <f>$C565*VLOOKUP($B565,FoodDB!$A$2:$I$1011,6,0)</f>
        <v>0</v>
      </c>
      <c r="H565">
        <f>$C565*VLOOKUP($B565,FoodDB!$A$2:$I$1011,7,0)</f>
        <v>0</v>
      </c>
      <c r="I565">
        <f>$C565*VLOOKUP($B565,FoodDB!$A$2:$I$1011,8,0)</f>
        <v>0</v>
      </c>
      <c r="J565">
        <f>$C565*VLOOKUP($B565,FoodDB!$A$2:$I$1011,9,0)</f>
        <v>0</v>
      </c>
    </row>
    <row r="566" spans="1:19" x14ac:dyDescent="0.25">
      <c r="B566" s="94" t="s">
        <v>107</v>
      </c>
      <c r="C566" s="95">
        <v>0</v>
      </c>
      <c r="D566">
        <f>$C566*VLOOKUP($B566,FoodDB!$A$2:$I$1011,3,0)</f>
        <v>0</v>
      </c>
      <c r="E566">
        <f>$C566*VLOOKUP($B566,FoodDB!$A$2:$I$1011,4,0)</f>
        <v>0</v>
      </c>
      <c r="F566">
        <f>$C566*VLOOKUP($B566,FoodDB!$A$2:$I$1011,5,0)</f>
        <v>0</v>
      </c>
      <c r="G566">
        <f>$C566*VLOOKUP($B566,FoodDB!$A$2:$I$1011,6,0)</f>
        <v>0</v>
      </c>
      <c r="H566">
        <f>$C566*VLOOKUP($B566,FoodDB!$A$2:$I$1011,7,0)</f>
        <v>0</v>
      </c>
      <c r="I566">
        <f>$C566*VLOOKUP($B566,FoodDB!$A$2:$I$1011,8,0)</f>
        <v>0</v>
      </c>
      <c r="J566">
        <f>$C566*VLOOKUP($B566,FoodDB!$A$2:$I$1011,9,0)</f>
        <v>0</v>
      </c>
    </row>
    <row r="567" spans="1:19" x14ac:dyDescent="0.25">
      <c r="B567" s="94" t="s">
        <v>107</v>
      </c>
      <c r="C567" s="95">
        <v>0</v>
      </c>
      <c r="D567">
        <f>$C567*VLOOKUP($B567,FoodDB!$A$2:$I$1011,3,0)</f>
        <v>0</v>
      </c>
      <c r="E567">
        <f>$C567*VLOOKUP($B567,FoodDB!$A$2:$I$1011,4,0)</f>
        <v>0</v>
      </c>
      <c r="F567">
        <f>$C567*VLOOKUP($B567,FoodDB!$A$2:$I$1011,5,0)</f>
        <v>0</v>
      </c>
      <c r="G567">
        <f>$C567*VLOOKUP($B567,FoodDB!$A$2:$I$1011,6,0)</f>
        <v>0</v>
      </c>
      <c r="H567">
        <f>$C567*VLOOKUP($B567,FoodDB!$A$2:$I$1011,7,0)</f>
        <v>0</v>
      </c>
      <c r="I567">
        <f>$C567*VLOOKUP($B567,FoodDB!$A$2:$I$1011,8,0)</f>
        <v>0</v>
      </c>
      <c r="J567">
        <f>$C567*VLOOKUP($B567,FoodDB!$A$2:$I$1011,9,0)</f>
        <v>0</v>
      </c>
    </row>
    <row r="568" spans="1:19" x14ac:dyDescent="0.25">
      <c r="B568" s="94" t="s">
        <v>107</v>
      </c>
      <c r="C568" s="95">
        <v>0</v>
      </c>
      <c r="D568">
        <f>$C568*VLOOKUP($B568,FoodDB!$A$2:$I$1011,3,0)</f>
        <v>0</v>
      </c>
      <c r="E568">
        <f>$C568*VLOOKUP($B568,FoodDB!$A$2:$I$1011,4,0)</f>
        <v>0</v>
      </c>
      <c r="F568">
        <f>$C568*VLOOKUP($B568,FoodDB!$A$2:$I$1011,5,0)</f>
        <v>0</v>
      </c>
      <c r="G568">
        <f>$C568*VLOOKUP($B568,FoodDB!$A$2:$I$1011,6,0)</f>
        <v>0</v>
      </c>
      <c r="H568">
        <f>$C568*VLOOKUP($B568,FoodDB!$A$2:$I$1011,7,0)</f>
        <v>0</v>
      </c>
      <c r="I568">
        <f>$C568*VLOOKUP($B568,FoodDB!$A$2:$I$1011,8,0)</f>
        <v>0</v>
      </c>
      <c r="J568">
        <f>$C568*VLOOKUP($B568,FoodDB!$A$2:$I$1011,9,0)</f>
        <v>0</v>
      </c>
    </row>
    <row r="569" spans="1:19" x14ac:dyDescent="0.25">
      <c r="B569" s="94" t="s">
        <v>107</v>
      </c>
      <c r="C569" s="95">
        <v>0</v>
      </c>
      <c r="D569">
        <f>$C569*VLOOKUP($B569,FoodDB!$A$2:$I$1011,3,0)</f>
        <v>0</v>
      </c>
      <c r="E569">
        <f>$C569*VLOOKUP($B569,FoodDB!$A$2:$I$1011,4,0)</f>
        <v>0</v>
      </c>
      <c r="F569">
        <f>$C569*VLOOKUP($B569,FoodDB!$A$2:$I$1011,5,0)</f>
        <v>0</v>
      </c>
      <c r="G569">
        <f>$C569*VLOOKUP($B569,FoodDB!$A$2:$I$1011,6,0)</f>
        <v>0</v>
      </c>
      <c r="H569">
        <f>$C569*VLOOKUP($B569,FoodDB!$A$2:$I$1011,7,0)</f>
        <v>0</v>
      </c>
      <c r="I569">
        <f>$C569*VLOOKUP($B569,FoodDB!$A$2:$I$1011,8,0)</f>
        <v>0</v>
      </c>
      <c r="J569">
        <f>$C569*VLOOKUP($B569,FoodDB!$A$2:$I$1011,9,0)</f>
        <v>0</v>
      </c>
    </row>
    <row r="570" spans="1:19" x14ac:dyDescent="0.25">
      <c r="B570" s="94" t="s">
        <v>107</v>
      </c>
      <c r="C570" s="95">
        <v>0</v>
      </c>
      <c r="D570">
        <f>$C570*VLOOKUP($B570,FoodDB!$A$2:$I$1011,3,0)</f>
        <v>0</v>
      </c>
      <c r="E570">
        <f>$C570*VLOOKUP($B570,FoodDB!$A$2:$I$1011,4,0)</f>
        <v>0</v>
      </c>
      <c r="F570">
        <f>$C570*VLOOKUP($B570,FoodDB!$A$2:$I$1011,5,0)</f>
        <v>0</v>
      </c>
      <c r="G570">
        <f>$C570*VLOOKUP($B570,FoodDB!$A$2:$I$1011,6,0)</f>
        <v>0</v>
      </c>
      <c r="H570">
        <f>$C570*VLOOKUP($B570,FoodDB!$A$2:$I$1011,7,0)</f>
        <v>0</v>
      </c>
      <c r="I570">
        <f>$C570*VLOOKUP($B570,FoodDB!$A$2:$I$1011,8,0)</f>
        <v>0</v>
      </c>
      <c r="J570">
        <f>$C570*VLOOKUP($B570,FoodDB!$A$2:$I$1011,9,0)</f>
        <v>0</v>
      </c>
    </row>
    <row r="571" spans="1:19" x14ac:dyDescent="0.25">
      <c r="A571" t="s">
        <v>97</v>
      </c>
      <c r="G571">
        <f>SUM(G564:G570)</f>
        <v>0</v>
      </c>
      <c r="H571">
        <f>SUM(H564:H570)</f>
        <v>0</v>
      </c>
      <c r="I571">
        <f>SUM(I564:I570)</f>
        <v>0</v>
      </c>
      <c r="J571">
        <f>SUM(G571:I571)</f>
        <v>0</v>
      </c>
    </row>
    <row r="572" spans="1:19" x14ac:dyDescent="0.25">
      <c r="A572" t="s">
        <v>101</v>
      </c>
      <c r="B572" t="s">
        <v>102</v>
      </c>
      <c r="E572" s="98"/>
      <c r="F572" s="98"/>
      <c r="G572" s="98">
        <f>VLOOKUP($A564,LossChart!$A$3:$AB$105,14,0)</f>
        <v>678.6476364028515</v>
      </c>
      <c r="H572" s="98">
        <f>VLOOKUP($A564,LossChart!$A$3:$AB$105,15,0)</f>
        <v>80</v>
      </c>
      <c r="I572" s="98">
        <f>VLOOKUP($A564,LossChart!$A$3:$AB$105,16,0)</f>
        <v>482.47465271142238</v>
      </c>
      <c r="J572" s="98">
        <f>VLOOKUP($A564,LossChart!$A$3:$AB$105,17,0)</f>
        <v>1241.1222891142738</v>
      </c>
      <c r="K572" s="98"/>
    </row>
    <row r="573" spans="1:19" x14ac:dyDescent="0.25">
      <c r="A573" t="s">
        <v>103</v>
      </c>
      <c r="G573">
        <f>G572-G571</f>
        <v>678.6476364028515</v>
      </c>
      <c r="H573">
        <f>H572-H571</f>
        <v>80</v>
      </c>
      <c r="I573">
        <f>I572-I571</f>
        <v>482.47465271142238</v>
      </c>
      <c r="J573">
        <f>J572-J571</f>
        <v>1241.1222891142738</v>
      </c>
    </row>
    <row r="575" spans="1:19" ht="60" x14ac:dyDescent="0.25">
      <c r="A575" s="21" t="s">
        <v>63</v>
      </c>
      <c r="B575" s="21" t="s">
        <v>92</v>
      </c>
      <c r="C575" s="21" t="s">
        <v>93</v>
      </c>
      <c r="D575" s="92" t="str">
        <f>FoodDB!$C$1</f>
        <v>Fat
(g)</v>
      </c>
      <c r="E575" s="92" t="str">
        <f>FoodDB!$D$1</f>
        <v xml:space="preserve"> Carbs
(g)</v>
      </c>
      <c r="F575" s="92" t="str">
        <f>FoodDB!$E$1</f>
        <v>Protein
(g)</v>
      </c>
      <c r="G575" s="92" t="str">
        <f>FoodDB!$F$1</f>
        <v>Fat
(Cal)</v>
      </c>
      <c r="H575" s="92" t="str">
        <f>FoodDB!$G$1</f>
        <v>Carb
(Cal)</v>
      </c>
      <c r="I575" s="92" t="str">
        <f>FoodDB!$H$1</f>
        <v>Protein
(Cal)</v>
      </c>
      <c r="J575" s="92" t="str">
        <f>FoodDB!$I$1</f>
        <v>Total
Calories</v>
      </c>
      <c r="K575" s="92"/>
      <c r="L575" s="92" t="s">
        <v>109</v>
      </c>
      <c r="M575" s="92" t="s">
        <v>110</v>
      </c>
      <c r="N575" s="92" t="s">
        <v>111</v>
      </c>
      <c r="O575" s="92" t="s">
        <v>112</v>
      </c>
      <c r="P575" s="92" t="s">
        <v>117</v>
      </c>
      <c r="Q575" s="92" t="s">
        <v>118</v>
      </c>
      <c r="R575" s="92" t="s">
        <v>119</v>
      </c>
      <c r="S575" s="92" t="s">
        <v>120</v>
      </c>
    </row>
    <row r="576" spans="1:19" x14ac:dyDescent="0.25">
      <c r="A576" s="93">
        <f>A564+1</f>
        <v>43042</v>
      </c>
      <c r="B576" s="94" t="s">
        <v>107</v>
      </c>
      <c r="C576" s="95">
        <v>0</v>
      </c>
      <c r="D576">
        <f>$C576*VLOOKUP($B576,FoodDB!$A$2:$I$1011,3,0)</f>
        <v>0</v>
      </c>
      <c r="E576">
        <f>$C576*VLOOKUP($B576,FoodDB!$A$2:$I$1011,4,0)</f>
        <v>0</v>
      </c>
      <c r="F576">
        <f>$C576*VLOOKUP($B576,FoodDB!$A$2:$I$1011,5,0)</f>
        <v>0</v>
      </c>
      <c r="G576">
        <f>$C576*VLOOKUP($B576,FoodDB!$A$2:$I$1011,6,0)</f>
        <v>0</v>
      </c>
      <c r="H576">
        <f>$C576*VLOOKUP($B576,FoodDB!$A$2:$I$1011,7,0)</f>
        <v>0</v>
      </c>
      <c r="I576">
        <f>$C576*VLOOKUP($B576,FoodDB!$A$2:$I$1011,8,0)</f>
        <v>0</v>
      </c>
      <c r="J576">
        <f>$C576*VLOOKUP($B576,FoodDB!$A$2:$I$1011,9,0)</f>
        <v>0</v>
      </c>
      <c r="L576">
        <f>SUM(G576:G582)</f>
        <v>0</v>
      </c>
      <c r="M576">
        <f>SUM(H576:H582)</f>
        <v>0</v>
      </c>
      <c r="N576">
        <f>SUM(I576:I582)</f>
        <v>0</v>
      </c>
      <c r="O576">
        <f>SUM(L576:N576)</f>
        <v>0</v>
      </c>
      <c r="P576" s="98">
        <f>VLOOKUP($A576,LossChart!$A$3:$AB$105,14,0)-L576</f>
        <v>684.27148535606625</v>
      </c>
      <c r="Q576" s="98">
        <f>VLOOKUP($A576,LossChart!$A$3:$AB$105,15,0)-M576</f>
        <v>80</v>
      </c>
      <c r="R576" s="98">
        <f>VLOOKUP($A576,LossChart!$A$3:$AB$105,16,0)-N576</f>
        <v>482.47465271142238</v>
      </c>
      <c r="S576" s="98">
        <f>VLOOKUP($A576,LossChart!$A$3:$AB$105,17,0)-O576</f>
        <v>1246.7461380674886</v>
      </c>
    </row>
    <row r="577" spans="1:19" x14ac:dyDescent="0.25">
      <c r="B577" s="94" t="s">
        <v>107</v>
      </c>
      <c r="C577" s="95">
        <v>0</v>
      </c>
      <c r="D577">
        <f>$C577*VLOOKUP($B577,FoodDB!$A$2:$I$1011,3,0)</f>
        <v>0</v>
      </c>
      <c r="E577">
        <f>$C577*VLOOKUP($B577,FoodDB!$A$2:$I$1011,4,0)</f>
        <v>0</v>
      </c>
      <c r="F577">
        <f>$C577*VLOOKUP($B577,FoodDB!$A$2:$I$1011,5,0)</f>
        <v>0</v>
      </c>
      <c r="G577">
        <f>$C577*VLOOKUP($B577,FoodDB!$A$2:$I$1011,6,0)</f>
        <v>0</v>
      </c>
      <c r="H577">
        <f>$C577*VLOOKUP($B577,FoodDB!$A$2:$I$1011,7,0)</f>
        <v>0</v>
      </c>
      <c r="I577">
        <f>$C577*VLOOKUP($B577,FoodDB!$A$2:$I$1011,8,0)</f>
        <v>0</v>
      </c>
      <c r="J577">
        <f>$C577*VLOOKUP($B577,FoodDB!$A$2:$I$1011,9,0)</f>
        <v>0</v>
      </c>
    </row>
    <row r="578" spans="1:19" x14ac:dyDescent="0.25">
      <c r="B578" s="94" t="s">
        <v>107</v>
      </c>
      <c r="C578" s="95">
        <v>0</v>
      </c>
      <c r="D578">
        <f>$C578*VLOOKUP($B578,FoodDB!$A$2:$I$1011,3,0)</f>
        <v>0</v>
      </c>
      <c r="E578">
        <f>$C578*VLOOKUP($B578,FoodDB!$A$2:$I$1011,4,0)</f>
        <v>0</v>
      </c>
      <c r="F578">
        <f>$C578*VLOOKUP($B578,FoodDB!$A$2:$I$1011,5,0)</f>
        <v>0</v>
      </c>
      <c r="G578">
        <f>$C578*VLOOKUP($B578,FoodDB!$A$2:$I$1011,6,0)</f>
        <v>0</v>
      </c>
      <c r="H578">
        <f>$C578*VLOOKUP($B578,FoodDB!$A$2:$I$1011,7,0)</f>
        <v>0</v>
      </c>
      <c r="I578">
        <f>$C578*VLOOKUP($B578,FoodDB!$A$2:$I$1011,8,0)</f>
        <v>0</v>
      </c>
      <c r="J578">
        <f>$C578*VLOOKUP($B578,FoodDB!$A$2:$I$1011,9,0)</f>
        <v>0</v>
      </c>
    </row>
    <row r="579" spans="1:19" x14ac:dyDescent="0.25">
      <c r="B579" s="94" t="s">
        <v>107</v>
      </c>
      <c r="C579" s="95">
        <v>0</v>
      </c>
      <c r="D579">
        <f>$C579*VLOOKUP($B579,FoodDB!$A$2:$I$1011,3,0)</f>
        <v>0</v>
      </c>
      <c r="E579">
        <f>$C579*VLOOKUP($B579,FoodDB!$A$2:$I$1011,4,0)</f>
        <v>0</v>
      </c>
      <c r="F579">
        <f>$C579*VLOOKUP($B579,FoodDB!$A$2:$I$1011,5,0)</f>
        <v>0</v>
      </c>
      <c r="G579">
        <f>$C579*VLOOKUP($B579,FoodDB!$A$2:$I$1011,6,0)</f>
        <v>0</v>
      </c>
      <c r="H579">
        <f>$C579*VLOOKUP($B579,FoodDB!$A$2:$I$1011,7,0)</f>
        <v>0</v>
      </c>
      <c r="I579">
        <f>$C579*VLOOKUP($B579,FoodDB!$A$2:$I$1011,8,0)</f>
        <v>0</v>
      </c>
      <c r="J579">
        <f>$C579*VLOOKUP($B579,FoodDB!$A$2:$I$1011,9,0)</f>
        <v>0</v>
      </c>
    </row>
    <row r="580" spans="1:19" x14ac:dyDescent="0.25">
      <c r="B580" s="94" t="s">
        <v>107</v>
      </c>
      <c r="C580" s="95">
        <v>0</v>
      </c>
      <c r="D580">
        <f>$C580*VLOOKUP($B580,FoodDB!$A$2:$I$1011,3,0)</f>
        <v>0</v>
      </c>
      <c r="E580">
        <f>$C580*VLOOKUP($B580,FoodDB!$A$2:$I$1011,4,0)</f>
        <v>0</v>
      </c>
      <c r="F580">
        <f>$C580*VLOOKUP($B580,FoodDB!$A$2:$I$1011,5,0)</f>
        <v>0</v>
      </c>
      <c r="G580">
        <f>$C580*VLOOKUP($B580,FoodDB!$A$2:$I$1011,6,0)</f>
        <v>0</v>
      </c>
      <c r="H580">
        <f>$C580*VLOOKUP($B580,FoodDB!$A$2:$I$1011,7,0)</f>
        <v>0</v>
      </c>
      <c r="I580">
        <f>$C580*VLOOKUP($B580,FoodDB!$A$2:$I$1011,8,0)</f>
        <v>0</v>
      </c>
      <c r="J580">
        <f>$C580*VLOOKUP($B580,FoodDB!$A$2:$I$1011,9,0)</f>
        <v>0</v>
      </c>
    </row>
    <row r="581" spans="1:19" x14ac:dyDescent="0.25">
      <c r="B581" s="94" t="s">
        <v>107</v>
      </c>
      <c r="C581" s="95">
        <v>0</v>
      </c>
      <c r="D581">
        <f>$C581*VLOOKUP($B581,FoodDB!$A$2:$I$1011,3,0)</f>
        <v>0</v>
      </c>
      <c r="E581">
        <f>$C581*VLOOKUP($B581,FoodDB!$A$2:$I$1011,4,0)</f>
        <v>0</v>
      </c>
      <c r="F581">
        <f>$C581*VLOOKUP($B581,FoodDB!$A$2:$I$1011,5,0)</f>
        <v>0</v>
      </c>
      <c r="G581">
        <f>$C581*VLOOKUP($B581,FoodDB!$A$2:$I$1011,6,0)</f>
        <v>0</v>
      </c>
      <c r="H581">
        <f>$C581*VLOOKUP($B581,FoodDB!$A$2:$I$1011,7,0)</f>
        <v>0</v>
      </c>
      <c r="I581">
        <f>$C581*VLOOKUP($B581,FoodDB!$A$2:$I$1011,8,0)</f>
        <v>0</v>
      </c>
      <c r="J581">
        <f>$C581*VLOOKUP($B581,FoodDB!$A$2:$I$1011,9,0)</f>
        <v>0</v>
      </c>
    </row>
    <row r="582" spans="1:19" x14ac:dyDescent="0.25">
      <c r="B582" s="94" t="s">
        <v>107</v>
      </c>
      <c r="C582" s="95">
        <v>0</v>
      </c>
      <c r="D582">
        <f>$C582*VLOOKUP($B582,FoodDB!$A$2:$I$1011,3,0)</f>
        <v>0</v>
      </c>
      <c r="E582">
        <f>$C582*VLOOKUP($B582,FoodDB!$A$2:$I$1011,4,0)</f>
        <v>0</v>
      </c>
      <c r="F582">
        <f>$C582*VLOOKUP($B582,FoodDB!$A$2:$I$1011,5,0)</f>
        <v>0</v>
      </c>
      <c r="G582">
        <f>$C582*VLOOKUP($B582,FoodDB!$A$2:$I$1011,6,0)</f>
        <v>0</v>
      </c>
      <c r="H582">
        <f>$C582*VLOOKUP($B582,FoodDB!$A$2:$I$1011,7,0)</f>
        <v>0</v>
      </c>
      <c r="I582">
        <f>$C582*VLOOKUP($B582,FoodDB!$A$2:$I$1011,8,0)</f>
        <v>0</v>
      </c>
      <c r="J582">
        <f>$C582*VLOOKUP($B582,FoodDB!$A$2:$I$1011,9,0)</f>
        <v>0</v>
      </c>
    </row>
    <row r="583" spans="1:19" x14ac:dyDescent="0.25">
      <c r="A583" t="s">
        <v>97</v>
      </c>
      <c r="G583">
        <f>SUM(G576:G582)</f>
        <v>0</v>
      </c>
      <c r="H583">
        <f>SUM(H576:H582)</f>
        <v>0</v>
      </c>
      <c r="I583">
        <f>SUM(I576:I582)</f>
        <v>0</v>
      </c>
      <c r="J583">
        <f>SUM(G583:I583)</f>
        <v>0</v>
      </c>
    </row>
    <row r="584" spans="1:19" x14ac:dyDescent="0.25">
      <c r="A584" t="s">
        <v>101</v>
      </c>
      <c r="B584" t="s">
        <v>102</v>
      </c>
      <c r="E584" s="98"/>
      <c r="F584" s="98"/>
      <c r="G584" s="98">
        <f>VLOOKUP($A576,LossChart!$A$3:$AB$105,14,0)</f>
        <v>684.27148535606625</v>
      </c>
      <c r="H584" s="98">
        <f>VLOOKUP($A576,LossChart!$A$3:$AB$105,15,0)</f>
        <v>80</v>
      </c>
      <c r="I584" s="98">
        <f>VLOOKUP($A576,LossChart!$A$3:$AB$105,16,0)</f>
        <v>482.47465271142238</v>
      </c>
      <c r="J584" s="98">
        <f>VLOOKUP($A576,LossChart!$A$3:$AB$105,17,0)</f>
        <v>1246.7461380674886</v>
      </c>
      <c r="K584" s="98"/>
    </row>
    <row r="585" spans="1:19" x14ac:dyDescent="0.25">
      <c r="A585" t="s">
        <v>103</v>
      </c>
      <c r="G585">
        <f>G584-G583</f>
        <v>684.27148535606625</v>
      </c>
      <c r="H585">
        <f>H584-H583</f>
        <v>80</v>
      </c>
      <c r="I585">
        <f>I584-I583</f>
        <v>482.47465271142238</v>
      </c>
      <c r="J585">
        <f>J584-J583</f>
        <v>1246.7461380674886</v>
      </c>
    </row>
    <row r="587" spans="1:19" ht="60" x14ac:dyDescent="0.25">
      <c r="A587" s="21" t="s">
        <v>63</v>
      </c>
      <c r="B587" s="21" t="s">
        <v>92</v>
      </c>
      <c r="C587" s="21" t="s">
        <v>93</v>
      </c>
      <c r="D587" s="92" t="str">
        <f>FoodDB!$C$1</f>
        <v>Fat
(g)</v>
      </c>
      <c r="E587" s="92" t="str">
        <f>FoodDB!$D$1</f>
        <v xml:space="preserve"> Carbs
(g)</v>
      </c>
      <c r="F587" s="92" t="str">
        <f>FoodDB!$E$1</f>
        <v>Protein
(g)</v>
      </c>
      <c r="G587" s="92" t="str">
        <f>FoodDB!$F$1</f>
        <v>Fat
(Cal)</v>
      </c>
      <c r="H587" s="92" t="str">
        <f>FoodDB!$G$1</f>
        <v>Carb
(Cal)</v>
      </c>
      <c r="I587" s="92" t="str">
        <f>FoodDB!$H$1</f>
        <v>Protein
(Cal)</v>
      </c>
      <c r="J587" s="92" t="str">
        <f>FoodDB!$I$1</f>
        <v>Total
Calories</v>
      </c>
      <c r="K587" s="92"/>
      <c r="L587" s="92" t="s">
        <v>109</v>
      </c>
      <c r="M587" s="92" t="s">
        <v>110</v>
      </c>
      <c r="N587" s="92" t="s">
        <v>111</v>
      </c>
      <c r="O587" s="92" t="s">
        <v>112</v>
      </c>
      <c r="P587" s="92" t="s">
        <v>117</v>
      </c>
      <c r="Q587" s="92" t="s">
        <v>118</v>
      </c>
      <c r="R587" s="92" t="s">
        <v>119</v>
      </c>
      <c r="S587" s="92" t="s">
        <v>120</v>
      </c>
    </row>
    <row r="588" spans="1:19" x14ac:dyDescent="0.25">
      <c r="A588" s="93">
        <f>A576+1</f>
        <v>43043</v>
      </c>
      <c r="B588" s="94" t="s">
        <v>107</v>
      </c>
      <c r="C588" s="95">
        <v>0</v>
      </c>
      <c r="D588">
        <f>$C588*VLOOKUP($B588,FoodDB!$A$2:$I$1011,3,0)</f>
        <v>0</v>
      </c>
      <c r="E588">
        <f>$C588*VLOOKUP($B588,FoodDB!$A$2:$I$1011,4,0)</f>
        <v>0</v>
      </c>
      <c r="F588">
        <f>$C588*VLOOKUP($B588,FoodDB!$A$2:$I$1011,5,0)</f>
        <v>0</v>
      </c>
      <c r="G588">
        <f>$C588*VLOOKUP($B588,FoodDB!$A$2:$I$1011,6,0)</f>
        <v>0</v>
      </c>
      <c r="H588">
        <f>$C588*VLOOKUP($B588,FoodDB!$A$2:$I$1011,7,0)</f>
        <v>0</v>
      </c>
      <c r="I588">
        <f>$C588*VLOOKUP($B588,FoodDB!$A$2:$I$1011,8,0)</f>
        <v>0</v>
      </c>
      <c r="J588">
        <f>$C588*VLOOKUP($B588,FoodDB!$A$2:$I$1011,9,0)</f>
        <v>0</v>
      </c>
      <c r="L588">
        <f>SUM(G588:G594)</f>
        <v>0</v>
      </c>
      <c r="M588">
        <f>SUM(H588:H594)</f>
        <v>0</v>
      </c>
      <c r="N588">
        <f>SUM(I588:I594)</f>
        <v>0</v>
      </c>
      <c r="O588">
        <f>SUM(L588:N588)</f>
        <v>0</v>
      </c>
      <c r="P588" s="98">
        <f>VLOOKUP($A588,LossChart!$A$3:$AB$105,14,0)-L588</f>
        <v>689.84552307569516</v>
      </c>
      <c r="Q588" s="98">
        <f>VLOOKUP($A588,LossChart!$A$3:$AB$105,15,0)-M588</f>
        <v>80</v>
      </c>
      <c r="R588" s="98">
        <f>VLOOKUP($A588,LossChart!$A$3:$AB$105,16,0)-N588</f>
        <v>482.47465271142238</v>
      </c>
      <c r="S588" s="98">
        <f>VLOOKUP($A588,LossChart!$A$3:$AB$105,17,0)-O588</f>
        <v>1252.3201757871175</v>
      </c>
    </row>
    <row r="589" spans="1:19" x14ac:dyDescent="0.25">
      <c r="B589" s="94" t="s">
        <v>107</v>
      </c>
      <c r="C589" s="95">
        <v>0</v>
      </c>
      <c r="D589">
        <f>$C589*VLOOKUP($B589,FoodDB!$A$2:$I$1011,3,0)</f>
        <v>0</v>
      </c>
      <c r="E589">
        <f>$C589*VLOOKUP($B589,FoodDB!$A$2:$I$1011,4,0)</f>
        <v>0</v>
      </c>
      <c r="F589">
        <f>$C589*VLOOKUP($B589,FoodDB!$A$2:$I$1011,5,0)</f>
        <v>0</v>
      </c>
      <c r="G589">
        <f>$C589*VLOOKUP($B589,FoodDB!$A$2:$I$1011,6,0)</f>
        <v>0</v>
      </c>
      <c r="H589">
        <f>$C589*VLOOKUP($B589,FoodDB!$A$2:$I$1011,7,0)</f>
        <v>0</v>
      </c>
      <c r="I589">
        <f>$C589*VLOOKUP($B589,FoodDB!$A$2:$I$1011,8,0)</f>
        <v>0</v>
      </c>
      <c r="J589">
        <f>$C589*VLOOKUP($B589,FoodDB!$A$2:$I$1011,9,0)</f>
        <v>0</v>
      </c>
    </row>
    <row r="590" spans="1:19" x14ac:dyDescent="0.25">
      <c r="B590" s="94" t="s">
        <v>107</v>
      </c>
      <c r="C590" s="95">
        <v>0</v>
      </c>
      <c r="D590">
        <f>$C590*VLOOKUP($B590,FoodDB!$A$2:$I$1011,3,0)</f>
        <v>0</v>
      </c>
      <c r="E590">
        <f>$C590*VLOOKUP($B590,FoodDB!$A$2:$I$1011,4,0)</f>
        <v>0</v>
      </c>
      <c r="F590">
        <f>$C590*VLOOKUP($B590,FoodDB!$A$2:$I$1011,5,0)</f>
        <v>0</v>
      </c>
      <c r="G590">
        <f>$C590*VLOOKUP($B590,FoodDB!$A$2:$I$1011,6,0)</f>
        <v>0</v>
      </c>
      <c r="H590">
        <f>$C590*VLOOKUP($B590,FoodDB!$A$2:$I$1011,7,0)</f>
        <v>0</v>
      </c>
      <c r="I590">
        <f>$C590*VLOOKUP($B590,FoodDB!$A$2:$I$1011,8,0)</f>
        <v>0</v>
      </c>
      <c r="J590">
        <f>$C590*VLOOKUP($B590,FoodDB!$A$2:$I$1011,9,0)</f>
        <v>0</v>
      </c>
    </row>
    <row r="591" spans="1:19" x14ac:dyDescent="0.25">
      <c r="B591" s="94" t="s">
        <v>107</v>
      </c>
      <c r="C591" s="95">
        <v>0</v>
      </c>
      <c r="D591">
        <f>$C591*VLOOKUP($B591,FoodDB!$A$2:$I$1011,3,0)</f>
        <v>0</v>
      </c>
      <c r="E591">
        <f>$C591*VLOOKUP($B591,FoodDB!$A$2:$I$1011,4,0)</f>
        <v>0</v>
      </c>
      <c r="F591">
        <f>$C591*VLOOKUP($B591,FoodDB!$A$2:$I$1011,5,0)</f>
        <v>0</v>
      </c>
      <c r="G591">
        <f>$C591*VLOOKUP($B591,FoodDB!$A$2:$I$1011,6,0)</f>
        <v>0</v>
      </c>
      <c r="H591">
        <f>$C591*VLOOKUP($B591,FoodDB!$A$2:$I$1011,7,0)</f>
        <v>0</v>
      </c>
      <c r="I591">
        <f>$C591*VLOOKUP($B591,FoodDB!$A$2:$I$1011,8,0)</f>
        <v>0</v>
      </c>
      <c r="J591">
        <f>$C591*VLOOKUP($B591,FoodDB!$A$2:$I$1011,9,0)</f>
        <v>0</v>
      </c>
    </row>
    <row r="592" spans="1:19" x14ac:dyDescent="0.25">
      <c r="B592" s="94" t="s">
        <v>107</v>
      </c>
      <c r="C592" s="95">
        <v>0</v>
      </c>
      <c r="D592">
        <f>$C592*VLOOKUP($B592,FoodDB!$A$2:$I$1011,3,0)</f>
        <v>0</v>
      </c>
      <c r="E592">
        <f>$C592*VLOOKUP($B592,FoodDB!$A$2:$I$1011,4,0)</f>
        <v>0</v>
      </c>
      <c r="F592">
        <f>$C592*VLOOKUP($B592,FoodDB!$A$2:$I$1011,5,0)</f>
        <v>0</v>
      </c>
      <c r="G592">
        <f>$C592*VLOOKUP($B592,FoodDB!$A$2:$I$1011,6,0)</f>
        <v>0</v>
      </c>
      <c r="H592">
        <f>$C592*VLOOKUP($B592,FoodDB!$A$2:$I$1011,7,0)</f>
        <v>0</v>
      </c>
      <c r="I592">
        <f>$C592*VLOOKUP($B592,FoodDB!$A$2:$I$1011,8,0)</f>
        <v>0</v>
      </c>
      <c r="J592">
        <f>$C592*VLOOKUP($B592,FoodDB!$A$2:$I$1011,9,0)</f>
        <v>0</v>
      </c>
    </row>
    <row r="593" spans="1:19" x14ac:dyDescent="0.25">
      <c r="B593" s="94" t="s">
        <v>107</v>
      </c>
      <c r="C593" s="95">
        <v>0</v>
      </c>
      <c r="D593">
        <f>$C593*VLOOKUP($B593,FoodDB!$A$2:$I$1011,3,0)</f>
        <v>0</v>
      </c>
      <c r="E593">
        <f>$C593*VLOOKUP($B593,FoodDB!$A$2:$I$1011,4,0)</f>
        <v>0</v>
      </c>
      <c r="F593">
        <f>$C593*VLOOKUP($B593,FoodDB!$A$2:$I$1011,5,0)</f>
        <v>0</v>
      </c>
      <c r="G593">
        <f>$C593*VLOOKUP($B593,FoodDB!$A$2:$I$1011,6,0)</f>
        <v>0</v>
      </c>
      <c r="H593">
        <f>$C593*VLOOKUP($B593,FoodDB!$A$2:$I$1011,7,0)</f>
        <v>0</v>
      </c>
      <c r="I593">
        <f>$C593*VLOOKUP($B593,FoodDB!$A$2:$I$1011,8,0)</f>
        <v>0</v>
      </c>
      <c r="J593">
        <f>$C593*VLOOKUP($B593,FoodDB!$A$2:$I$1011,9,0)</f>
        <v>0</v>
      </c>
    </row>
    <row r="594" spans="1:19" x14ac:dyDescent="0.25">
      <c r="B594" s="94" t="s">
        <v>107</v>
      </c>
      <c r="C594" s="95">
        <v>0</v>
      </c>
      <c r="D594">
        <f>$C594*VLOOKUP($B594,FoodDB!$A$2:$I$1011,3,0)</f>
        <v>0</v>
      </c>
      <c r="E594">
        <f>$C594*VLOOKUP($B594,FoodDB!$A$2:$I$1011,4,0)</f>
        <v>0</v>
      </c>
      <c r="F594">
        <f>$C594*VLOOKUP($B594,FoodDB!$A$2:$I$1011,5,0)</f>
        <v>0</v>
      </c>
      <c r="G594">
        <f>$C594*VLOOKUP($B594,FoodDB!$A$2:$I$1011,6,0)</f>
        <v>0</v>
      </c>
      <c r="H594">
        <f>$C594*VLOOKUP($B594,FoodDB!$A$2:$I$1011,7,0)</f>
        <v>0</v>
      </c>
      <c r="I594">
        <f>$C594*VLOOKUP($B594,FoodDB!$A$2:$I$1011,8,0)</f>
        <v>0</v>
      </c>
      <c r="J594">
        <f>$C594*VLOOKUP($B594,FoodDB!$A$2:$I$1011,9,0)</f>
        <v>0</v>
      </c>
    </row>
    <row r="595" spans="1:19" x14ac:dyDescent="0.25">
      <c r="A595" t="s">
        <v>97</v>
      </c>
      <c r="G595">
        <f>SUM(G588:G594)</f>
        <v>0</v>
      </c>
      <c r="H595">
        <f>SUM(H588:H594)</f>
        <v>0</v>
      </c>
      <c r="I595">
        <f>SUM(I588:I594)</f>
        <v>0</v>
      </c>
      <c r="J595">
        <f>SUM(G595:I595)</f>
        <v>0</v>
      </c>
    </row>
    <row r="596" spans="1:19" x14ac:dyDescent="0.25">
      <c r="A596" t="s">
        <v>101</v>
      </c>
      <c r="B596" t="s">
        <v>102</v>
      </c>
      <c r="E596" s="98"/>
      <c r="F596" s="98"/>
      <c r="G596" s="98">
        <f>VLOOKUP($A588,LossChart!$A$3:$AB$105,14,0)</f>
        <v>689.84552307569516</v>
      </c>
      <c r="H596" s="98">
        <f>VLOOKUP($A588,LossChart!$A$3:$AB$105,15,0)</f>
        <v>80</v>
      </c>
      <c r="I596" s="98">
        <f>VLOOKUP($A588,LossChart!$A$3:$AB$105,16,0)</f>
        <v>482.47465271142238</v>
      </c>
      <c r="J596" s="98">
        <f>VLOOKUP($A588,LossChart!$A$3:$AB$105,17,0)</f>
        <v>1252.3201757871175</v>
      </c>
      <c r="K596" s="98"/>
    </row>
    <row r="597" spans="1:19" x14ac:dyDescent="0.25">
      <c r="A597" t="s">
        <v>103</v>
      </c>
      <c r="G597">
        <f>G596-G595</f>
        <v>689.84552307569516</v>
      </c>
      <c r="H597">
        <f>H596-H595</f>
        <v>80</v>
      </c>
      <c r="I597">
        <f>I596-I595</f>
        <v>482.47465271142238</v>
      </c>
      <c r="J597">
        <f>J596-J595</f>
        <v>1252.3201757871175</v>
      </c>
    </row>
    <row r="599" spans="1:19" ht="60" x14ac:dyDescent="0.25">
      <c r="A599" s="21" t="s">
        <v>63</v>
      </c>
      <c r="B599" s="21" t="s">
        <v>92</v>
      </c>
      <c r="C599" s="21" t="s">
        <v>93</v>
      </c>
      <c r="D599" s="92" t="str">
        <f>FoodDB!$C$1</f>
        <v>Fat
(g)</v>
      </c>
      <c r="E599" s="92" t="str">
        <f>FoodDB!$D$1</f>
        <v xml:space="preserve"> Carbs
(g)</v>
      </c>
      <c r="F599" s="92" t="str">
        <f>FoodDB!$E$1</f>
        <v>Protein
(g)</v>
      </c>
      <c r="G599" s="92" t="str">
        <f>FoodDB!$F$1</f>
        <v>Fat
(Cal)</v>
      </c>
      <c r="H599" s="92" t="str">
        <f>FoodDB!$G$1</f>
        <v>Carb
(Cal)</v>
      </c>
      <c r="I599" s="92" t="str">
        <f>FoodDB!$H$1</f>
        <v>Protein
(Cal)</v>
      </c>
      <c r="J599" s="92" t="str">
        <f>FoodDB!$I$1</f>
        <v>Total
Calories</v>
      </c>
      <c r="K599" s="92"/>
      <c r="L599" s="92" t="s">
        <v>109</v>
      </c>
      <c r="M599" s="92" t="s">
        <v>110</v>
      </c>
      <c r="N599" s="92" t="s">
        <v>111</v>
      </c>
      <c r="O599" s="92" t="s">
        <v>112</v>
      </c>
      <c r="P599" s="92" t="s">
        <v>117</v>
      </c>
      <c r="Q599" s="92" t="s">
        <v>118</v>
      </c>
      <c r="R599" s="92" t="s">
        <v>119</v>
      </c>
      <c r="S599" s="92" t="s">
        <v>120</v>
      </c>
    </row>
    <row r="600" spans="1:19" x14ac:dyDescent="0.25">
      <c r="A600" s="93">
        <f>A588+1</f>
        <v>43044</v>
      </c>
      <c r="B600" s="94" t="s">
        <v>107</v>
      </c>
      <c r="C600" s="95">
        <v>0</v>
      </c>
      <c r="D600">
        <f>$C600*VLOOKUP($B600,FoodDB!$A$2:$I$1011,3,0)</f>
        <v>0</v>
      </c>
      <c r="E600">
        <f>$C600*VLOOKUP($B600,FoodDB!$A$2:$I$1011,4,0)</f>
        <v>0</v>
      </c>
      <c r="F600">
        <f>$C600*VLOOKUP($B600,FoodDB!$A$2:$I$1011,5,0)</f>
        <v>0</v>
      </c>
      <c r="G600">
        <f>$C600*VLOOKUP($B600,FoodDB!$A$2:$I$1011,6,0)</f>
        <v>0</v>
      </c>
      <c r="H600">
        <f>$C600*VLOOKUP($B600,FoodDB!$A$2:$I$1011,7,0)</f>
        <v>0</v>
      </c>
      <c r="I600">
        <f>$C600*VLOOKUP($B600,FoodDB!$A$2:$I$1011,8,0)</f>
        <v>0</v>
      </c>
      <c r="J600">
        <f>$C600*VLOOKUP($B600,FoodDB!$A$2:$I$1011,9,0)</f>
        <v>0</v>
      </c>
      <c r="L600">
        <f>SUM(G600:G606)</f>
        <v>0</v>
      </c>
      <c r="M600">
        <f>SUM(H600:H606)</f>
        <v>0</v>
      </c>
      <c r="N600">
        <f>SUM(I600:I606)</f>
        <v>0</v>
      </c>
      <c r="O600">
        <f>SUM(L600:N600)</f>
        <v>0</v>
      </c>
      <c r="P600" s="98">
        <f>VLOOKUP($A600,LossChart!$A$3:$AB$105,14,0)-L600</f>
        <v>695.37019074695013</v>
      </c>
      <c r="Q600" s="98">
        <f>VLOOKUP($A600,LossChart!$A$3:$AB$105,15,0)-M600</f>
        <v>80</v>
      </c>
      <c r="R600" s="98">
        <f>VLOOKUP($A600,LossChart!$A$3:$AB$105,16,0)-N600</f>
        <v>482.47465271142238</v>
      </c>
      <c r="S600" s="98">
        <f>VLOOKUP($A600,LossChart!$A$3:$AB$105,17,0)-O600</f>
        <v>1257.8448434583725</v>
      </c>
    </row>
    <row r="601" spans="1:19" x14ac:dyDescent="0.25">
      <c r="B601" s="94" t="s">
        <v>107</v>
      </c>
      <c r="C601" s="95">
        <v>0</v>
      </c>
      <c r="D601">
        <f>$C601*VLOOKUP($B601,FoodDB!$A$2:$I$1011,3,0)</f>
        <v>0</v>
      </c>
      <c r="E601">
        <f>$C601*VLOOKUP($B601,FoodDB!$A$2:$I$1011,4,0)</f>
        <v>0</v>
      </c>
      <c r="F601">
        <f>$C601*VLOOKUP($B601,FoodDB!$A$2:$I$1011,5,0)</f>
        <v>0</v>
      </c>
      <c r="G601">
        <f>$C601*VLOOKUP($B601,FoodDB!$A$2:$I$1011,6,0)</f>
        <v>0</v>
      </c>
      <c r="H601">
        <f>$C601*VLOOKUP($B601,FoodDB!$A$2:$I$1011,7,0)</f>
        <v>0</v>
      </c>
      <c r="I601">
        <f>$C601*VLOOKUP($B601,FoodDB!$A$2:$I$1011,8,0)</f>
        <v>0</v>
      </c>
      <c r="J601">
        <f>$C601*VLOOKUP($B601,FoodDB!$A$2:$I$1011,9,0)</f>
        <v>0</v>
      </c>
    </row>
    <row r="602" spans="1:19" x14ac:dyDescent="0.25">
      <c r="B602" s="94" t="s">
        <v>107</v>
      </c>
      <c r="C602" s="95">
        <v>0</v>
      </c>
      <c r="D602">
        <f>$C602*VLOOKUP($B602,FoodDB!$A$2:$I$1011,3,0)</f>
        <v>0</v>
      </c>
      <c r="E602">
        <f>$C602*VLOOKUP($B602,FoodDB!$A$2:$I$1011,4,0)</f>
        <v>0</v>
      </c>
      <c r="F602">
        <f>$C602*VLOOKUP($B602,FoodDB!$A$2:$I$1011,5,0)</f>
        <v>0</v>
      </c>
      <c r="G602">
        <f>$C602*VLOOKUP($B602,FoodDB!$A$2:$I$1011,6,0)</f>
        <v>0</v>
      </c>
      <c r="H602">
        <f>$C602*VLOOKUP($B602,FoodDB!$A$2:$I$1011,7,0)</f>
        <v>0</v>
      </c>
      <c r="I602">
        <f>$C602*VLOOKUP($B602,FoodDB!$A$2:$I$1011,8,0)</f>
        <v>0</v>
      </c>
      <c r="J602">
        <f>$C602*VLOOKUP($B602,FoodDB!$A$2:$I$1011,9,0)</f>
        <v>0</v>
      </c>
    </row>
    <row r="603" spans="1:19" x14ac:dyDescent="0.25">
      <c r="B603" s="94" t="s">
        <v>107</v>
      </c>
      <c r="C603" s="95">
        <v>0</v>
      </c>
      <c r="D603">
        <f>$C603*VLOOKUP($B603,FoodDB!$A$2:$I$1011,3,0)</f>
        <v>0</v>
      </c>
      <c r="E603">
        <f>$C603*VLOOKUP($B603,FoodDB!$A$2:$I$1011,4,0)</f>
        <v>0</v>
      </c>
      <c r="F603">
        <f>$C603*VLOOKUP($B603,FoodDB!$A$2:$I$1011,5,0)</f>
        <v>0</v>
      </c>
      <c r="G603">
        <f>$C603*VLOOKUP($B603,FoodDB!$A$2:$I$1011,6,0)</f>
        <v>0</v>
      </c>
      <c r="H603">
        <f>$C603*VLOOKUP($B603,FoodDB!$A$2:$I$1011,7,0)</f>
        <v>0</v>
      </c>
      <c r="I603">
        <f>$C603*VLOOKUP($B603,FoodDB!$A$2:$I$1011,8,0)</f>
        <v>0</v>
      </c>
      <c r="J603">
        <f>$C603*VLOOKUP($B603,FoodDB!$A$2:$I$1011,9,0)</f>
        <v>0</v>
      </c>
    </row>
    <row r="604" spans="1:19" x14ac:dyDescent="0.25">
      <c r="B604" s="94" t="s">
        <v>107</v>
      </c>
      <c r="C604" s="95">
        <v>0</v>
      </c>
      <c r="D604">
        <f>$C604*VLOOKUP($B604,FoodDB!$A$2:$I$1011,3,0)</f>
        <v>0</v>
      </c>
      <c r="E604">
        <f>$C604*VLOOKUP($B604,FoodDB!$A$2:$I$1011,4,0)</f>
        <v>0</v>
      </c>
      <c r="F604">
        <f>$C604*VLOOKUP($B604,FoodDB!$A$2:$I$1011,5,0)</f>
        <v>0</v>
      </c>
      <c r="G604">
        <f>$C604*VLOOKUP($B604,FoodDB!$A$2:$I$1011,6,0)</f>
        <v>0</v>
      </c>
      <c r="H604">
        <f>$C604*VLOOKUP($B604,FoodDB!$A$2:$I$1011,7,0)</f>
        <v>0</v>
      </c>
      <c r="I604">
        <f>$C604*VLOOKUP($B604,FoodDB!$A$2:$I$1011,8,0)</f>
        <v>0</v>
      </c>
      <c r="J604">
        <f>$C604*VLOOKUP($B604,FoodDB!$A$2:$I$1011,9,0)</f>
        <v>0</v>
      </c>
    </row>
    <row r="605" spans="1:19" x14ac:dyDescent="0.25">
      <c r="B605" s="94" t="s">
        <v>107</v>
      </c>
      <c r="C605" s="95">
        <v>0</v>
      </c>
      <c r="D605">
        <f>$C605*VLOOKUP($B605,FoodDB!$A$2:$I$1011,3,0)</f>
        <v>0</v>
      </c>
      <c r="E605">
        <f>$C605*VLOOKUP($B605,FoodDB!$A$2:$I$1011,4,0)</f>
        <v>0</v>
      </c>
      <c r="F605">
        <f>$C605*VLOOKUP($B605,FoodDB!$A$2:$I$1011,5,0)</f>
        <v>0</v>
      </c>
      <c r="G605">
        <f>$C605*VLOOKUP($B605,FoodDB!$A$2:$I$1011,6,0)</f>
        <v>0</v>
      </c>
      <c r="H605">
        <f>$C605*VLOOKUP($B605,FoodDB!$A$2:$I$1011,7,0)</f>
        <v>0</v>
      </c>
      <c r="I605">
        <f>$C605*VLOOKUP($B605,FoodDB!$A$2:$I$1011,8,0)</f>
        <v>0</v>
      </c>
      <c r="J605">
        <f>$C605*VLOOKUP($B605,FoodDB!$A$2:$I$1011,9,0)</f>
        <v>0</v>
      </c>
    </row>
    <row r="606" spans="1:19" x14ac:dyDescent="0.25">
      <c r="B606" s="94" t="s">
        <v>107</v>
      </c>
      <c r="C606" s="95">
        <v>0</v>
      </c>
      <c r="D606">
        <f>$C606*VLOOKUP($B606,FoodDB!$A$2:$I$1011,3,0)</f>
        <v>0</v>
      </c>
      <c r="E606">
        <f>$C606*VLOOKUP($B606,FoodDB!$A$2:$I$1011,4,0)</f>
        <v>0</v>
      </c>
      <c r="F606">
        <f>$C606*VLOOKUP($B606,FoodDB!$A$2:$I$1011,5,0)</f>
        <v>0</v>
      </c>
      <c r="G606">
        <f>$C606*VLOOKUP($B606,FoodDB!$A$2:$I$1011,6,0)</f>
        <v>0</v>
      </c>
      <c r="H606">
        <f>$C606*VLOOKUP($B606,FoodDB!$A$2:$I$1011,7,0)</f>
        <v>0</v>
      </c>
      <c r="I606">
        <f>$C606*VLOOKUP($B606,FoodDB!$A$2:$I$1011,8,0)</f>
        <v>0</v>
      </c>
      <c r="J606">
        <f>$C606*VLOOKUP($B606,FoodDB!$A$2:$I$1011,9,0)</f>
        <v>0</v>
      </c>
    </row>
    <row r="607" spans="1:19" x14ac:dyDescent="0.25">
      <c r="A607" t="s">
        <v>97</v>
      </c>
      <c r="G607">
        <f>SUM(G600:G606)</f>
        <v>0</v>
      </c>
      <c r="H607">
        <f>SUM(H600:H606)</f>
        <v>0</v>
      </c>
      <c r="I607">
        <f>SUM(I600:I606)</f>
        <v>0</v>
      </c>
      <c r="J607">
        <f>SUM(G607:I607)</f>
        <v>0</v>
      </c>
    </row>
    <row r="608" spans="1:19" x14ac:dyDescent="0.25">
      <c r="A608" t="s">
        <v>101</v>
      </c>
      <c r="B608" t="s">
        <v>102</v>
      </c>
      <c r="E608" s="98"/>
      <c r="F608" s="98"/>
      <c r="G608" s="98">
        <f>VLOOKUP($A600,LossChart!$A$3:$AB$105,14,0)</f>
        <v>695.37019074695013</v>
      </c>
      <c r="H608" s="98">
        <f>VLOOKUP($A600,LossChart!$A$3:$AB$105,15,0)</f>
        <v>80</v>
      </c>
      <c r="I608" s="98">
        <f>VLOOKUP($A600,LossChart!$A$3:$AB$105,16,0)</f>
        <v>482.47465271142238</v>
      </c>
      <c r="J608" s="98">
        <f>VLOOKUP($A600,LossChart!$A$3:$AB$105,17,0)</f>
        <v>1257.8448434583725</v>
      </c>
      <c r="K608" s="98"/>
    </row>
    <row r="609" spans="1:19" x14ac:dyDescent="0.25">
      <c r="A609" t="s">
        <v>103</v>
      </c>
      <c r="G609">
        <f>G608-G607</f>
        <v>695.37019074695013</v>
      </c>
      <c r="H609">
        <f>H608-H607</f>
        <v>80</v>
      </c>
      <c r="I609">
        <f>I608-I607</f>
        <v>482.47465271142238</v>
      </c>
      <c r="J609">
        <f>J608-J607</f>
        <v>1257.8448434583725</v>
      </c>
    </row>
    <row r="611" spans="1:19" ht="60" x14ac:dyDescent="0.25">
      <c r="A611" s="21" t="s">
        <v>63</v>
      </c>
      <c r="B611" s="21" t="s">
        <v>92</v>
      </c>
      <c r="C611" s="21" t="s">
        <v>93</v>
      </c>
      <c r="D611" s="92" t="str">
        <f>FoodDB!$C$1</f>
        <v>Fat
(g)</v>
      </c>
      <c r="E611" s="92" t="str">
        <f>FoodDB!$D$1</f>
        <v xml:space="preserve"> Carbs
(g)</v>
      </c>
      <c r="F611" s="92" t="str">
        <f>FoodDB!$E$1</f>
        <v>Protein
(g)</v>
      </c>
      <c r="G611" s="92" t="str">
        <f>FoodDB!$F$1</f>
        <v>Fat
(Cal)</v>
      </c>
      <c r="H611" s="92" t="str">
        <f>FoodDB!$G$1</f>
        <v>Carb
(Cal)</v>
      </c>
      <c r="I611" s="92" t="str">
        <f>FoodDB!$H$1</f>
        <v>Protein
(Cal)</v>
      </c>
      <c r="J611" s="92" t="str">
        <f>FoodDB!$I$1</f>
        <v>Total
Calories</v>
      </c>
      <c r="K611" s="92"/>
      <c r="L611" s="92" t="s">
        <v>109</v>
      </c>
      <c r="M611" s="92" t="s">
        <v>110</v>
      </c>
      <c r="N611" s="92" t="s">
        <v>111</v>
      </c>
      <c r="O611" s="92" t="s">
        <v>112</v>
      </c>
      <c r="P611" s="92" t="s">
        <v>117</v>
      </c>
      <c r="Q611" s="92" t="s">
        <v>118</v>
      </c>
      <c r="R611" s="92" t="s">
        <v>119</v>
      </c>
      <c r="S611" s="92" t="s">
        <v>120</v>
      </c>
    </row>
    <row r="612" spans="1:19" x14ac:dyDescent="0.25">
      <c r="A612" s="93">
        <f>A600+1</f>
        <v>43045</v>
      </c>
      <c r="B612" s="94" t="s">
        <v>107</v>
      </c>
      <c r="C612" s="95">
        <v>0</v>
      </c>
      <c r="D612">
        <f>$C612*VLOOKUP($B612,FoodDB!$A$2:$I$1011,3,0)</f>
        <v>0</v>
      </c>
      <c r="E612">
        <f>$C612*VLOOKUP($B612,FoodDB!$A$2:$I$1011,4,0)</f>
        <v>0</v>
      </c>
      <c r="F612">
        <f>$C612*VLOOKUP($B612,FoodDB!$A$2:$I$1011,5,0)</f>
        <v>0</v>
      </c>
      <c r="G612">
        <f>$C612*VLOOKUP($B612,FoodDB!$A$2:$I$1011,6,0)</f>
        <v>0</v>
      </c>
      <c r="H612">
        <f>$C612*VLOOKUP($B612,FoodDB!$A$2:$I$1011,7,0)</f>
        <v>0</v>
      </c>
      <c r="I612">
        <f>$C612*VLOOKUP($B612,FoodDB!$A$2:$I$1011,8,0)</f>
        <v>0</v>
      </c>
      <c r="J612">
        <f>$C612*VLOOKUP($B612,FoodDB!$A$2:$I$1011,9,0)</f>
        <v>0</v>
      </c>
      <c r="L612">
        <f>SUM(G612:G618)</f>
        <v>0</v>
      </c>
      <c r="M612">
        <f>SUM(H612:H618)</f>
        <v>0</v>
      </c>
      <c r="N612">
        <f>SUM(I612:I618)</f>
        <v>0</v>
      </c>
      <c r="O612">
        <f>SUM(L612:N612)</f>
        <v>0</v>
      </c>
      <c r="P612" s="98">
        <f>VLOOKUP($A612,LossChart!$A$3:$AB$105,14,0)-L612</f>
        <v>700.84592564740251</v>
      </c>
      <c r="Q612" s="98">
        <f>VLOOKUP($A612,LossChart!$A$3:$AB$105,15,0)-M612</f>
        <v>80</v>
      </c>
      <c r="R612" s="98">
        <f>VLOOKUP($A612,LossChart!$A$3:$AB$105,16,0)-N612</f>
        <v>482.47465271142238</v>
      </c>
      <c r="S612" s="98">
        <f>VLOOKUP($A612,LossChart!$A$3:$AB$105,17,0)-O612</f>
        <v>1263.3205783588248</v>
      </c>
    </row>
    <row r="613" spans="1:19" x14ac:dyDescent="0.25">
      <c r="B613" s="94" t="s">
        <v>107</v>
      </c>
      <c r="C613" s="95">
        <v>0</v>
      </c>
      <c r="D613">
        <f>$C613*VLOOKUP($B613,FoodDB!$A$2:$I$1011,3,0)</f>
        <v>0</v>
      </c>
      <c r="E613">
        <f>$C613*VLOOKUP($B613,FoodDB!$A$2:$I$1011,4,0)</f>
        <v>0</v>
      </c>
      <c r="F613">
        <f>$C613*VLOOKUP($B613,FoodDB!$A$2:$I$1011,5,0)</f>
        <v>0</v>
      </c>
      <c r="G613">
        <f>$C613*VLOOKUP($B613,FoodDB!$A$2:$I$1011,6,0)</f>
        <v>0</v>
      </c>
      <c r="H613">
        <f>$C613*VLOOKUP($B613,FoodDB!$A$2:$I$1011,7,0)</f>
        <v>0</v>
      </c>
      <c r="I613">
        <f>$C613*VLOOKUP($B613,FoodDB!$A$2:$I$1011,8,0)</f>
        <v>0</v>
      </c>
      <c r="J613">
        <f>$C613*VLOOKUP($B613,FoodDB!$A$2:$I$1011,9,0)</f>
        <v>0</v>
      </c>
    </row>
    <row r="614" spans="1:19" x14ac:dyDescent="0.25">
      <c r="B614" s="94" t="s">
        <v>107</v>
      </c>
      <c r="C614" s="95">
        <v>0</v>
      </c>
      <c r="D614">
        <f>$C614*VLOOKUP($B614,FoodDB!$A$2:$I$1011,3,0)</f>
        <v>0</v>
      </c>
      <c r="E614">
        <f>$C614*VLOOKUP($B614,FoodDB!$A$2:$I$1011,4,0)</f>
        <v>0</v>
      </c>
      <c r="F614">
        <f>$C614*VLOOKUP($B614,FoodDB!$A$2:$I$1011,5,0)</f>
        <v>0</v>
      </c>
      <c r="G614">
        <f>$C614*VLOOKUP($B614,FoodDB!$A$2:$I$1011,6,0)</f>
        <v>0</v>
      </c>
      <c r="H614">
        <f>$C614*VLOOKUP($B614,FoodDB!$A$2:$I$1011,7,0)</f>
        <v>0</v>
      </c>
      <c r="I614">
        <f>$C614*VLOOKUP($B614,FoodDB!$A$2:$I$1011,8,0)</f>
        <v>0</v>
      </c>
      <c r="J614">
        <f>$C614*VLOOKUP($B614,FoodDB!$A$2:$I$1011,9,0)</f>
        <v>0</v>
      </c>
    </row>
    <row r="615" spans="1:19" x14ac:dyDescent="0.25">
      <c r="B615" s="94" t="s">
        <v>107</v>
      </c>
      <c r="C615" s="95">
        <v>0</v>
      </c>
      <c r="D615">
        <f>$C615*VLOOKUP($B615,FoodDB!$A$2:$I$1011,3,0)</f>
        <v>0</v>
      </c>
      <c r="E615">
        <f>$C615*VLOOKUP($B615,FoodDB!$A$2:$I$1011,4,0)</f>
        <v>0</v>
      </c>
      <c r="F615">
        <f>$C615*VLOOKUP($B615,FoodDB!$A$2:$I$1011,5,0)</f>
        <v>0</v>
      </c>
      <c r="G615">
        <f>$C615*VLOOKUP($B615,FoodDB!$A$2:$I$1011,6,0)</f>
        <v>0</v>
      </c>
      <c r="H615">
        <f>$C615*VLOOKUP($B615,FoodDB!$A$2:$I$1011,7,0)</f>
        <v>0</v>
      </c>
      <c r="I615">
        <f>$C615*VLOOKUP($B615,FoodDB!$A$2:$I$1011,8,0)</f>
        <v>0</v>
      </c>
      <c r="J615">
        <f>$C615*VLOOKUP($B615,FoodDB!$A$2:$I$1011,9,0)</f>
        <v>0</v>
      </c>
    </row>
    <row r="616" spans="1:19" x14ac:dyDescent="0.25">
      <c r="B616" s="94" t="s">
        <v>107</v>
      </c>
      <c r="C616" s="95">
        <v>0</v>
      </c>
      <c r="D616">
        <f>$C616*VLOOKUP($B616,FoodDB!$A$2:$I$1011,3,0)</f>
        <v>0</v>
      </c>
      <c r="E616">
        <f>$C616*VLOOKUP($B616,FoodDB!$A$2:$I$1011,4,0)</f>
        <v>0</v>
      </c>
      <c r="F616">
        <f>$C616*VLOOKUP($B616,FoodDB!$A$2:$I$1011,5,0)</f>
        <v>0</v>
      </c>
      <c r="G616">
        <f>$C616*VLOOKUP($B616,FoodDB!$A$2:$I$1011,6,0)</f>
        <v>0</v>
      </c>
      <c r="H616">
        <f>$C616*VLOOKUP($B616,FoodDB!$A$2:$I$1011,7,0)</f>
        <v>0</v>
      </c>
      <c r="I616">
        <f>$C616*VLOOKUP($B616,FoodDB!$A$2:$I$1011,8,0)</f>
        <v>0</v>
      </c>
      <c r="J616">
        <f>$C616*VLOOKUP($B616,FoodDB!$A$2:$I$1011,9,0)</f>
        <v>0</v>
      </c>
    </row>
    <row r="617" spans="1:19" x14ac:dyDescent="0.25">
      <c r="B617" s="94" t="s">
        <v>107</v>
      </c>
      <c r="C617" s="95">
        <v>0</v>
      </c>
      <c r="D617">
        <f>$C617*VLOOKUP($B617,FoodDB!$A$2:$I$1011,3,0)</f>
        <v>0</v>
      </c>
      <c r="E617">
        <f>$C617*VLOOKUP($B617,FoodDB!$A$2:$I$1011,4,0)</f>
        <v>0</v>
      </c>
      <c r="F617">
        <f>$C617*VLOOKUP($B617,FoodDB!$A$2:$I$1011,5,0)</f>
        <v>0</v>
      </c>
      <c r="G617">
        <f>$C617*VLOOKUP($B617,FoodDB!$A$2:$I$1011,6,0)</f>
        <v>0</v>
      </c>
      <c r="H617">
        <f>$C617*VLOOKUP($B617,FoodDB!$A$2:$I$1011,7,0)</f>
        <v>0</v>
      </c>
      <c r="I617">
        <f>$C617*VLOOKUP($B617,FoodDB!$A$2:$I$1011,8,0)</f>
        <v>0</v>
      </c>
      <c r="J617">
        <f>$C617*VLOOKUP($B617,FoodDB!$A$2:$I$1011,9,0)</f>
        <v>0</v>
      </c>
    </row>
    <row r="618" spans="1:19" x14ac:dyDescent="0.25">
      <c r="B618" s="94" t="s">
        <v>107</v>
      </c>
      <c r="C618" s="95">
        <v>0</v>
      </c>
      <c r="D618">
        <f>$C618*VLOOKUP($B618,FoodDB!$A$2:$I$1011,3,0)</f>
        <v>0</v>
      </c>
      <c r="E618">
        <f>$C618*VLOOKUP($B618,FoodDB!$A$2:$I$1011,4,0)</f>
        <v>0</v>
      </c>
      <c r="F618">
        <f>$C618*VLOOKUP($B618,FoodDB!$A$2:$I$1011,5,0)</f>
        <v>0</v>
      </c>
      <c r="G618">
        <f>$C618*VLOOKUP($B618,FoodDB!$A$2:$I$1011,6,0)</f>
        <v>0</v>
      </c>
      <c r="H618">
        <f>$C618*VLOOKUP($B618,FoodDB!$A$2:$I$1011,7,0)</f>
        <v>0</v>
      </c>
      <c r="I618">
        <f>$C618*VLOOKUP($B618,FoodDB!$A$2:$I$1011,8,0)</f>
        <v>0</v>
      </c>
      <c r="J618">
        <f>$C618*VLOOKUP($B618,FoodDB!$A$2:$I$1011,9,0)</f>
        <v>0</v>
      </c>
    </row>
    <row r="619" spans="1:19" x14ac:dyDescent="0.25">
      <c r="A619" t="s">
        <v>97</v>
      </c>
      <c r="G619">
        <f>SUM(G612:G618)</f>
        <v>0</v>
      </c>
      <c r="H619">
        <f>SUM(H612:H618)</f>
        <v>0</v>
      </c>
      <c r="I619">
        <f>SUM(I612:I618)</f>
        <v>0</v>
      </c>
      <c r="J619">
        <f>SUM(G619:I619)</f>
        <v>0</v>
      </c>
    </row>
    <row r="620" spans="1:19" x14ac:dyDescent="0.25">
      <c r="A620" t="s">
        <v>101</v>
      </c>
      <c r="B620" t="s">
        <v>102</v>
      </c>
      <c r="E620" s="98"/>
      <c r="F620" s="98"/>
      <c r="G620" s="98">
        <f>VLOOKUP($A612,LossChart!$A$3:$AB$105,14,0)</f>
        <v>700.84592564740251</v>
      </c>
      <c r="H620" s="98">
        <f>VLOOKUP($A612,LossChart!$A$3:$AB$105,15,0)</f>
        <v>80</v>
      </c>
      <c r="I620" s="98">
        <f>VLOOKUP($A612,LossChart!$A$3:$AB$105,16,0)</f>
        <v>482.47465271142238</v>
      </c>
      <c r="J620" s="98">
        <f>VLOOKUP($A612,LossChart!$A$3:$AB$105,17,0)</f>
        <v>1263.3205783588248</v>
      </c>
      <c r="K620" s="98"/>
    </row>
    <row r="621" spans="1:19" x14ac:dyDescent="0.25">
      <c r="A621" t="s">
        <v>103</v>
      </c>
      <c r="G621">
        <f>G620-G619</f>
        <v>700.84592564740251</v>
      </c>
      <c r="H621">
        <f>H620-H619</f>
        <v>80</v>
      </c>
      <c r="I621">
        <f>I620-I619</f>
        <v>482.47465271142238</v>
      </c>
      <c r="J621">
        <f>J620-J619</f>
        <v>1263.3205783588248</v>
      </c>
    </row>
    <row r="623" spans="1:19" ht="60" x14ac:dyDescent="0.25">
      <c r="A623" s="21" t="s">
        <v>63</v>
      </c>
      <c r="B623" s="21" t="s">
        <v>92</v>
      </c>
      <c r="C623" s="21" t="s">
        <v>93</v>
      </c>
      <c r="D623" s="92" t="str">
        <f>FoodDB!$C$1</f>
        <v>Fat
(g)</v>
      </c>
      <c r="E623" s="92" t="str">
        <f>FoodDB!$D$1</f>
        <v xml:space="preserve"> Carbs
(g)</v>
      </c>
      <c r="F623" s="92" t="str">
        <f>FoodDB!$E$1</f>
        <v>Protein
(g)</v>
      </c>
      <c r="G623" s="92" t="str">
        <f>FoodDB!$F$1</f>
        <v>Fat
(Cal)</v>
      </c>
      <c r="H623" s="92" t="str">
        <f>FoodDB!$G$1</f>
        <v>Carb
(Cal)</v>
      </c>
      <c r="I623" s="92" t="str">
        <f>FoodDB!$H$1</f>
        <v>Protein
(Cal)</v>
      </c>
      <c r="J623" s="92" t="str">
        <f>FoodDB!$I$1</f>
        <v>Total
Calories</v>
      </c>
      <c r="K623" s="92"/>
      <c r="L623" s="92" t="s">
        <v>109</v>
      </c>
      <c r="M623" s="92" t="s">
        <v>110</v>
      </c>
      <c r="N623" s="92" t="s">
        <v>111</v>
      </c>
      <c r="O623" s="92" t="s">
        <v>112</v>
      </c>
      <c r="P623" s="92" t="s">
        <v>117</v>
      </c>
      <c r="Q623" s="92" t="s">
        <v>118</v>
      </c>
      <c r="R623" s="92" t="s">
        <v>119</v>
      </c>
      <c r="S623" s="92" t="s">
        <v>120</v>
      </c>
    </row>
    <row r="624" spans="1:19" x14ac:dyDescent="0.25">
      <c r="A624" s="93">
        <f>A612+1</f>
        <v>43046</v>
      </c>
      <c r="B624" s="94" t="s">
        <v>107</v>
      </c>
      <c r="C624" s="95">
        <v>0</v>
      </c>
      <c r="D624">
        <f>$C624*VLOOKUP($B624,FoodDB!$A$2:$I$1011,3,0)</f>
        <v>0</v>
      </c>
      <c r="E624">
        <f>$C624*VLOOKUP($B624,FoodDB!$A$2:$I$1011,4,0)</f>
        <v>0</v>
      </c>
      <c r="F624">
        <f>$C624*VLOOKUP($B624,FoodDB!$A$2:$I$1011,5,0)</f>
        <v>0</v>
      </c>
      <c r="G624">
        <f>$C624*VLOOKUP($B624,FoodDB!$A$2:$I$1011,6,0)</f>
        <v>0</v>
      </c>
      <c r="H624">
        <f>$C624*VLOOKUP($B624,FoodDB!$A$2:$I$1011,7,0)</f>
        <v>0</v>
      </c>
      <c r="I624">
        <f>$C624*VLOOKUP($B624,FoodDB!$A$2:$I$1011,8,0)</f>
        <v>0</v>
      </c>
      <c r="J624">
        <f>$C624*VLOOKUP($B624,FoodDB!$A$2:$I$1011,9,0)</f>
        <v>0</v>
      </c>
      <c r="L624">
        <f>SUM(G624:G630)</f>
        <v>0</v>
      </c>
      <c r="M624">
        <f>SUM(H624:H630)</f>
        <v>0</v>
      </c>
      <c r="N624">
        <f>SUM(I624:I630)</f>
        <v>0</v>
      </c>
      <c r="O624">
        <f>SUM(L624:N624)</f>
        <v>0</v>
      </c>
      <c r="P624" s="98">
        <f>VLOOKUP($A624,LossChart!$A$3:$AB$105,14,0)-L624</f>
        <v>706.27316118159365</v>
      </c>
      <c r="Q624" s="98">
        <f>VLOOKUP($A624,LossChart!$A$3:$AB$105,15,0)-M624</f>
        <v>80</v>
      </c>
      <c r="R624" s="98">
        <f>VLOOKUP($A624,LossChart!$A$3:$AB$105,16,0)-N624</f>
        <v>482.47465271142238</v>
      </c>
      <c r="S624" s="98">
        <f>VLOOKUP($A624,LossChart!$A$3:$AB$105,17,0)-O624</f>
        <v>1268.747813893016</v>
      </c>
    </row>
    <row r="625" spans="1:19" x14ac:dyDescent="0.25">
      <c r="B625" s="94" t="s">
        <v>107</v>
      </c>
      <c r="C625" s="95">
        <v>0</v>
      </c>
      <c r="D625">
        <f>$C625*VLOOKUP($B625,FoodDB!$A$2:$I$1011,3,0)</f>
        <v>0</v>
      </c>
      <c r="E625">
        <f>$C625*VLOOKUP($B625,FoodDB!$A$2:$I$1011,4,0)</f>
        <v>0</v>
      </c>
      <c r="F625">
        <f>$C625*VLOOKUP($B625,FoodDB!$A$2:$I$1011,5,0)</f>
        <v>0</v>
      </c>
      <c r="G625">
        <f>$C625*VLOOKUP($B625,FoodDB!$A$2:$I$1011,6,0)</f>
        <v>0</v>
      </c>
      <c r="H625">
        <f>$C625*VLOOKUP($B625,FoodDB!$A$2:$I$1011,7,0)</f>
        <v>0</v>
      </c>
      <c r="I625">
        <f>$C625*VLOOKUP($B625,FoodDB!$A$2:$I$1011,8,0)</f>
        <v>0</v>
      </c>
      <c r="J625">
        <f>$C625*VLOOKUP($B625,FoodDB!$A$2:$I$1011,9,0)</f>
        <v>0</v>
      </c>
    </row>
    <row r="626" spans="1:19" x14ac:dyDescent="0.25">
      <c r="B626" s="94" t="s">
        <v>107</v>
      </c>
      <c r="C626" s="95">
        <v>0</v>
      </c>
      <c r="D626">
        <f>$C626*VLOOKUP($B626,FoodDB!$A$2:$I$1011,3,0)</f>
        <v>0</v>
      </c>
      <c r="E626">
        <f>$C626*VLOOKUP($B626,FoodDB!$A$2:$I$1011,4,0)</f>
        <v>0</v>
      </c>
      <c r="F626">
        <f>$C626*VLOOKUP($B626,FoodDB!$A$2:$I$1011,5,0)</f>
        <v>0</v>
      </c>
      <c r="G626">
        <f>$C626*VLOOKUP($B626,FoodDB!$A$2:$I$1011,6,0)</f>
        <v>0</v>
      </c>
      <c r="H626">
        <f>$C626*VLOOKUP($B626,FoodDB!$A$2:$I$1011,7,0)</f>
        <v>0</v>
      </c>
      <c r="I626">
        <f>$C626*VLOOKUP($B626,FoodDB!$A$2:$I$1011,8,0)</f>
        <v>0</v>
      </c>
      <c r="J626">
        <f>$C626*VLOOKUP($B626,FoodDB!$A$2:$I$1011,9,0)</f>
        <v>0</v>
      </c>
    </row>
    <row r="627" spans="1:19" x14ac:dyDescent="0.25">
      <c r="B627" s="94" t="s">
        <v>107</v>
      </c>
      <c r="C627" s="95">
        <v>0</v>
      </c>
      <c r="D627">
        <f>$C627*VLOOKUP($B627,FoodDB!$A$2:$I$1011,3,0)</f>
        <v>0</v>
      </c>
      <c r="E627">
        <f>$C627*VLOOKUP($B627,FoodDB!$A$2:$I$1011,4,0)</f>
        <v>0</v>
      </c>
      <c r="F627">
        <f>$C627*VLOOKUP($B627,FoodDB!$A$2:$I$1011,5,0)</f>
        <v>0</v>
      </c>
      <c r="G627">
        <f>$C627*VLOOKUP($B627,FoodDB!$A$2:$I$1011,6,0)</f>
        <v>0</v>
      </c>
      <c r="H627">
        <f>$C627*VLOOKUP($B627,FoodDB!$A$2:$I$1011,7,0)</f>
        <v>0</v>
      </c>
      <c r="I627">
        <f>$C627*VLOOKUP($B627,FoodDB!$A$2:$I$1011,8,0)</f>
        <v>0</v>
      </c>
      <c r="J627">
        <f>$C627*VLOOKUP($B627,FoodDB!$A$2:$I$1011,9,0)</f>
        <v>0</v>
      </c>
    </row>
    <row r="628" spans="1:19" x14ac:dyDescent="0.25">
      <c r="B628" s="94" t="s">
        <v>107</v>
      </c>
      <c r="C628" s="95">
        <v>0</v>
      </c>
      <c r="D628">
        <f>$C628*VLOOKUP($B628,FoodDB!$A$2:$I$1011,3,0)</f>
        <v>0</v>
      </c>
      <c r="E628">
        <f>$C628*VLOOKUP($B628,FoodDB!$A$2:$I$1011,4,0)</f>
        <v>0</v>
      </c>
      <c r="F628">
        <f>$C628*VLOOKUP($B628,FoodDB!$A$2:$I$1011,5,0)</f>
        <v>0</v>
      </c>
      <c r="G628">
        <f>$C628*VLOOKUP($B628,FoodDB!$A$2:$I$1011,6,0)</f>
        <v>0</v>
      </c>
      <c r="H628">
        <f>$C628*VLOOKUP($B628,FoodDB!$A$2:$I$1011,7,0)</f>
        <v>0</v>
      </c>
      <c r="I628">
        <f>$C628*VLOOKUP($B628,FoodDB!$A$2:$I$1011,8,0)</f>
        <v>0</v>
      </c>
      <c r="J628">
        <f>$C628*VLOOKUP($B628,FoodDB!$A$2:$I$1011,9,0)</f>
        <v>0</v>
      </c>
    </row>
    <row r="629" spans="1:19" x14ac:dyDescent="0.25">
      <c r="B629" s="94" t="s">
        <v>107</v>
      </c>
      <c r="C629" s="95">
        <v>0</v>
      </c>
      <c r="D629">
        <f>$C629*VLOOKUP($B629,FoodDB!$A$2:$I$1011,3,0)</f>
        <v>0</v>
      </c>
      <c r="E629">
        <f>$C629*VLOOKUP($B629,FoodDB!$A$2:$I$1011,4,0)</f>
        <v>0</v>
      </c>
      <c r="F629">
        <f>$C629*VLOOKUP($B629,FoodDB!$A$2:$I$1011,5,0)</f>
        <v>0</v>
      </c>
      <c r="G629">
        <f>$C629*VLOOKUP($B629,FoodDB!$A$2:$I$1011,6,0)</f>
        <v>0</v>
      </c>
      <c r="H629">
        <f>$C629*VLOOKUP($B629,FoodDB!$A$2:$I$1011,7,0)</f>
        <v>0</v>
      </c>
      <c r="I629">
        <f>$C629*VLOOKUP($B629,FoodDB!$A$2:$I$1011,8,0)</f>
        <v>0</v>
      </c>
      <c r="J629">
        <f>$C629*VLOOKUP($B629,FoodDB!$A$2:$I$1011,9,0)</f>
        <v>0</v>
      </c>
    </row>
    <row r="630" spans="1:19" x14ac:dyDescent="0.25">
      <c r="B630" s="94" t="s">
        <v>107</v>
      </c>
      <c r="C630" s="95">
        <v>0</v>
      </c>
      <c r="D630">
        <f>$C630*VLOOKUP($B630,FoodDB!$A$2:$I$1011,3,0)</f>
        <v>0</v>
      </c>
      <c r="E630">
        <f>$C630*VLOOKUP($B630,FoodDB!$A$2:$I$1011,4,0)</f>
        <v>0</v>
      </c>
      <c r="F630">
        <f>$C630*VLOOKUP($B630,FoodDB!$A$2:$I$1011,5,0)</f>
        <v>0</v>
      </c>
      <c r="G630">
        <f>$C630*VLOOKUP($B630,FoodDB!$A$2:$I$1011,6,0)</f>
        <v>0</v>
      </c>
      <c r="H630">
        <f>$C630*VLOOKUP($B630,FoodDB!$A$2:$I$1011,7,0)</f>
        <v>0</v>
      </c>
      <c r="I630">
        <f>$C630*VLOOKUP($B630,FoodDB!$A$2:$I$1011,8,0)</f>
        <v>0</v>
      </c>
      <c r="J630">
        <f>$C630*VLOOKUP($B630,FoodDB!$A$2:$I$1011,9,0)</f>
        <v>0</v>
      </c>
    </row>
    <row r="631" spans="1:19" x14ac:dyDescent="0.25">
      <c r="A631" t="s">
        <v>97</v>
      </c>
      <c r="G631">
        <f>SUM(G624:G630)</f>
        <v>0</v>
      </c>
      <c r="H631">
        <f>SUM(H624:H630)</f>
        <v>0</v>
      </c>
      <c r="I631">
        <f>SUM(I624:I630)</f>
        <v>0</v>
      </c>
      <c r="J631">
        <f>SUM(G631:I631)</f>
        <v>0</v>
      </c>
    </row>
    <row r="632" spans="1:19" x14ac:dyDescent="0.25">
      <c r="A632" t="s">
        <v>101</v>
      </c>
      <c r="B632" t="s">
        <v>102</v>
      </c>
      <c r="E632" s="98"/>
      <c r="F632" s="98"/>
      <c r="G632" s="98">
        <f>VLOOKUP($A624,LossChart!$A$3:$AB$105,14,0)</f>
        <v>706.27316118159365</v>
      </c>
      <c r="H632" s="98">
        <f>VLOOKUP($A624,LossChart!$A$3:$AB$105,15,0)</f>
        <v>80</v>
      </c>
      <c r="I632" s="98">
        <f>VLOOKUP($A624,LossChart!$A$3:$AB$105,16,0)</f>
        <v>482.47465271142238</v>
      </c>
      <c r="J632" s="98">
        <f>VLOOKUP($A624,LossChart!$A$3:$AB$105,17,0)</f>
        <v>1268.747813893016</v>
      </c>
      <c r="K632" s="98"/>
    </row>
    <row r="633" spans="1:19" x14ac:dyDescent="0.25">
      <c r="A633" t="s">
        <v>103</v>
      </c>
      <c r="G633">
        <f>G632-G631</f>
        <v>706.27316118159365</v>
      </c>
      <c r="H633">
        <f>H632-H631</f>
        <v>80</v>
      </c>
      <c r="I633">
        <f>I632-I631</f>
        <v>482.47465271142238</v>
      </c>
      <c r="J633">
        <f>J632-J631</f>
        <v>1268.747813893016</v>
      </c>
    </row>
    <row r="635" spans="1:19" ht="60" x14ac:dyDescent="0.25">
      <c r="A635" s="21" t="s">
        <v>63</v>
      </c>
      <c r="B635" s="21" t="s">
        <v>92</v>
      </c>
      <c r="C635" s="21" t="s">
        <v>93</v>
      </c>
      <c r="D635" s="92" t="str">
        <f>FoodDB!$C$1</f>
        <v>Fat
(g)</v>
      </c>
      <c r="E635" s="92" t="str">
        <f>FoodDB!$D$1</f>
        <v xml:space="preserve"> Carbs
(g)</v>
      </c>
      <c r="F635" s="92" t="str">
        <f>FoodDB!$E$1</f>
        <v>Protein
(g)</v>
      </c>
      <c r="G635" s="92" t="str">
        <f>FoodDB!$F$1</f>
        <v>Fat
(Cal)</v>
      </c>
      <c r="H635" s="92" t="str">
        <f>FoodDB!$G$1</f>
        <v>Carb
(Cal)</v>
      </c>
      <c r="I635" s="92" t="str">
        <f>FoodDB!$H$1</f>
        <v>Protein
(Cal)</v>
      </c>
      <c r="J635" s="92" t="str">
        <f>FoodDB!$I$1</f>
        <v>Total
Calories</v>
      </c>
      <c r="K635" s="92"/>
      <c r="L635" s="92" t="s">
        <v>109</v>
      </c>
      <c r="M635" s="92" t="s">
        <v>110</v>
      </c>
      <c r="N635" s="92" t="s">
        <v>111</v>
      </c>
      <c r="O635" s="92" t="s">
        <v>112</v>
      </c>
      <c r="P635" s="92" t="s">
        <v>117</v>
      </c>
      <c r="Q635" s="92" t="s">
        <v>118</v>
      </c>
      <c r="R635" s="92" t="s">
        <v>119</v>
      </c>
      <c r="S635" s="92" t="s">
        <v>120</v>
      </c>
    </row>
    <row r="636" spans="1:19" x14ac:dyDescent="0.25">
      <c r="A636" s="93">
        <f>A624+1</f>
        <v>43047</v>
      </c>
      <c r="B636" s="94" t="s">
        <v>107</v>
      </c>
      <c r="C636" s="95">
        <v>0</v>
      </c>
      <c r="D636">
        <f>$C636*VLOOKUP($B636,FoodDB!$A$2:$I$1011,3,0)</f>
        <v>0</v>
      </c>
      <c r="E636">
        <f>$C636*VLOOKUP($B636,FoodDB!$A$2:$I$1011,4,0)</f>
        <v>0</v>
      </c>
      <c r="F636">
        <f>$C636*VLOOKUP($B636,FoodDB!$A$2:$I$1011,5,0)</f>
        <v>0</v>
      </c>
      <c r="G636">
        <f>$C636*VLOOKUP($B636,FoodDB!$A$2:$I$1011,6,0)</f>
        <v>0</v>
      </c>
      <c r="H636">
        <f>$C636*VLOOKUP($B636,FoodDB!$A$2:$I$1011,7,0)</f>
        <v>0</v>
      </c>
      <c r="I636">
        <f>$C636*VLOOKUP($B636,FoodDB!$A$2:$I$1011,8,0)</f>
        <v>0</v>
      </c>
      <c r="J636">
        <f>$C636*VLOOKUP($B636,FoodDB!$A$2:$I$1011,9,0)</f>
        <v>0</v>
      </c>
      <c r="L636">
        <f>SUM(G636:G642)</f>
        <v>0</v>
      </c>
      <c r="M636">
        <f>SUM(H636:H642)</f>
        <v>0</v>
      </c>
      <c r="N636">
        <f>SUM(I636:I642)</f>
        <v>0</v>
      </c>
      <c r="O636">
        <f>SUM(L636:N636)</f>
        <v>0</v>
      </c>
      <c r="P636" s="98">
        <f>VLOOKUP($A636,LossChart!$A$3:$AB$105,14,0)-L636</f>
        <v>711.65232691533924</v>
      </c>
      <c r="Q636" s="98">
        <f>VLOOKUP($A636,LossChart!$A$3:$AB$105,15,0)-M636</f>
        <v>80</v>
      </c>
      <c r="R636" s="98">
        <f>VLOOKUP($A636,LossChart!$A$3:$AB$105,16,0)-N636</f>
        <v>482.47465271142238</v>
      </c>
      <c r="S636" s="98">
        <f>VLOOKUP($A636,LossChart!$A$3:$AB$105,17,0)-O636</f>
        <v>1274.1269796267616</v>
      </c>
    </row>
    <row r="637" spans="1:19" x14ac:dyDescent="0.25">
      <c r="B637" s="94" t="s">
        <v>107</v>
      </c>
      <c r="C637" s="95">
        <v>0</v>
      </c>
      <c r="D637">
        <f>$C637*VLOOKUP($B637,FoodDB!$A$2:$I$1011,3,0)</f>
        <v>0</v>
      </c>
      <c r="E637">
        <f>$C637*VLOOKUP($B637,FoodDB!$A$2:$I$1011,4,0)</f>
        <v>0</v>
      </c>
      <c r="F637">
        <f>$C637*VLOOKUP($B637,FoodDB!$A$2:$I$1011,5,0)</f>
        <v>0</v>
      </c>
      <c r="G637">
        <f>$C637*VLOOKUP($B637,FoodDB!$A$2:$I$1011,6,0)</f>
        <v>0</v>
      </c>
      <c r="H637">
        <f>$C637*VLOOKUP($B637,FoodDB!$A$2:$I$1011,7,0)</f>
        <v>0</v>
      </c>
      <c r="I637">
        <f>$C637*VLOOKUP($B637,FoodDB!$A$2:$I$1011,8,0)</f>
        <v>0</v>
      </c>
      <c r="J637">
        <f>$C637*VLOOKUP($B637,FoodDB!$A$2:$I$1011,9,0)</f>
        <v>0</v>
      </c>
    </row>
    <row r="638" spans="1:19" x14ac:dyDescent="0.25">
      <c r="B638" s="94" t="s">
        <v>107</v>
      </c>
      <c r="C638" s="95">
        <v>0</v>
      </c>
      <c r="D638">
        <f>$C638*VLOOKUP($B638,FoodDB!$A$2:$I$1011,3,0)</f>
        <v>0</v>
      </c>
      <c r="E638">
        <f>$C638*VLOOKUP($B638,FoodDB!$A$2:$I$1011,4,0)</f>
        <v>0</v>
      </c>
      <c r="F638">
        <f>$C638*VLOOKUP($B638,FoodDB!$A$2:$I$1011,5,0)</f>
        <v>0</v>
      </c>
      <c r="G638">
        <f>$C638*VLOOKUP($B638,FoodDB!$A$2:$I$1011,6,0)</f>
        <v>0</v>
      </c>
      <c r="H638">
        <f>$C638*VLOOKUP($B638,FoodDB!$A$2:$I$1011,7,0)</f>
        <v>0</v>
      </c>
      <c r="I638">
        <f>$C638*VLOOKUP($B638,FoodDB!$A$2:$I$1011,8,0)</f>
        <v>0</v>
      </c>
      <c r="J638">
        <f>$C638*VLOOKUP($B638,FoodDB!$A$2:$I$1011,9,0)</f>
        <v>0</v>
      </c>
    </row>
    <row r="639" spans="1:19" x14ac:dyDescent="0.25">
      <c r="B639" s="94" t="s">
        <v>107</v>
      </c>
      <c r="C639" s="95">
        <v>0</v>
      </c>
      <c r="D639">
        <f>$C639*VLOOKUP($B639,FoodDB!$A$2:$I$1011,3,0)</f>
        <v>0</v>
      </c>
      <c r="E639">
        <f>$C639*VLOOKUP($B639,FoodDB!$A$2:$I$1011,4,0)</f>
        <v>0</v>
      </c>
      <c r="F639">
        <f>$C639*VLOOKUP($B639,FoodDB!$A$2:$I$1011,5,0)</f>
        <v>0</v>
      </c>
      <c r="G639">
        <f>$C639*VLOOKUP($B639,FoodDB!$A$2:$I$1011,6,0)</f>
        <v>0</v>
      </c>
      <c r="H639">
        <f>$C639*VLOOKUP($B639,FoodDB!$A$2:$I$1011,7,0)</f>
        <v>0</v>
      </c>
      <c r="I639">
        <f>$C639*VLOOKUP($B639,FoodDB!$A$2:$I$1011,8,0)</f>
        <v>0</v>
      </c>
      <c r="J639">
        <f>$C639*VLOOKUP($B639,FoodDB!$A$2:$I$1011,9,0)</f>
        <v>0</v>
      </c>
    </row>
    <row r="640" spans="1:19" x14ac:dyDescent="0.25">
      <c r="B640" s="94" t="s">
        <v>107</v>
      </c>
      <c r="C640" s="95">
        <v>0</v>
      </c>
      <c r="D640">
        <f>$C640*VLOOKUP($B640,FoodDB!$A$2:$I$1011,3,0)</f>
        <v>0</v>
      </c>
      <c r="E640">
        <f>$C640*VLOOKUP($B640,FoodDB!$A$2:$I$1011,4,0)</f>
        <v>0</v>
      </c>
      <c r="F640">
        <f>$C640*VLOOKUP($B640,FoodDB!$A$2:$I$1011,5,0)</f>
        <v>0</v>
      </c>
      <c r="G640">
        <f>$C640*VLOOKUP($B640,FoodDB!$A$2:$I$1011,6,0)</f>
        <v>0</v>
      </c>
      <c r="H640">
        <f>$C640*VLOOKUP($B640,FoodDB!$A$2:$I$1011,7,0)</f>
        <v>0</v>
      </c>
      <c r="I640">
        <f>$C640*VLOOKUP($B640,FoodDB!$A$2:$I$1011,8,0)</f>
        <v>0</v>
      </c>
      <c r="J640">
        <f>$C640*VLOOKUP($B640,FoodDB!$A$2:$I$1011,9,0)</f>
        <v>0</v>
      </c>
    </row>
    <row r="641" spans="1:19" x14ac:dyDescent="0.25">
      <c r="B641" s="94" t="s">
        <v>107</v>
      </c>
      <c r="C641" s="95">
        <v>0</v>
      </c>
      <c r="D641">
        <f>$C641*VLOOKUP($B641,FoodDB!$A$2:$I$1011,3,0)</f>
        <v>0</v>
      </c>
      <c r="E641">
        <f>$C641*VLOOKUP($B641,FoodDB!$A$2:$I$1011,4,0)</f>
        <v>0</v>
      </c>
      <c r="F641">
        <f>$C641*VLOOKUP($B641,FoodDB!$A$2:$I$1011,5,0)</f>
        <v>0</v>
      </c>
      <c r="G641">
        <f>$C641*VLOOKUP($B641,FoodDB!$A$2:$I$1011,6,0)</f>
        <v>0</v>
      </c>
      <c r="H641">
        <f>$C641*VLOOKUP($B641,FoodDB!$A$2:$I$1011,7,0)</f>
        <v>0</v>
      </c>
      <c r="I641">
        <f>$C641*VLOOKUP($B641,FoodDB!$A$2:$I$1011,8,0)</f>
        <v>0</v>
      </c>
      <c r="J641">
        <f>$C641*VLOOKUP($B641,FoodDB!$A$2:$I$1011,9,0)</f>
        <v>0</v>
      </c>
    </row>
    <row r="642" spans="1:19" x14ac:dyDescent="0.25">
      <c r="B642" s="94" t="s">
        <v>107</v>
      </c>
      <c r="C642" s="95">
        <v>0</v>
      </c>
      <c r="D642">
        <f>$C642*VLOOKUP($B642,FoodDB!$A$2:$I$1011,3,0)</f>
        <v>0</v>
      </c>
      <c r="E642">
        <f>$C642*VLOOKUP($B642,FoodDB!$A$2:$I$1011,4,0)</f>
        <v>0</v>
      </c>
      <c r="F642">
        <f>$C642*VLOOKUP($B642,FoodDB!$A$2:$I$1011,5,0)</f>
        <v>0</v>
      </c>
      <c r="G642">
        <f>$C642*VLOOKUP($B642,FoodDB!$A$2:$I$1011,6,0)</f>
        <v>0</v>
      </c>
      <c r="H642">
        <f>$C642*VLOOKUP($B642,FoodDB!$A$2:$I$1011,7,0)</f>
        <v>0</v>
      </c>
      <c r="I642">
        <f>$C642*VLOOKUP($B642,FoodDB!$A$2:$I$1011,8,0)</f>
        <v>0</v>
      </c>
      <c r="J642">
        <f>$C642*VLOOKUP($B642,FoodDB!$A$2:$I$1011,9,0)</f>
        <v>0</v>
      </c>
    </row>
    <row r="643" spans="1:19" x14ac:dyDescent="0.25">
      <c r="A643" t="s">
        <v>97</v>
      </c>
      <c r="G643">
        <f>SUM(G636:G642)</f>
        <v>0</v>
      </c>
      <c r="H643">
        <f>SUM(H636:H642)</f>
        <v>0</v>
      </c>
      <c r="I643">
        <f>SUM(I636:I642)</f>
        <v>0</v>
      </c>
      <c r="J643">
        <f>SUM(G643:I643)</f>
        <v>0</v>
      </c>
    </row>
    <row r="644" spans="1:19" x14ac:dyDescent="0.25">
      <c r="A644" t="s">
        <v>101</v>
      </c>
      <c r="B644" t="s">
        <v>102</v>
      </c>
      <c r="E644" s="98"/>
      <c r="F644" s="98"/>
      <c r="G644" s="98">
        <f>VLOOKUP($A636,LossChart!$A$3:$AB$105,14,0)</f>
        <v>711.65232691533924</v>
      </c>
      <c r="H644" s="98">
        <f>VLOOKUP($A636,LossChart!$A$3:$AB$105,15,0)</f>
        <v>80</v>
      </c>
      <c r="I644" s="98">
        <f>VLOOKUP($A636,LossChart!$A$3:$AB$105,16,0)</f>
        <v>482.47465271142238</v>
      </c>
      <c r="J644" s="98">
        <f>VLOOKUP($A636,LossChart!$A$3:$AB$105,17,0)</f>
        <v>1274.1269796267616</v>
      </c>
      <c r="K644" s="98"/>
    </row>
    <row r="645" spans="1:19" x14ac:dyDescent="0.25">
      <c r="A645" t="s">
        <v>103</v>
      </c>
      <c r="G645">
        <f>G644-G643</f>
        <v>711.65232691533924</v>
      </c>
      <c r="H645">
        <f>H644-H643</f>
        <v>80</v>
      </c>
      <c r="I645">
        <f>I644-I643</f>
        <v>482.47465271142238</v>
      </c>
      <c r="J645">
        <f>J644-J643</f>
        <v>1274.1269796267616</v>
      </c>
    </row>
    <row r="647" spans="1:19" ht="60" x14ac:dyDescent="0.25">
      <c r="A647" s="21" t="s">
        <v>63</v>
      </c>
      <c r="B647" s="21" t="s">
        <v>92</v>
      </c>
      <c r="C647" s="21" t="s">
        <v>93</v>
      </c>
      <c r="D647" s="92" t="str">
        <f>FoodDB!$C$1</f>
        <v>Fat
(g)</v>
      </c>
      <c r="E647" s="92" t="str">
        <f>FoodDB!$D$1</f>
        <v xml:space="preserve"> Carbs
(g)</v>
      </c>
      <c r="F647" s="92" t="str">
        <f>FoodDB!$E$1</f>
        <v>Protein
(g)</v>
      </c>
      <c r="G647" s="92" t="str">
        <f>FoodDB!$F$1</f>
        <v>Fat
(Cal)</v>
      </c>
      <c r="H647" s="92" t="str">
        <f>FoodDB!$G$1</f>
        <v>Carb
(Cal)</v>
      </c>
      <c r="I647" s="92" t="str">
        <f>FoodDB!$H$1</f>
        <v>Protein
(Cal)</v>
      </c>
      <c r="J647" s="92" t="str">
        <f>FoodDB!$I$1</f>
        <v>Total
Calories</v>
      </c>
      <c r="K647" s="92"/>
      <c r="L647" s="92" t="s">
        <v>109</v>
      </c>
      <c r="M647" s="92" t="s">
        <v>110</v>
      </c>
      <c r="N647" s="92" t="s">
        <v>111</v>
      </c>
      <c r="O647" s="92" t="s">
        <v>112</v>
      </c>
      <c r="P647" s="92" t="s">
        <v>117</v>
      </c>
      <c r="Q647" s="92" t="s">
        <v>118</v>
      </c>
      <c r="R647" s="92" t="s">
        <v>119</v>
      </c>
      <c r="S647" s="92" t="s">
        <v>120</v>
      </c>
    </row>
    <row r="648" spans="1:19" x14ac:dyDescent="0.25">
      <c r="A648" s="93">
        <f>A636+1</f>
        <v>43048</v>
      </c>
      <c r="B648" s="94" t="s">
        <v>107</v>
      </c>
      <c r="C648" s="95">
        <v>0</v>
      </c>
      <c r="D648">
        <f>$C648*VLOOKUP($B648,FoodDB!$A$2:$I$1011,3,0)</f>
        <v>0</v>
      </c>
      <c r="E648">
        <f>$C648*VLOOKUP($B648,FoodDB!$A$2:$I$1011,4,0)</f>
        <v>0</v>
      </c>
      <c r="F648">
        <f>$C648*VLOOKUP($B648,FoodDB!$A$2:$I$1011,5,0)</f>
        <v>0</v>
      </c>
      <c r="G648">
        <f>$C648*VLOOKUP($B648,FoodDB!$A$2:$I$1011,6,0)</f>
        <v>0</v>
      </c>
      <c r="H648">
        <f>$C648*VLOOKUP($B648,FoodDB!$A$2:$I$1011,7,0)</f>
        <v>0</v>
      </c>
      <c r="I648">
        <f>$C648*VLOOKUP($B648,FoodDB!$A$2:$I$1011,8,0)</f>
        <v>0</v>
      </c>
      <c r="J648">
        <f>$C648*VLOOKUP($B648,FoodDB!$A$2:$I$1011,9,0)</f>
        <v>0</v>
      </c>
      <c r="L648">
        <f>SUM(G648:G654)</f>
        <v>0</v>
      </c>
      <c r="M648">
        <f>SUM(H648:H654)</f>
        <v>0</v>
      </c>
      <c r="N648">
        <f>SUM(I648:I654)</f>
        <v>0</v>
      </c>
      <c r="O648">
        <f>SUM(L648:N648)</f>
        <v>0</v>
      </c>
      <c r="P648" s="98">
        <f>VLOOKUP($A648,LossChart!$A$3:$AB$105,14,0)-L648</f>
        <v>716.98384860972897</v>
      </c>
      <c r="Q648" s="98">
        <f>VLOOKUP($A648,LossChart!$A$3:$AB$105,15,0)-M648</f>
        <v>80</v>
      </c>
      <c r="R648" s="98">
        <f>VLOOKUP($A648,LossChart!$A$3:$AB$105,16,0)-N648</f>
        <v>482.47465271142238</v>
      </c>
      <c r="S648" s="98">
        <f>VLOOKUP($A648,LossChart!$A$3:$AB$105,17,0)-O648</f>
        <v>1279.4585013211513</v>
      </c>
    </row>
    <row r="649" spans="1:19" x14ac:dyDescent="0.25">
      <c r="B649" s="94" t="s">
        <v>107</v>
      </c>
      <c r="C649" s="95">
        <v>0</v>
      </c>
      <c r="D649">
        <f>$C649*VLOOKUP($B649,FoodDB!$A$2:$I$1011,3,0)</f>
        <v>0</v>
      </c>
      <c r="E649">
        <f>$C649*VLOOKUP($B649,FoodDB!$A$2:$I$1011,4,0)</f>
        <v>0</v>
      </c>
      <c r="F649">
        <f>$C649*VLOOKUP($B649,FoodDB!$A$2:$I$1011,5,0)</f>
        <v>0</v>
      </c>
      <c r="G649">
        <f>$C649*VLOOKUP($B649,FoodDB!$A$2:$I$1011,6,0)</f>
        <v>0</v>
      </c>
      <c r="H649">
        <f>$C649*VLOOKUP($B649,FoodDB!$A$2:$I$1011,7,0)</f>
        <v>0</v>
      </c>
      <c r="I649">
        <f>$C649*VLOOKUP($B649,FoodDB!$A$2:$I$1011,8,0)</f>
        <v>0</v>
      </c>
      <c r="J649">
        <f>$C649*VLOOKUP($B649,FoodDB!$A$2:$I$1011,9,0)</f>
        <v>0</v>
      </c>
    </row>
    <row r="650" spans="1:19" x14ac:dyDescent="0.25">
      <c r="B650" s="94" t="s">
        <v>107</v>
      </c>
      <c r="C650" s="95">
        <v>0</v>
      </c>
      <c r="D650">
        <f>$C650*VLOOKUP($B650,FoodDB!$A$2:$I$1011,3,0)</f>
        <v>0</v>
      </c>
      <c r="E650">
        <f>$C650*VLOOKUP($B650,FoodDB!$A$2:$I$1011,4,0)</f>
        <v>0</v>
      </c>
      <c r="F650">
        <f>$C650*VLOOKUP($B650,FoodDB!$A$2:$I$1011,5,0)</f>
        <v>0</v>
      </c>
      <c r="G650">
        <f>$C650*VLOOKUP($B650,FoodDB!$A$2:$I$1011,6,0)</f>
        <v>0</v>
      </c>
      <c r="H650">
        <f>$C650*VLOOKUP($B650,FoodDB!$A$2:$I$1011,7,0)</f>
        <v>0</v>
      </c>
      <c r="I650">
        <f>$C650*VLOOKUP($B650,FoodDB!$A$2:$I$1011,8,0)</f>
        <v>0</v>
      </c>
      <c r="J650">
        <f>$C650*VLOOKUP($B650,FoodDB!$A$2:$I$1011,9,0)</f>
        <v>0</v>
      </c>
    </row>
    <row r="651" spans="1:19" x14ac:dyDescent="0.25">
      <c r="B651" s="94" t="s">
        <v>107</v>
      </c>
      <c r="C651" s="95">
        <v>0</v>
      </c>
      <c r="D651">
        <f>$C651*VLOOKUP($B651,FoodDB!$A$2:$I$1011,3,0)</f>
        <v>0</v>
      </c>
      <c r="E651">
        <f>$C651*VLOOKUP($B651,FoodDB!$A$2:$I$1011,4,0)</f>
        <v>0</v>
      </c>
      <c r="F651">
        <f>$C651*VLOOKUP($B651,FoodDB!$A$2:$I$1011,5,0)</f>
        <v>0</v>
      </c>
      <c r="G651">
        <f>$C651*VLOOKUP($B651,FoodDB!$A$2:$I$1011,6,0)</f>
        <v>0</v>
      </c>
      <c r="H651">
        <f>$C651*VLOOKUP($B651,FoodDB!$A$2:$I$1011,7,0)</f>
        <v>0</v>
      </c>
      <c r="I651">
        <f>$C651*VLOOKUP($B651,FoodDB!$A$2:$I$1011,8,0)</f>
        <v>0</v>
      </c>
      <c r="J651">
        <f>$C651*VLOOKUP($B651,FoodDB!$A$2:$I$1011,9,0)</f>
        <v>0</v>
      </c>
    </row>
    <row r="652" spans="1:19" x14ac:dyDescent="0.25">
      <c r="B652" s="94" t="s">
        <v>107</v>
      </c>
      <c r="C652" s="95">
        <v>0</v>
      </c>
      <c r="D652">
        <f>$C652*VLOOKUP($B652,FoodDB!$A$2:$I$1011,3,0)</f>
        <v>0</v>
      </c>
      <c r="E652">
        <f>$C652*VLOOKUP($B652,FoodDB!$A$2:$I$1011,4,0)</f>
        <v>0</v>
      </c>
      <c r="F652">
        <f>$C652*VLOOKUP($B652,FoodDB!$A$2:$I$1011,5,0)</f>
        <v>0</v>
      </c>
      <c r="G652">
        <f>$C652*VLOOKUP($B652,FoodDB!$A$2:$I$1011,6,0)</f>
        <v>0</v>
      </c>
      <c r="H652">
        <f>$C652*VLOOKUP($B652,FoodDB!$A$2:$I$1011,7,0)</f>
        <v>0</v>
      </c>
      <c r="I652">
        <f>$C652*VLOOKUP($B652,FoodDB!$A$2:$I$1011,8,0)</f>
        <v>0</v>
      </c>
      <c r="J652">
        <f>$C652*VLOOKUP($B652,FoodDB!$A$2:$I$1011,9,0)</f>
        <v>0</v>
      </c>
    </row>
    <row r="653" spans="1:19" x14ac:dyDescent="0.25">
      <c r="B653" s="94" t="s">
        <v>107</v>
      </c>
      <c r="C653" s="95">
        <v>0</v>
      </c>
      <c r="D653">
        <f>$C653*VLOOKUP($B653,FoodDB!$A$2:$I$1011,3,0)</f>
        <v>0</v>
      </c>
      <c r="E653">
        <f>$C653*VLOOKUP($B653,FoodDB!$A$2:$I$1011,4,0)</f>
        <v>0</v>
      </c>
      <c r="F653">
        <f>$C653*VLOOKUP($B653,FoodDB!$A$2:$I$1011,5,0)</f>
        <v>0</v>
      </c>
      <c r="G653">
        <f>$C653*VLOOKUP($B653,FoodDB!$A$2:$I$1011,6,0)</f>
        <v>0</v>
      </c>
      <c r="H653">
        <f>$C653*VLOOKUP($B653,FoodDB!$A$2:$I$1011,7,0)</f>
        <v>0</v>
      </c>
      <c r="I653">
        <f>$C653*VLOOKUP($B653,FoodDB!$A$2:$I$1011,8,0)</f>
        <v>0</v>
      </c>
      <c r="J653">
        <f>$C653*VLOOKUP($B653,FoodDB!$A$2:$I$1011,9,0)</f>
        <v>0</v>
      </c>
    </row>
    <row r="654" spans="1:19" x14ac:dyDescent="0.25">
      <c r="B654" s="94" t="s">
        <v>107</v>
      </c>
      <c r="C654" s="95">
        <v>0</v>
      </c>
      <c r="D654">
        <f>$C654*VLOOKUP($B654,FoodDB!$A$2:$I$1011,3,0)</f>
        <v>0</v>
      </c>
      <c r="E654">
        <f>$C654*VLOOKUP($B654,FoodDB!$A$2:$I$1011,4,0)</f>
        <v>0</v>
      </c>
      <c r="F654">
        <f>$C654*VLOOKUP($B654,FoodDB!$A$2:$I$1011,5,0)</f>
        <v>0</v>
      </c>
      <c r="G654">
        <f>$C654*VLOOKUP($B654,FoodDB!$A$2:$I$1011,6,0)</f>
        <v>0</v>
      </c>
      <c r="H654">
        <f>$C654*VLOOKUP($B654,FoodDB!$A$2:$I$1011,7,0)</f>
        <v>0</v>
      </c>
      <c r="I654">
        <f>$C654*VLOOKUP($B654,FoodDB!$A$2:$I$1011,8,0)</f>
        <v>0</v>
      </c>
      <c r="J654">
        <f>$C654*VLOOKUP($B654,FoodDB!$A$2:$I$1011,9,0)</f>
        <v>0</v>
      </c>
    </row>
    <row r="655" spans="1:19" x14ac:dyDescent="0.25">
      <c r="A655" t="s">
        <v>97</v>
      </c>
      <c r="G655">
        <f>SUM(G648:G654)</f>
        <v>0</v>
      </c>
      <c r="H655">
        <f>SUM(H648:H654)</f>
        <v>0</v>
      </c>
      <c r="I655">
        <f>SUM(I648:I654)</f>
        <v>0</v>
      </c>
      <c r="J655">
        <f>SUM(G655:I655)</f>
        <v>0</v>
      </c>
    </row>
    <row r="656" spans="1:19" x14ac:dyDescent="0.25">
      <c r="A656" t="s">
        <v>101</v>
      </c>
      <c r="B656" t="s">
        <v>102</v>
      </c>
      <c r="E656" s="98"/>
      <c r="F656" s="98"/>
      <c r="G656" s="98">
        <f>VLOOKUP($A648,LossChart!$A$3:$AB$105,14,0)</f>
        <v>716.98384860972897</v>
      </c>
      <c r="H656" s="98">
        <f>VLOOKUP($A648,LossChart!$A$3:$AB$105,15,0)</f>
        <v>80</v>
      </c>
      <c r="I656" s="98">
        <f>VLOOKUP($A648,LossChart!$A$3:$AB$105,16,0)</f>
        <v>482.47465271142238</v>
      </c>
      <c r="J656" s="98">
        <f>VLOOKUP($A648,LossChart!$A$3:$AB$105,17,0)</f>
        <v>1279.4585013211513</v>
      </c>
      <c r="K656" s="98"/>
    </row>
    <row r="657" spans="1:19" x14ac:dyDescent="0.25">
      <c r="A657" t="s">
        <v>103</v>
      </c>
      <c r="G657">
        <f>G656-G655</f>
        <v>716.98384860972897</v>
      </c>
      <c r="H657">
        <f>H656-H655</f>
        <v>80</v>
      </c>
      <c r="I657">
        <f>I656-I655</f>
        <v>482.47465271142238</v>
      </c>
      <c r="J657">
        <f>J656-J655</f>
        <v>1279.4585013211513</v>
      </c>
    </row>
    <row r="659" spans="1:19" ht="60" x14ac:dyDescent="0.25">
      <c r="A659" s="21" t="s">
        <v>63</v>
      </c>
      <c r="B659" s="21" t="s">
        <v>92</v>
      </c>
      <c r="C659" s="21" t="s">
        <v>93</v>
      </c>
      <c r="D659" s="92" t="str">
        <f>FoodDB!$C$1</f>
        <v>Fat
(g)</v>
      </c>
      <c r="E659" s="92" t="str">
        <f>FoodDB!$D$1</f>
        <v xml:space="preserve"> Carbs
(g)</v>
      </c>
      <c r="F659" s="92" t="str">
        <f>FoodDB!$E$1</f>
        <v>Protein
(g)</v>
      </c>
      <c r="G659" s="92" t="str">
        <f>FoodDB!$F$1</f>
        <v>Fat
(Cal)</v>
      </c>
      <c r="H659" s="92" t="str">
        <f>FoodDB!$G$1</f>
        <v>Carb
(Cal)</v>
      </c>
      <c r="I659" s="92" t="str">
        <f>FoodDB!$H$1</f>
        <v>Protein
(Cal)</v>
      </c>
      <c r="J659" s="92" t="str">
        <f>FoodDB!$I$1</f>
        <v>Total
Calories</v>
      </c>
      <c r="K659" s="92"/>
      <c r="L659" s="92" t="s">
        <v>109</v>
      </c>
      <c r="M659" s="92" t="s">
        <v>110</v>
      </c>
      <c r="N659" s="92" t="s">
        <v>111</v>
      </c>
      <c r="O659" s="92" t="s">
        <v>112</v>
      </c>
      <c r="P659" s="92" t="s">
        <v>117</v>
      </c>
      <c r="Q659" s="92" t="s">
        <v>118</v>
      </c>
      <c r="R659" s="92" t="s">
        <v>119</v>
      </c>
      <c r="S659" s="92" t="s">
        <v>120</v>
      </c>
    </row>
    <row r="660" spans="1:19" x14ac:dyDescent="0.25">
      <c r="A660" s="93">
        <f>A648+1</f>
        <v>43049</v>
      </c>
      <c r="B660" s="94" t="s">
        <v>107</v>
      </c>
      <c r="C660" s="95">
        <v>0</v>
      </c>
      <c r="D660">
        <f>$C660*VLOOKUP($B660,FoodDB!$A$2:$I$1011,3,0)</f>
        <v>0</v>
      </c>
      <c r="E660">
        <f>$C660*VLOOKUP($B660,FoodDB!$A$2:$I$1011,4,0)</f>
        <v>0</v>
      </c>
      <c r="F660">
        <f>$C660*VLOOKUP($B660,FoodDB!$A$2:$I$1011,5,0)</f>
        <v>0</v>
      </c>
      <c r="G660">
        <f>$C660*VLOOKUP($B660,FoodDB!$A$2:$I$1011,6,0)</f>
        <v>0</v>
      </c>
      <c r="H660">
        <f>$C660*VLOOKUP($B660,FoodDB!$A$2:$I$1011,7,0)</f>
        <v>0</v>
      </c>
      <c r="I660">
        <f>$C660*VLOOKUP($B660,FoodDB!$A$2:$I$1011,8,0)</f>
        <v>0</v>
      </c>
      <c r="J660">
        <f>$C660*VLOOKUP($B660,FoodDB!$A$2:$I$1011,9,0)</f>
        <v>0</v>
      </c>
      <c r="L660">
        <f>SUM(G660:G666)</f>
        <v>0</v>
      </c>
      <c r="M660">
        <f>SUM(H660:H666)</f>
        <v>0</v>
      </c>
      <c r="N660">
        <f>SUM(I660:I666)</f>
        <v>0</v>
      </c>
      <c r="O660">
        <f>SUM(L660:N660)</f>
        <v>0</v>
      </c>
      <c r="P660" s="98">
        <f>VLOOKUP($A660,LossChart!$A$3:$AB$105,14,0)-L660</f>
        <v>722.26814825482529</v>
      </c>
      <c r="Q660" s="98">
        <f>VLOOKUP($A660,LossChart!$A$3:$AB$105,15,0)-M660</f>
        <v>80</v>
      </c>
      <c r="R660" s="98">
        <f>VLOOKUP($A660,LossChart!$A$3:$AB$105,16,0)-N660</f>
        <v>482.47465271142238</v>
      </c>
      <c r="S660" s="98">
        <f>VLOOKUP($A660,LossChart!$A$3:$AB$105,17,0)-O660</f>
        <v>1284.7428009662476</v>
      </c>
    </row>
    <row r="661" spans="1:19" x14ac:dyDescent="0.25">
      <c r="B661" s="94" t="s">
        <v>107</v>
      </c>
      <c r="C661" s="95">
        <v>0</v>
      </c>
      <c r="D661">
        <f>$C661*VLOOKUP($B661,FoodDB!$A$2:$I$1011,3,0)</f>
        <v>0</v>
      </c>
      <c r="E661">
        <f>$C661*VLOOKUP($B661,FoodDB!$A$2:$I$1011,4,0)</f>
        <v>0</v>
      </c>
      <c r="F661">
        <f>$C661*VLOOKUP($B661,FoodDB!$A$2:$I$1011,5,0)</f>
        <v>0</v>
      </c>
      <c r="G661">
        <f>$C661*VLOOKUP($B661,FoodDB!$A$2:$I$1011,6,0)</f>
        <v>0</v>
      </c>
      <c r="H661">
        <f>$C661*VLOOKUP($B661,FoodDB!$A$2:$I$1011,7,0)</f>
        <v>0</v>
      </c>
      <c r="I661">
        <f>$C661*VLOOKUP($B661,FoodDB!$A$2:$I$1011,8,0)</f>
        <v>0</v>
      </c>
      <c r="J661">
        <f>$C661*VLOOKUP($B661,FoodDB!$A$2:$I$1011,9,0)</f>
        <v>0</v>
      </c>
    </row>
    <row r="662" spans="1:19" x14ac:dyDescent="0.25">
      <c r="B662" s="94" t="s">
        <v>107</v>
      </c>
      <c r="C662" s="95">
        <v>0</v>
      </c>
      <c r="D662">
        <f>$C662*VLOOKUP($B662,FoodDB!$A$2:$I$1011,3,0)</f>
        <v>0</v>
      </c>
      <c r="E662">
        <f>$C662*VLOOKUP($B662,FoodDB!$A$2:$I$1011,4,0)</f>
        <v>0</v>
      </c>
      <c r="F662">
        <f>$C662*VLOOKUP($B662,FoodDB!$A$2:$I$1011,5,0)</f>
        <v>0</v>
      </c>
      <c r="G662">
        <f>$C662*VLOOKUP($B662,FoodDB!$A$2:$I$1011,6,0)</f>
        <v>0</v>
      </c>
      <c r="H662">
        <f>$C662*VLOOKUP($B662,FoodDB!$A$2:$I$1011,7,0)</f>
        <v>0</v>
      </c>
      <c r="I662">
        <f>$C662*VLOOKUP($B662,FoodDB!$A$2:$I$1011,8,0)</f>
        <v>0</v>
      </c>
      <c r="J662">
        <f>$C662*VLOOKUP($B662,FoodDB!$A$2:$I$1011,9,0)</f>
        <v>0</v>
      </c>
    </row>
    <row r="663" spans="1:19" x14ac:dyDescent="0.25">
      <c r="B663" s="94" t="s">
        <v>107</v>
      </c>
      <c r="C663" s="95">
        <v>0</v>
      </c>
      <c r="D663">
        <f>$C663*VLOOKUP($B663,FoodDB!$A$2:$I$1011,3,0)</f>
        <v>0</v>
      </c>
      <c r="E663">
        <f>$C663*VLOOKUP($B663,FoodDB!$A$2:$I$1011,4,0)</f>
        <v>0</v>
      </c>
      <c r="F663">
        <f>$C663*VLOOKUP($B663,FoodDB!$A$2:$I$1011,5,0)</f>
        <v>0</v>
      </c>
      <c r="G663">
        <f>$C663*VLOOKUP($B663,FoodDB!$A$2:$I$1011,6,0)</f>
        <v>0</v>
      </c>
      <c r="H663">
        <f>$C663*VLOOKUP($B663,FoodDB!$A$2:$I$1011,7,0)</f>
        <v>0</v>
      </c>
      <c r="I663">
        <f>$C663*VLOOKUP($B663,FoodDB!$A$2:$I$1011,8,0)</f>
        <v>0</v>
      </c>
      <c r="J663">
        <f>$C663*VLOOKUP($B663,FoodDB!$A$2:$I$1011,9,0)</f>
        <v>0</v>
      </c>
    </row>
    <row r="664" spans="1:19" x14ac:dyDescent="0.25">
      <c r="B664" s="94" t="s">
        <v>107</v>
      </c>
      <c r="C664" s="95">
        <v>0</v>
      </c>
      <c r="D664">
        <f>$C664*VLOOKUP($B664,FoodDB!$A$2:$I$1011,3,0)</f>
        <v>0</v>
      </c>
      <c r="E664">
        <f>$C664*VLOOKUP($B664,FoodDB!$A$2:$I$1011,4,0)</f>
        <v>0</v>
      </c>
      <c r="F664">
        <f>$C664*VLOOKUP($B664,FoodDB!$A$2:$I$1011,5,0)</f>
        <v>0</v>
      </c>
      <c r="G664">
        <f>$C664*VLOOKUP($B664,FoodDB!$A$2:$I$1011,6,0)</f>
        <v>0</v>
      </c>
      <c r="H664">
        <f>$C664*VLOOKUP($B664,FoodDB!$A$2:$I$1011,7,0)</f>
        <v>0</v>
      </c>
      <c r="I664">
        <f>$C664*VLOOKUP($B664,FoodDB!$A$2:$I$1011,8,0)</f>
        <v>0</v>
      </c>
      <c r="J664">
        <f>$C664*VLOOKUP($B664,FoodDB!$A$2:$I$1011,9,0)</f>
        <v>0</v>
      </c>
    </row>
    <row r="665" spans="1:19" x14ac:dyDescent="0.25">
      <c r="B665" s="94" t="s">
        <v>107</v>
      </c>
      <c r="C665" s="95">
        <v>0</v>
      </c>
      <c r="D665">
        <f>$C665*VLOOKUP($B665,FoodDB!$A$2:$I$1011,3,0)</f>
        <v>0</v>
      </c>
      <c r="E665">
        <f>$C665*VLOOKUP($B665,FoodDB!$A$2:$I$1011,4,0)</f>
        <v>0</v>
      </c>
      <c r="F665">
        <f>$C665*VLOOKUP($B665,FoodDB!$A$2:$I$1011,5,0)</f>
        <v>0</v>
      </c>
      <c r="G665">
        <f>$C665*VLOOKUP($B665,FoodDB!$A$2:$I$1011,6,0)</f>
        <v>0</v>
      </c>
      <c r="H665">
        <f>$C665*VLOOKUP($B665,FoodDB!$A$2:$I$1011,7,0)</f>
        <v>0</v>
      </c>
      <c r="I665">
        <f>$C665*VLOOKUP($B665,FoodDB!$A$2:$I$1011,8,0)</f>
        <v>0</v>
      </c>
      <c r="J665">
        <f>$C665*VLOOKUP($B665,FoodDB!$A$2:$I$1011,9,0)</f>
        <v>0</v>
      </c>
    </row>
    <row r="666" spans="1:19" x14ac:dyDescent="0.25">
      <c r="B666" s="94" t="s">
        <v>107</v>
      </c>
      <c r="C666" s="95">
        <v>0</v>
      </c>
      <c r="D666">
        <f>$C666*VLOOKUP($B666,FoodDB!$A$2:$I$1011,3,0)</f>
        <v>0</v>
      </c>
      <c r="E666">
        <f>$C666*VLOOKUP($B666,FoodDB!$A$2:$I$1011,4,0)</f>
        <v>0</v>
      </c>
      <c r="F666">
        <f>$C666*VLOOKUP($B666,FoodDB!$A$2:$I$1011,5,0)</f>
        <v>0</v>
      </c>
      <c r="G666">
        <f>$C666*VLOOKUP($B666,FoodDB!$A$2:$I$1011,6,0)</f>
        <v>0</v>
      </c>
      <c r="H666">
        <f>$C666*VLOOKUP($B666,FoodDB!$A$2:$I$1011,7,0)</f>
        <v>0</v>
      </c>
      <c r="I666">
        <f>$C666*VLOOKUP($B666,FoodDB!$A$2:$I$1011,8,0)</f>
        <v>0</v>
      </c>
      <c r="J666">
        <f>$C666*VLOOKUP($B666,FoodDB!$A$2:$I$1011,9,0)</f>
        <v>0</v>
      </c>
    </row>
    <row r="667" spans="1:19" x14ac:dyDescent="0.25">
      <c r="A667" t="s">
        <v>97</v>
      </c>
      <c r="G667">
        <f>SUM(G660:G666)</f>
        <v>0</v>
      </c>
      <c r="H667">
        <f>SUM(H660:H666)</f>
        <v>0</v>
      </c>
      <c r="I667">
        <f>SUM(I660:I666)</f>
        <v>0</v>
      </c>
      <c r="J667">
        <f>SUM(G667:I667)</f>
        <v>0</v>
      </c>
    </row>
    <row r="668" spans="1:19" x14ac:dyDescent="0.25">
      <c r="A668" t="s">
        <v>101</v>
      </c>
      <c r="B668" t="s">
        <v>102</v>
      </c>
      <c r="E668" s="98"/>
      <c r="F668" s="98"/>
      <c r="G668" s="98">
        <f>VLOOKUP($A660,LossChart!$A$3:$AB$105,14,0)</f>
        <v>722.26814825482529</v>
      </c>
      <c r="H668" s="98">
        <f>VLOOKUP($A660,LossChart!$A$3:$AB$105,15,0)</f>
        <v>80</v>
      </c>
      <c r="I668" s="98">
        <f>VLOOKUP($A660,LossChart!$A$3:$AB$105,16,0)</f>
        <v>482.47465271142238</v>
      </c>
      <c r="J668" s="98">
        <f>VLOOKUP($A660,LossChart!$A$3:$AB$105,17,0)</f>
        <v>1284.7428009662476</v>
      </c>
      <c r="K668" s="98"/>
    </row>
    <row r="669" spans="1:19" x14ac:dyDescent="0.25">
      <c r="A669" t="s">
        <v>103</v>
      </c>
      <c r="G669">
        <f>G668-G667</f>
        <v>722.26814825482529</v>
      </c>
      <c r="H669">
        <f>H668-H667</f>
        <v>80</v>
      </c>
      <c r="I669">
        <f>I668-I667</f>
        <v>482.47465271142238</v>
      </c>
      <c r="J669">
        <f>J668-J667</f>
        <v>1284.7428009662476</v>
      </c>
    </row>
    <row r="671" spans="1:19" ht="60" x14ac:dyDescent="0.25">
      <c r="A671" s="21" t="s">
        <v>63</v>
      </c>
      <c r="B671" s="21" t="s">
        <v>92</v>
      </c>
      <c r="C671" s="21" t="s">
        <v>93</v>
      </c>
      <c r="D671" s="92" t="str">
        <f>FoodDB!$C$1</f>
        <v>Fat
(g)</v>
      </c>
      <c r="E671" s="92" t="str">
        <f>FoodDB!$D$1</f>
        <v xml:space="preserve"> Carbs
(g)</v>
      </c>
      <c r="F671" s="92" t="str">
        <f>FoodDB!$E$1</f>
        <v>Protein
(g)</v>
      </c>
      <c r="G671" s="92" t="str">
        <f>FoodDB!$F$1</f>
        <v>Fat
(Cal)</v>
      </c>
      <c r="H671" s="92" t="str">
        <f>FoodDB!$G$1</f>
        <v>Carb
(Cal)</v>
      </c>
      <c r="I671" s="92" t="str">
        <f>FoodDB!$H$1</f>
        <v>Protein
(Cal)</v>
      </c>
      <c r="J671" s="92" t="str">
        <f>FoodDB!$I$1</f>
        <v>Total
Calories</v>
      </c>
      <c r="K671" s="92"/>
      <c r="L671" s="92" t="s">
        <v>109</v>
      </c>
      <c r="M671" s="92" t="s">
        <v>110</v>
      </c>
      <c r="N671" s="92" t="s">
        <v>111</v>
      </c>
      <c r="O671" s="92" t="s">
        <v>112</v>
      </c>
      <c r="P671" s="92" t="s">
        <v>117</v>
      </c>
      <c r="Q671" s="92" t="s">
        <v>118</v>
      </c>
      <c r="R671" s="92" t="s">
        <v>119</v>
      </c>
      <c r="S671" s="92" t="s">
        <v>120</v>
      </c>
    </row>
    <row r="672" spans="1:19" x14ac:dyDescent="0.25">
      <c r="A672" s="93">
        <f>A660+1</f>
        <v>43050</v>
      </c>
      <c r="B672" s="94" t="s">
        <v>107</v>
      </c>
      <c r="C672" s="95">
        <v>0</v>
      </c>
      <c r="D672">
        <f>$C672*VLOOKUP($B672,FoodDB!$A$2:$I$1011,3,0)</f>
        <v>0</v>
      </c>
      <c r="E672">
        <f>$C672*VLOOKUP($B672,FoodDB!$A$2:$I$1011,4,0)</f>
        <v>0</v>
      </c>
      <c r="F672">
        <f>$C672*VLOOKUP($B672,FoodDB!$A$2:$I$1011,5,0)</f>
        <v>0</v>
      </c>
      <c r="G672">
        <f>$C672*VLOOKUP($B672,FoodDB!$A$2:$I$1011,6,0)</f>
        <v>0</v>
      </c>
      <c r="H672">
        <f>$C672*VLOOKUP($B672,FoodDB!$A$2:$I$1011,7,0)</f>
        <v>0</v>
      </c>
      <c r="I672">
        <f>$C672*VLOOKUP($B672,FoodDB!$A$2:$I$1011,8,0)</f>
        <v>0</v>
      </c>
      <c r="J672">
        <f>$C672*VLOOKUP($B672,FoodDB!$A$2:$I$1011,9,0)</f>
        <v>0</v>
      </c>
      <c r="L672">
        <f>SUM(G672:G678)</f>
        <v>0</v>
      </c>
      <c r="M672">
        <f>SUM(H672:H678)</f>
        <v>0</v>
      </c>
      <c r="N672">
        <f>SUM(I672:I678)</f>
        <v>0</v>
      </c>
      <c r="O672">
        <f>SUM(L672:N672)</f>
        <v>0</v>
      </c>
      <c r="P672" s="98">
        <f>VLOOKUP($A672,LossChart!$A$3:$AB$105,14,0)-L672</f>
        <v>727.50564410306492</v>
      </c>
      <c r="Q672" s="98">
        <f>VLOOKUP($A672,LossChart!$A$3:$AB$105,15,0)-M672</f>
        <v>80</v>
      </c>
      <c r="R672" s="98">
        <f>VLOOKUP($A672,LossChart!$A$3:$AB$105,16,0)-N672</f>
        <v>482.47465271142238</v>
      </c>
      <c r="S672" s="98">
        <f>VLOOKUP($A672,LossChart!$A$3:$AB$105,17,0)-O672</f>
        <v>1289.9802968144872</v>
      </c>
    </row>
    <row r="673" spans="1:19" x14ac:dyDescent="0.25">
      <c r="B673" s="94" t="s">
        <v>107</v>
      </c>
      <c r="C673" s="95">
        <v>0</v>
      </c>
      <c r="D673">
        <f>$C673*VLOOKUP($B673,FoodDB!$A$2:$I$1011,3,0)</f>
        <v>0</v>
      </c>
      <c r="E673">
        <f>$C673*VLOOKUP($B673,FoodDB!$A$2:$I$1011,4,0)</f>
        <v>0</v>
      </c>
      <c r="F673">
        <f>$C673*VLOOKUP($B673,FoodDB!$A$2:$I$1011,5,0)</f>
        <v>0</v>
      </c>
      <c r="G673">
        <f>$C673*VLOOKUP($B673,FoodDB!$A$2:$I$1011,6,0)</f>
        <v>0</v>
      </c>
      <c r="H673">
        <f>$C673*VLOOKUP($B673,FoodDB!$A$2:$I$1011,7,0)</f>
        <v>0</v>
      </c>
      <c r="I673">
        <f>$C673*VLOOKUP($B673,FoodDB!$A$2:$I$1011,8,0)</f>
        <v>0</v>
      </c>
      <c r="J673">
        <f>$C673*VLOOKUP($B673,FoodDB!$A$2:$I$1011,9,0)</f>
        <v>0</v>
      </c>
    </row>
    <row r="674" spans="1:19" x14ac:dyDescent="0.25">
      <c r="B674" s="94" t="s">
        <v>107</v>
      </c>
      <c r="C674" s="95">
        <v>0</v>
      </c>
      <c r="D674">
        <f>$C674*VLOOKUP($B674,FoodDB!$A$2:$I$1011,3,0)</f>
        <v>0</v>
      </c>
      <c r="E674">
        <f>$C674*VLOOKUP($B674,FoodDB!$A$2:$I$1011,4,0)</f>
        <v>0</v>
      </c>
      <c r="F674">
        <f>$C674*VLOOKUP($B674,FoodDB!$A$2:$I$1011,5,0)</f>
        <v>0</v>
      </c>
      <c r="G674">
        <f>$C674*VLOOKUP($B674,FoodDB!$A$2:$I$1011,6,0)</f>
        <v>0</v>
      </c>
      <c r="H674">
        <f>$C674*VLOOKUP($B674,FoodDB!$A$2:$I$1011,7,0)</f>
        <v>0</v>
      </c>
      <c r="I674">
        <f>$C674*VLOOKUP($B674,FoodDB!$A$2:$I$1011,8,0)</f>
        <v>0</v>
      </c>
      <c r="J674">
        <f>$C674*VLOOKUP($B674,FoodDB!$A$2:$I$1011,9,0)</f>
        <v>0</v>
      </c>
    </row>
    <row r="675" spans="1:19" x14ac:dyDescent="0.25">
      <c r="B675" s="94" t="s">
        <v>107</v>
      </c>
      <c r="C675" s="95">
        <v>0</v>
      </c>
      <c r="D675">
        <f>$C675*VLOOKUP($B675,FoodDB!$A$2:$I$1011,3,0)</f>
        <v>0</v>
      </c>
      <c r="E675">
        <f>$C675*VLOOKUP($B675,FoodDB!$A$2:$I$1011,4,0)</f>
        <v>0</v>
      </c>
      <c r="F675">
        <f>$C675*VLOOKUP($B675,FoodDB!$A$2:$I$1011,5,0)</f>
        <v>0</v>
      </c>
      <c r="G675">
        <f>$C675*VLOOKUP($B675,FoodDB!$A$2:$I$1011,6,0)</f>
        <v>0</v>
      </c>
      <c r="H675">
        <f>$C675*VLOOKUP($B675,FoodDB!$A$2:$I$1011,7,0)</f>
        <v>0</v>
      </c>
      <c r="I675">
        <f>$C675*VLOOKUP($B675,FoodDB!$A$2:$I$1011,8,0)</f>
        <v>0</v>
      </c>
      <c r="J675">
        <f>$C675*VLOOKUP($B675,FoodDB!$A$2:$I$1011,9,0)</f>
        <v>0</v>
      </c>
    </row>
    <row r="676" spans="1:19" x14ac:dyDescent="0.25">
      <c r="B676" s="94" t="s">
        <v>107</v>
      </c>
      <c r="C676" s="95">
        <v>0</v>
      </c>
      <c r="D676">
        <f>$C676*VLOOKUP($B676,FoodDB!$A$2:$I$1011,3,0)</f>
        <v>0</v>
      </c>
      <c r="E676">
        <f>$C676*VLOOKUP($B676,FoodDB!$A$2:$I$1011,4,0)</f>
        <v>0</v>
      </c>
      <c r="F676">
        <f>$C676*VLOOKUP($B676,FoodDB!$A$2:$I$1011,5,0)</f>
        <v>0</v>
      </c>
      <c r="G676">
        <f>$C676*VLOOKUP($B676,FoodDB!$A$2:$I$1011,6,0)</f>
        <v>0</v>
      </c>
      <c r="H676">
        <f>$C676*VLOOKUP($B676,FoodDB!$A$2:$I$1011,7,0)</f>
        <v>0</v>
      </c>
      <c r="I676">
        <f>$C676*VLOOKUP($B676,FoodDB!$A$2:$I$1011,8,0)</f>
        <v>0</v>
      </c>
      <c r="J676">
        <f>$C676*VLOOKUP($B676,FoodDB!$A$2:$I$1011,9,0)</f>
        <v>0</v>
      </c>
    </row>
    <row r="677" spans="1:19" x14ac:dyDescent="0.25">
      <c r="B677" s="94" t="s">
        <v>107</v>
      </c>
      <c r="C677" s="95">
        <v>0</v>
      </c>
      <c r="D677">
        <f>$C677*VLOOKUP($B677,FoodDB!$A$2:$I$1011,3,0)</f>
        <v>0</v>
      </c>
      <c r="E677">
        <f>$C677*VLOOKUP($B677,FoodDB!$A$2:$I$1011,4,0)</f>
        <v>0</v>
      </c>
      <c r="F677">
        <f>$C677*VLOOKUP($B677,FoodDB!$A$2:$I$1011,5,0)</f>
        <v>0</v>
      </c>
      <c r="G677">
        <f>$C677*VLOOKUP($B677,FoodDB!$A$2:$I$1011,6,0)</f>
        <v>0</v>
      </c>
      <c r="H677">
        <f>$C677*VLOOKUP($B677,FoodDB!$A$2:$I$1011,7,0)</f>
        <v>0</v>
      </c>
      <c r="I677">
        <f>$C677*VLOOKUP($B677,FoodDB!$A$2:$I$1011,8,0)</f>
        <v>0</v>
      </c>
      <c r="J677">
        <f>$C677*VLOOKUP($B677,FoodDB!$A$2:$I$1011,9,0)</f>
        <v>0</v>
      </c>
    </row>
    <row r="678" spans="1:19" x14ac:dyDescent="0.25">
      <c r="B678" s="94" t="s">
        <v>107</v>
      </c>
      <c r="C678" s="95">
        <v>0</v>
      </c>
      <c r="D678">
        <f>$C678*VLOOKUP($B678,FoodDB!$A$2:$I$1011,3,0)</f>
        <v>0</v>
      </c>
      <c r="E678">
        <f>$C678*VLOOKUP($B678,FoodDB!$A$2:$I$1011,4,0)</f>
        <v>0</v>
      </c>
      <c r="F678">
        <f>$C678*VLOOKUP($B678,FoodDB!$A$2:$I$1011,5,0)</f>
        <v>0</v>
      </c>
      <c r="G678">
        <f>$C678*VLOOKUP($B678,FoodDB!$A$2:$I$1011,6,0)</f>
        <v>0</v>
      </c>
      <c r="H678">
        <f>$C678*VLOOKUP($B678,FoodDB!$A$2:$I$1011,7,0)</f>
        <v>0</v>
      </c>
      <c r="I678">
        <f>$C678*VLOOKUP($B678,FoodDB!$A$2:$I$1011,8,0)</f>
        <v>0</v>
      </c>
      <c r="J678">
        <f>$C678*VLOOKUP($B678,FoodDB!$A$2:$I$1011,9,0)</f>
        <v>0</v>
      </c>
    </row>
    <row r="679" spans="1:19" x14ac:dyDescent="0.25">
      <c r="A679" t="s">
        <v>97</v>
      </c>
      <c r="G679">
        <f>SUM(G672:G678)</f>
        <v>0</v>
      </c>
      <c r="H679">
        <f>SUM(H672:H678)</f>
        <v>0</v>
      </c>
      <c r="I679">
        <f>SUM(I672:I678)</f>
        <v>0</v>
      </c>
      <c r="J679">
        <f>SUM(G679:I679)</f>
        <v>0</v>
      </c>
    </row>
    <row r="680" spans="1:19" x14ac:dyDescent="0.25">
      <c r="A680" t="s">
        <v>101</v>
      </c>
      <c r="B680" t="s">
        <v>102</v>
      </c>
      <c r="E680" s="98"/>
      <c r="F680" s="98"/>
      <c r="G680" s="98">
        <f>VLOOKUP($A672,LossChart!$A$3:$AB$105,14,0)</f>
        <v>727.50564410306492</v>
      </c>
      <c r="H680" s="98">
        <f>VLOOKUP($A672,LossChart!$A$3:$AB$105,15,0)</f>
        <v>80</v>
      </c>
      <c r="I680" s="98">
        <f>VLOOKUP($A672,LossChart!$A$3:$AB$105,16,0)</f>
        <v>482.47465271142238</v>
      </c>
      <c r="J680" s="98">
        <f>VLOOKUP($A672,LossChart!$A$3:$AB$105,17,0)</f>
        <v>1289.9802968144872</v>
      </c>
      <c r="K680" s="98"/>
    </row>
    <row r="681" spans="1:19" x14ac:dyDescent="0.25">
      <c r="A681" t="s">
        <v>103</v>
      </c>
      <c r="G681">
        <f>G680-G679</f>
        <v>727.50564410306492</v>
      </c>
      <c r="H681">
        <f>H680-H679</f>
        <v>80</v>
      </c>
      <c r="I681">
        <f>I680-I679</f>
        <v>482.47465271142238</v>
      </c>
      <c r="J681">
        <f>J680-J679</f>
        <v>1289.9802968144872</v>
      </c>
    </row>
    <row r="683" spans="1:19" ht="60" x14ac:dyDescent="0.25">
      <c r="A683" s="21" t="s">
        <v>63</v>
      </c>
      <c r="B683" s="21" t="s">
        <v>92</v>
      </c>
      <c r="C683" s="21" t="s">
        <v>93</v>
      </c>
      <c r="D683" s="92" t="str">
        <f>FoodDB!$C$1</f>
        <v>Fat
(g)</v>
      </c>
      <c r="E683" s="92" t="str">
        <f>FoodDB!$D$1</f>
        <v xml:space="preserve"> Carbs
(g)</v>
      </c>
      <c r="F683" s="92" t="str">
        <f>FoodDB!$E$1</f>
        <v>Protein
(g)</v>
      </c>
      <c r="G683" s="92" t="str">
        <f>FoodDB!$F$1</f>
        <v>Fat
(Cal)</v>
      </c>
      <c r="H683" s="92" t="str">
        <f>FoodDB!$G$1</f>
        <v>Carb
(Cal)</v>
      </c>
      <c r="I683" s="92" t="str">
        <f>FoodDB!$H$1</f>
        <v>Protein
(Cal)</v>
      </c>
      <c r="J683" s="92" t="str">
        <f>FoodDB!$I$1</f>
        <v>Total
Calories</v>
      </c>
      <c r="K683" s="92"/>
      <c r="L683" s="92" t="s">
        <v>109</v>
      </c>
      <c r="M683" s="92" t="s">
        <v>110</v>
      </c>
      <c r="N683" s="92" t="s">
        <v>111</v>
      </c>
      <c r="O683" s="92" t="s">
        <v>112</v>
      </c>
      <c r="P683" s="92" t="s">
        <v>117</v>
      </c>
      <c r="Q683" s="92" t="s">
        <v>118</v>
      </c>
      <c r="R683" s="92" t="s">
        <v>119</v>
      </c>
      <c r="S683" s="92" t="s">
        <v>120</v>
      </c>
    </row>
    <row r="684" spans="1:19" x14ac:dyDescent="0.25">
      <c r="A684" s="93">
        <f>A672+1</f>
        <v>43051</v>
      </c>
      <c r="B684" s="94" t="s">
        <v>107</v>
      </c>
      <c r="C684" s="95">
        <v>0</v>
      </c>
      <c r="D684">
        <f>$C684*VLOOKUP($B684,FoodDB!$A$2:$I$1011,3,0)</f>
        <v>0</v>
      </c>
      <c r="E684">
        <f>$C684*VLOOKUP($B684,FoodDB!$A$2:$I$1011,4,0)</f>
        <v>0</v>
      </c>
      <c r="F684">
        <f>$C684*VLOOKUP($B684,FoodDB!$A$2:$I$1011,5,0)</f>
        <v>0</v>
      </c>
      <c r="G684">
        <f>$C684*VLOOKUP($B684,FoodDB!$A$2:$I$1011,6,0)</f>
        <v>0</v>
      </c>
      <c r="H684">
        <f>$C684*VLOOKUP($B684,FoodDB!$A$2:$I$1011,7,0)</f>
        <v>0</v>
      </c>
      <c r="I684">
        <f>$C684*VLOOKUP($B684,FoodDB!$A$2:$I$1011,8,0)</f>
        <v>0</v>
      </c>
      <c r="J684">
        <f>$C684*VLOOKUP($B684,FoodDB!$A$2:$I$1011,9,0)</f>
        <v>0</v>
      </c>
      <c r="L684">
        <f>SUM(G684:G690)</f>
        <v>0</v>
      </c>
      <c r="M684">
        <f>SUM(H684:H690)</f>
        <v>0</v>
      </c>
      <c r="N684">
        <f>SUM(I684:I690)</f>
        <v>0</v>
      </c>
      <c r="O684">
        <f>SUM(L684:N684)</f>
        <v>0</v>
      </c>
      <c r="P684" s="98">
        <f>VLOOKUP($A684,LossChart!$A$3:$AB$105,14,0)-L684</f>
        <v>732.69675070236303</v>
      </c>
      <c r="Q684" s="98">
        <f>VLOOKUP($A684,LossChart!$A$3:$AB$105,15,0)-M684</f>
        <v>80</v>
      </c>
      <c r="R684" s="98">
        <f>VLOOKUP($A684,LossChart!$A$3:$AB$105,16,0)-N684</f>
        <v>482.47465271142238</v>
      </c>
      <c r="S684" s="98">
        <f>VLOOKUP($A684,LossChart!$A$3:$AB$105,17,0)-O684</f>
        <v>1295.1714034137854</v>
      </c>
    </row>
    <row r="685" spans="1:19" x14ac:dyDescent="0.25">
      <c r="B685" s="94" t="s">
        <v>107</v>
      </c>
      <c r="C685" s="95">
        <v>0</v>
      </c>
      <c r="D685">
        <f>$C685*VLOOKUP($B685,FoodDB!$A$2:$I$1011,3,0)</f>
        <v>0</v>
      </c>
      <c r="E685">
        <f>$C685*VLOOKUP($B685,FoodDB!$A$2:$I$1011,4,0)</f>
        <v>0</v>
      </c>
      <c r="F685">
        <f>$C685*VLOOKUP($B685,FoodDB!$A$2:$I$1011,5,0)</f>
        <v>0</v>
      </c>
      <c r="G685">
        <f>$C685*VLOOKUP($B685,FoodDB!$A$2:$I$1011,6,0)</f>
        <v>0</v>
      </c>
      <c r="H685">
        <f>$C685*VLOOKUP($B685,FoodDB!$A$2:$I$1011,7,0)</f>
        <v>0</v>
      </c>
      <c r="I685">
        <f>$C685*VLOOKUP($B685,FoodDB!$A$2:$I$1011,8,0)</f>
        <v>0</v>
      </c>
      <c r="J685">
        <f>$C685*VLOOKUP($B685,FoodDB!$A$2:$I$1011,9,0)</f>
        <v>0</v>
      </c>
    </row>
    <row r="686" spans="1:19" x14ac:dyDescent="0.25">
      <c r="B686" s="94" t="s">
        <v>107</v>
      </c>
      <c r="C686" s="95">
        <v>0</v>
      </c>
      <c r="D686">
        <f>$C686*VLOOKUP($B686,FoodDB!$A$2:$I$1011,3,0)</f>
        <v>0</v>
      </c>
      <c r="E686">
        <f>$C686*VLOOKUP($B686,FoodDB!$A$2:$I$1011,4,0)</f>
        <v>0</v>
      </c>
      <c r="F686">
        <f>$C686*VLOOKUP($B686,FoodDB!$A$2:$I$1011,5,0)</f>
        <v>0</v>
      </c>
      <c r="G686">
        <f>$C686*VLOOKUP($B686,FoodDB!$A$2:$I$1011,6,0)</f>
        <v>0</v>
      </c>
      <c r="H686">
        <f>$C686*VLOOKUP($B686,FoodDB!$A$2:$I$1011,7,0)</f>
        <v>0</v>
      </c>
      <c r="I686">
        <f>$C686*VLOOKUP($B686,FoodDB!$A$2:$I$1011,8,0)</f>
        <v>0</v>
      </c>
      <c r="J686">
        <f>$C686*VLOOKUP($B686,FoodDB!$A$2:$I$1011,9,0)</f>
        <v>0</v>
      </c>
    </row>
    <row r="687" spans="1:19" x14ac:dyDescent="0.25">
      <c r="B687" s="94" t="s">
        <v>107</v>
      </c>
      <c r="C687" s="95">
        <v>0</v>
      </c>
      <c r="D687">
        <f>$C687*VLOOKUP($B687,FoodDB!$A$2:$I$1011,3,0)</f>
        <v>0</v>
      </c>
      <c r="E687">
        <f>$C687*VLOOKUP($B687,FoodDB!$A$2:$I$1011,4,0)</f>
        <v>0</v>
      </c>
      <c r="F687">
        <f>$C687*VLOOKUP($B687,FoodDB!$A$2:$I$1011,5,0)</f>
        <v>0</v>
      </c>
      <c r="G687">
        <f>$C687*VLOOKUP($B687,FoodDB!$A$2:$I$1011,6,0)</f>
        <v>0</v>
      </c>
      <c r="H687">
        <f>$C687*VLOOKUP($B687,FoodDB!$A$2:$I$1011,7,0)</f>
        <v>0</v>
      </c>
      <c r="I687">
        <f>$C687*VLOOKUP($B687,FoodDB!$A$2:$I$1011,8,0)</f>
        <v>0</v>
      </c>
      <c r="J687">
        <f>$C687*VLOOKUP($B687,FoodDB!$A$2:$I$1011,9,0)</f>
        <v>0</v>
      </c>
    </row>
    <row r="688" spans="1:19" x14ac:dyDescent="0.25">
      <c r="B688" s="94" t="s">
        <v>107</v>
      </c>
      <c r="C688" s="95">
        <v>0</v>
      </c>
      <c r="D688">
        <f>$C688*VLOOKUP($B688,FoodDB!$A$2:$I$1011,3,0)</f>
        <v>0</v>
      </c>
      <c r="E688">
        <f>$C688*VLOOKUP($B688,FoodDB!$A$2:$I$1011,4,0)</f>
        <v>0</v>
      </c>
      <c r="F688">
        <f>$C688*VLOOKUP($B688,FoodDB!$A$2:$I$1011,5,0)</f>
        <v>0</v>
      </c>
      <c r="G688">
        <f>$C688*VLOOKUP($B688,FoodDB!$A$2:$I$1011,6,0)</f>
        <v>0</v>
      </c>
      <c r="H688">
        <f>$C688*VLOOKUP($B688,FoodDB!$A$2:$I$1011,7,0)</f>
        <v>0</v>
      </c>
      <c r="I688">
        <f>$C688*VLOOKUP($B688,FoodDB!$A$2:$I$1011,8,0)</f>
        <v>0</v>
      </c>
      <c r="J688">
        <f>$C688*VLOOKUP($B688,FoodDB!$A$2:$I$1011,9,0)</f>
        <v>0</v>
      </c>
    </row>
    <row r="689" spans="1:19" x14ac:dyDescent="0.25">
      <c r="B689" s="94" t="s">
        <v>107</v>
      </c>
      <c r="C689" s="95">
        <v>0</v>
      </c>
      <c r="D689">
        <f>$C689*VLOOKUP($B689,FoodDB!$A$2:$I$1011,3,0)</f>
        <v>0</v>
      </c>
      <c r="E689">
        <f>$C689*VLOOKUP($B689,FoodDB!$A$2:$I$1011,4,0)</f>
        <v>0</v>
      </c>
      <c r="F689">
        <f>$C689*VLOOKUP($B689,FoodDB!$A$2:$I$1011,5,0)</f>
        <v>0</v>
      </c>
      <c r="G689">
        <f>$C689*VLOOKUP($B689,FoodDB!$A$2:$I$1011,6,0)</f>
        <v>0</v>
      </c>
      <c r="H689">
        <f>$C689*VLOOKUP($B689,FoodDB!$A$2:$I$1011,7,0)</f>
        <v>0</v>
      </c>
      <c r="I689">
        <f>$C689*VLOOKUP($B689,FoodDB!$A$2:$I$1011,8,0)</f>
        <v>0</v>
      </c>
      <c r="J689">
        <f>$C689*VLOOKUP($B689,FoodDB!$A$2:$I$1011,9,0)</f>
        <v>0</v>
      </c>
    </row>
    <row r="690" spans="1:19" x14ac:dyDescent="0.25">
      <c r="B690" s="94" t="s">
        <v>107</v>
      </c>
      <c r="C690" s="95">
        <v>0</v>
      </c>
      <c r="D690">
        <f>$C690*VLOOKUP($B690,FoodDB!$A$2:$I$1011,3,0)</f>
        <v>0</v>
      </c>
      <c r="E690">
        <f>$C690*VLOOKUP($B690,FoodDB!$A$2:$I$1011,4,0)</f>
        <v>0</v>
      </c>
      <c r="F690">
        <f>$C690*VLOOKUP($B690,FoodDB!$A$2:$I$1011,5,0)</f>
        <v>0</v>
      </c>
      <c r="G690">
        <f>$C690*VLOOKUP($B690,FoodDB!$A$2:$I$1011,6,0)</f>
        <v>0</v>
      </c>
      <c r="H690">
        <f>$C690*VLOOKUP($B690,FoodDB!$A$2:$I$1011,7,0)</f>
        <v>0</v>
      </c>
      <c r="I690">
        <f>$C690*VLOOKUP($B690,FoodDB!$A$2:$I$1011,8,0)</f>
        <v>0</v>
      </c>
      <c r="J690">
        <f>$C690*VLOOKUP($B690,FoodDB!$A$2:$I$1011,9,0)</f>
        <v>0</v>
      </c>
    </row>
    <row r="691" spans="1:19" x14ac:dyDescent="0.25">
      <c r="A691" t="s">
        <v>97</v>
      </c>
      <c r="G691">
        <f>SUM(G684:G690)</f>
        <v>0</v>
      </c>
      <c r="H691">
        <f>SUM(H684:H690)</f>
        <v>0</v>
      </c>
      <c r="I691">
        <f>SUM(I684:I690)</f>
        <v>0</v>
      </c>
      <c r="J691">
        <f>SUM(G691:I691)</f>
        <v>0</v>
      </c>
    </row>
    <row r="692" spans="1:19" x14ac:dyDescent="0.25">
      <c r="A692" t="s">
        <v>101</v>
      </c>
      <c r="B692" t="s">
        <v>102</v>
      </c>
      <c r="E692" s="98"/>
      <c r="F692" s="98"/>
      <c r="G692" s="98">
        <f>VLOOKUP($A684,LossChart!$A$3:$AB$105,14,0)</f>
        <v>732.69675070236303</v>
      </c>
      <c r="H692" s="98">
        <f>VLOOKUP($A684,LossChart!$A$3:$AB$105,15,0)</f>
        <v>80</v>
      </c>
      <c r="I692" s="98">
        <f>VLOOKUP($A684,LossChart!$A$3:$AB$105,16,0)</f>
        <v>482.47465271142238</v>
      </c>
      <c r="J692" s="98">
        <f>VLOOKUP($A684,LossChart!$A$3:$AB$105,17,0)</f>
        <v>1295.1714034137854</v>
      </c>
      <c r="K692" s="98"/>
    </row>
    <row r="693" spans="1:19" x14ac:dyDescent="0.25">
      <c r="A693" t="s">
        <v>103</v>
      </c>
      <c r="G693">
        <f>G692-G691</f>
        <v>732.69675070236303</v>
      </c>
      <c r="H693">
        <f>H692-H691</f>
        <v>80</v>
      </c>
      <c r="I693">
        <f>I692-I691</f>
        <v>482.47465271142238</v>
      </c>
      <c r="J693">
        <f>J692-J691</f>
        <v>1295.1714034137854</v>
      </c>
    </row>
    <row r="695" spans="1:19" ht="60" x14ac:dyDescent="0.25">
      <c r="A695" s="21" t="s">
        <v>63</v>
      </c>
      <c r="B695" s="21" t="s">
        <v>92</v>
      </c>
      <c r="C695" s="21" t="s">
        <v>93</v>
      </c>
      <c r="D695" s="92" t="str">
        <f>FoodDB!$C$1</f>
        <v>Fat
(g)</v>
      </c>
      <c r="E695" s="92" t="str">
        <f>FoodDB!$D$1</f>
        <v xml:space="preserve"> Carbs
(g)</v>
      </c>
      <c r="F695" s="92" t="str">
        <f>FoodDB!$E$1</f>
        <v>Protein
(g)</v>
      </c>
      <c r="G695" s="92" t="str">
        <f>FoodDB!$F$1</f>
        <v>Fat
(Cal)</v>
      </c>
      <c r="H695" s="92" t="str">
        <f>FoodDB!$G$1</f>
        <v>Carb
(Cal)</v>
      </c>
      <c r="I695" s="92" t="str">
        <f>FoodDB!$H$1</f>
        <v>Protein
(Cal)</v>
      </c>
      <c r="J695" s="92" t="str">
        <f>FoodDB!$I$1</f>
        <v>Total
Calories</v>
      </c>
      <c r="K695" s="92"/>
      <c r="L695" s="92" t="s">
        <v>109</v>
      </c>
      <c r="M695" s="92" t="s">
        <v>110</v>
      </c>
      <c r="N695" s="92" t="s">
        <v>111</v>
      </c>
      <c r="O695" s="92" t="s">
        <v>112</v>
      </c>
      <c r="P695" s="92" t="s">
        <v>117</v>
      </c>
      <c r="Q695" s="92" t="s">
        <v>118</v>
      </c>
      <c r="R695" s="92" t="s">
        <v>119</v>
      </c>
      <c r="S695" s="92" t="s">
        <v>120</v>
      </c>
    </row>
    <row r="696" spans="1:19" x14ac:dyDescent="0.25">
      <c r="A696" s="93">
        <f>A684+1</f>
        <v>43052</v>
      </c>
      <c r="B696" s="94" t="s">
        <v>107</v>
      </c>
      <c r="C696" s="95">
        <v>0</v>
      </c>
      <c r="D696">
        <f>$C696*VLOOKUP($B696,FoodDB!$A$2:$I$1011,3,0)</f>
        <v>0</v>
      </c>
      <c r="E696">
        <f>$C696*VLOOKUP($B696,FoodDB!$A$2:$I$1011,4,0)</f>
        <v>0</v>
      </c>
      <c r="F696">
        <f>$C696*VLOOKUP($B696,FoodDB!$A$2:$I$1011,5,0)</f>
        <v>0</v>
      </c>
      <c r="G696">
        <f>$C696*VLOOKUP($B696,FoodDB!$A$2:$I$1011,6,0)</f>
        <v>0</v>
      </c>
      <c r="H696">
        <f>$C696*VLOOKUP($B696,FoodDB!$A$2:$I$1011,7,0)</f>
        <v>0</v>
      </c>
      <c r="I696">
        <f>$C696*VLOOKUP($B696,FoodDB!$A$2:$I$1011,8,0)</f>
        <v>0</v>
      </c>
      <c r="J696">
        <f>$C696*VLOOKUP($B696,FoodDB!$A$2:$I$1011,9,0)</f>
        <v>0</v>
      </c>
      <c r="L696">
        <f>SUM(G696:G702)</f>
        <v>0</v>
      </c>
      <c r="M696">
        <f>SUM(H696:H702)</f>
        <v>0</v>
      </c>
      <c r="N696">
        <f>SUM(I696:I702)</f>
        <v>0</v>
      </c>
      <c r="O696">
        <f>SUM(L696:N696)</f>
        <v>0</v>
      </c>
      <c r="P696" s="98">
        <f>VLOOKUP($A696,LossChart!$A$3:$AB$105,14,0)-L696</f>
        <v>737.84187892892487</v>
      </c>
      <c r="Q696" s="98">
        <f>VLOOKUP($A696,LossChart!$A$3:$AB$105,15,0)-M696</f>
        <v>80</v>
      </c>
      <c r="R696" s="98">
        <f>VLOOKUP($A696,LossChart!$A$3:$AB$105,16,0)-N696</f>
        <v>482.47465271142238</v>
      </c>
      <c r="S696" s="98">
        <f>VLOOKUP($A696,LossChart!$A$3:$AB$105,17,0)-O696</f>
        <v>1300.3165316403472</v>
      </c>
    </row>
    <row r="697" spans="1:19" x14ac:dyDescent="0.25">
      <c r="B697" s="94" t="s">
        <v>107</v>
      </c>
      <c r="C697" s="95">
        <v>0</v>
      </c>
      <c r="D697">
        <f>$C697*VLOOKUP($B697,FoodDB!$A$2:$I$1011,3,0)</f>
        <v>0</v>
      </c>
      <c r="E697">
        <f>$C697*VLOOKUP($B697,FoodDB!$A$2:$I$1011,4,0)</f>
        <v>0</v>
      </c>
      <c r="F697">
        <f>$C697*VLOOKUP($B697,FoodDB!$A$2:$I$1011,5,0)</f>
        <v>0</v>
      </c>
      <c r="G697">
        <f>$C697*VLOOKUP($B697,FoodDB!$A$2:$I$1011,6,0)</f>
        <v>0</v>
      </c>
      <c r="H697">
        <f>$C697*VLOOKUP($B697,FoodDB!$A$2:$I$1011,7,0)</f>
        <v>0</v>
      </c>
      <c r="I697">
        <f>$C697*VLOOKUP($B697,FoodDB!$A$2:$I$1011,8,0)</f>
        <v>0</v>
      </c>
      <c r="J697">
        <f>$C697*VLOOKUP($B697,FoodDB!$A$2:$I$1011,9,0)</f>
        <v>0</v>
      </c>
    </row>
    <row r="698" spans="1:19" x14ac:dyDescent="0.25">
      <c r="B698" s="94" t="s">
        <v>107</v>
      </c>
      <c r="C698" s="95">
        <v>0</v>
      </c>
      <c r="D698">
        <f>$C698*VLOOKUP($B698,FoodDB!$A$2:$I$1011,3,0)</f>
        <v>0</v>
      </c>
      <c r="E698">
        <f>$C698*VLOOKUP($B698,FoodDB!$A$2:$I$1011,4,0)</f>
        <v>0</v>
      </c>
      <c r="F698">
        <f>$C698*VLOOKUP($B698,FoodDB!$A$2:$I$1011,5,0)</f>
        <v>0</v>
      </c>
      <c r="G698">
        <f>$C698*VLOOKUP($B698,FoodDB!$A$2:$I$1011,6,0)</f>
        <v>0</v>
      </c>
      <c r="H698">
        <f>$C698*VLOOKUP($B698,FoodDB!$A$2:$I$1011,7,0)</f>
        <v>0</v>
      </c>
      <c r="I698">
        <f>$C698*VLOOKUP($B698,FoodDB!$A$2:$I$1011,8,0)</f>
        <v>0</v>
      </c>
      <c r="J698">
        <f>$C698*VLOOKUP($B698,FoodDB!$A$2:$I$1011,9,0)</f>
        <v>0</v>
      </c>
    </row>
    <row r="699" spans="1:19" x14ac:dyDescent="0.25">
      <c r="B699" s="94" t="s">
        <v>107</v>
      </c>
      <c r="C699" s="95">
        <v>0</v>
      </c>
      <c r="D699">
        <f>$C699*VLOOKUP($B699,FoodDB!$A$2:$I$1011,3,0)</f>
        <v>0</v>
      </c>
      <c r="E699">
        <f>$C699*VLOOKUP($B699,FoodDB!$A$2:$I$1011,4,0)</f>
        <v>0</v>
      </c>
      <c r="F699">
        <f>$C699*VLOOKUP($B699,FoodDB!$A$2:$I$1011,5,0)</f>
        <v>0</v>
      </c>
      <c r="G699">
        <f>$C699*VLOOKUP($B699,FoodDB!$A$2:$I$1011,6,0)</f>
        <v>0</v>
      </c>
      <c r="H699">
        <f>$C699*VLOOKUP($B699,FoodDB!$A$2:$I$1011,7,0)</f>
        <v>0</v>
      </c>
      <c r="I699">
        <f>$C699*VLOOKUP($B699,FoodDB!$A$2:$I$1011,8,0)</f>
        <v>0</v>
      </c>
      <c r="J699">
        <f>$C699*VLOOKUP($B699,FoodDB!$A$2:$I$1011,9,0)</f>
        <v>0</v>
      </c>
    </row>
    <row r="700" spans="1:19" x14ac:dyDescent="0.25">
      <c r="B700" s="94" t="s">
        <v>107</v>
      </c>
      <c r="C700" s="95">
        <v>0</v>
      </c>
      <c r="D700">
        <f>$C700*VLOOKUP($B700,FoodDB!$A$2:$I$1011,3,0)</f>
        <v>0</v>
      </c>
      <c r="E700">
        <f>$C700*VLOOKUP($B700,FoodDB!$A$2:$I$1011,4,0)</f>
        <v>0</v>
      </c>
      <c r="F700">
        <f>$C700*VLOOKUP($B700,FoodDB!$A$2:$I$1011,5,0)</f>
        <v>0</v>
      </c>
      <c r="G700">
        <f>$C700*VLOOKUP($B700,FoodDB!$A$2:$I$1011,6,0)</f>
        <v>0</v>
      </c>
      <c r="H700">
        <f>$C700*VLOOKUP($B700,FoodDB!$A$2:$I$1011,7,0)</f>
        <v>0</v>
      </c>
      <c r="I700">
        <f>$C700*VLOOKUP($B700,FoodDB!$A$2:$I$1011,8,0)</f>
        <v>0</v>
      </c>
      <c r="J700">
        <f>$C700*VLOOKUP($B700,FoodDB!$A$2:$I$1011,9,0)</f>
        <v>0</v>
      </c>
    </row>
    <row r="701" spans="1:19" x14ac:dyDescent="0.25">
      <c r="B701" s="94" t="s">
        <v>107</v>
      </c>
      <c r="C701" s="95">
        <v>0</v>
      </c>
      <c r="D701">
        <f>$C701*VLOOKUP($B701,FoodDB!$A$2:$I$1011,3,0)</f>
        <v>0</v>
      </c>
      <c r="E701">
        <f>$C701*VLOOKUP($B701,FoodDB!$A$2:$I$1011,4,0)</f>
        <v>0</v>
      </c>
      <c r="F701">
        <f>$C701*VLOOKUP($B701,FoodDB!$A$2:$I$1011,5,0)</f>
        <v>0</v>
      </c>
      <c r="G701">
        <f>$C701*VLOOKUP($B701,FoodDB!$A$2:$I$1011,6,0)</f>
        <v>0</v>
      </c>
      <c r="H701">
        <f>$C701*VLOOKUP($B701,FoodDB!$A$2:$I$1011,7,0)</f>
        <v>0</v>
      </c>
      <c r="I701">
        <f>$C701*VLOOKUP($B701,FoodDB!$A$2:$I$1011,8,0)</f>
        <v>0</v>
      </c>
      <c r="J701">
        <f>$C701*VLOOKUP($B701,FoodDB!$A$2:$I$1011,9,0)</f>
        <v>0</v>
      </c>
    </row>
    <row r="702" spans="1:19" x14ac:dyDescent="0.25">
      <c r="B702" s="94" t="s">
        <v>107</v>
      </c>
      <c r="C702" s="95">
        <v>0</v>
      </c>
      <c r="D702">
        <f>$C702*VLOOKUP($B702,FoodDB!$A$2:$I$1011,3,0)</f>
        <v>0</v>
      </c>
      <c r="E702">
        <f>$C702*VLOOKUP($B702,FoodDB!$A$2:$I$1011,4,0)</f>
        <v>0</v>
      </c>
      <c r="F702">
        <f>$C702*VLOOKUP($B702,FoodDB!$A$2:$I$1011,5,0)</f>
        <v>0</v>
      </c>
      <c r="G702">
        <f>$C702*VLOOKUP($B702,FoodDB!$A$2:$I$1011,6,0)</f>
        <v>0</v>
      </c>
      <c r="H702">
        <f>$C702*VLOOKUP($B702,FoodDB!$A$2:$I$1011,7,0)</f>
        <v>0</v>
      </c>
      <c r="I702">
        <f>$C702*VLOOKUP($B702,FoodDB!$A$2:$I$1011,8,0)</f>
        <v>0</v>
      </c>
      <c r="J702">
        <f>$C702*VLOOKUP($B702,FoodDB!$A$2:$I$1011,9,0)</f>
        <v>0</v>
      </c>
    </row>
    <row r="703" spans="1:19" x14ac:dyDescent="0.25">
      <c r="A703" t="s">
        <v>97</v>
      </c>
      <c r="G703">
        <f>SUM(G696:G702)</f>
        <v>0</v>
      </c>
      <c r="H703">
        <f>SUM(H696:H702)</f>
        <v>0</v>
      </c>
      <c r="I703">
        <f>SUM(I696:I702)</f>
        <v>0</v>
      </c>
      <c r="J703">
        <f>SUM(G703:I703)</f>
        <v>0</v>
      </c>
    </row>
    <row r="704" spans="1:19" x14ac:dyDescent="0.25">
      <c r="A704" t="s">
        <v>101</v>
      </c>
      <c r="B704" t="s">
        <v>102</v>
      </c>
      <c r="E704" s="98"/>
      <c r="F704" s="98"/>
      <c r="G704" s="98">
        <f>VLOOKUP($A696,LossChart!$A$3:$AB$105,14,0)</f>
        <v>737.84187892892487</v>
      </c>
      <c r="H704" s="98">
        <f>VLOOKUP($A696,LossChart!$A$3:$AB$105,15,0)</f>
        <v>80</v>
      </c>
      <c r="I704" s="98">
        <f>VLOOKUP($A696,LossChart!$A$3:$AB$105,16,0)</f>
        <v>482.47465271142238</v>
      </c>
      <c r="J704" s="98">
        <f>VLOOKUP($A696,LossChart!$A$3:$AB$105,17,0)</f>
        <v>1300.3165316403472</v>
      </c>
      <c r="K704" s="98"/>
    </row>
    <row r="705" spans="1:19" x14ac:dyDescent="0.25">
      <c r="A705" t="s">
        <v>103</v>
      </c>
      <c r="G705">
        <f>G704-G703</f>
        <v>737.84187892892487</v>
      </c>
      <c r="H705">
        <f>H704-H703</f>
        <v>80</v>
      </c>
      <c r="I705">
        <f>I704-I703</f>
        <v>482.47465271142238</v>
      </c>
      <c r="J705">
        <f>J704-J703</f>
        <v>1300.3165316403472</v>
      </c>
    </row>
    <row r="707" spans="1:19" ht="60" x14ac:dyDescent="0.25">
      <c r="A707" s="21" t="s">
        <v>63</v>
      </c>
      <c r="B707" s="21" t="s">
        <v>92</v>
      </c>
      <c r="C707" s="21" t="s">
        <v>93</v>
      </c>
      <c r="D707" s="92" t="str">
        <f>FoodDB!$C$1</f>
        <v>Fat
(g)</v>
      </c>
      <c r="E707" s="92" t="str">
        <f>FoodDB!$D$1</f>
        <v xml:space="preserve"> Carbs
(g)</v>
      </c>
      <c r="F707" s="92" t="str">
        <f>FoodDB!$E$1</f>
        <v>Protein
(g)</v>
      </c>
      <c r="G707" s="92" t="str">
        <f>FoodDB!$F$1</f>
        <v>Fat
(Cal)</v>
      </c>
      <c r="H707" s="92" t="str">
        <f>FoodDB!$G$1</f>
        <v>Carb
(Cal)</v>
      </c>
      <c r="I707" s="92" t="str">
        <f>FoodDB!$H$1</f>
        <v>Protein
(Cal)</v>
      </c>
      <c r="J707" s="92" t="str">
        <f>FoodDB!$I$1</f>
        <v>Total
Calories</v>
      </c>
      <c r="K707" s="92"/>
      <c r="L707" s="92" t="s">
        <v>109</v>
      </c>
      <c r="M707" s="92" t="s">
        <v>110</v>
      </c>
      <c r="N707" s="92" t="s">
        <v>111</v>
      </c>
      <c r="O707" s="92" t="s">
        <v>112</v>
      </c>
      <c r="P707" s="92" t="s">
        <v>117</v>
      </c>
      <c r="Q707" s="92" t="s">
        <v>118</v>
      </c>
      <c r="R707" s="92" t="s">
        <v>119</v>
      </c>
      <c r="S707" s="92" t="s">
        <v>120</v>
      </c>
    </row>
    <row r="708" spans="1:19" x14ac:dyDescent="0.25">
      <c r="A708" s="93">
        <f>A696+1</f>
        <v>43053</v>
      </c>
      <c r="B708" s="94" t="s">
        <v>107</v>
      </c>
      <c r="C708" s="95">
        <v>0</v>
      </c>
      <c r="D708">
        <f>$C708*VLOOKUP($B708,FoodDB!$A$2:$I$1011,3,0)</f>
        <v>0</v>
      </c>
      <c r="E708">
        <f>$C708*VLOOKUP($B708,FoodDB!$A$2:$I$1011,4,0)</f>
        <v>0</v>
      </c>
      <c r="F708">
        <f>$C708*VLOOKUP($B708,FoodDB!$A$2:$I$1011,5,0)</f>
        <v>0</v>
      </c>
      <c r="G708">
        <f>$C708*VLOOKUP($B708,FoodDB!$A$2:$I$1011,6,0)</f>
        <v>0</v>
      </c>
      <c r="H708">
        <f>$C708*VLOOKUP($B708,FoodDB!$A$2:$I$1011,7,0)</f>
        <v>0</v>
      </c>
      <c r="I708">
        <f>$C708*VLOOKUP($B708,FoodDB!$A$2:$I$1011,8,0)</f>
        <v>0</v>
      </c>
      <c r="J708">
        <f>$C708*VLOOKUP($B708,FoodDB!$A$2:$I$1011,9,0)</f>
        <v>0</v>
      </c>
      <c r="L708">
        <f>SUM(G708:G714)</f>
        <v>0</v>
      </c>
      <c r="M708">
        <f>SUM(H708:H714)</f>
        <v>0</v>
      </c>
      <c r="N708">
        <f>SUM(I708:I714)</f>
        <v>0</v>
      </c>
      <c r="O708">
        <f>SUM(L708:N708)</f>
        <v>0</v>
      </c>
      <c r="P708" s="98">
        <f>VLOOKUP($A708,LossChart!$A$3:$AB$105,14,0)-L708</f>
        <v>742.94143601976566</v>
      </c>
      <c r="Q708" s="98">
        <f>VLOOKUP($A708,LossChart!$A$3:$AB$105,15,0)-M708</f>
        <v>80</v>
      </c>
      <c r="R708" s="98">
        <f>VLOOKUP($A708,LossChart!$A$3:$AB$105,16,0)-N708</f>
        <v>482.47465271142238</v>
      </c>
      <c r="S708" s="98">
        <f>VLOOKUP($A708,LossChart!$A$3:$AB$105,17,0)-O708</f>
        <v>1305.416088731188</v>
      </c>
    </row>
    <row r="709" spans="1:19" x14ac:dyDescent="0.25">
      <c r="B709" s="94" t="s">
        <v>107</v>
      </c>
      <c r="C709" s="95">
        <v>0</v>
      </c>
      <c r="D709">
        <f>$C709*VLOOKUP($B709,FoodDB!$A$2:$I$1011,3,0)</f>
        <v>0</v>
      </c>
      <c r="E709">
        <f>$C709*VLOOKUP($B709,FoodDB!$A$2:$I$1011,4,0)</f>
        <v>0</v>
      </c>
      <c r="F709">
        <f>$C709*VLOOKUP($B709,FoodDB!$A$2:$I$1011,5,0)</f>
        <v>0</v>
      </c>
      <c r="G709">
        <f>$C709*VLOOKUP($B709,FoodDB!$A$2:$I$1011,6,0)</f>
        <v>0</v>
      </c>
      <c r="H709">
        <f>$C709*VLOOKUP($B709,FoodDB!$A$2:$I$1011,7,0)</f>
        <v>0</v>
      </c>
      <c r="I709">
        <f>$C709*VLOOKUP($B709,FoodDB!$A$2:$I$1011,8,0)</f>
        <v>0</v>
      </c>
      <c r="J709">
        <f>$C709*VLOOKUP($B709,FoodDB!$A$2:$I$1011,9,0)</f>
        <v>0</v>
      </c>
    </row>
    <row r="710" spans="1:19" x14ac:dyDescent="0.25">
      <c r="B710" s="94" t="s">
        <v>107</v>
      </c>
      <c r="C710" s="95">
        <v>0</v>
      </c>
      <c r="D710">
        <f>$C710*VLOOKUP($B710,FoodDB!$A$2:$I$1011,3,0)</f>
        <v>0</v>
      </c>
      <c r="E710">
        <f>$C710*VLOOKUP($B710,FoodDB!$A$2:$I$1011,4,0)</f>
        <v>0</v>
      </c>
      <c r="F710">
        <f>$C710*VLOOKUP($B710,FoodDB!$A$2:$I$1011,5,0)</f>
        <v>0</v>
      </c>
      <c r="G710">
        <f>$C710*VLOOKUP($B710,FoodDB!$A$2:$I$1011,6,0)</f>
        <v>0</v>
      </c>
      <c r="H710">
        <f>$C710*VLOOKUP($B710,FoodDB!$A$2:$I$1011,7,0)</f>
        <v>0</v>
      </c>
      <c r="I710">
        <f>$C710*VLOOKUP($B710,FoodDB!$A$2:$I$1011,8,0)</f>
        <v>0</v>
      </c>
      <c r="J710">
        <f>$C710*VLOOKUP($B710,FoodDB!$A$2:$I$1011,9,0)</f>
        <v>0</v>
      </c>
    </row>
    <row r="711" spans="1:19" x14ac:dyDescent="0.25">
      <c r="B711" s="94" t="s">
        <v>107</v>
      </c>
      <c r="C711" s="95">
        <v>0</v>
      </c>
      <c r="D711">
        <f>$C711*VLOOKUP($B711,FoodDB!$A$2:$I$1011,3,0)</f>
        <v>0</v>
      </c>
      <c r="E711">
        <f>$C711*VLOOKUP($B711,FoodDB!$A$2:$I$1011,4,0)</f>
        <v>0</v>
      </c>
      <c r="F711">
        <f>$C711*VLOOKUP($B711,FoodDB!$A$2:$I$1011,5,0)</f>
        <v>0</v>
      </c>
      <c r="G711">
        <f>$C711*VLOOKUP($B711,FoodDB!$A$2:$I$1011,6,0)</f>
        <v>0</v>
      </c>
      <c r="H711">
        <f>$C711*VLOOKUP($B711,FoodDB!$A$2:$I$1011,7,0)</f>
        <v>0</v>
      </c>
      <c r="I711">
        <f>$C711*VLOOKUP($B711,FoodDB!$A$2:$I$1011,8,0)</f>
        <v>0</v>
      </c>
      <c r="J711">
        <f>$C711*VLOOKUP($B711,FoodDB!$A$2:$I$1011,9,0)</f>
        <v>0</v>
      </c>
    </row>
    <row r="712" spans="1:19" x14ac:dyDescent="0.25">
      <c r="B712" s="94" t="s">
        <v>107</v>
      </c>
      <c r="C712" s="95">
        <v>0</v>
      </c>
      <c r="D712">
        <f>$C712*VLOOKUP($B712,FoodDB!$A$2:$I$1011,3,0)</f>
        <v>0</v>
      </c>
      <c r="E712">
        <f>$C712*VLOOKUP($B712,FoodDB!$A$2:$I$1011,4,0)</f>
        <v>0</v>
      </c>
      <c r="F712">
        <f>$C712*VLOOKUP($B712,FoodDB!$A$2:$I$1011,5,0)</f>
        <v>0</v>
      </c>
      <c r="G712">
        <f>$C712*VLOOKUP($B712,FoodDB!$A$2:$I$1011,6,0)</f>
        <v>0</v>
      </c>
      <c r="H712">
        <f>$C712*VLOOKUP($B712,FoodDB!$A$2:$I$1011,7,0)</f>
        <v>0</v>
      </c>
      <c r="I712">
        <f>$C712*VLOOKUP($B712,FoodDB!$A$2:$I$1011,8,0)</f>
        <v>0</v>
      </c>
      <c r="J712">
        <f>$C712*VLOOKUP($B712,FoodDB!$A$2:$I$1011,9,0)</f>
        <v>0</v>
      </c>
    </row>
    <row r="713" spans="1:19" x14ac:dyDescent="0.25">
      <c r="B713" s="94" t="s">
        <v>107</v>
      </c>
      <c r="C713" s="95">
        <v>0</v>
      </c>
      <c r="D713">
        <f>$C713*VLOOKUP($B713,FoodDB!$A$2:$I$1011,3,0)</f>
        <v>0</v>
      </c>
      <c r="E713">
        <f>$C713*VLOOKUP($B713,FoodDB!$A$2:$I$1011,4,0)</f>
        <v>0</v>
      </c>
      <c r="F713">
        <f>$C713*VLOOKUP($B713,FoodDB!$A$2:$I$1011,5,0)</f>
        <v>0</v>
      </c>
      <c r="G713">
        <f>$C713*VLOOKUP($B713,FoodDB!$A$2:$I$1011,6,0)</f>
        <v>0</v>
      </c>
      <c r="H713">
        <f>$C713*VLOOKUP($B713,FoodDB!$A$2:$I$1011,7,0)</f>
        <v>0</v>
      </c>
      <c r="I713">
        <f>$C713*VLOOKUP($B713,FoodDB!$A$2:$I$1011,8,0)</f>
        <v>0</v>
      </c>
      <c r="J713">
        <f>$C713*VLOOKUP($B713,FoodDB!$A$2:$I$1011,9,0)</f>
        <v>0</v>
      </c>
    </row>
    <row r="714" spans="1:19" x14ac:dyDescent="0.25">
      <c r="B714" s="94" t="s">
        <v>107</v>
      </c>
      <c r="C714" s="95">
        <v>0</v>
      </c>
      <c r="D714">
        <f>$C714*VLOOKUP($B714,FoodDB!$A$2:$I$1011,3,0)</f>
        <v>0</v>
      </c>
      <c r="E714">
        <f>$C714*VLOOKUP($B714,FoodDB!$A$2:$I$1011,4,0)</f>
        <v>0</v>
      </c>
      <c r="F714">
        <f>$C714*VLOOKUP($B714,FoodDB!$A$2:$I$1011,5,0)</f>
        <v>0</v>
      </c>
      <c r="G714">
        <f>$C714*VLOOKUP($B714,FoodDB!$A$2:$I$1011,6,0)</f>
        <v>0</v>
      </c>
      <c r="H714">
        <f>$C714*VLOOKUP($B714,FoodDB!$A$2:$I$1011,7,0)</f>
        <v>0</v>
      </c>
      <c r="I714">
        <f>$C714*VLOOKUP($B714,FoodDB!$A$2:$I$1011,8,0)</f>
        <v>0</v>
      </c>
      <c r="J714">
        <f>$C714*VLOOKUP($B714,FoodDB!$A$2:$I$1011,9,0)</f>
        <v>0</v>
      </c>
    </row>
    <row r="715" spans="1:19" x14ac:dyDescent="0.25">
      <c r="A715" t="s">
        <v>97</v>
      </c>
      <c r="G715">
        <f>SUM(G708:G714)</f>
        <v>0</v>
      </c>
      <c r="H715">
        <f>SUM(H708:H714)</f>
        <v>0</v>
      </c>
      <c r="I715">
        <f>SUM(I708:I714)</f>
        <v>0</v>
      </c>
      <c r="J715">
        <f>SUM(G715:I715)</f>
        <v>0</v>
      </c>
    </row>
    <row r="716" spans="1:19" x14ac:dyDescent="0.25">
      <c r="A716" t="s">
        <v>101</v>
      </c>
      <c r="B716" t="s">
        <v>102</v>
      </c>
      <c r="E716" s="98"/>
      <c r="F716" s="98"/>
      <c r="G716" s="98">
        <f>VLOOKUP($A708,LossChart!$A$3:$AB$105,14,0)</f>
        <v>742.94143601976566</v>
      </c>
      <c r="H716" s="98">
        <f>VLOOKUP($A708,LossChart!$A$3:$AB$105,15,0)</f>
        <v>80</v>
      </c>
      <c r="I716" s="98">
        <f>VLOOKUP($A708,LossChart!$A$3:$AB$105,16,0)</f>
        <v>482.47465271142238</v>
      </c>
      <c r="J716" s="98">
        <f>VLOOKUP($A708,LossChart!$A$3:$AB$105,17,0)</f>
        <v>1305.416088731188</v>
      </c>
      <c r="K716" s="98"/>
    </row>
    <row r="717" spans="1:19" x14ac:dyDescent="0.25">
      <c r="A717" t="s">
        <v>103</v>
      </c>
      <c r="G717">
        <f>G716-G715</f>
        <v>742.94143601976566</v>
      </c>
      <c r="H717">
        <f>H716-H715</f>
        <v>80</v>
      </c>
      <c r="I717">
        <f>I716-I715</f>
        <v>482.47465271142238</v>
      </c>
      <c r="J717">
        <f>J716-J715</f>
        <v>1305.416088731188</v>
      </c>
    </row>
    <row r="719" spans="1:19" ht="60" x14ac:dyDescent="0.25">
      <c r="A719" s="21" t="s">
        <v>63</v>
      </c>
      <c r="B719" s="21" t="s">
        <v>92</v>
      </c>
      <c r="C719" s="21" t="s">
        <v>93</v>
      </c>
      <c r="D719" s="92" t="str">
        <f>FoodDB!$C$1</f>
        <v>Fat
(g)</v>
      </c>
      <c r="E719" s="92" t="str">
        <f>FoodDB!$D$1</f>
        <v xml:space="preserve"> Carbs
(g)</v>
      </c>
      <c r="F719" s="92" t="str">
        <f>FoodDB!$E$1</f>
        <v>Protein
(g)</v>
      </c>
      <c r="G719" s="92" t="str">
        <f>FoodDB!$F$1</f>
        <v>Fat
(Cal)</v>
      </c>
      <c r="H719" s="92" t="str">
        <f>FoodDB!$G$1</f>
        <v>Carb
(Cal)</v>
      </c>
      <c r="I719" s="92" t="str">
        <f>FoodDB!$H$1</f>
        <v>Protein
(Cal)</v>
      </c>
      <c r="J719" s="92" t="str">
        <f>FoodDB!$I$1</f>
        <v>Total
Calories</v>
      </c>
      <c r="K719" s="92"/>
      <c r="L719" s="92" t="s">
        <v>109</v>
      </c>
      <c r="M719" s="92" t="s">
        <v>110</v>
      </c>
      <c r="N719" s="92" t="s">
        <v>111</v>
      </c>
      <c r="O719" s="92" t="s">
        <v>112</v>
      </c>
      <c r="P719" s="92" t="s">
        <v>117</v>
      </c>
      <c r="Q719" s="92" t="s">
        <v>118</v>
      </c>
      <c r="R719" s="92" t="s">
        <v>119</v>
      </c>
      <c r="S719" s="92" t="s">
        <v>120</v>
      </c>
    </row>
    <row r="720" spans="1:19" x14ac:dyDescent="0.25">
      <c r="A720" s="93">
        <f>A708+1</f>
        <v>43054</v>
      </c>
      <c r="B720" s="94" t="s">
        <v>107</v>
      </c>
      <c r="C720" s="95">
        <v>0</v>
      </c>
      <c r="D720">
        <f>$C720*VLOOKUP($B720,FoodDB!$A$2:$I$1011,3,0)</f>
        <v>0</v>
      </c>
      <c r="E720">
        <f>$C720*VLOOKUP($B720,FoodDB!$A$2:$I$1011,4,0)</f>
        <v>0</v>
      </c>
      <c r="F720">
        <f>$C720*VLOOKUP($B720,FoodDB!$A$2:$I$1011,5,0)</f>
        <v>0</v>
      </c>
      <c r="G720">
        <f>$C720*VLOOKUP($B720,FoodDB!$A$2:$I$1011,6,0)</f>
        <v>0</v>
      </c>
      <c r="H720">
        <f>$C720*VLOOKUP($B720,FoodDB!$A$2:$I$1011,7,0)</f>
        <v>0</v>
      </c>
      <c r="I720">
        <f>$C720*VLOOKUP($B720,FoodDB!$A$2:$I$1011,8,0)</f>
        <v>0</v>
      </c>
      <c r="J720">
        <f>$C720*VLOOKUP($B720,FoodDB!$A$2:$I$1011,9,0)</f>
        <v>0</v>
      </c>
      <c r="L720">
        <f>SUM(G720:G726)</f>
        <v>0</v>
      </c>
      <c r="M720">
        <f>SUM(H720:H726)</f>
        <v>0</v>
      </c>
      <c r="N720">
        <f>SUM(I720:I726)</f>
        <v>0</v>
      </c>
      <c r="O720">
        <f>SUM(L720:N720)</f>
        <v>0</v>
      </c>
      <c r="P720" s="98">
        <f>VLOOKUP($A720,LossChart!$A$3:$AB$105,14,0)-L720</f>
        <v>747.99582560494446</v>
      </c>
      <c r="Q720" s="98">
        <f>VLOOKUP($A720,LossChart!$A$3:$AB$105,15,0)-M720</f>
        <v>80</v>
      </c>
      <c r="R720" s="98">
        <f>VLOOKUP($A720,LossChart!$A$3:$AB$105,16,0)-N720</f>
        <v>482.47465271142238</v>
      </c>
      <c r="S720" s="98">
        <f>VLOOKUP($A720,LossChart!$A$3:$AB$105,17,0)-O720</f>
        <v>1310.4704783163668</v>
      </c>
    </row>
    <row r="721" spans="1:19" x14ac:dyDescent="0.25">
      <c r="B721" s="94" t="s">
        <v>107</v>
      </c>
      <c r="C721" s="95">
        <v>0</v>
      </c>
      <c r="D721">
        <f>$C721*VLOOKUP($B721,FoodDB!$A$2:$I$1011,3,0)</f>
        <v>0</v>
      </c>
      <c r="E721">
        <f>$C721*VLOOKUP($B721,FoodDB!$A$2:$I$1011,4,0)</f>
        <v>0</v>
      </c>
      <c r="F721">
        <f>$C721*VLOOKUP($B721,FoodDB!$A$2:$I$1011,5,0)</f>
        <v>0</v>
      </c>
      <c r="G721">
        <f>$C721*VLOOKUP($B721,FoodDB!$A$2:$I$1011,6,0)</f>
        <v>0</v>
      </c>
      <c r="H721">
        <f>$C721*VLOOKUP($B721,FoodDB!$A$2:$I$1011,7,0)</f>
        <v>0</v>
      </c>
      <c r="I721">
        <f>$C721*VLOOKUP($B721,FoodDB!$A$2:$I$1011,8,0)</f>
        <v>0</v>
      </c>
      <c r="J721">
        <f>$C721*VLOOKUP($B721,FoodDB!$A$2:$I$1011,9,0)</f>
        <v>0</v>
      </c>
    </row>
    <row r="722" spans="1:19" x14ac:dyDescent="0.25">
      <c r="B722" s="94" t="s">
        <v>107</v>
      </c>
      <c r="C722" s="95">
        <v>0</v>
      </c>
      <c r="D722">
        <f>$C722*VLOOKUP($B722,FoodDB!$A$2:$I$1011,3,0)</f>
        <v>0</v>
      </c>
      <c r="E722">
        <f>$C722*VLOOKUP($B722,FoodDB!$A$2:$I$1011,4,0)</f>
        <v>0</v>
      </c>
      <c r="F722">
        <f>$C722*VLOOKUP($B722,FoodDB!$A$2:$I$1011,5,0)</f>
        <v>0</v>
      </c>
      <c r="G722">
        <f>$C722*VLOOKUP($B722,FoodDB!$A$2:$I$1011,6,0)</f>
        <v>0</v>
      </c>
      <c r="H722">
        <f>$C722*VLOOKUP($B722,FoodDB!$A$2:$I$1011,7,0)</f>
        <v>0</v>
      </c>
      <c r="I722">
        <f>$C722*VLOOKUP($B722,FoodDB!$A$2:$I$1011,8,0)</f>
        <v>0</v>
      </c>
      <c r="J722">
        <f>$C722*VLOOKUP($B722,FoodDB!$A$2:$I$1011,9,0)</f>
        <v>0</v>
      </c>
    </row>
    <row r="723" spans="1:19" x14ac:dyDescent="0.25">
      <c r="B723" s="94" t="s">
        <v>107</v>
      </c>
      <c r="C723" s="95">
        <v>0</v>
      </c>
      <c r="D723">
        <f>$C723*VLOOKUP($B723,FoodDB!$A$2:$I$1011,3,0)</f>
        <v>0</v>
      </c>
      <c r="E723">
        <f>$C723*VLOOKUP($B723,FoodDB!$A$2:$I$1011,4,0)</f>
        <v>0</v>
      </c>
      <c r="F723">
        <f>$C723*VLOOKUP($B723,FoodDB!$A$2:$I$1011,5,0)</f>
        <v>0</v>
      </c>
      <c r="G723">
        <f>$C723*VLOOKUP($B723,FoodDB!$A$2:$I$1011,6,0)</f>
        <v>0</v>
      </c>
      <c r="H723">
        <f>$C723*VLOOKUP($B723,FoodDB!$A$2:$I$1011,7,0)</f>
        <v>0</v>
      </c>
      <c r="I723">
        <f>$C723*VLOOKUP($B723,FoodDB!$A$2:$I$1011,8,0)</f>
        <v>0</v>
      </c>
      <c r="J723">
        <f>$C723*VLOOKUP($B723,FoodDB!$A$2:$I$1011,9,0)</f>
        <v>0</v>
      </c>
    </row>
    <row r="724" spans="1:19" x14ac:dyDescent="0.25">
      <c r="B724" s="94" t="s">
        <v>107</v>
      </c>
      <c r="C724" s="95">
        <v>0</v>
      </c>
      <c r="D724">
        <f>$C724*VLOOKUP($B724,FoodDB!$A$2:$I$1011,3,0)</f>
        <v>0</v>
      </c>
      <c r="E724">
        <f>$C724*VLOOKUP($B724,FoodDB!$A$2:$I$1011,4,0)</f>
        <v>0</v>
      </c>
      <c r="F724">
        <f>$C724*VLOOKUP($B724,FoodDB!$A$2:$I$1011,5,0)</f>
        <v>0</v>
      </c>
      <c r="G724">
        <f>$C724*VLOOKUP($B724,FoodDB!$A$2:$I$1011,6,0)</f>
        <v>0</v>
      </c>
      <c r="H724">
        <f>$C724*VLOOKUP($B724,FoodDB!$A$2:$I$1011,7,0)</f>
        <v>0</v>
      </c>
      <c r="I724">
        <f>$C724*VLOOKUP($B724,FoodDB!$A$2:$I$1011,8,0)</f>
        <v>0</v>
      </c>
      <c r="J724">
        <f>$C724*VLOOKUP($B724,FoodDB!$A$2:$I$1011,9,0)</f>
        <v>0</v>
      </c>
    </row>
    <row r="725" spans="1:19" x14ac:dyDescent="0.25">
      <c r="B725" s="94" t="s">
        <v>107</v>
      </c>
      <c r="C725" s="95">
        <v>0</v>
      </c>
      <c r="D725">
        <f>$C725*VLOOKUP($B725,FoodDB!$A$2:$I$1011,3,0)</f>
        <v>0</v>
      </c>
      <c r="E725">
        <f>$C725*VLOOKUP($B725,FoodDB!$A$2:$I$1011,4,0)</f>
        <v>0</v>
      </c>
      <c r="F725">
        <f>$C725*VLOOKUP($B725,FoodDB!$A$2:$I$1011,5,0)</f>
        <v>0</v>
      </c>
      <c r="G725">
        <f>$C725*VLOOKUP($B725,FoodDB!$A$2:$I$1011,6,0)</f>
        <v>0</v>
      </c>
      <c r="H725">
        <f>$C725*VLOOKUP($B725,FoodDB!$A$2:$I$1011,7,0)</f>
        <v>0</v>
      </c>
      <c r="I725">
        <f>$C725*VLOOKUP($B725,FoodDB!$A$2:$I$1011,8,0)</f>
        <v>0</v>
      </c>
      <c r="J725">
        <f>$C725*VLOOKUP($B725,FoodDB!$A$2:$I$1011,9,0)</f>
        <v>0</v>
      </c>
    </row>
    <row r="726" spans="1:19" x14ac:dyDescent="0.25">
      <c r="B726" s="94" t="s">
        <v>107</v>
      </c>
      <c r="C726" s="95">
        <v>0</v>
      </c>
      <c r="D726">
        <f>$C726*VLOOKUP($B726,FoodDB!$A$2:$I$1011,3,0)</f>
        <v>0</v>
      </c>
      <c r="E726">
        <f>$C726*VLOOKUP($B726,FoodDB!$A$2:$I$1011,4,0)</f>
        <v>0</v>
      </c>
      <c r="F726">
        <f>$C726*VLOOKUP($B726,FoodDB!$A$2:$I$1011,5,0)</f>
        <v>0</v>
      </c>
      <c r="G726">
        <f>$C726*VLOOKUP($B726,FoodDB!$A$2:$I$1011,6,0)</f>
        <v>0</v>
      </c>
      <c r="H726">
        <f>$C726*VLOOKUP($B726,FoodDB!$A$2:$I$1011,7,0)</f>
        <v>0</v>
      </c>
      <c r="I726">
        <f>$C726*VLOOKUP($B726,FoodDB!$A$2:$I$1011,8,0)</f>
        <v>0</v>
      </c>
      <c r="J726">
        <f>$C726*VLOOKUP($B726,FoodDB!$A$2:$I$1011,9,0)</f>
        <v>0</v>
      </c>
    </row>
    <row r="727" spans="1:19" x14ac:dyDescent="0.25">
      <c r="A727" t="s">
        <v>97</v>
      </c>
      <c r="G727">
        <f>SUM(G720:G726)</f>
        <v>0</v>
      </c>
      <c r="H727">
        <f>SUM(H720:H726)</f>
        <v>0</v>
      </c>
      <c r="I727">
        <f>SUM(I720:I726)</f>
        <v>0</v>
      </c>
      <c r="J727">
        <f>SUM(G727:I727)</f>
        <v>0</v>
      </c>
    </row>
    <row r="728" spans="1:19" x14ac:dyDescent="0.25">
      <c r="A728" t="s">
        <v>101</v>
      </c>
      <c r="B728" t="s">
        <v>102</v>
      </c>
      <c r="E728" s="98"/>
      <c r="F728" s="98"/>
      <c r="G728" s="98">
        <f>VLOOKUP($A720,LossChart!$A$3:$AB$105,14,0)</f>
        <v>747.99582560494446</v>
      </c>
      <c r="H728" s="98">
        <f>VLOOKUP($A720,LossChart!$A$3:$AB$105,15,0)</f>
        <v>80</v>
      </c>
      <c r="I728" s="98">
        <f>VLOOKUP($A720,LossChart!$A$3:$AB$105,16,0)</f>
        <v>482.47465271142238</v>
      </c>
      <c r="J728" s="98">
        <f>VLOOKUP($A720,LossChart!$A$3:$AB$105,17,0)</f>
        <v>1310.4704783163668</v>
      </c>
      <c r="K728" s="98"/>
    </row>
    <row r="729" spans="1:19" x14ac:dyDescent="0.25">
      <c r="A729" t="s">
        <v>103</v>
      </c>
      <c r="G729">
        <f>G728-G727</f>
        <v>747.99582560494446</v>
      </c>
      <c r="H729">
        <f>H728-H727</f>
        <v>80</v>
      </c>
      <c r="I729">
        <f>I728-I727</f>
        <v>482.47465271142238</v>
      </c>
      <c r="J729">
        <f>J728-J727</f>
        <v>1310.4704783163668</v>
      </c>
    </row>
    <row r="731" spans="1:19" ht="60" x14ac:dyDescent="0.25">
      <c r="A731" s="21" t="s">
        <v>63</v>
      </c>
      <c r="B731" s="21" t="s">
        <v>92</v>
      </c>
      <c r="C731" s="21" t="s">
        <v>93</v>
      </c>
      <c r="D731" s="92" t="str">
        <f>FoodDB!$C$1</f>
        <v>Fat
(g)</v>
      </c>
      <c r="E731" s="92" t="str">
        <f>FoodDB!$D$1</f>
        <v xml:space="preserve"> Carbs
(g)</v>
      </c>
      <c r="F731" s="92" t="str">
        <f>FoodDB!$E$1</f>
        <v>Protein
(g)</v>
      </c>
      <c r="G731" s="92" t="str">
        <f>FoodDB!$F$1</f>
        <v>Fat
(Cal)</v>
      </c>
      <c r="H731" s="92" t="str">
        <f>FoodDB!$G$1</f>
        <v>Carb
(Cal)</v>
      </c>
      <c r="I731" s="92" t="str">
        <f>FoodDB!$H$1</f>
        <v>Protein
(Cal)</v>
      </c>
      <c r="J731" s="92" t="str">
        <f>FoodDB!$I$1</f>
        <v>Total
Calories</v>
      </c>
      <c r="K731" s="92"/>
      <c r="L731" s="92" t="s">
        <v>109</v>
      </c>
      <c r="M731" s="92" t="s">
        <v>110</v>
      </c>
      <c r="N731" s="92" t="s">
        <v>111</v>
      </c>
      <c r="O731" s="92" t="s">
        <v>112</v>
      </c>
      <c r="P731" s="92" t="s">
        <v>117</v>
      </c>
      <c r="Q731" s="92" t="s">
        <v>118</v>
      </c>
      <c r="R731" s="92" t="s">
        <v>119</v>
      </c>
      <c r="S731" s="92" t="s">
        <v>120</v>
      </c>
    </row>
    <row r="732" spans="1:19" x14ac:dyDescent="0.25">
      <c r="A732" s="93">
        <f>A720+1</f>
        <v>43055</v>
      </c>
      <c r="B732" s="94" t="s">
        <v>107</v>
      </c>
      <c r="C732" s="95">
        <v>0</v>
      </c>
      <c r="D732">
        <f>$C732*VLOOKUP($B732,FoodDB!$A$2:$I$1011,3,0)</f>
        <v>0</v>
      </c>
      <c r="E732">
        <f>$C732*VLOOKUP($B732,FoodDB!$A$2:$I$1011,4,0)</f>
        <v>0</v>
      </c>
      <c r="F732">
        <f>$C732*VLOOKUP($B732,FoodDB!$A$2:$I$1011,5,0)</f>
        <v>0</v>
      </c>
      <c r="G732">
        <f>$C732*VLOOKUP($B732,FoodDB!$A$2:$I$1011,6,0)</f>
        <v>0</v>
      </c>
      <c r="H732">
        <f>$C732*VLOOKUP($B732,FoodDB!$A$2:$I$1011,7,0)</f>
        <v>0</v>
      </c>
      <c r="I732">
        <f>$C732*VLOOKUP($B732,FoodDB!$A$2:$I$1011,8,0)</f>
        <v>0</v>
      </c>
      <c r="J732">
        <f>$C732*VLOOKUP($B732,FoodDB!$A$2:$I$1011,9,0)</f>
        <v>0</v>
      </c>
      <c r="L732">
        <f>SUM(G732:G738)</f>
        <v>0</v>
      </c>
      <c r="M732">
        <f>SUM(H732:H738)</f>
        <v>0</v>
      </c>
      <c r="N732">
        <f>SUM(I732:I738)</f>
        <v>0</v>
      </c>
      <c r="O732">
        <f>SUM(L732:N732)</f>
        <v>0</v>
      </c>
      <c r="P732" s="98">
        <f>VLOOKUP($A732,LossChart!$A$3:$AB$105,14,0)-L732</f>
        <v>753.00544773951174</v>
      </c>
      <c r="Q732" s="98">
        <f>VLOOKUP($A732,LossChart!$A$3:$AB$105,15,0)-M732</f>
        <v>80</v>
      </c>
      <c r="R732" s="98">
        <f>VLOOKUP($A732,LossChart!$A$3:$AB$105,16,0)-N732</f>
        <v>482.47465271142238</v>
      </c>
      <c r="S732" s="98">
        <f>VLOOKUP($A732,LossChart!$A$3:$AB$105,17,0)-O732</f>
        <v>1315.4801004509341</v>
      </c>
    </row>
    <row r="733" spans="1:19" x14ac:dyDescent="0.25">
      <c r="B733" s="94" t="s">
        <v>107</v>
      </c>
      <c r="C733" s="95">
        <v>0</v>
      </c>
      <c r="D733">
        <f>$C733*VLOOKUP($B733,FoodDB!$A$2:$I$1011,3,0)</f>
        <v>0</v>
      </c>
      <c r="E733">
        <f>$C733*VLOOKUP($B733,FoodDB!$A$2:$I$1011,4,0)</f>
        <v>0</v>
      </c>
      <c r="F733">
        <f>$C733*VLOOKUP($B733,FoodDB!$A$2:$I$1011,5,0)</f>
        <v>0</v>
      </c>
      <c r="G733">
        <f>$C733*VLOOKUP($B733,FoodDB!$A$2:$I$1011,6,0)</f>
        <v>0</v>
      </c>
      <c r="H733">
        <f>$C733*VLOOKUP($B733,FoodDB!$A$2:$I$1011,7,0)</f>
        <v>0</v>
      </c>
      <c r="I733">
        <f>$C733*VLOOKUP($B733,FoodDB!$A$2:$I$1011,8,0)</f>
        <v>0</v>
      </c>
      <c r="J733">
        <f>$C733*VLOOKUP($B733,FoodDB!$A$2:$I$1011,9,0)</f>
        <v>0</v>
      </c>
    </row>
    <row r="734" spans="1:19" x14ac:dyDescent="0.25">
      <c r="B734" s="94" t="s">
        <v>107</v>
      </c>
      <c r="C734" s="95">
        <v>0</v>
      </c>
      <c r="D734">
        <f>$C734*VLOOKUP($B734,FoodDB!$A$2:$I$1011,3,0)</f>
        <v>0</v>
      </c>
      <c r="E734">
        <f>$C734*VLOOKUP($B734,FoodDB!$A$2:$I$1011,4,0)</f>
        <v>0</v>
      </c>
      <c r="F734">
        <f>$C734*VLOOKUP($B734,FoodDB!$A$2:$I$1011,5,0)</f>
        <v>0</v>
      </c>
      <c r="G734">
        <f>$C734*VLOOKUP($B734,FoodDB!$A$2:$I$1011,6,0)</f>
        <v>0</v>
      </c>
      <c r="H734">
        <f>$C734*VLOOKUP($B734,FoodDB!$A$2:$I$1011,7,0)</f>
        <v>0</v>
      </c>
      <c r="I734">
        <f>$C734*VLOOKUP($B734,FoodDB!$A$2:$I$1011,8,0)</f>
        <v>0</v>
      </c>
      <c r="J734">
        <f>$C734*VLOOKUP($B734,FoodDB!$A$2:$I$1011,9,0)</f>
        <v>0</v>
      </c>
    </row>
    <row r="735" spans="1:19" x14ac:dyDescent="0.25">
      <c r="B735" s="94" t="s">
        <v>107</v>
      </c>
      <c r="C735" s="95">
        <v>0</v>
      </c>
      <c r="D735">
        <f>$C735*VLOOKUP($B735,FoodDB!$A$2:$I$1011,3,0)</f>
        <v>0</v>
      </c>
      <c r="E735">
        <f>$C735*VLOOKUP($B735,FoodDB!$A$2:$I$1011,4,0)</f>
        <v>0</v>
      </c>
      <c r="F735">
        <f>$C735*VLOOKUP($B735,FoodDB!$A$2:$I$1011,5,0)</f>
        <v>0</v>
      </c>
      <c r="G735">
        <f>$C735*VLOOKUP($B735,FoodDB!$A$2:$I$1011,6,0)</f>
        <v>0</v>
      </c>
      <c r="H735">
        <f>$C735*VLOOKUP($B735,FoodDB!$A$2:$I$1011,7,0)</f>
        <v>0</v>
      </c>
      <c r="I735">
        <f>$C735*VLOOKUP($B735,FoodDB!$A$2:$I$1011,8,0)</f>
        <v>0</v>
      </c>
      <c r="J735">
        <f>$C735*VLOOKUP($B735,FoodDB!$A$2:$I$1011,9,0)</f>
        <v>0</v>
      </c>
    </row>
    <row r="736" spans="1:19" x14ac:dyDescent="0.25">
      <c r="B736" s="94" t="s">
        <v>107</v>
      </c>
      <c r="C736" s="95">
        <v>0</v>
      </c>
      <c r="D736">
        <f>$C736*VLOOKUP($B736,FoodDB!$A$2:$I$1011,3,0)</f>
        <v>0</v>
      </c>
      <c r="E736">
        <f>$C736*VLOOKUP($B736,FoodDB!$A$2:$I$1011,4,0)</f>
        <v>0</v>
      </c>
      <c r="F736">
        <f>$C736*VLOOKUP($B736,FoodDB!$A$2:$I$1011,5,0)</f>
        <v>0</v>
      </c>
      <c r="G736">
        <f>$C736*VLOOKUP($B736,FoodDB!$A$2:$I$1011,6,0)</f>
        <v>0</v>
      </c>
      <c r="H736">
        <f>$C736*VLOOKUP($B736,FoodDB!$A$2:$I$1011,7,0)</f>
        <v>0</v>
      </c>
      <c r="I736">
        <f>$C736*VLOOKUP($B736,FoodDB!$A$2:$I$1011,8,0)</f>
        <v>0</v>
      </c>
      <c r="J736">
        <f>$C736*VLOOKUP($B736,FoodDB!$A$2:$I$1011,9,0)</f>
        <v>0</v>
      </c>
    </row>
    <row r="737" spans="1:19" x14ac:dyDescent="0.25">
      <c r="B737" s="94" t="s">
        <v>107</v>
      </c>
      <c r="C737" s="95">
        <v>0</v>
      </c>
      <c r="D737">
        <f>$C737*VLOOKUP($B737,FoodDB!$A$2:$I$1011,3,0)</f>
        <v>0</v>
      </c>
      <c r="E737">
        <f>$C737*VLOOKUP($B737,FoodDB!$A$2:$I$1011,4,0)</f>
        <v>0</v>
      </c>
      <c r="F737">
        <f>$C737*VLOOKUP($B737,FoodDB!$A$2:$I$1011,5,0)</f>
        <v>0</v>
      </c>
      <c r="G737">
        <f>$C737*VLOOKUP($B737,FoodDB!$A$2:$I$1011,6,0)</f>
        <v>0</v>
      </c>
      <c r="H737">
        <f>$C737*VLOOKUP($B737,FoodDB!$A$2:$I$1011,7,0)</f>
        <v>0</v>
      </c>
      <c r="I737">
        <f>$C737*VLOOKUP($B737,FoodDB!$A$2:$I$1011,8,0)</f>
        <v>0</v>
      </c>
      <c r="J737">
        <f>$C737*VLOOKUP($B737,FoodDB!$A$2:$I$1011,9,0)</f>
        <v>0</v>
      </c>
    </row>
    <row r="738" spans="1:19" x14ac:dyDescent="0.25">
      <c r="B738" s="94" t="s">
        <v>107</v>
      </c>
      <c r="C738" s="95">
        <v>0</v>
      </c>
      <c r="D738">
        <f>$C738*VLOOKUP($B738,FoodDB!$A$2:$I$1011,3,0)</f>
        <v>0</v>
      </c>
      <c r="E738">
        <f>$C738*VLOOKUP($B738,FoodDB!$A$2:$I$1011,4,0)</f>
        <v>0</v>
      </c>
      <c r="F738">
        <f>$C738*VLOOKUP($B738,FoodDB!$A$2:$I$1011,5,0)</f>
        <v>0</v>
      </c>
      <c r="G738">
        <f>$C738*VLOOKUP($B738,FoodDB!$A$2:$I$1011,6,0)</f>
        <v>0</v>
      </c>
      <c r="H738">
        <f>$C738*VLOOKUP($B738,FoodDB!$A$2:$I$1011,7,0)</f>
        <v>0</v>
      </c>
      <c r="I738">
        <f>$C738*VLOOKUP($B738,FoodDB!$A$2:$I$1011,8,0)</f>
        <v>0</v>
      </c>
      <c r="J738">
        <f>$C738*VLOOKUP($B738,FoodDB!$A$2:$I$1011,9,0)</f>
        <v>0</v>
      </c>
    </row>
    <row r="739" spans="1:19" x14ac:dyDescent="0.25">
      <c r="A739" t="s">
        <v>97</v>
      </c>
      <c r="G739">
        <f>SUM(G732:G738)</f>
        <v>0</v>
      </c>
      <c r="H739">
        <f>SUM(H732:H738)</f>
        <v>0</v>
      </c>
      <c r="I739">
        <f>SUM(I732:I738)</f>
        <v>0</v>
      </c>
      <c r="J739">
        <f>SUM(G739:I739)</f>
        <v>0</v>
      </c>
    </row>
    <row r="740" spans="1:19" x14ac:dyDescent="0.25">
      <c r="A740" t="s">
        <v>101</v>
      </c>
      <c r="B740" t="s">
        <v>102</v>
      </c>
      <c r="E740" s="98"/>
      <c r="F740" s="98"/>
      <c r="G740" s="98">
        <f>VLOOKUP($A732,LossChart!$A$3:$AB$105,14,0)</f>
        <v>753.00544773951174</v>
      </c>
      <c r="H740" s="98">
        <f>VLOOKUP($A732,LossChart!$A$3:$AB$105,15,0)</f>
        <v>80</v>
      </c>
      <c r="I740" s="98">
        <f>VLOOKUP($A732,LossChart!$A$3:$AB$105,16,0)</f>
        <v>482.47465271142238</v>
      </c>
      <c r="J740" s="98">
        <f>VLOOKUP($A732,LossChart!$A$3:$AB$105,17,0)</f>
        <v>1315.4801004509341</v>
      </c>
      <c r="K740" s="98"/>
    </row>
    <row r="741" spans="1:19" x14ac:dyDescent="0.25">
      <c r="A741" t="s">
        <v>103</v>
      </c>
      <c r="G741">
        <f>G740-G739</f>
        <v>753.00544773951174</v>
      </c>
      <c r="H741">
        <f>H740-H739</f>
        <v>80</v>
      </c>
      <c r="I741">
        <f>I740-I739</f>
        <v>482.47465271142238</v>
      </c>
      <c r="J741">
        <f>J740-J739</f>
        <v>1315.4801004509341</v>
      </c>
    </row>
    <row r="743" spans="1:19" ht="60" x14ac:dyDescent="0.25">
      <c r="A743" s="21" t="s">
        <v>63</v>
      </c>
      <c r="B743" s="21" t="s">
        <v>92</v>
      </c>
      <c r="C743" s="21" t="s">
        <v>93</v>
      </c>
      <c r="D743" s="92" t="str">
        <f>FoodDB!$C$1</f>
        <v>Fat
(g)</v>
      </c>
      <c r="E743" s="92" t="str">
        <f>FoodDB!$D$1</f>
        <v xml:space="preserve"> Carbs
(g)</v>
      </c>
      <c r="F743" s="92" t="str">
        <f>FoodDB!$E$1</f>
        <v>Protein
(g)</v>
      </c>
      <c r="G743" s="92" t="str">
        <f>FoodDB!$F$1</f>
        <v>Fat
(Cal)</v>
      </c>
      <c r="H743" s="92" t="str">
        <f>FoodDB!$G$1</f>
        <v>Carb
(Cal)</v>
      </c>
      <c r="I743" s="92" t="str">
        <f>FoodDB!$H$1</f>
        <v>Protein
(Cal)</v>
      </c>
      <c r="J743" s="92" t="str">
        <f>FoodDB!$I$1</f>
        <v>Total
Calories</v>
      </c>
      <c r="K743" s="92"/>
      <c r="L743" s="92" t="s">
        <v>109</v>
      </c>
      <c r="M743" s="92" t="s">
        <v>110</v>
      </c>
      <c r="N743" s="92" t="s">
        <v>111</v>
      </c>
      <c r="O743" s="92" t="s">
        <v>112</v>
      </c>
      <c r="P743" s="92" t="s">
        <v>117</v>
      </c>
      <c r="Q743" s="92" t="s">
        <v>118</v>
      </c>
      <c r="R743" s="92" t="s">
        <v>119</v>
      </c>
      <c r="S743" s="92" t="s">
        <v>120</v>
      </c>
    </row>
    <row r="744" spans="1:19" x14ac:dyDescent="0.25">
      <c r="A744" s="93">
        <f>A732+1</f>
        <v>43056</v>
      </c>
      <c r="B744" s="94" t="s">
        <v>107</v>
      </c>
      <c r="C744" s="95">
        <v>0</v>
      </c>
      <c r="D744">
        <f>$C744*VLOOKUP($B744,FoodDB!$A$2:$I$1011,3,0)</f>
        <v>0</v>
      </c>
      <c r="E744">
        <f>$C744*VLOOKUP($B744,FoodDB!$A$2:$I$1011,4,0)</f>
        <v>0</v>
      </c>
      <c r="F744">
        <f>$C744*VLOOKUP($B744,FoodDB!$A$2:$I$1011,5,0)</f>
        <v>0</v>
      </c>
      <c r="G744">
        <f>$C744*VLOOKUP($B744,FoodDB!$A$2:$I$1011,6,0)</f>
        <v>0</v>
      </c>
      <c r="H744">
        <f>$C744*VLOOKUP($B744,FoodDB!$A$2:$I$1011,7,0)</f>
        <v>0</v>
      </c>
      <c r="I744">
        <f>$C744*VLOOKUP($B744,FoodDB!$A$2:$I$1011,8,0)</f>
        <v>0</v>
      </c>
      <c r="J744">
        <f>$C744*VLOOKUP($B744,FoodDB!$A$2:$I$1011,9,0)</f>
        <v>0</v>
      </c>
      <c r="L744">
        <f>SUM(G744:G750)</f>
        <v>0</v>
      </c>
      <c r="M744">
        <f>SUM(H744:H750)</f>
        <v>0</v>
      </c>
      <c r="N744">
        <f>SUM(I744:I750)</f>
        <v>0</v>
      </c>
      <c r="O744">
        <f>SUM(L744:N744)</f>
        <v>0</v>
      </c>
      <c r="P744" s="98">
        <f>VLOOKUP($A744,LossChart!$A$3:$AB$105,14,0)-L744</f>
        <v>757.97069893517323</v>
      </c>
      <c r="Q744" s="98">
        <f>VLOOKUP($A744,LossChart!$A$3:$AB$105,15,0)-M744</f>
        <v>80</v>
      </c>
      <c r="R744" s="98">
        <f>VLOOKUP($A744,LossChart!$A$3:$AB$105,16,0)-N744</f>
        <v>482.47465271142238</v>
      </c>
      <c r="S744" s="98">
        <f>VLOOKUP($A744,LossChart!$A$3:$AB$105,17,0)-O744</f>
        <v>1320.4453516465956</v>
      </c>
    </row>
    <row r="745" spans="1:19" x14ac:dyDescent="0.25">
      <c r="B745" s="94" t="s">
        <v>107</v>
      </c>
      <c r="C745" s="95">
        <v>0</v>
      </c>
      <c r="D745">
        <f>$C745*VLOOKUP($B745,FoodDB!$A$2:$I$1011,3,0)</f>
        <v>0</v>
      </c>
      <c r="E745">
        <f>$C745*VLOOKUP($B745,FoodDB!$A$2:$I$1011,4,0)</f>
        <v>0</v>
      </c>
      <c r="F745">
        <f>$C745*VLOOKUP($B745,FoodDB!$A$2:$I$1011,5,0)</f>
        <v>0</v>
      </c>
      <c r="G745">
        <f>$C745*VLOOKUP($B745,FoodDB!$A$2:$I$1011,6,0)</f>
        <v>0</v>
      </c>
      <c r="H745">
        <f>$C745*VLOOKUP($B745,FoodDB!$A$2:$I$1011,7,0)</f>
        <v>0</v>
      </c>
      <c r="I745">
        <f>$C745*VLOOKUP($B745,FoodDB!$A$2:$I$1011,8,0)</f>
        <v>0</v>
      </c>
      <c r="J745">
        <f>$C745*VLOOKUP($B745,FoodDB!$A$2:$I$1011,9,0)</f>
        <v>0</v>
      </c>
    </row>
    <row r="746" spans="1:19" x14ac:dyDescent="0.25">
      <c r="B746" s="94" t="s">
        <v>107</v>
      </c>
      <c r="C746" s="95">
        <v>0</v>
      </c>
      <c r="D746">
        <f>$C746*VLOOKUP($B746,FoodDB!$A$2:$I$1011,3,0)</f>
        <v>0</v>
      </c>
      <c r="E746">
        <f>$C746*VLOOKUP($B746,FoodDB!$A$2:$I$1011,4,0)</f>
        <v>0</v>
      </c>
      <c r="F746">
        <f>$C746*VLOOKUP($B746,FoodDB!$A$2:$I$1011,5,0)</f>
        <v>0</v>
      </c>
      <c r="G746">
        <f>$C746*VLOOKUP($B746,FoodDB!$A$2:$I$1011,6,0)</f>
        <v>0</v>
      </c>
      <c r="H746">
        <f>$C746*VLOOKUP($B746,FoodDB!$A$2:$I$1011,7,0)</f>
        <v>0</v>
      </c>
      <c r="I746">
        <f>$C746*VLOOKUP($B746,FoodDB!$A$2:$I$1011,8,0)</f>
        <v>0</v>
      </c>
      <c r="J746">
        <f>$C746*VLOOKUP($B746,FoodDB!$A$2:$I$1011,9,0)</f>
        <v>0</v>
      </c>
    </row>
    <row r="747" spans="1:19" x14ac:dyDescent="0.25">
      <c r="B747" s="94" t="s">
        <v>107</v>
      </c>
      <c r="C747" s="95">
        <v>0</v>
      </c>
      <c r="D747">
        <f>$C747*VLOOKUP($B747,FoodDB!$A$2:$I$1011,3,0)</f>
        <v>0</v>
      </c>
      <c r="E747">
        <f>$C747*VLOOKUP($B747,FoodDB!$A$2:$I$1011,4,0)</f>
        <v>0</v>
      </c>
      <c r="F747">
        <f>$C747*VLOOKUP($B747,FoodDB!$A$2:$I$1011,5,0)</f>
        <v>0</v>
      </c>
      <c r="G747">
        <f>$C747*VLOOKUP($B747,FoodDB!$A$2:$I$1011,6,0)</f>
        <v>0</v>
      </c>
      <c r="H747">
        <f>$C747*VLOOKUP($B747,FoodDB!$A$2:$I$1011,7,0)</f>
        <v>0</v>
      </c>
      <c r="I747">
        <f>$C747*VLOOKUP($B747,FoodDB!$A$2:$I$1011,8,0)</f>
        <v>0</v>
      </c>
      <c r="J747">
        <f>$C747*VLOOKUP($B747,FoodDB!$A$2:$I$1011,9,0)</f>
        <v>0</v>
      </c>
    </row>
    <row r="748" spans="1:19" x14ac:dyDescent="0.25">
      <c r="B748" s="94" t="s">
        <v>107</v>
      </c>
      <c r="C748" s="95">
        <v>0</v>
      </c>
      <c r="D748">
        <f>$C748*VLOOKUP($B748,FoodDB!$A$2:$I$1011,3,0)</f>
        <v>0</v>
      </c>
      <c r="E748">
        <f>$C748*VLOOKUP($B748,FoodDB!$A$2:$I$1011,4,0)</f>
        <v>0</v>
      </c>
      <c r="F748">
        <f>$C748*VLOOKUP($B748,FoodDB!$A$2:$I$1011,5,0)</f>
        <v>0</v>
      </c>
      <c r="G748">
        <f>$C748*VLOOKUP($B748,FoodDB!$A$2:$I$1011,6,0)</f>
        <v>0</v>
      </c>
      <c r="H748">
        <f>$C748*VLOOKUP($B748,FoodDB!$A$2:$I$1011,7,0)</f>
        <v>0</v>
      </c>
      <c r="I748">
        <f>$C748*VLOOKUP($B748,FoodDB!$A$2:$I$1011,8,0)</f>
        <v>0</v>
      </c>
      <c r="J748">
        <f>$C748*VLOOKUP($B748,FoodDB!$A$2:$I$1011,9,0)</f>
        <v>0</v>
      </c>
    </row>
    <row r="749" spans="1:19" x14ac:dyDescent="0.25">
      <c r="B749" s="94" t="s">
        <v>107</v>
      </c>
      <c r="C749" s="95">
        <v>0</v>
      </c>
      <c r="D749">
        <f>$C749*VLOOKUP($B749,FoodDB!$A$2:$I$1011,3,0)</f>
        <v>0</v>
      </c>
      <c r="E749">
        <f>$C749*VLOOKUP($B749,FoodDB!$A$2:$I$1011,4,0)</f>
        <v>0</v>
      </c>
      <c r="F749">
        <f>$C749*VLOOKUP($B749,FoodDB!$A$2:$I$1011,5,0)</f>
        <v>0</v>
      </c>
      <c r="G749">
        <f>$C749*VLOOKUP($B749,FoodDB!$A$2:$I$1011,6,0)</f>
        <v>0</v>
      </c>
      <c r="H749">
        <f>$C749*VLOOKUP($B749,FoodDB!$A$2:$I$1011,7,0)</f>
        <v>0</v>
      </c>
      <c r="I749">
        <f>$C749*VLOOKUP($B749,FoodDB!$A$2:$I$1011,8,0)</f>
        <v>0</v>
      </c>
      <c r="J749">
        <f>$C749*VLOOKUP($B749,FoodDB!$A$2:$I$1011,9,0)</f>
        <v>0</v>
      </c>
    </row>
    <row r="750" spans="1:19" x14ac:dyDescent="0.25">
      <c r="B750" s="94" t="s">
        <v>107</v>
      </c>
      <c r="C750" s="95">
        <v>0</v>
      </c>
      <c r="D750">
        <f>$C750*VLOOKUP($B750,FoodDB!$A$2:$I$1011,3,0)</f>
        <v>0</v>
      </c>
      <c r="E750">
        <f>$C750*VLOOKUP($B750,FoodDB!$A$2:$I$1011,4,0)</f>
        <v>0</v>
      </c>
      <c r="F750">
        <f>$C750*VLOOKUP($B750,FoodDB!$A$2:$I$1011,5,0)</f>
        <v>0</v>
      </c>
      <c r="G750">
        <f>$C750*VLOOKUP($B750,FoodDB!$A$2:$I$1011,6,0)</f>
        <v>0</v>
      </c>
      <c r="H750">
        <f>$C750*VLOOKUP($B750,FoodDB!$A$2:$I$1011,7,0)</f>
        <v>0</v>
      </c>
      <c r="I750">
        <f>$C750*VLOOKUP($B750,FoodDB!$A$2:$I$1011,8,0)</f>
        <v>0</v>
      </c>
      <c r="J750">
        <f>$C750*VLOOKUP($B750,FoodDB!$A$2:$I$1011,9,0)</f>
        <v>0</v>
      </c>
    </row>
    <row r="751" spans="1:19" x14ac:dyDescent="0.25">
      <c r="A751" t="s">
        <v>97</v>
      </c>
      <c r="G751">
        <f>SUM(G744:G750)</f>
        <v>0</v>
      </c>
      <c r="H751">
        <f>SUM(H744:H750)</f>
        <v>0</v>
      </c>
      <c r="I751">
        <f>SUM(I744:I750)</f>
        <v>0</v>
      </c>
      <c r="J751">
        <f>SUM(G751:I751)</f>
        <v>0</v>
      </c>
    </row>
    <row r="752" spans="1:19" x14ac:dyDescent="0.25">
      <c r="A752" t="s">
        <v>101</v>
      </c>
      <c r="B752" t="s">
        <v>102</v>
      </c>
      <c r="E752" s="98"/>
      <c r="F752" s="98"/>
      <c r="G752" s="98">
        <f>VLOOKUP($A744,LossChart!$A$3:$AB$105,14,0)</f>
        <v>757.97069893517323</v>
      </c>
      <c r="H752" s="98">
        <f>VLOOKUP($A744,LossChart!$A$3:$AB$105,15,0)</f>
        <v>80</v>
      </c>
      <c r="I752" s="98">
        <f>VLOOKUP($A744,LossChart!$A$3:$AB$105,16,0)</f>
        <v>482.47465271142238</v>
      </c>
      <c r="J752" s="98">
        <f>VLOOKUP($A744,LossChart!$A$3:$AB$105,17,0)</f>
        <v>1320.4453516465956</v>
      </c>
      <c r="K752" s="98"/>
    </row>
    <row r="753" spans="1:19" x14ac:dyDescent="0.25">
      <c r="A753" t="s">
        <v>103</v>
      </c>
      <c r="G753">
        <f>G752-G751</f>
        <v>757.97069893517323</v>
      </c>
      <c r="H753">
        <f>H752-H751</f>
        <v>80</v>
      </c>
      <c r="I753">
        <f>I752-I751</f>
        <v>482.47465271142238</v>
      </c>
      <c r="J753">
        <f>J752-J751</f>
        <v>1320.4453516465956</v>
      </c>
    </row>
    <row r="755" spans="1:19" ht="60" x14ac:dyDescent="0.25">
      <c r="A755" s="21" t="s">
        <v>63</v>
      </c>
      <c r="B755" s="21" t="s">
        <v>92</v>
      </c>
      <c r="C755" s="21" t="s">
        <v>93</v>
      </c>
      <c r="D755" s="92" t="str">
        <f>FoodDB!$C$1</f>
        <v>Fat
(g)</v>
      </c>
      <c r="E755" s="92" t="str">
        <f>FoodDB!$D$1</f>
        <v xml:space="preserve"> Carbs
(g)</v>
      </c>
      <c r="F755" s="92" t="str">
        <f>FoodDB!$E$1</f>
        <v>Protein
(g)</v>
      </c>
      <c r="G755" s="92" t="str">
        <f>FoodDB!$F$1</f>
        <v>Fat
(Cal)</v>
      </c>
      <c r="H755" s="92" t="str">
        <f>FoodDB!$G$1</f>
        <v>Carb
(Cal)</v>
      </c>
      <c r="I755" s="92" t="str">
        <f>FoodDB!$H$1</f>
        <v>Protein
(Cal)</v>
      </c>
      <c r="J755" s="92" t="str">
        <f>FoodDB!$I$1</f>
        <v>Total
Calories</v>
      </c>
      <c r="K755" s="92"/>
      <c r="L755" s="92" t="s">
        <v>109</v>
      </c>
      <c r="M755" s="92" t="s">
        <v>110</v>
      </c>
      <c r="N755" s="92" t="s">
        <v>111</v>
      </c>
      <c r="O755" s="92" t="s">
        <v>112</v>
      </c>
      <c r="P755" s="92" t="s">
        <v>117</v>
      </c>
      <c r="Q755" s="92" t="s">
        <v>118</v>
      </c>
      <c r="R755" s="92" t="s">
        <v>119</v>
      </c>
      <c r="S755" s="92" t="s">
        <v>120</v>
      </c>
    </row>
    <row r="756" spans="1:19" x14ac:dyDescent="0.25">
      <c r="A756" s="93">
        <f>A744+1</f>
        <v>43057</v>
      </c>
      <c r="B756" s="94" t="s">
        <v>107</v>
      </c>
      <c r="C756" s="95">
        <v>0</v>
      </c>
      <c r="D756">
        <f>$C756*VLOOKUP($B756,FoodDB!$A$2:$I$1011,3,0)</f>
        <v>0</v>
      </c>
      <c r="E756">
        <f>$C756*VLOOKUP($B756,FoodDB!$A$2:$I$1011,4,0)</f>
        <v>0</v>
      </c>
      <c r="F756">
        <f>$C756*VLOOKUP($B756,FoodDB!$A$2:$I$1011,5,0)</f>
        <v>0</v>
      </c>
      <c r="G756">
        <f>$C756*VLOOKUP($B756,FoodDB!$A$2:$I$1011,6,0)</f>
        <v>0</v>
      </c>
      <c r="H756">
        <f>$C756*VLOOKUP($B756,FoodDB!$A$2:$I$1011,7,0)</f>
        <v>0</v>
      </c>
      <c r="I756">
        <f>$C756*VLOOKUP($B756,FoodDB!$A$2:$I$1011,8,0)</f>
        <v>0</v>
      </c>
      <c r="J756">
        <f>$C756*VLOOKUP($B756,FoodDB!$A$2:$I$1011,9,0)</f>
        <v>0</v>
      </c>
      <c r="L756">
        <f>SUM(G756:G762)</f>
        <v>0</v>
      </c>
      <c r="M756">
        <f>SUM(H756:H762)</f>
        <v>0</v>
      </c>
      <c r="N756">
        <f>SUM(I756:I762)</f>
        <v>0</v>
      </c>
      <c r="O756">
        <f>SUM(L756:N756)</f>
        <v>0</v>
      </c>
      <c r="P756" s="98">
        <f>VLOOKUP($A756,LossChart!$A$3:$AB$105,14,0)-L756</f>
        <v>762.89197219167272</v>
      </c>
      <c r="Q756" s="98">
        <f>VLOOKUP($A756,LossChart!$A$3:$AB$105,15,0)-M756</f>
        <v>80</v>
      </c>
      <c r="R756" s="98">
        <f>VLOOKUP($A756,LossChart!$A$3:$AB$105,16,0)-N756</f>
        <v>482.47465271142238</v>
      </c>
      <c r="S756" s="98">
        <f>VLOOKUP($A756,LossChart!$A$3:$AB$105,17,0)-O756</f>
        <v>1325.366624903095</v>
      </c>
    </row>
    <row r="757" spans="1:19" x14ac:dyDescent="0.25">
      <c r="B757" s="94" t="s">
        <v>107</v>
      </c>
      <c r="C757" s="95">
        <v>0</v>
      </c>
      <c r="D757">
        <f>$C757*VLOOKUP($B757,FoodDB!$A$2:$I$1011,3,0)</f>
        <v>0</v>
      </c>
      <c r="E757">
        <f>$C757*VLOOKUP($B757,FoodDB!$A$2:$I$1011,4,0)</f>
        <v>0</v>
      </c>
      <c r="F757">
        <f>$C757*VLOOKUP($B757,FoodDB!$A$2:$I$1011,5,0)</f>
        <v>0</v>
      </c>
      <c r="G757">
        <f>$C757*VLOOKUP($B757,FoodDB!$A$2:$I$1011,6,0)</f>
        <v>0</v>
      </c>
      <c r="H757">
        <f>$C757*VLOOKUP($B757,FoodDB!$A$2:$I$1011,7,0)</f>
        <v>0</v>
      </c>
      <c r="I757">
        <f>$C757*VLOOKUP($B757,FoodDB!$A$2:$I$1011,8,0)</f>
        <v>0</v>
      </c>
      <c r="J757">
        <f>$C757*VLOOKUP($B757,FoodDB!$A$2:$I$1011,9,0)</f>
        <v>0</v>
      </c>
    </row>
    <row r="758" spans="1:19" x14ac:dyDescent="0.25">
      <c r="B758" s="94" t="s">
        <v>107</v>
      </c>
      <c r="C758" s="95">
        <v>0</v>
      </c>
      <c r="D758">
        <f>$C758*VLOOKUP($B758,FoodDB!$A$2:$I$1011,3,0)</f>
        <v>0</v>
      </c>
      <c r="E758">
        <f>$C758*VLOOKUP($B758,FoodDB!$A$2:$I$1011,4,0)</f>
        <v>0</v>
      </c>
      <c r="F758">
        <f>$C758*VLOOKUP($B758,FoodDB!$A$2:$I$1011,5,0)</f>
        <v>0</v>
      </c>
      <c r="G758">
        <f>$C758*VLOOKUP($B758,FoodDB!$A$2:$I$1011,6,0)</f>
        <v>0</v>
      </c>
      <c r="H758">
        <f>$C758*VLOOKUP($B758,FoodDB!$A$2:$I$1011,7,0)</f>
        <v>0</v>
      </c>
      <c r="I758">
        <f>$C758*VLOOKUP($B758,FoodDB!$A$2:$I$1011,8,0)</f>
        <v>0</v>
      </c>
      <c r="J758">
        <f>$C758*VLOOKUP($B758,FoodDB!$A$2:$I$1011,9,0)</f>
        <v>0</v>
      </c>
    </row>
    <row r="759" spans="1:19" x14ac:dyDescent="0.25">
      <c r="B759" s="94" t="s">
        <v>107</v>
      </c>
      <c r="C759" s="95">
        <v>0</v>
      </c>
      <c r="D759">
        <f>$C759*VLOOKUP($B759,FoodDB!$A$2:$I$1011,3,0)</f>
        <v>0</v>
      </c>
      <c r="E759">
        <f>$C759*VLOOKUP($B759,FoodDB!$A$2:$I$1011,4,0)</f>
        <v>0</v>
      </c>
      <c r="F759">
        <f>$C759*VLOOKUP($B759,FoodDB!$A$2:$I$1011,5,0)</f>
        <v>0</v>
      </c>
      <c r="G759">
        <f>$C759*VLOOKUP($B759,FoodDB!$A$2:$I$1011,6,0)</f>
        <v>0</v>
      </c>
      <c r="H759">
        <f>$C759*VLOOKUP($B759,FoodDB!$A$2:$I$1011,7,0)</f>
        <v>0</v>
      </c>
      <c r="I759">
        <f>$C759*VLOOKUP($B759,FoodDB!$A$2:$I$1011,8,0)</f>
        <v>0</v>
      </c>
      <c r="J759">
        <f>$C759*VLOOKUP($B759,FoodDB!$A$2:$I$1011,9,0)</f>
        <v>0</v>
      </c>
    </row>
    <row r="760" spans="1:19" x14ac:dyDescent="0.25">
      <c r="B760" s="94" t="s">
        <v>107</v>
      </c>
      <c r="C760" s="95">
        <v>0</v>
      </c>
      <c r="D760">
        <f>$C760*VLOOKUP($B760,FoodDB!$A$2:$I$1011,3,0)</f>
        <v>0</v>
      </c>
      <c r="E760">
        <f>$C760*VLOOKUP($B760,FoodDB!$A$2:$I$1011,4,0)</f>
        <v>0</v>
      </c>
      <c r="F760">
        <f>$C760*VLOOKUP($B760,FoodDB!$A$2:$I$1011,5,0)</f>
        <v>0</v>
      </c>
      <c r="G760">
        <f>$C760*VLOOKUP($B760,FoodDB!$A$2:$I$1011,6,0)</f>
        <v>0</v>
      </c>
      <c r="H760">
        <f>$C760*VLOOKUP($B760,FoodDB!$A$2:$I$1011,7,0)</f>
        <v>0</v>
      </c>
      <c r="I760">
        <f>$C760*VLOOKUP($B760,FoodDB!$A$2:$I$1011,8,0)</f>
        <v>0</v>
      </c>
      <c r="J760">
        <f>$C760*VLOOKUP($B760,FoodDB!$A$2:$I$1011,9,0)</f>
        <v>0</v>
      </c>
    </row>
    <row r="761" spans="1:19" x14ac:dyDescent="0.25">
      <c r="B761" s="94" t="s">
        <v>107</v>
      </c>
      <c r="C761" s="95">
        <v>0</v>
      </c>
      <c r="D761">
        <f>$C761*VLOOKUP($B761,FoodDB!$A$2:$I$1011,3,0)</f>
        <v>0</v>
      </c>
      <c r="E761">
        <f>$C761*VLOOKUP($B761,FoodDB!$A$2:$I$1011,4,0)</f>
        <v>0</v>
      </c>
      <c r="F761">
        <f>$C761*VLOOKUP($B761,FoodDB!$A$2:$I$1011,5,0)</f>
        <v>0</v>
      </c>
      <c r="G761">
        <f>$C761*VLOOKUP($B761,FoodDB!$A$2:$I$1011,6,0)</f>
        <v>0</v>
      </c>
      <c r="H761">
        <f>$C761*VLOOKUP($B761,FoodDB!$A$2:$I$1011,7,0)</f>
        <v>0</v>
      </c>
      <c r="I761">
        <f>$C761*VLOOKUP($B761,FoodDB!$A$2:$I$1011,8,0)</f>
        <v>0</v>
      </c>
      <c r="J761">
        <f>$C761*VLOOKUP($B761,FoodDB!$A$2:$I$1011,9,0)</f>
        <v>0</v>
      </c>
    </row>
    <row r="762" spans="1:19" x14ac:dyDescent="0.25">
      <c r="B762" s="94" t="s">
        <v>107</v>
      </c>
      <c r="C762" s="95">
        <v>0</v>
      </c>
      <c r="D762">
        <f>$C762*VLOOKUP($B762,FoodDB!$A$2:$I$1011,3,0)</f>
        <v>0</v>
      </c>
      <c r="E762">
        <f>$C762*VLOOKUP($B762,FoodDB!$A$2:$I$1011,4,0)</f>
        <v>0</v>
      </c>
      <c r="F762">
        <f>$C762*VLOOKUP($B762,FoodDB!$A$2:$I$1011,5,0)</f>
        <v>0</v>
      </c>
      <c r="G762">
        <f>$C762*VLOOKUP($B762,FoodDB!$A$2:$I$1011,6,0)</f>
        <v>0</v>
      </c>
      <c r="H762">
        <f>$C762*VLOOKUP($B762,FoodDB!$A$2:$I$1011,7,0)</f>
        <v>0</v>
      </c>
      <c r="I762">
        <f>$C762*VLOOKUP($B762,FoodDB!$A$2:$I$1011,8,0)</f>
        <v>0</v>
      </c>
      <c r="J762">
        <f>$C762*VLOOKUP($B762,FoodDB!$A$2:$I$1011,9,0)</f>
        <v>0</v>
      </c>
    </row>
    <row r="763" spans="1:19" x14ac:dyDescent="0.25">
      <c r="A763" t="s">
        <v>97</v>
      </c>
      <c r="G763">
        <f>SUM(G756:G762)</f>
        <v>0</v>
      </c>
      <c r="H763">
        <f>SUM(H756:H762)</f>
        <v>0</v>
      </c>
      <c r="I763">
        <f>SUM(I756:I762)</f>
        <v>0</v>
      </c>
      <c r="J763">
        <f>SUM(G763:I763)</f>
        <v>0</v>
      </c>
    </row>
    <row r="764" spans="1:19" x14ac:dyDescent="0.25">
      <c r="A764" t="s">
        <v>101</v>
      </c>
      <c r="B764" t="s">
        <v>102</v>
      </c>
      <c r="E764" s="98"/>
      <c r="F764" s="98"/>
      <c r="G764" s="98">
        <f>VLOOKUP($A756,LossChart!$A$3:$AB$105,14,0)</f>
        <v>762.89197219167272</v>
      </c>
      <c r="H764" s="98">
        <f>VLOOKUP($A756,LossChart!$A$3:$AB$105,15,0)</f>
        <v>80</v>
      </c>
      <c r="I764" s="98">
        <f>VLOOKUP($A756,LossChart!$A$3:$AB$105,16,0)</f>
        <v>482.47465271142238</v>
      </c>
      <c r="J764" s="98">
        <f>VLOOKUP($A756,LossChart!$A$3:$AB$105,17,0)</f>
        <v>1325.366624903095</v>
      </c>
      <c r="K764" s="98"/>
    </row>
    <row r="765" spans="1:19" x14ac:dyDescent="0.25">
      <c r="A765" t="s">
        <v>103</v>
      </c>
      <c r="G765">
        <f>G764-G763</f>
        <v>762.89197219167272</v>
      </c>
      <c r="H765">
        <f>H764-H763</f>
        <v>80</v>
      </c>
      <c r="I765">
        <f>I764-I763</f>
        <v>482.47465271142238</v>
      </c>
      <c r="J765">
        <f>J764-J763</f>
        <v>1325.366624903095</v>
      </c>
    </row>
    <row r="767" spans="1:19" ht="60" x14ac:dyDescent="0.25">
      <c r="A767" s="21" t="s">
        <v>63</v>
      </c>
      <c r="B767" s="21" t="s">
        <v>92</v>
      </c>
      <c r="C767" s="21" t="s">
        <v>93</v>
      </c>
      <c r="D767" s="92" t="str">
        <f>FoodDB!$C$1</f>
        <v>Fat
(g)</v>
      </c>
      <c r="E767" s="92" t="str">
        <f>FoodDB!$D$1</f>
        <v xml:space="preserve"> Carbs
(g)</v>
      </c>
      <c r="F767" s="92" t="str">
        <f>FoodDB!$E$1</f>
        <v>Protein
(g)</v>
      </c>
      <c r="G767" s="92" t="str">
        <f>FoodDB!$F$1</f>
        <v>Fat
(Cal)</v>
      </c>
      <c r="H767" s="92" t="str">
        <f>FoodDB!$G$1</f>
        <v>Carb
(Cal)</v>
      </c>
      <c r="I767" s="92" t="str">
        <f>FoodDB!$H$1</f>
        <v>Protein
(Cal)</v>
      </c>
      <c r="J767" s="92" t="str">
        <f>FoodDB!$I$1</f>
        <v>Total
Calories</v>
      </c>
      <c r="K767" s="92"/>
      <c r="L767" s="92" t="s">
        <v>109</v>
      </c>
      <c r="M767" s="92" t="s">
        <v>110</v>
      </c>
      <c r="N767" s="92" t="s">
        <v>111</v>
      </c>
      <c r="O767" s="92" t="s">
        <v>112</v>
      </c>
      <c r="P767" s="92" t="s">
        <v>117</v>
      </c>
      <c r="Q767" s="92" t="s">
        <v>118</v>
      </c>
      <c r="R767" s="92" t="s">
        <v>119</v>
      </c>
      <c r="S767" s="92" t="s">
        <v>120</v>
      </c>
    </row>
    <row r="768" spans="1:19" x14ac:dyDescent="0.25">
      <c r="A768" s="93">
        <f>A756+1</f>
        <v>43058</v>
      </c>
      <c r="B768" s="94" t="s">
        <v>107</v>
      </c>
      <c r="C768" s="95">
        <v>0</v>
      </c>
      <c r="D768">
        <f>$C768*VLOOKUP($B768,FoodDB!$A$2:$I$1011,3,0)</f>
        <v>0</v>
      </c>
      <c r="E768">
        <f>$C768*VLOOKUP($B768,FoodDB!$A$2:$I$1011,4,0)</f>
        <v>0</v>
      </c>
      <c r="F768">
        <f>$C768*VLOOKUP($B768,FoodDB!$A$2:$I$1011,5,0)</f>
        <v>0</v>
      </c>
      <c r="G768">
        <f>$C768*VLOOKUP($B768,FoodDB!$A$2:$I$1011,6,0)</f>
        <v>0</v>
      </c>
      <c r="H768">
        <f>$C768*VLOOKUP($B768,FoodDB!$A$2:$I$1011,7,0)</f>
        <v>0</v>
      </c>
      <c r="I768">
        <f>$C768*VLOOKUP($B768,FoodDB!$A$2:$I$1011,8,0)</f>
        <v>0</v>
      </c>
      <c r="J768">
        <f>$C768*VLOOKUP($B768,FoodDB!$A$2:$I$1011,9,0)</f>
        <v>0</v>
      </c>
      <c r="L768">
        <f>SUM(G768:G774)</f>
        <v>0</v>
      </c>
      <c r="M768">
        <f>SUM(H768:H774)</f>
        <v>0</v>
      </c>
      <c r="N768">
        <f>SUM(I768:I774)</f>
        <v>0</v>
      </c>
      <c r="O768">
        <f>SUM(L768:N768)</f>
        <v>0</v>
      </c>
      <c r="P768" s="98">
        <f>VLOOKUP($A768,LossChart!$A$3:$AB$105,14,0)-L768</f>
        <v>767.76965702790062</v>
      </c>
      <c r="Q768" s="98">
        <f>VLOOKUP($A768,LossChart!$A$3:$AB$105,15,0)-M768</f>
        <v>80</v>
      </c>
      <c r="R768" s="98">
        <f>VLOOKUP($A768,LossChart!$A$3:$AB$105,16,0)-N768</f>
        <v>482.47465271142238</v>
      </c>
      <c r="S768" s="98">
        <f>VLOOKUP($A768,LossChart!$A$3:$AB$105,17,0)-O768</f>
        <v>1330.2443097393229</v>
      </c>
    </row>
    <row r="769" spans="1:19" x14ac:dyDescent="0.25">
      <c r="B769" s="94" t="s">
        <v>107</v>
      </c>
      <c r="C769" s="95">
        <v>0</v>
      </c>
      <c r="D769">
        <f>$C769*VLOOKUP($B769,FoodDB!$A$2:$I$1011,3,0)</f>
        <v>0</v>
      </c>
      <c r="E769">
        <f>$C769*VLOOKUP($B769,FoodDB!$A$2:$I$1011,4,0)</f>
        <v>0</v>
      </c>
      <c r="F769">
        <f>$C769*VLOOKUP($B769,FoodDB!$A$2:$I$1011,5,0)</f>
        <v>0</v>
      </c>
      <c r="G769">
        <f>$C769*VLOOKUP($B769,FoodDB!$A$2:$I$1011,6,0)</f>
        <v>0</v>
      </c>
      <c r="H769">
        <f>$C769*VLOOKUP($B769,FoodDB!$A$2:$I$1011,7,0)</f>
        <v>0</v>
      </c>
      <c r="I769">
        <f>$C769*VLOOKUP($B769,FoodDB!$A$2:$I$1011,8,0)</f>
        <v>0</v>
      </c>
      <c r="J769">
        <f>$C769*VLOOKUP($B769,FoodDB!$A$2:$I$1011,9,0)</f>
        <v>0</v>
      </c>
    </row>
    <row r="770" spans="1:19" x14ac:dyDescent="0.25">
      <c r="B770" s="94" t="s">
        <v>107</v>
      </c>
      <c r="C770" s="95">
        <v>0</v>
      </c>
      <c r="D770">
        <f>$C770*VLOOKUP($B770,FoodDB!$A$2:$I$1011,3,0)</f>
        <v>0</v>
      </c>
      <c r="E770">
        <f>$C770*VLOOKUP($B770,FoodDB!$A$2:$I$1011,4,0)</f>
        <v>0</v>
      </c>
      <c r="F770">
        <f>$C770*VLOOKUP($B770,FoodDB!$A$2:$I$1011,5,0)</f>
        <v>0</v>
      </c>
      <c r="G770">
        <f>$C770*VLOOKUP($B770,FoodDB!$A$2:$I$1011,6,0)</f>
        <v>0</v>
      </c>
      <c r="H770">
        <f>$C770*VLOOKUP($B770,FoodDB!$A$2:$I$1011,7,0)</f>
        <v>0</v>
      </c>
      <c r="I770">
        <f>$C770*VLOOKUP($B770,FoodDB!$A$2:$I$1011,8,0)</f>
        <v>0</v>
      </c>
      <c r="J770">
        <f>$C770*VLOOKUP($B770,FoodDB!$A$2:$I$1011,9,0)</f>
        <v>0</v>
      </c>
    </row>
    <row r="771" spans="1:19" x14ac:dyDescent="0.25">
      <c r="B771" s="94" t="s">
        <v>107</v>
      </c>
      <c r="C771" s="95">
        <v>0</v>
      </c>
      <c r="D771">
        <f>$C771*VLOOKUP($B771,FoodDB!$A$2:$I$1011,3,0)</f>
        <v>0</v>
      </c>
      <c r="E771">
        <f>$C771*VLOOKUP($B771,FoodDB!$A$2:$I$1011,4,0)</f>
        <v>0</v>
      </c>
      <c r="F771">
        <f>$C771*VLOOKUP($B771,FoodDB!$A$2:$I$1011,5,0)</f>
        <v>0</v>
      </c>
      <c r="G771">
        <f>$C771*VLOOKUP($B771,FoodDB!$A$2:$I$1011,6,0)</f>
        <v>0</v>
      </c>
      <c r="H771">
        <f>$C771*VLOOKUP($B771,FoodDB!$A$2:$I$1011,7,0)</f>
        <v>0</v>
      </c>
      <c r="I771">
        <f>$C771*VLOOKUP($B771,FoodDB!$A$2:$I$1011,8,0)</f>
        <v>0</v>
      </c>
      <c r="J771">
        <f>$C771*VLOOKUP($B771,FoodDB!$A$2:$I$1011,9,0)</f>
        <v>0</v>
      </c>
    </row>
    <row r="772" spans="1:19" x14ac:dyDescent="0.25">
      <c r="B772" s="94" t="s">
        <v>107</v>
      </c>
      <c r="C772" s="95">
        <v>0</v>
      </c>
      <c r="D772">
        <f>$C772*VLOOKUP($B772,FoodDB!$A$2:$I$1011,3,0)</f>
        <v>0</v>
      </c>
      <c r="E772">
        <f>$C772*VLOOKUP($B772,FoodDB!$A$2:$I$1011,4,0)</f>
        <v>0</v>
      </c>
      <c r="F772">
        <f>$C772*VLOOKUP($B772,FoodDB!$A$2:$I$1011,5,0)</f>
        <v>0</v>
      </c>
      <c r="G772">
        <f>$C772*VLOOKUP($B772,FoodDB!$A$2:$I$1011,6,0)</f>
        <v>0</v>
      </c>
      <c r="H772">
        <f>$C772*VLOOKUP($B772,FoodDB!$A$2:$I$1011,7,0)</f>
        <v>0</v>
      </c>
      <c r="I772">
        <f>$C772*VLOOKUP($B772,FoodDB!$A$2:$I$1011,8,0)</f>
        <v>0</v>
      </c>
      <c r="J772">
        <f>$C772*VLOOKUP($B772,FoodDB!$A$2:$I$1011,9,0)</f>
        <v>0</v>
      </c>
    </row>
    <row r="773" spans="1:19" x14ac:dyDescent="0.25">
      <c r="B773" s="94" t="s">
        <v>107</v>
      </c>
      <c r="C773" s="95">
        <v>0</v>
      </c>
      <c r="D773">
        <f>$C773*VLOOKUP($B773,FoodDB!$A$2:$I$1011,3,0)</f>
        <v>0</v>
      </c>
      <c r="E773">
        <f>$C773*VLOOKUP($B773,FoodDB!$A$2:$I$1011,4,0)</f>
        <v>0</v>
      </c>
      <c r="F773">
        <f>$C773*VLOOKUP($B773,FoodDB!$A$2:$I$1011,5,0)</f>
        <v>0</v>
      </c>
      <c r="G773">
        <f>$C773*VLOOKUP($B773,FoodDB!$A$2:$I$1011,6,0)</f>
        <v>0</v>
      </c>
      <c r="H773">
        <f>$C773*VLOOKUP($B773,FoodDB!$A$2:$I$1011,7,0)</f>
        <v>0</v>
      </c>
      <c r="I773">
        <f>$C773*VLOOKUP($B773,FoodDB!$A$2:$I$1011,8,0)</f>
        <v>0</v>
      </c>
      <c r="J773">
        <f>$C773*VLOOKUP($B773,FoodDB!$A$2:$I$1011,9,0)</f>
        <v>0</v>
      </c>
    </row>
    <row r="774" spans="1:19" x14ac:dyDescent="0.25">
      <c r="B774" s="94" t="s">
        <v>107</v>
      </c>
      <c r="C774" s="95">
        <v>0</v>
      </c>
      <c r="D774">
        <f>$C774*VLOOKUP($B774,FoodDB!$A$2:$I$1011,3,0)</f>
        <v>0</v>
      </c>
      <c r="E774">
        <f>$C774*VLOOKUP($B774,FoodDB!$A$2:$I$1011,4,0)</f>
        <v>0</v>
      </c>
      <c r="F774">
        <f>$C774*VLOOKUP($B774,FoodDB!$A$2:$I$1011,5,0)</f>
        <v>0</v>
      </c>
      <c r="G774">
        <f>$C774*VLOOKUP($B774,FoodDB!$A$2:$I$1011,6,0)</f>
        <v>0</v>
      </c>
      <c r="H774">
        <f>$C774*VLOOKUP($B774,FoodDB!$A$2:$I$1011,7,0)</f>
        <v>0</v>
      </c>
      <c r="I774">
        <f>$C774*VLOOKUP($B774,FoodDB!$A$2:$I$1011,8,0)</f>
        <v>0</v>
      </c>
      <c r="J774">
        <f>$C774*VLOOKUP($B774,FoodDB!$A$2:$I$1011,9,0)</f>
        <v>0</v>
      </c>
    </row>
    <row r="775" spans="1:19" x14ac:dyDescent="0.25">
      <c r="A775" t="s">
        <v>97</v>
      </c>
      <c r="G775">
        <f>SUM(G768:G774)</f>
        <v>0</v>
      </c>
      <c r="H775">
        <f>SUM(H768:H774)</f>
        <v>0</v>
      </c>
      <c r="I775">
        <f>SUM(I768:I774)</f>
        <v>0</v>
      </c>
      <c r="J775">
        <f>SUM(G775:I775)</f>
        <v>0</v>
      </c>
    </row>
    <row r="776" spans="1:19" x14ac:dyDescent="0.25">
      <c r="A776" t="s">
        <v>101</v>
      </c>
      <c r="B776" t="s">
        <v>102</v>
      </c>
      <c r="E776" s="98"/>
      <c r="F776" s="98"/>
      <c r="G776" s="98">
        <f>VLOOKUP($A768,LossChart!$A$3:$AB$105,14,0)</f>
        <v>767.76965702790062</v>
      </c>
      <c r="H776" s="98">
        <f>VLOOKUP($A768,LossChart!$A$3:$AB$105,15,0)</f>
        <v>80</v>
      </c>
      <c r="I776" s="98">
        <f>VLOOKUP($A768,LossChart!$A$3:$AB$105,16,0)</f>
        <v>482.47465271142238</v>
      </c>
      <c r="J776" s="98">
        <f>VLOOKUP($A768,LossChart!$A$3:$AB$105,17,0)</f>
        <v>1330.2443097393229</v>
      </c>
      <c r="K776" s="98"/>
    </row>
    <row r="777" spans="1:19" x14ac:dyDescent="0.25">
      <c r="A777" t="s">
        <v>103</v>
      </c>
      <c r="G777">
        <f>G776-G775</f>
        <v>767.76965702790062</v>
      </c>
      <c r="H777">
        <f>H776-H775</f>
        <v>80</v>
      </c>
      <c r="I777">
        <f>I776-I775</f>
        <v>482.47465271142238</v>
      </c>
      <c r="J777">
        <f>J776-J775</f>
        <v>1330.2443097393229</v>
      </c>
    </row>
    <row r="779" spans="1:19" ht="60" x14ac:dyDescent="0.25">
      <c r="A779" s="21" t="s">
        <v>63</v>
      </c>
      <c r="B779" s="21" t="s">
        <v>92</v>
      </c>
      <c r="C779" s="21" t="s">
        <v>93</v>
      </c>
      <c r="D779" s="92" t="str">
        <f>FoodDB!$C$1</f>
        <v>Fat
(g)</v>
      </c>
      <c r="E779" s="92" t="str">
        <f>FoodDB!$D$1</f>
        <v xml:space="preserve"> Carbs
(g)</v>
      </c>
      <c r="F779" s="92" t="str">
        <f>FoodDB!$E$1</f>
        <v>Protein
(g)</v>
      </c>
      <c r="G779" s="92" t="str">
        <f>FoodDB!$F$1</f>
        <v>Fat
(Cal)</v>
      </c>
      <c r="H779" s="92" t="str">
        <f>FoodDB!$G$1</f>
        <v>Carb
(Cal)</v>
      </c>
      <c r="I779" s="92" t="str">
        <f>FoodDB!$H$1</f>
        <v>Protein
(Cal)</v>
      </c>
      <c r="J779" s="92" t="str">
        <f>FoodDB!$I$1</f>
        <v>Total
Calories</v>
      </c>
      <c r="K779" s="92"/>
      <c r="L779" s="92" t="s">
        <v>109</v>
      </c>
      <c r="M779" s="92" t="s">
        <v>110</v>
      </c>
      <c r="N779" s="92" t="s">
        <v>111</v>
      </c>
      <c r="O779" s="92" t="s">
        <v>112</v>
      </c>
      <c r="P779" s="92" t="s">
        <v>117</v>
      </c>
      <c r="Q779" s="92" t="s">
        <v>118</v>
      </c>
      <c r="R779" s="92" t="s">
        <v>119</v>
      </c>
      <c r="S779" s="92" t="s">
        <v>120</v>
      </c>
    </row>
    <row r="780" spans="1:19" x14ac:dyDescent="0.25">
      <c r="A780" s="93">
        <f>A768+1</f>
        <v>43059</v>
      </c>
      <c r="B780" s="94" t="s">
        <v>107</v>
      </c>
      <c r="C780" s="95">
        <v>0</v>
      </c>
      <c r="D780">
        <f>$C780*VLOOKUP($B780,FoodDB!$A$2:$I$1011,3,0)</f>
        <v>0</v>
      </c>
      <c r="E780">
        <f>$C780*VLOOKUP($B780,FoodDB!$A$2:$I$1011,4,0)</f>
        <v>0</v>
      </c>
      <c r="F780">
        <f>$C780*VLOOKUP($B780,FoodDB!$A$2:$I$1011,5,0)</f>
        <v>0</v>
      </c>
      <c r="G780">
        <f>$C780*VLOOKUP($B780,FoodDB!$A$2:$I$1011,6,0)</f>
        <v>0</v>
      </c>
      <c r="H780">
        <f>$C780*VLOOKUP($B780,FoodDB!$A$2:$I$1011,7,0)</f>
        <v>0</v>
      </c>
      <c r="I780">
        <f>$C780*VLOOKUP($B780,FoodDB!$A$2:$I$1011,8,0)</f>
        <v>0</v>
      </c>
      <c r="J780">
        <f>$C780*VLOOKUP($B780,FoodDB!$A$2:$I$1011,9,0)</f>
        <v>0</v>
      </c>
      <c r="L780">
        <f>SUM(G780:G786)</f>
        <v>0</v>
      </c>
      <c r="M780">
        <f>SUM(H780:H786)</f>
        <v>0</v>
      </c>
      <c r="N780">
        <f>SUM(I780:I786)</f>
        <v>0</v>
      </c>
      <c r="O780">
        <f>SUM(L780:N780)</f>
        <v>0</v>
      </c>
      <c r="P780" s="98">
        <f>VLOOKUP($A780,LossChart!$A$3:$AB$105,14,0)-L780</f>
        <v>772.60413951272176</v>
      </c>
      <c r="Q780" s="98">
        <f>VLOOKUP($A780,LossChart!$A$3:$AB$105,15,0)-M780</f>
        <v>80</v>
      </c>
      <c r="R780" s="98">
        <f>VLOOKUP($A780,LossChart!$A$3:$AB$105,16,0)-N780</f>
        <v>482.47465271142238</v>
      </c>
      <c r="S780" s="98">
        <f>VLOOKUP($A780,LossChart!$A$3:$AB$105,17,0)-O780</f>
        <v>1335.0787922241441</v>
      </c>
    </row>
    <row r="781" spans="1:19" x14ac:dyDescent="0.25">
      <c r="B781" s="94" t="s">
        <v>107</v>
      </c>
      <c r="C781" s="95">
        <v>0</v>
      </c>
      <c r="D781">
        <f>$C781*VLOOKUP($B781,FoodDB!$A$2:$I$1011,3,0)</f>
        <v>0</v>
      </c>
      <c r="E781">
        <f>$C781*VLOOKUP($B781,FoodDB!$A$2:$I$1011,4,0)</f>
        <v>0</v>
      </c>
      <c r="F781">
        <f>$C781*VLOOKUP($B781,FoodDB!$A$2:$I$1011,5,0)</f>
        <v>0</v>
      </c>
      <c r="G781">
        <f>$C781*VLOOKUP($B781,FoodDB!$A$2:$I$1011,6,0)</f>
        <v>0</v>
      </c>
      <c r="H781">
        <f>$C781*VLOOKUP($B781,FoodDB!$A$2:$I$1011,7,0)</f>
        <v>0</v>
      </c>
      <c r="I781">
        <f>$C781*VLOOKUP($B781,FoodDB!$A$2:$I$1011,8,0)</f>
        <v>0</v>
      </c>
      <c r="J781">
        <f>$C781*VLOOKUP($B781,FoodDB!$A$2:$I$1011,9,0)</f>
        <v>0</v>
      </c>
    </row>
    <row r="782" spans="1:19" x14ac:dyDescent="0.25">
      <c r="B782" s="94" t="s">
        <v>107</v>
      </c>
      <c r="C782" s="95">
        <v>0</v>
      </c>
      <c r="D782">
        <f>$C782*VLOOKUP($B782,FoodDB!$A$2:$I$1011,3,0)</f>
        <v>0</v>
      </c>
      <c r="E782">
        <f>$C782*VLOOKUP($B782,FoodDB!$A$2:$I$1011,4,0)</f>
        <v>0</v>
      </c>
      <c r="F782">
        <f>$C782*VLOOKUP($B782,FoodDB!$A$2:$I$1011,5,0)</f>
        <v>0</v>
      </c>
      <c r="G782">
        <f>$C782*VLOOKUP($B782,FoodDB!$A$2:$I$1011,6,0)</f>
        <v>0</v>
      </c>
      <c r="H782">
        <f>$C782*VLOOKUP($B782,FoodDB!$A$2:$I$1011,7,0)</f>
        <v>0</v>
      </c>
      <c r="I782">
        <f>$C782*VLOOKUP($B782,FoodDB!$A$2:$I$1011,8,0)</f>
        <v>0</v>
      </c>
      <c r="J782">
        <f>$C782*VLOOKUP($B782,FoodDB!$A$2:$I$1011,9,0)</f>
        <v>0</v>
      </c>
    </row>
    <row r="783" spans="1:19" x14ac:dyDescent="0.25">
      <c r="B783" s="94" t="s">
        <v>107</v>
      </c>
      <c r="C783" s="95">
        <v>0</v>
      </c>
      <c r="D783">
        <f>$C783*VLOOKUP($B783,FoodDB!$A$2:$I$1011,3,0)</f>
        <v>0</v>
      </c>
      <c r="E783">
        <f>$C783*VLOOKUP($B783,FoodDB!$A$2:$I$1011,4,0)</f>
        <v>0</v>
      </c>
      <c r="F783">
        <f>$C783*VLOOKUP($B783,FoodDB!$A$2:$I$1011,5,0)</f>
        <v>0</v>
      </c>
      <c r="G783">
        <f>$C783*VLOOKUP($B783,FoodDB!$A$2:$I$1011,6,0)</f>
        <v>0</v>
      </c>
      <c r="H783">
        <f>$C783*VLOOKUP($B783,FoodDB!$A$2:$I$1011,7,0)</f>
        <v>0</v>
      </c>
      <c r="I783">
        <f>$C783*VLOOKUP($B783,FoodDB!$A$2:$I$1011,8,0)</f>
        <v>0</v>
      </c>
      <c r="J783">
        <f>$C783*VLOOKUP($B783,FoodDB!$A$2:$I$1011,9,0)</f>
        <v>0</v>
      </c>
    </row>
    <row r="784" spans="1:19" x14ac:dyDescent="0.25">
      <c r="B784" s="94" t="s">
        <v>107</v>
      </c>
      <c r="C784" s="95">
        <v>0</v>
      </c>
      <c r="D784">
        <f>$C784*VLOOKUP($B784,FoodDB!$A$2:$I$1011,3,0)</f>
        <v>0</v>
      </c>
      <c r="E784">
        <f>$C784*VLOOKUP($B784,FoodDB!$A$2:$I$1011,4,0)</f>
        <v>0</v>
      </c>
      <c r="F784">
        <f>$C784*VLOOKUP($B784,FoodDB!$A$2:$I$1011,5,0)</f>
        <v>0</v>
      </c>
      <c r="G784">
        <f>$C784*VLOOKUP($B784,FoodDB!$A$2:$I$1011,6,0)</f>
        <v>0</v>
      </c>
      <c r="H784">
        <f>$C784*VLOOKUP($B784,FoodDB!$A$2:$I$1011,7,0)</f>
        <v>0</v>
      </c>
      <c r="I784">
        <f>$C784*VLOOKUP($B784,FoodDB!$A$2:$I$1011,8,0)</f>
        <v>0</v>
      </c>
      <c r="J784">
        <f>$C784*VLOOKUP($B784,FoodDB!$A$2:$I$1011,9,0)</f>
        <v>0</v>
      </c>
    </row>
    <row r="785" spans="1:19" x14ac:dyDescent="0.25">
      <c r="B785" s="94" t="s">
        <v>107</v>
      </c>
      <c r="C785" s="95">
        <v>0</v>
      </c>
      <c r="D785">
        <f>$C785*VLOOKUP($B785,FoodDB!$A$2:$I$1011,3,0)</f>
        <v>0</v>
      </c>
      <c r="E785">
        <f>$C785*VLOOKUP($B785,FoodDB!$A$2:$I$1011,4,0)</f>
        <v>0</v>
      </c>
      <c r="F785">
        <f>$C785*VLOOKUP($B785,FoodDB!$A$2:$I$1011,5,0)</f>
        <v>0</v>
      </c>
      <c r="G785">
        <f>$C785*VLOOKUP($B785,FoodDB!$A$2:$I$1011,6,0)</f>
        <v>0</v>
      </c>
      <c r="H785">
        <f>$C785*VLOOKUP($B785,FoodDB!$A$2:$I$1011,7,0)</f>
        <v>0</v>
      </c>
      <c r="I785">
        <f>$C785*VLOOKUP($B785,FoodDB!$A$2:$I$1011,8,0)</f>
        <v>0</v>
      </c>
      <c r="J785">
        <f>$C785*VLOOKUP($B785,FoodDB!$A$2:$I$1011,9,0)</f>
        <v>0</v>
      </c>
    </row>
    <row r="786" spans="1:19" x14ac:dyDescent="0.25">
      <c r="B786" s="94" t="s">
        <v>107</v>
      </c>
      <c r="C786" s="95">
        <v>0</v>
      </c>
      <c r="D786">
        <f>$C786*VLOOKUP($B786,FoodDB!$A$2:$I$1011,3,0)</f>
        <v>0</v>
      </c>
      <c r="E786">
        <f>$C786*VLOOKUP($B786,FoodDB!$A$2:$I$1011,4,0)</f>
        <v>0</v>
      </c>
      <c r="F786">
        <f>$C786*VLOOKUP($B786,FoodDB!$A$2:$I$1011,5,0)</f>
        <v>0</v>
      </c>
      <c r="G786">
        <f>$C786*VLOOKUP($B786,FoodDB!$A$2:$I$1011,6,0)</f>
        <v>0</v>
      </c>
      <c r="H786">
        <f>$C786*VLOOKUP($B786,FoodDB!$A$2:$I$1011,7,0)</f>
        <v>0</v>
      </c>
      <c r="I786">
        <f>$C786*VLOOKUP($B786,FoodDB!$A$2:$I$1011,8,0)</f>
        <v>0</v>
      </c>
      <c r="J786">
        <f>$C786*VLOOKUP($B786,FoodDB!$A$2:$I$1011,9,0)</f>
        <v>0</v>
      </c>
    </row>
    <row r="787" spans="1:19" x14ac:dyDescent="0.25">
      <c r="A787" t="s">
        <v>97</v>
      </c>
      <c r="G787">
        <f>SUM(G780:G786)</f>
        <v>0</v>
      </c>
      <c r="H787">
        <f>SUM(H780:H786)</f>
        <v>0</v>
      </c>
      <c r="I787">
        <f>SUM(I780:I786)</f>
        <v>0</v>
      </c>
      <c r="J787">
        <f>SUM(G787:I787)</f>
        <v>0</v>
      </c>
    </row>
    <row r="788" spans="1:19" x14ac:dyDescent="0.25">
      <c r="A788" t="s">
        <v>101</v>
      </c>
      <c r="B788" t="s">
        <v>102</v>
      </c>
      <c r="E788" s="98"/>
      <c r="F788" s="98"/>
      <c r="G788" s="98">
        <f>VLOOKUP($A780,LossChart!$A$3:$AB$105,14,0)</f>
        <v>772.60413951272176</v>
      </c>
      <c r="H788" s="98">
        <f>VLOOKUP($A780,LossChart!$A$3:$AB$105,15,0)</f>
        <v>80</v>
      </c>
      <c r="I788" s="98">
        <f>VLOOKUP($A780,LossChart!$A$3:$AB$105,16,0)</f>
        <v>482.47465271142238</v>
      </c>
      <c r="J788" s="98">
        <f>VLOOKUP($A780,LossChart!$A$3:$AB$105,17,0)</f>
        <v>1335.0787922241441</v>
      </c>
      <c r="K788" s="98"/>
    </row>
    <row r="789" spans="1:19" x14ac:dyDescent="0.25">
      <c r="A789" t="s">
        <v>103</v>
      </c>
      <c r="G789">
        <f>G788-G787</f>
        <v>772.60413951272176</v>
      </c>
      <c r="H789">
        <f>H788-H787</f>
        <v>80</v>
      </c>
      <c r="I789">
        <f>I788-I787</f>
        <v>482.47465271142238</v>
      </c>
      <c r="J789">
        <f>J788-J787</f>
        <v>1335.0787922241441</v>
      </c>
    </row>
    <row r="791" spans="1:19" ht="60" x14ac:dyDescent="0.25">
      <c r="A791" s="21" t="s">
        <v>63</v>
      </c>
      <c r="B791" s="21" t="s">
        <v>92</v>
      </c>
      <c r="C791" s="21" t="s">
        <v>93</v>
      </c>
      <c r="D791" s="92" t="str">
        <f>FoodDB!$C$1</f>
        <v>Fat
(g)</v>
      </c>
      <c r="E791" s="92" t="str">
        <f>FoodDB!$D$1</f>
        <v xml:space="preserve"> Carbs
(g)</v>
      </c>
      <c r="F791" s="92" t="str">
        <f>FoodDB!$E$1</f>
        <v>Protein
(g)</v>
      </c>
      <c r="G791" s="92" t="str">
        <f>FoodDB!$F$1</f>
        <v>Fat
(Cal)</v>
      </c>
      <c r="H791" s="92" t="str">
        <f>FoodDB!$G$1</f>
        <v>Carb
(Cal)</v>
      </c>
      <c r="I791" s="92" t="str">
        <f>FoodDB!$H$1</f>
        <v>Protein
(Cal)</v>
      </c>
      <c r="J791" s="92" t="str">
        <f>FoodDB!$I$1</f>
        <v>Total
Calories</v>
      </c>
      <c r="K791" s="92"/>
      <c r="L791" s="92" t="s">
        <v>109</v>
      </c>
      <c r="M791" s="92" t="s">
        <v>110</v>
      </c>
      <c r="N791" s="92" t="s">
        <v>111</v>
      </c>
      <c r="O791" s="92" t="s">
        <v>112</v>
      </c>
      <c r="P791" s="92" t="s">
        <v>117</v>
      </c>
      <c r="Q791" s="92" t="s">
        <v>118</v>
      </c>
      <c r="R791" s="92" t="s">
        <v>119</v>
      </c>
      <c r="S791" s="92" t="s">
        <v>120</v>
      </c>
    </row>
    <row r="792" spans="1:19" x14ac:dyDescent="0.25">
      <c r="A792" s="93">
        <f>A780+1</f>
        <v>43060</v>
      </c>
      <c r="B792" s="94" t="s">
        <v>107</v>
      </c>
      <c r="C792" s="95">
        <v>0</v>
      </c>
      <c r="D792">
        <f>$C792*VLOOKUP($B792,FoodDB!$A$2:$I$1011,3,0)</f>
        <v>0</v>
      </c>
      <c r="E792">
        <f>$C792*VLOOKUP($B792,FoodDB!$A$2:$I$1011,4,0)</f>
        <v>0</v>
      </c>
      <c r="F792">
        <f>$C792*VLOOKUP($B792,FoodDB!$A$2:$I$1011,5,0)</f>
        <v>0</v>
      </c>
      <c r="G792">
        <f>$C792*VLOOKUP($B792,FoodDB!$A$2:$I$1011,6,0)</f>
        <v>0</v>
      </c>
      <c r="H792">
        <f>$C792*VLOOKUP($B792,FoodDB!$A$2:$I$1011,7,0)</f>
        <v>0</v>
      </c>
      <c r="I792">
        <f>$C792*VLOOKUP($B792,FoodDB!$A$2:$I$1011,8,0)</f>
        <v>0</v>
      </c>
      <c r="J792">
        <f>$C792*VLOOKUP($B792,FoodDB!$A$2:$I$1011,9,0)</f>
        <v>0</v>
      </c>
      <c r="L792">
        <f>SUM(G792:G798)</f>
        <v>0</v>
      </c>
      <c r="M792">
        <f>SUM(H792:H798)</f>
        <v>0</v>
      </c>
      <c r="N792">
        <f>SUM(I792:I798)</f>
        <v>0</v>
      </c>
      <c r="O792">
        <f>SUM(L792:N792)</f>
        <v>0</v>
      </c>
      <c r="P792" s="98">
        <f>VLOOKUP($A792,LossChart!$A$3:$AB$105,14,0)-L792</f>
        <v>777.39580229553417</v>
      </c>
      <c r="Q792" s="98">
        <f>VLOOKUP($A792,LossChart!$A$3:$AB$105,15,0)-M792</f>
        <v>80</v>
      </c>
      <c r="R792" s="98">
        <f>VLOOKUP($A792,LossChart!$A$3:$AB$105,16,0)-N792</f>
        <v>482.47465271142238</v>
      </c>
      <c r="S792" s="98">
        <f>VLOOKUP($A792,LossChart!$A$3:$AB$105,17,0)-O792</f>
        <v>1339.8704550069565</v>
      </c>
    </row>
    <row r="793" spans="1:19" x14ac:dyDescent="0.25">
      <c r="B793" s="94" t="s">
        <v>107</v>
      </c>
      <c r="C793" s="95">
        <v>0</v>
      </c>
      <c r="D793">
        <f>$C793*VLOOKUP($B793,FoodDB!$A$2:$I$1011,3,0)</f>
        <v>0</v>
      </c>
      <c r="E793">
        <f>$C793*VLOOKUP($B793,FoodDB!$A$2:$I$1011,4,0)</f>
        <v>0</v>
      </c>
      <c r="F793">
        <f>$C793*VLOOKUP($B793,FoodDB!$A$2:$I$1011,5,0)</f>
        <v>0</v>
      </c>
      <c r="G793">
        <f>$C793*VLOOKUP($B793,FoodDB!$A$2:$I$1011,6,0)</f>
        <v>0</v>
      </c>
      <c r="H793">
        <f>$C793*VLOOKUP($B793,FoodDB!$A$2:$I$1011,7,0)</f>
        <v>0</v>
      </c>
      <c r="I793">
        <f>$C793*VLOOKUP($B793,FoodDB!$A$2:$I$1011,8,0)</f>
        <v>0</v>
      </c>
      <c r="J793">
        <f>$C793*VLOOKUP($B793,FoodDB!$A$2:$I$1011,9,0)</f>
        <v>0</v>
      </c>
    </row>
    <row r="794" spans="1:19" x14ac:dyDescent="0.25">
      <c r="B794" s="94" t="s">
        <v>107</v>
      </c>
      <c r="C794" s="95">
        <v>0</v>
      </c>
      <c r="D794">
        <f>$C794*VLOOKUP($B794,FoodDB!$A$2:$I$1011,3,0)</f>
        <v>0</v>
      </c>
      <c r="E794">
        <f>$C794*VLOOKUP($B794,FoodDB!$A$2:$I$1011,4,0)</f>
        <v>0</v>
      </c>
      <c r="F794">
        <f>$C794*VLOOKUP($B794,FoodDB!$A$2:$I$1011,5,0)</f>
        <v>0</v>
      </c>
      <c r="G794">
        <f>$C794*VLOOKUP($B794,FoodDB!$A$2:$I$1011,6,0)</f>
        <v>0</v>
      </c>
      <c r="H794">
        <f>$C794*VLOOKUP($B794,FoodDB!$A$2:$I$1011,7,0)</f>
        <v>0</v>
      </c>
      <c r="I794">
        <f>$C794*VLOOKUP($B794,FoodDB!$A$2:$I$1011,8,0)</f>
        <v>0</v>
      </c>
      <c r="J794">
        <f>$C794*VLOOKUP($B794,FoodDB!$A$2:$I$1011,9,0)</f>
        <v>0</v>
      </c>
    </row>
    <row r="795" spans="1:19" x14ac:dyDescent="0.25">
      <c r="B795" s="94" t="s">
        <v>107</v>
      </c>
      <c r="C795" s="95">
        <v>0</v>
      </c>
      <c r="D795">
        <f>$C795*VLOOKUP($B795,FoodDB!$A$2:$I$1011,3,0)</f>
        <v>0</v>
      </c>
      <c r="E795">
        <f>$C795*VLOOKUP($B795,FoodDB!$A$2:$I$1011,4,0)</f>
        <v>0</v>
      </c>
      <c r="F795">
        <f>$C795*VLOOKUP($B795,FoodDB!$A$2:$I$1011,5,0)</f>
        <v>0</v>
      </c>
      <c r="G795">
        <f>$C795*VLOOKUP($B795,FoodDB!$A$2:$I$1011,6,0)</f>
        <v>0</v>
      </c>
      <c r="H795">
        <f>$C795*VLOOKUP($B795,FoodDB!$A$2:$I$1011,7,0)</f>
        <v>0</v>
      </c>
      <c r="I795">
        <f>$C795*VLOOKUP($B795,FoodDB!$A$2:$I$1011,8,0)</f>
        <v>0</v>
      </c>
      <c r="J795">
        <f>$C795*VLOOKUP($B795,FoodDB!$A$2:$I$1011,9,0)</f>
        <v>0</v>
      </c>
    </row>
    <row r="796" spans="1:19" x14ac:dyDescent="0.25">
      <c r="B796" s="94" t="s">
        <v>107</v>
      </c>
      <c r="C796" s="95">
        <v>0</v>
      </c>
      <c r="D796">
        <f>$C796*VLOOKUP($B796,FoodDB!$A$2:$I$1011,3,0)</f>
        <v>0</v>
      </c>
      <c r="E796">
        <f>$C796*VLOOKUP($B796,FoodDB!$A$2:$I$1011,4,0)</f>
        <v>0</v>
      </c>
      <c r="F796">
        <f>$C796*VLOOKUP($B796,FoodDB!$A$2:$I$1011,5,0)</f>
        <v>0</v>
      </c>
      <c r="G796">
        <f>$C796*VLOOKUP($B796,FoodDB!$A$2:$I$1011,6,0)</f>
        <v>0</v>
      </c>
      <c r="H796">
        <f>$C796*VLOOKUP($B796,FoodDB!$A$2:$I$1011,7,0)</f>
        <v>0</v>
      </c>
      <c r="I796">
        <f>$C796*VLOOKUP($B796,FoodDB!$A$2:$I$1011,8,0)</f>
        <v>0</v>
      </c>
      <c r="J796">
        <f>$C796*VLOOKUP($B796,FoodDB!$A$2:$I$1011,9,0)</f>
        <v>0</v>
      </c>
    </row>
    <row r="797" spans="1:19" x14ac:dyDescent="0.25">
      <c r="B797" s="94" t="s">
        <v>107</v>
      </c>
      <c r="C797" s="95">
        <v>0</v>
      </c>
      <c r="D797">
        <f>$C797*VLOOKUP($B797,FoodDB!$A$2:$I$1011,3,0)</f>
        <v>0</v>
      </c>
      <c r="E797">
        <f>$C797*VLOOKUP($B797,FoodDB!$A$2:$I$1011,4,0)</f>
        <v>0</v>
      </c>
      <c r="F797">
        <f>$C797*VLOOKUP($B797,FoodDB!$A$2:$I$1011,5,0)</f>
        <v>0</v>
      </c>
      <c r="G797">
        <f>$C797*VLOOKUP($B797,FoodDB!$A$2:$I$1011,6,0)</f>
        <v>0</v>
      </c>
      <c r="H797">
        <f>$C797*VLOOKUP($B797,FoodDB!$A$2:$I$1011,7,0)</f>
        <v>0</v>
      </c>
      <c r="I797">
        <f>$C797*VLOOKUP($B797,FoodDB!$A$2:$I$1011,8,0)</f>
        <v>0</v>
      </c>
      <c r="J797">
        <f>$C797*VLOOKUP($B797,FoodDB!$A$2:$I$1011,9,0)</f>
        <v>0</v>
      </c>
    </row>
    <row r="798" spans="1:19" x14ac:dyDescent="0.25">
      <c r="B798" s="94" t="s">
        <v>107</v>
      </c>
      <c r="C798" s="95">
        <v>0</v>
      </c>
      <c r="D798">
        <f>$C798*VLOOKUP($B798,FoodDB!$A$2:$I$1011,3,0)</f>
        <v>0</v>
      </c>
      <c r="E798">
        <f>$C798*VLOOKUP($B798,FoodDB!$A$2:$I$1011,4,0)</f>
        <v>0</v>
      </c>
      <c r="F798">
        <f>$C798*VLOOKUP($B798,FoodDB!$A$2:$I$1011,5,0)</f>
        <v>0</v>
      </c>
      <c r="G798">
        <f>$C798*VLOOKUP($B798,FoodDB!$A$2:$I$1011,6,0)</f>
        <v>0</v>
      </c>
      <c r="H798">
        <f>$C798*VLOOKUP($B798,FoodDB!$A$2:$I$1011,7,0)</f>
        <v>0</v>
      </c>
      <c r="I798">
        <f>$C798*VLOOKUP($B798,FoodDB!$A$2:$I$1011,8,0)</f>
        <v>0</v>
      </c>
      <c r="J798">
        <f>$C798*VLOOKUP($B798,FoodDB!$A$2:$I$1011,9,0)</f>
        <v>0</v>
      </c>
    </row>
    <row r="799" spans="1:19" x14ac:dyDescent="0.25">
      <c r="A799" t="s">
        <v>97</v>
      </c>
      <c r="G799">
        <f>SUM(G792:G798)</f>
        <v>0</v>
      </c>
      <c r="H799">
        <f>SUM(H792:H798)</f>
        <v>0</v>
      </c>
      <c r="I799">
        <f>SUM(I792:I798)</f>
        <v>0</v>
      </c>
      <c r="J799">
        <f>SUM(G799:I799)</f>
        <v>0</v>
      </c>
    </row>
    <row r="800" spans="1:19" x14ac:dyDescent="0.25">
      <c r="A800" t="s">
        <v>101</v>
      </c>
      <c r="B800" t="s">
        <v>102</v>
      </c>
      <c r="E800" s="98"/>
      <c r="F800" s="98"/>
      <c r="G800" s="98">
        <f>VLOOKUP($A792,LossChart!$A$3:$AB$105,14,0)</f>
        <v>777.39580229553417</v>
      </c>
      <c r="H800" s="98">
        <f>VLOOKUP($A792,LossChart!$A$3:$AB$105,15,0)</f>
        <v>80</v>
      </c>
      <c r="I800" s="98">
        <f>VLOOKUP($A792,LossChart!$A$3:$AB$105,16,0)</f>
        <v>482.47465271142238</v>
      </c>
      <c r="J800" s="98">
        <f>VLOOKUP($A792,LossChart!$A$3:$AB$105,17,0)</f>
        <v>1339.8704550069565</v>
      </c>
      <c r="K800" s="98"/>
    </row>
    <row r="801" spans="1:19" x14ac:dyDescent="0.25">
      <c r="A801" t="s">
        <v>103</v>
      </c>
      <c r="G801">
        <f>G800-G799</f>
        <v>777.39580229553417</v>
      </c>
      <c r="H801">
        <f>H800-H799</f>
        <v>80</v>
      </c>
      <c r="I801">
        <f>I800-I799</f>
        <v>482.47465271142238</v>
      </c>
      <c r="J801">
        <f>J800-J799</f>
        <v>1339.8704550069565</v>
      </c>
    </row>
    <row r="803" spans="1:19" ht="60" x14ac:dyDescent="0.25">
      <c r="A803" s="21" t="s">
        <v>63</v>
      </c>
      <c r="B803" s="21" t="s">
        <v>92</v>
      </c>
      <c r="C803" s="21" t="s">
        <v>93</v>
      </c>
      <c r="D803" s="92" t="str">
        <f>FoodDB!$C$1</f>
        <v>Fat
(g)</v>
      </c>
      <c r="E803" s="92" t="str">
        <f>FoodDB!$D$1</f>
        <v xml:space="preserve"> Carbs
(g)</v>
      </c>
      <c r="F803" s="92" t="str">
        <f>FoodDB!$E$1</f>
        <v>Protein
(g)</v>
      </c>
      <c r="G803" s="92" t="str">
        <f>FoodDB!$F$1</f>
        <v>Fat
(Cal)</v>
      </c>
      <c r="H803" s="92" t="str">
        <f>FoodDB!$G$1</f>
        <v>Carb
(Cal)</v>
      </c>
      <c r="I803" s="92" t="str">
        <f>FoodDB!$H$1</f>
        <v>Protein
(Cal)</v>
      </c>
      <c r="J803" s="92" t="str">
        <f>FoodDB!$I$1</f>
        <v>Total
Calories</v>
      </c>
      <c r="K803" s="92"/>
      <c r="L803" s="92" t="s">
        <v>109</v>
      </c>
      <c r="M803" s="92" t="s">
        <v>110</v>
      </c>
      <c r="N803" s="92" t="s">
        <v>111</v>
      </c>
      <c r="O803" s="92" t="s">
        <v>112</v>
      </c>
      <c r="P803" s="92" t="s">
        <v>117</v>
      </c>
      <c r="Q803" s="92" t="s">
        <v>118</v>
      </c>
      <c r="R803" s="92" t="s">
        <v>119</v>
      </c>
      <c r="S803" s="92" t="s">
        <v>120</v>
      </c>
    </row>
    <row r="804" spans="1:19" x14ac:dyDescent="0.25">
      <c r="A804" s="93">
        <f>A792+1</f>
        <v>43061</v>
      </c>
      <c r="B804" s="94" t="s">
        <v>107</v>
      </c>
      <c r="C804" s="95">
        <v>0</v>
      </c>
      <c r="D804">
        <f>$C804*VLOOKUP($B804,FoodDB!$A$2:$I$1011,3,0)</f>
        <v>0</v>
      </c>
      <c r="E804">
        <f>$C804*VLOOKUP($B804,FoodDB!$A$2:$I$1011,4,0)</f>
        <v>0</v>
      </c>
      <c r="F804">
        <f>$C804*VLOOKUP($B804,FoodDB!$A$2:$I$1011,5,0)</f>
        <v>0</v>
      </c>
      <c r="G804">
        <f>$C804*VLOOKUP($B804,FoodDB!$A$2:$I$1011,6,0)</f>
        <v>0</v>
      </c>
      <c r="H804">
        <f>$C804*VLOOKUP($B804,FoodDB!$A$2:$I$1011,7,0)</f>
        <v>0</v>
      </c>
      <c r="I804">
        <f>$C804*VLOOKUP($B804,FoodDB!$A$2:$I$1011,8,0)</f>
        <v>0</v>
      </c>
      <c r="J804">
        <f>$C804*VLOOKUP($B804,FoodDB!$A$2:$I$1011,9,0)</f>
        <v>0</v>
      </c>
      <c r="L804">
        <f>SUM(G804:G810)</f>
        <v>0</v>
      </c>
      <c r="M804">
        <f>SUM(H804:H810)</f>
        <v>0</v>
      </c>
      <c r="N804">
        <f>SUM(I804:I810)</f>
        <v>0</v>
      </c>
      <c r="O804">
        <f>SUM(L804:N804)</f>
        <v>0</v>
      </c>
      <c r="P804" s="98">
        <f>VLOOKUP($A804,LossChart!$A$3:$AB$105,14,0)-L804</f>
        <v>782.14502463655595</v>
      </c>
      <c r="Q804" s="98">
        <f>VLOOKUP($A804,LossChart!$A$3:$AB$105,15,0)-M804</f>
        <v>80</v>
      </c>
      <c r="R804" s="98">
        <f>VLOOKUP($A804,LossChart!$A$3:$AB$105,16,0)-N804</f>
        <v>482.47465271142238</v>
      </c>
      <c r="S804" s="98">
        <f>VLOOKUP($A804,LossChart!$A$3:$AB$105,17,0)-O804</f>
        <v>1344.6196773479783</v>
      </c>
    </row>
    <row r="805" spans="1:19" x14ac:dyDescent="0.25">
      <c r="B805" s="94" t="s">
        <v>107</v>
      </c>
      <c r="C805" s="95">
        <v>0</v>
      </c>
      <c r="D805">
        <f>$C805*VLOOKUP($B805,FoodDB!$A$2:$I$1011,3,0)</f>
        <v>0</v>
      </c>
      <c r="E805">
        <f>$C805*VLOOKUP($B805,FoodDB!$A$2:$I$1011,4,0)</f>
        <v>0</v>
      </c>
      <c r="F805">
        <f>$C805*VLOOKUP($B805,FoodDB!$A$2:$I$1011,5,0)</f>
        <v>0</v>
      </c>
      <c r="G805">
        <f>$C805*VLOOKUP($B805,FoodDB!$A$2:$I$1011,6,0)</f>
        <v>0</v>
      </c>
      <c r="H805">
        <f>$C805*VLOOKUP($B805,FoodDB!$A$2:$I$1011,7,0)</f>
        <v>0</v>
      </c>
      <c r="I805">
        <f>$C805*VLOOKUP($B805,FoodDB!$A$2:$I$1011,8,0)</f>
        <v>0</v>
      </c>
      <c r="J805">
        <f>$C805*VLOOKUP($B805,FoodDB!$A$2:$I$1011,9,0)</f>
        <v>0</v>
      </c>
    </row>
    <row r="806" spans="1:19" x14ac:dyDescent="0.25">
      <c r="B806" s="94" t="s">
        <v>107</v>
      </c>
      <c r="C806" s="95">
        <v>0</v>
      </c>
      <c r="D806">
        <f>$C806*VLOOKUP($B806,FoodDB!$A$2:$I$1011,3,0)</f>
        <v>0</v>
      </c>
      <c r="E806">
        <f>$C806*VLOOKUP($B806,FoodDB!$A$2:$I$1011,4,0)</f>
        <v>0</v>
      </c>
      <c r="F806">
        <f>$C806*VLOOKUP($B806,FoodDB!$A$2:$I$1011,5,0)</f>
        <v>0</v>
      </c>
      <c r="G806">
        <f>$C806*VLOOKUP($B806,FoodDB!$A$2:$I$1011,6,0)</f>
        <v>0</v>
      </c>
      <c r="H806">
        <f>$C806*VLOOKUP($B806,FoodDB!$A$2:$I$1011,7,0)</f>
        <v>0</v>
      </c>
      <c r="I806">
        <f>$C806*VLOOKUP($B806,FoodDB!$A$2:$I$1011,8,0)</f>
        <v>0</v>
      </c>
      <c r="J806">
        <f>$C806*VLOOKUP($B806,FoodDB!$A$2:$I$1011,9,0)</f>
        <v>0</v>
      </c>
    </row>
    <row r="807" spans="1:19" x14ac:dyDescent="0.25">
      <c r="B807" s="94" t="s">
        <v>107</v>
      </c>
      <c r="C807" s="95">
        <v>0</v>
      </c>
      <c r="D807">
        <f>$C807*VLOOKUP($B807,FoodDB!$A$2:$I$1011,3,0)</f>
        <v>0</v>
      </c>
      <c r="E807">
        <f>$C807*VLOOKUP($B807,FoodDB!$A$2:$I$1011,4,0)</f>
        <v>0</v>
      </c>
      <c r="F807">
        <f>$C807*VLOOKUP($B807,FoodDB!$A$2:$I$1011,5,0)</f>
        <v>0</v>
      </c>
      <c r="G807">
        <f>$C807*VLOOKUP($B807,FoodDB!$A$2:$I$1011,6,0)</f>
        <v>0</v>
      </c>
      <c r="H807">
        <f>$C807*VLOOKUP($B807,FoodDB!$A$2:$I$1011,7,0)</f>
        <v>0</v>
      </c>
      <c r="I807">
        <f>$C807*VLOOKUP($B807,FoodDB!$A$2:$I$1011,8,0)</f>
        <v>0</v>
      </c>
      <c r="J807">
        <f>$C807*VLOOKUP($B807,FoodDB!$A$2:$I$1011,9,0)</f>
        <v>0</v>
      </c>
    </row>
    <row r="808" spans="1:19" x14ac:dyDescent="0.25">
      <c r="B808" s="94" t="s">
        <v>107</v>
      </c>
      <c r="C808" s="95">
        <v>0</v>
      </c>
      <c r="D808">
        <f>$C808*VLOOKUP($B808,FoodDB!$A$2:$I$1011,3,0)</f>
        <v>0</v>
      </c>
      <c r="E808">
        <f>$C808*VLOOKUP($B808,FoodDB!$A$2:$I$1011,4,0)</f>
        <v>0</v>
      </c>
      <c r="F808">
        <f>$C808*VLOOKUP($B808,FoodDB!$A$2:$I$1011,5,0)</f>
        <v>0</v>
      </c>
      <c r="G808">
        <f>$C808*VLOOKUP($B808,FoodDB!$A$2:$I$1011,6,0)</f>
        <v>0</v>
      </c>
      <c r="H808">
        <f>$C808*VLOOKUP($B808,FoodDB!$A$2:$I$1011,7,0)</f>
        <v>0</v>
      </c>
      <c r="I808">
        <f>$C808*VLOOKUP($B808,FoodDB!$A$2:$I$1011,8,0)</f>
        <v>0</v>
      </c>
      <c r="J808">
        <f>$C808*VLOOKUP($B808,FoodDB!$A$2:$I$1011,9,0)</f>
        <v>0</v>
      </c>
    </row>
    <row r="809" spans="1:19" x14ac:dyDescent="0.25">
      <c r="B809" s="94" t="s">
        <v>107</v>
      </c>
      <c r="C809" s="95">
        <v>0</v>
      </c>
      <c r="D809">
        <f>$C809*VLOOKUP($B809,FoodDB!$A$2:$I$1011,3,0)</f>
        <v>0</v>
      </c>
      <c r="E809">
        <f>$C809*VLOOKUP($B809,FoodDB!$A$2:$I$1011,4,0)</f>
        <v>0</v>
      </c>
      <c r="F809">
        <f>$C809*VLOOKUP($B809,FoodDB!$A$2:$I$1011,5,0)</f>
        <v>0</v>
      </c>
      <c r="G809">
        <f>$C809*VLOOKUP($B809,FoodDB!$A$2:$I$1011,6,0)</f>
        <v>0</v>
      </c>
      <c r="H809">
        <f>$C809*VLOOKUP($B809,FoodDB!$A$2:$I$1011,7,0)</f>
        <v>0</v>
      </c>
      <c r="I809">
        <f>$C809*VLOOKUP($B809,FoodDB!$A$2:$I$1011,8,0)</f>
        <v>0</v>
      </c>
      <c r="J809">
        <f>$C809*VLOOKUP($B809,FoodDB!$A$2:$I$1011,9,0)</f>
        <v>0</v>
      </c>
    </row>
    <row r="810" spans="1:19" x14ac:dyDescent="0.25">
      <c r="B810" s="94" t="s">
        <v>107</v>
      </c>
      <c r="C810" s="95">
        <v>0</v>
      </c>
      <c r="D810">
        <f>$C810*VLOOKUP($B810,FoodDB!$A$2:$I$1011,3,0)</f>
        <v>0</v>
      </c>
      <c r="E810">
        <f>$C810*VLOOKUP($B810,FoodDB!$A$2:$I$1011,4,0)</f>
        <v>0</v>
      </c>
      <c r="F810">
        <f>$C810*VLOOKUP($B810,FoodDB!$A$2:$I$1011,5,0)</f>
        <v>0</v>
      </c>
      <c r="G810">
        <f>$C810*VLOOKUP($B810,FoodDB!$A$2:$I$1011,6,0)</f>
        <v>0</v>
      </c>
      <c r="H810">
        <f>$C810*VLOOKUP($B810,FoodDB!$A$2:$I$1011,7,0)</f>
        <v>0</v>
      </c>
      <c r="I810">
        <f>$C810*VLOOKUP($B810,FoodDB!$A$2:$I$1011,8,0)</f>
        <v>0</v>
      </c>
      <c r="J810">
        <f>$C810*VLOOKUP($B810,FoodDB!$A$2:$I$1011,9,0)</f>
        <v>0</v>
      </c>
    </row>
    <row r="811" spans="1:19" x14ac:dyDescent="0.25">
      <c r="A811" t="s">
        <v>97</v>
      </c>
      <c r="G811">
        <f>SUM(G804:G810)</f>
        <v>0</v>
      </c>
      <c r="H811">
        <f>SUM(H804:H810)</f>
        <v>0</v>
      </c>
      <c r="I811">
        <f>SUM(I804:I810)</f>
        <v>0</v>
      </c>
      <c r="J811">
        <f>SUM(G811:I811)</f>
        <v>0</v>
      </c>
    </row>
    <row r="812" spans="1:19" x14ac:dyDescent="0.25">
      <c r="A812" t="s">
        <v>101</v>
      </c>
      <c r="B812" t="s">
        <v>102</v>
      </c>
      <c r="E812" s="98"/>
      <c r="F812" s="98"/>
      <c r="G812" s="98">
        <f>VLOOKUP($A804,LossChart!$A$3:$AB$105,14,0)</f>
        <v>782.14502463655595</v>
      </c>
      <c r="H812" s="98">
        <f>VLOOKUP($A804,LossChart!$A$3:$AB$105,15,0)</f>
        <v>80</v>
      </c>
      <c r="I812" s="98">
        <f>VLOOKUP($A804,LossChart!$A$3:$AB$105,16,0)</f>
        <v>482.47465271142238</v>
      </c>
      <c r="J812" s="98">
        <f>VLOOKUP($A804,LossChart!$A$3:$AB$105,17,0)</f>
        <v>1344.6196773479783</v>
      </c>
      <c r="K812" s="98"/>
    </row>
    <row r="813" spans="1:19" x14ac:dyDescent="0.25">
      <c r="A813" t="s">
        <v>103</v>
      </c>
      <c r="G813">
        <f>G812-G811</f>
        <v>782.14502463655595</v>
      </c>
      <c r="H813">
        <f>H812-H811</f>
        <v>80</v>
      </c>
      <c r="I813">
        <f>I812-I811</f>
        <v>482.47465271142238</v>
      </c>
      <c r="J813">
        <f>J812-J811</f>
        <v>1344.6196773479783</v>
      </c>
    </row>
    <row r="815" spans="1:19" ht="60" x14ac:dyDescent="0.25">
      <c r="A815" s="21" t="s">
        <v>63</v>
      </c>
      <c r="B815" s="21" t="s">
        <v>92</v>
      </c>
      <c r="C815" s="21" t="s">
        <v>93</v>
      </c>
      <c r="D815" s="92" t="str">
        <f>FoodDB!$C$1</f>
        <v>Fat
(g)</v>
      </c>
      <c r="E815" s="92" t="str">
        <f>FoodDB!$D$1</f>
        <v xml:space="preserve"> Carbs
(g)</v>
      </c>
      <c r="F815" s="92" t="str">
        <f>FoodDB!$E$1</f>
        <v>Protein
(g)</v>
      </c>
      <c r="G815" s="92" t="str">
        <f>FoodDB!$F$1</f>
        <v>Fat
(Cal)</v>
      </c>
      <c r="H815" s="92" t="str">
        <f>FoodDB!$G$1</f>
        <v>Carb
(Cal)</v>
      </c>
      <c r="I815" s="92" t="str">
        <f>FoodDB!$H$1</f>
        <v>Protein
(Cal)</v>
      </c>
      <c r="J815" s="92" t="str">
        <f>FoodDB!$I$1</f>
        <v>Total
Calories</v>
      </c>
      <c r="K815" s="92"/>
      <c r="L815" s="92" t="s">
        <v>109</v>
      </c>
      <c r="M815" s="92" t="s">
        <v>110</v>
      </c>
      <c r="N815" s="92" t="s">
        <v>111</v>
      </c>
      <c r="O815" s="92" t="s">
        <v>112</v>
      </c>
      <c r="P815" s="92" t="s">
        <v>117</v>
      </c>
      <c r="Q815" s="92" t="s">
        <v>118</v>
      </c>
      <c r="R815" s="92" t="s">
        <v>119</v>
      </c>
      <c r="S815" s="92" t="s">
        <v>120</v>
      </c>
    </row>
    <row r="816" spans="1:19" x14ac:dyDescent="0.25">
      <c r="A816" s="93">
        <f>A804+1</f>
        <v>43062</v>
      </c>
      <c r="B816" s="94" t="s">
        <v>107</v>
      </c>
      <c r="C816" s="95">
        <v>0</v>
      </c>
      <c r="D816">
        <f>$C816*VLOOKUP($B816,FoodDB!$A$2:$I$1011,3,0)</f>
        <v>0</v>
      </c>
      <c r="E816">
        <f>$C816*VLOOKUP($B816,FoodDB!$A$2:$I$1011,4,0)</f>
        <v>0</v>
      </c>
      <c r="F816">
        <f>$C816*VLOOKUP($B816,FoodDB!$A$2:$I$1011,5,0)</f>
        <v>0</v>
      </c>
      <c r="G816">
        <f>$C816*VLOOKUP($B816,FoodDB!$A$2:$I$1011,6,0)</f>
        <v>0</v>
      </c>
      <c r="H816">
        <f>$C816*VLOOKUP($B816,FoodDB!$A$2:$I$1011,7,0)</f>
        <v>0</v>
      </c>
      <c r="I816">
        <f>$C816*VLOOKUP($B816,FoodDB!$A$2:$I$1011,8,0)</f>
        <v>0</v>
      </c>
      <c r="J816">
        <f>$C816*VLOOKUP($B816,FoodDB!$A$2:$I$1011,9,0)</f>
        <v>0</v>
      </c>
      <c r="L816">
        <f>SUM(G816:G822)</f>
        <v>0</v>
      </c>
      <c r="M816">
        <f>SUM(H816:H822)</f>
        <v>0</v>
      </c>
      <c r="N816">
        <f>SUM(I816:I822)</f>
        <v>0</v>
      </c>
      <c r="O816">
        <f>SUM(L816:N816)</f>
        <v>0</v>
      </c>
      <c r="P816" s="98">
        <f>VLOOKUP($A816,LossChart!$A$3:$AB$105,14,0)-L816</f>
        <v>786.8521824368438</v>
      </c>
      <c r="Q816" s="98">
        <f>VLOOKUP($A816,LossChart!$A$3:$AB$105,15,0)-M816</f>
        <v>80</v>
      </c>
      <c r="R816" s="98">
        <f>VLOOKUP($A816,LossChart!$A$3:$AB$105,16,0)-N816</f>
        <v>482.47465271142238</v>
      </c>
      <c r="S816" s="98">
        <f>VLOOKUP($A816,LossChart!$A$3:$AB$105,17,0)-O816</f>
        <v>1349.3268351482661</v>
      </c>
    </row>
    <row r="817" spans="1:19" x14ac:dyDescent="0.25">
      <c r="B817" s="94" t="s">
        <v>107</v>
      </c>
      <c r="C817" s="95">
        <v>0</v>
      </c>
      <c r="D817">
        <f>$C817*VLOOKUP($B817,FoodDB!$A$2:$I$1011,3,0)</f>
        <v>0</v>
      </c>
      <c r="E817">
        <f>$C817*VLOOKUP($B817,FoodDB!$A$2:$I$1011,4,0)</f>
        <v>0</v>
      </c>
      <c r="F817">
        <f>$C817*VLOOKUP($B817,FoodDB!$A$2:$I$1011,5,0)</f>
        <v>0</v>
      </c>
      <c r="G817">
        <f>$C817*VLOOKUP($B817,FoodDB!$A$2:$I$1011,6,0)</f>
        <v>0</v>
      </c>
      <c r="H817">
        <f>$C817*VLOOKUP($B817,FoodDB!$A$2:$I$1011,7,0)</f>
        <v>0</v>
      </c>
      <c r="I817">
        <f>$C817*VLOOKUP($B817,FoodDB!$A$2:$I$1011,8,0)</f>
        <v>0</v>
      </c>
      <c r="J817">
        <f>$C817*VLOOKUP($B817,FoodDB!$A$2:$I$1011,9,0)</f>
        <v>0</v>
      </c>
    </row>
    <row r="818" spans="1:19" x14ac:dyDescent="0.25">
      <c r="B818" s="94" t="s">
        <v>107</v>
      </c>
      <c r="C818" s="95">
        <v>0</v>
      </c>
      <c r="D818">
        <f>$C818*VLOOKUP($B818,FoodDB!$A$2:$I$1011,3,0)</f>
        <v>0</v>
      </c>
      <c r="E818">
        <f>$C818*VLOOKUP($B818,FoodDB!$A$2:$I$1011,4,0)</f>
        <v>0</v>
      </c>
      <c r="F818">
        <f>$C818*VLOOKUP($B818,FoodDB!$A$2:$I$1011,5,0)</f>
        <v>0</v>
      </c>
      <c r="G818">
        <f>$C818*VLOOKUP($B818,FoodDB!$A$2:$I$1011,6,0)</f>
        <v>0</v>
      </c>
      <c r="H818">
        <f>$C818*VLOOKUP($B818,FoodDB!$A$2:$I$1011,7,0)</f>
        <v>0</v>
      </c>
      <c r="I818">
        <f>$C818*VLOOKUP($B818,FoodDB!$A$2:$I$1011,8,0)</f>
        <v>0</v>
      </c>
      <c r="J818">
        <f>$C818*VLOOKUP($B818,FoodDB!$A$2:$I$1011,9,0)</f>
        <v>0</v>
      </c>
    </row>
    <row r="819" spans="1:19" x14ac:dyDescent="0.25">
      <c r="B819" s="94" t="s">
        <v>107</v>
      </c>
      <c r="C819" s="95">
        <v>0</v>
      </c>
      <c r="D819">
        <f>$C819*VLOOKUP($B819,FoodDB!$A$2:$I$1011,3,0)</f>
        <v>0</v>
      </c>
      <c r="E819">
        <f>$C819*VLOOKUP($B819,FoodDB!$A$2:$I$1011,4,0)</f>
        <v>0</v>
      </c>
      <c r="F819">
        <f>$C819*VLOOKUP($B819,FoodDB!$A$2:$I$1011,5,0)</f>
        <v>0</v>
      </c>
      <c r="G819">
        <f>$C819*VLOOKUP($B819,FoodDB!$A$2:$I$1011,6,0)</f>
        <v>0</v>
      </c>
      <c r="H819">
        <f>$C819*VLOOKUP($B819,FoodDB!$A$2:$I$1011,7,0)</f>
        <v>0</v>
      </c>
      <c r="I819">
        <f>$C819*VLOOKUP($B819,FoodDB!$A$2:$I$1011,8,0)</f>
        <v>0</v>
      </c>
      <c r="J819">
        <f>$C819*VLOOKUP($B819,FoodDB!$A$2:$I$1011,9,0)</f>
        <v>0</v>
      </c>
    </row>
    <row r="820" spans="1:19" x14ac:dyDescent="0.25">
      <c r="B820" s="94" t="s">
        <v>107</v>
      </c>
      <c r="C820" s="95">
        <v>0</v>
      </c>
      <c r="D820">
        <f>$C820*VLOOKUP($B820,FoodDB!$A$2:$I$1011,3,0)</f>
        <v>0</v>
      </c>
      <c r="E820">
        <f>$C820*VLOOKUP($B820,FoodDB!$A$2:$I$1011,4,0)</f>
        <v>0</v>
      </c>
      <c r="F820">
        <f>$C820*VLOOKUP($B820,FoodDB!$A$2:$I$1011,5,0)</f>
        <v>0</v>
      </c>
      <c r="G820">
        <f>$C820*VLOOKUP($B820,FoodDB!$A$2:$I$1011,6,0)</f>
        <v>0</v>
      </c>
      <c r="H820">
        <f>$C820*VLOOKUP($B820,FoodDB!$A$2:$I$1011,7,0)</f>
        <v>0</v>
      </c>
      <c r="I820">
        <f>$C820*VLOOKUP($B820,FoodDB!$A$2:$I$1011,8,0)</f>
        <v>0</v>
      </c>
      <c r="J820">
        <f>$C820*VLOOKUP($B820,FoodDB!$A$2:$I$1011,9,0)</f>
        <v>0</v>
      </c>
    </row>
    <row r="821" spans="1:19" x14ac:dyDescent="0.25">
      <c r="B821" s="94" t="s">
        <v>107</v>
      </c>
      <c r="C821" s="95">
        <v>0</v>
      </c>
      <c r="D821">
        <f>$C821*VLOOKUP($B821,FoodDB!$A$2:$I$1011,3,0)</f>
        <v>0</v>
      </c>
      <c r="E821">
        <f>$C821*VLOOKUP($B821,FoodDB!$A$2:$I$1011,4,0)</f>
        <v>0</v>
      </c>
      <c r="F821">
        <f>$C821*VLOOKUP($B821,FoodDB!$A$2:$I$1011,5,0)</f>
        <v>0</v>
      </c>
      <c r="G821">
        <f>$C821*VLOOKUP($B821,FoodDB!$A$2:$I$1011,6,0)</f>
        <v>0</v>
      </c>
      <c r="H821">
        <f>$C821*VLOOKUP($B821,FoodDB!$A$2:$I$1011,7,0)</f>
        <v>0</v>
      </c>
      <c r="I821">
        <f>$C821*VLOOKUP($B821,FoodDB!$A$2:$I$1011,8,0)</f>
        <v>0</v>
      </c>
      <c r="J821">
        <f>$C821*VLOOKUP($B821,FoodDB!$A$2:$I$1011,9,0)</f>
        <v>0</v>
      </c>
    </row>
    <row r="822" spans="1:19" x14ac:dyDescent="0.25">
      <c r="B822" s="94" t="s">
        <v>107</v>
      </c>
      <c r="C822" s="95">
        <v>0</v>
      </c>
      <c r="D822">
        <f>$C822*VLOOKUP($B822,FoodDB!$A$2:$I$1011,3,0)</f>
        <v>0</v>
      </c>
      <c r="E822">
        <f>$C822*VLOOKUP($B822,FoodDB!$A$2:$I$1011,4,0)</f>
        <v>0</v>
      </c>
      <c r="F822">
        <f>$C822*VLOOKUP($B822,FoodDB!$A$2:$I$1011,5,0)</f>
        <v>0</v>
      </c>
      <c r="G822">
        <f>$C822*VLOOKUP($B822,FoodDB!$A$2:$I$1011,6,0)</f>
        <v>0</v>
      </c>
      <c r="H822">
        <f>$C822*VLOOKUP($B822,FoodDB!$A$2:$I$1011,7,0)</f>
        <v>0</v>
      </c>
      <c r="I822">
        <f>$C822*VLOOKUP($B822,FoodDB!$A$2:$I$1011,8,0)</f>
        <v>0</v>
      </c>
      <c r="J822">
        <f>$C822*VLOOKUP($B822,FoodDB!$A$2:$I$1011,9,0)</f>
        <v>0</v>
      </c>
    </row>
    <row r="823" spans="1:19" x14ac:dyDescent="0.25">
      <c r="A823" t="s">
        <v>97</v>
      </c>
      <c r="G823">
        <f>SUM(G816:G822)</f>
        <v>0</v>
      </c>
      <c r="H823">
        <f>SUM(H816:H822)</f>
        <v>0</v>
      </c>
      <c r="I823">
        <f>SUM(I816:I822)</f>
        <v>0</v>
      </c>
      <c r="J823">
        <f>SUM(G823:I823)</f>
        <v>0</v>
      </c>
    </row>
    <row r="824" spans="1:19" x14ac:dyDescent="0.25">
      <c r="A824" t="s">
        <v>101</v>
      </c>
      <c r="B824" t="s">
        <v>102</v>
      </c>
      <c r="E824" s="98"/>
      <c r="F824" s="98"/>
      <c r="G824" s="98">
        <f>VLOOKUP($A816,LossChart!$A$3:$AB$105,14,0)</f>
        <v>786.8521824368438</v>
      </c>
      <c r="H824" s="98">
        <f>VLOOKUP($A816,LossChart!$A$3:$AB$105,15,0)</f>
        <v>80</v>
      </c>
      <c r="I824" s="98">
        <f>VLOOKUP($A816,LossChart!$A$3:$AB$105,16,0)</f>
        <v>482.47465271142238</v>
      </c>
      <c r="J824" s="98">
        <f>VLOOKUP($A816,LossChart!$A$3:$AB$105,17,0)</f>
        <v>1349.3268351482661</v>
      </c>
      <c r="K824" s="98"/>
    </row>
    <row r="825" spans="1:19" x14ac:dyDescent="0.25">
      <c r="A825" t="s">
        <v>103</v>
      </c>
      <c r="G825">
        <f>G824-G823</f>
        <v>786.8521824368438</v>
      </c>
      <c r="H825">
        <f>H824-H823</f>
        <v>80</v>
      </c>
      <c r="I825">
        <f>I824-I823</f>
        <v>482.47465271142238</v>
      </c>
      <c r="J825">
        <f>J824-J823</f>
        <v>1349.3268351482661</v>
      </c>
    </row>
    <row r="827" spans="1:19" ht="60" x14ac:dyDescent="0.25">
      <c r="A827" s="21" t="s">
        <v>63</v>
      </c>
      <c r="B827" s="21" t="s">
        <v>92</v>
      </c>
      <c r="C827" s="21" t="s">
        <v>93</v>
      </c>
      <c r="D827" s="92" t="str">
        <f>FoodDB!$C$1</f>
        <v>Fat
(g)</v>
      </c>
      <c r="E827" s="92" t="str">
        <f>FoodDB!$D$1</f>
        <v xml:space="preserve"> Carbs
(g)</v>
      </c>
      <c r="F827" s="92" t="str">
        <f>FoodDB!$E$1</f>
        <v>Protein
(g)</v>
      </c>
      <c r="G827" s="92" t="str">
        <f>FoodDB!$F$1</f>
        <v>Fat
(Cal)</v>
      </c>
      <c r="H827" s="92" t="str">
        <f>FoodDB!$G$1</f>
        <v>Carb
(Cal)</v>
      </c>
      <c r="I827" s="92" t="str">
        <f>FoodDB!$H$1</f>
        <v>Protein
(Cal)</v>
      </c>
      <c r="J827" s="92" t="str">
        <f>FoodDB!$I$1</f>
        <v>Total
Calories</v>
      </c>
      <c r="K827" s="92"/>
      <c r="L827" s="92" t="s">
        <v>109</v>
      </c>
      <c r="M827" s="92" t="s">
        <v>110</v>
      </c>
      <c r="N827" s="92" t="s">
        <v>111</v>
      </c>
      <c r="O827" s="92" t="s">
        <v>112</v>
      </c>
      <c r="P827" s="92" t="s">
        <v>117</v>
      </c>
      <c r="Q827" s="92" t="s">
        <v>118</v>
      </c>
      <c r="R827" s="92" t="s">
        <v>119</v>
      </c>
      <c r="S827" s="92" t="s">
        <v>120</v>
      </c>
    </row>
    <row r="828" spans="1:19" x14ac:dyDescent="0.25">
      <c r="A828" s="93">
        <f>A816+1</f>
        <v>43063</v>
      </c>
      <c r="B828" s="94" t="s">
        <v>107</v>
      </c>
      <c r="C828" s="95">
        <v>0</v>
      </c>
      <c r="D828">
        <f>$C828*VLOOKUP($B828,FoodDB!$A$2:$I$1011,3,0)</f>
        <v>0</v>
      </c>
      <c r="E828">
        <f>$C828*VLOOKUP($B828,FoodDB!$A$2:$I$1011,4,0)</f>
        <v>0</v>
      </c>
      <c r="F828">
        <f>$C828*VLOOKUP($B828,FoodDB!$A$2:$I$1011,5,0)</f>
        <v>0</v>
      </c>
      <c r="G828">
        <f>$C828*VLOOKUP($B828,FoodDB!$A$2:$I$1011,6,0)</f>
        <v>0</v>
      </c>
      <c r="H828">
        <f>$C828*VLOOKUP($B828,FoodDB!$A$2:$I$1011,7,0)</f>
        <v>0</v>
      </c>
      <c r="I828">
        <f>$C828*VLOOKUP($B828,FoodDB!$A$2:$I$1011,8,0)</f>
        <v>0</v>
      </c>
      <c r="J828">
        <f>$C828*VLOOKUP($B828,FoodDB!$A$2:$I$1011,9,0)</f>
        <v>0</v>
      </c>
      <c r="L828">
        <f>SUM(G828:G834)</f>
        <v>0</v>
      </c>
      <c r="M828">
        <f>SUM(H828:H834)</f>
        <v>0</v>
      </c>
      <c r="N828">
        <f>SUM(I828:I834)</f>
        <v>0</v>
      </c>
      <c r="O828">
        <f>SUM(L828:N828)</f>
        <v>0</v>
      </c>
      <c r="P828" s="98">
        <f>VLOOKUP($A828,LossChart!$A$3:$AB$105,14,0)-L828</f>
        <v>791.51764826804242</v>
      </c>
      <c r="Q828" s="98">
        <f>VLOOKUP($A828,LossChart!$A$3:$AB$105,15,0)-M828</f>
        <v>80</v>
      </c>
      <c r="R828" s="98">
        <f>VLOOKUP($A828,LossChart!$A$3:$AB$105,16,0)-N828</f>
        <v>482.47465271142238</v>
      </c>
      <c r="S828" s="98">
        <f>VLOOKUP($A828,LossChart!$A$3:$AB$105,17,0)-O828</f>
        <v>1353.9923009794647</v>
      </c>
    </row>
    <row r="829" spans="1:19" x14ac:dyDescent="0.25">
      <c r="B829" s="94" t="s">
        <v>107</v>
      </c>
      <c r="C829" s="95">
        <v>0</v>
      </c>
      <c r="D829">
        <f>$C829*VLOOKUP($B829,FoodDB!$A$2:$I$1011,3,0)</f>
        <v>0</v>
      </c>
      <c r="E829">
        <f>$C829*VLOOKUP($B829,FoodDB!$A$2:$I$1011,4,0)</f>
        <v>0</v>
      </c>
      <c r="F829">
        <f>$C829*VLOOKUP($B829,FoodDB!$A$2:$I$1011,5,0)</f>
        <v>0</v>
      </c>
      <c r="G829">
        <f>$C829*VLOOKUP($B829,FoodDB!$A$2:$I$1011,6,0)</f>
        <v>0</v>
      </c>
      <c r="H829">
        <f>$C829*VLOOKUP($B829,FoodDB!$A$2:$I$1011,7,0)</f>
        <v>0</v>
      </c>
      <c r="I829">
        <f>$C829*VLOOKUP($B829,FoodDB!$A$2:$I$1011,8,0)</f>
        <v>0</v>
      </c>
      <c r="J829">
        <f>$C829*VLOOKUP($B829,FoodDB!$A$2:$I$1011,9,0)</f>
        <v>0</v>
      </c>
    </row>
    <row r="830" spans="1:19" x14ac:dyDescent="0.25">
      <c r="B830" s="94" t="s">
        <v>107</v>
      </c>
      <c r="C830" s="95">
        <v>0</v>
      </c>
      <c r="D830">
        <f>$C830*VLOOKUP($B830,FoodDB!$A$2:$I$1011,3,0)</f>
        <v>0</v>
      </c>
      <c r="E830">
        <f>$C830*VLOOKUP($B830,FoodDB!$A$2:$I$1011,4,0)</f>
        <v>0</v>
      </c>
      <c r="F830">
        <f>$C830*VLOOKUP($B830,FoodDB!$A$2:$I$1011,5,0)</f>
        <v>0</v>
      </c>
      <c r="G830">
        <f>$C830*VLOOKUP($B830,FoodDB!$A$2:$I$1011,6,0)</f>
        <v>0</v>
      </c>
      <c r="H830">
        <f>$C830*VLOOKUP($B830,FoodDB!$A$2:$I$1011,7,0)</f>
        <v>0</v>
      </c>
      <c r="I830">
        <f>$C830*VLOOKUP($B830,FoodDB!$A$2:$I$1011,8,0)</f>
        <v>0</v>
      </c>
      <c r="J830">
        <f>$C830*VLOOKUP($B830,FoodDB!$A$2:$I$1011,9,0)</f>
        <v>0</v>
      </c>
    </row>
    <row r="831" spans="1:19" x14ac:dyDescent="0.25">
      <c r="B831" s="94" t="s">
        <v>107</v>
      </c>
      <c r="C831" s="95">
        <v>0</v>
      </c>
      <c r="D831">
        <f>$C831*VLOOKUP($B831,FoodDB!$A$2:$I$1011,3,0)</f>
        <v>0</v>
      </c>
      <c r="E831">
        <f>$C831*VLOOKUP($B831,FoodDB!$A$2:$I$1011,4,0)</f>
        <v>0</v>
      </c>
      <c r="F831">
        <f>$C831*VLOOKUP($B831,FoodDB!$A$2:$I$1011,5,0)</f>
        <v>0</v>
      </c>
      <c r="G831">
        <f>$C831*VLOOKUP($B831,FoodDB!$A$2:$I$1011,6,0)</f>
        <v>0</v>
      </c>
      <c r="H831">
        <f>$C831*VLOOKUP($B831,FoodDB!$A$2:$I$1011,7,0)</f>
        <v>0</v>
      </c>
      <c r="I831">
        <f>$C831*VLOOKUP($B831,FoodDB!$A$2:$I$1011,8,0)</f>
        <v>0</v>
      </c>
      <c r="J831">
        <f>$C831*VLOOKUP($B831,FoodDB!$A$2:$I$1011,9,0)</f>
        <v>0</v>
      </c>
    </row>
    <row r="832" spans="1:19" x14ac:dyDescent="0.25">
      <c r="B832" s="94" t="s">
        <v>107</v>
      </c>
      <c r="C832" s="95">
        <v>0</v>
      </c>
      <c r="D832">
        <f>$C832*VLOOKUP($B832,FoodDB!$A$2:$I$1011,3,0)</f>
        <v>0</v>
      </c>
      <c r="E832">
        <f>$C832*VLOOKUP($B832,FoodDB!$A$2:$I$1011,4,0)</f>
        <v>0</v>
      </c>
      <c r="F832">
        <f>$C832*VLOOKUP($B832,FoodDB!$A$2:$I$1011,5,0)</f>
        <v>0</v>
      </c>
      <c r="G832">
        <f>$C832*VLOOKUP($B832,FoodDB!$A$2:$I$1011,6,0)</f>
        <v>0</v>
      </c>
      <c r="H832">
        <f>$C832*VLOOKUP($B832,FoodDB!$A$2:$I$1011,7,0)</f>
        <v>0</v>
      </c>
      <c r="I832">
        <f>$C832*VLOOKUP($B832,FoodDB!$A$2:$I$1011,8,0)</f>
        <v>0</v>
      </c>
      <c r="J832">
        <f>$C832*VLOOKUP($B832,FoodDB!$A$2:$I$1011,9,0)</f>
        <v>0</v>
      </c>
    </row>
    <row r="833" spans="1:19" x14ac:dyDescent="0.25">
      <c r="B833" s="94" t="s">
        <v>107</v>
      </c>
      <c r="C833" s="95">
        <v>0</v>
      </c>
      <c r="D833">
        <f>$C833*VLOOKUP($B833,FoodDB!$A$2:$I$1011,3,0)</f>
        <v>0</v>
      </c>
      <c r="E833">
        <f>$C833*VLOOKUP($B833,FoodDB!$A$2:$I$1011,4,0)</f>
        <v>0</v>
      </c>
      <c r="F833">
        <f>$C833*VLOOKUP($B833,FoodDB!$A$2:$I$1011,5,0)</f>
        <v>0</v>
      </c>
      <c r="G833">
        <f>$C833*VLOOKUP($B833,FoodDB!$A$2:$I$1011,6,0)</f>
        <v>0</v>
      </c>
      <c r="H833">
        <f>$C833*VLOOKUP($B833,FoodDB!$A$2:$I$1011,7,0)</f>
        <v>0</v>
      </c>
      <c r="I833">
        <f>$C833*VLOOKUP($B833,FoodDB!$A$2:$I$1011,8,0)</f>
        <v>0</v>
      </c>
      <c r="J833">
        <f>$C833*VLOOKUP($B833,FoodDB!$A$2:$I$1011,9,0)</f>
        <v>0</v>
      </c>
    </row>
    <row r="834" spans="1:19" x14ac:dyDescent="0.25">
      <c r="B834" s="94" t="s">
        <v>107</v>
      </c>
      <c r="C834" s="95">
        <v>0</v>
      </c>
      <c r="D834">
        <f>$C834*VLOOKUP($B834,FoodDB!$A$2:$I$1011,3,0)</f>
        <v>0</v>
      </c>
      <c r="E834">
        <f>$C834*VLOOKUP($B834,FoodDB!$A$2:$I$1011,4,0)</f>
        <v>0</v>
      </c>
      <c r="F834">
        <f>$C834*VLOOKUP($B834,FoodDB!$A$2:$I$1011,5,0)</f>
        <v>0</v>
      </c>
      <c r="G834">
        <f>$C834*VLOOKUP($B834,FoodDB!$A$2:$I$1011,6,0)</f>
        <v>0</v>
      </c>
      <c r="H834">
        <f>$C834*VLOOKUP($B834,FoodDB!$A$2:$I$1011,7,0)</f>
        <v>0</v>
      </c>
      <c r="I834">
        <f>$C834*VLOOKUP($B834,FoodDB!$A$2:$I$1011,8,0)</f>
        <v>0</v>
      </c>
      <c r="J834">
        <f>$C834*VLOOKUP($B834,FoodDB!$A$2:$I$1011,9,0)</f>
        <v>0</v>
      </c>
    </row>
    <row r="835" spans="1:19" x14ac:dyDescent="0.25">
      <c r="A835" t="s">
        <v>97</v>
      </c>
      <c r="G835">
        <f>SUM(G828:G834)</f>
        <v>0</v>
      </c>
      <c r="H835">
        <f>SUM(H828:H834)</f>
        <v>0</v>
      </c>
      <c r="I835">
        <f>SUM(I828:I834)</f>
        <v>0</v>
      </c>
      <c r="J835">
        <f>SUM(G835:I835)</f>
        <v>0</v>
      </c>
    </row>
    <row r="836" spans="1:19" x14ac:dyDescent="0.25">
      <c r="A836" t="s">
        <v>101</v>
      </c>
      <c r="B836" t="s">
        <v>102</v>
      </c>
      <c r="E836" s="98"/>
      <c r="F836" s="98"/>
      <c r="G836" s="98">
        <f>VLOOKUP($A828,LossChart!$A$3:$AB$105,14,0)</f>
        <v>791.51764826804242</v>
      </c>
      <c r="H836" s="98">
        <f>VLOOKUP($A828,LossChart!$A$3:$AB$105,15,0)</f>
        <v>80</v>
      </c>
      <c r="I836" s="98">
        <f>VLOOKUP($A828,LossChart!$A$3:$AB$105,16,0)</f>
        <v>482.47465271142238</v>
      </c>
      <c r="J836" s="98">
        <f>VLOOKUP($A828,LossChart!$A$3:$AB$105,17,0)</f>
        <v>1353.9923009794647</v>
      </c>
      <c r="K836" s="98"/>
    </row>
    <row r="837" spans="1:19" x14ac:dyDescent="0.25">
      <c r="A837" t="s">
        <v>103</v>
      </c>
      <c r="G837">
        <f>G836-G835</f>
        <v>791.51764826804242</v>
      </c>
      <c r="H837">
        <f>H836-H835</f>
        <v>80</v>
      </c>
      <c r="I837">
        <f>I836-I835</f>
        <v>482.47465271142238</v>
      </c>
      <c r="J837">
        <f>J836-J835</f>
        <v>1353.9923009794647</v>
      </c>
    </row>
    <row r="839" spans="1:19" ht="60" x14ac:dyDescent="0.25">
      <c r="A839" s="21" t="s">
        <v>63</v>
      </c>
      <c r="B839" s="21" t="s">
        <v>92</v>
      </c>
      <c r="C839" s="21" t="s">
        <v>93</v>
      </c>
      <c r="D839" s="92" t="str">
        <f>FoodDB!$C$1</f>
        <v>Fat
(g)</v>
      </c>
      <c r="E839" s="92" t="str">
        <f>FoodDB!$D$1</f>
        <v xml:space="preserve"> Carbs
(g)</v>
      </c>
      <c r="F839" s="92" t="str">
        <f>FoodDB!$E$1</f>
        <v>Protein
(g)</v>
      </c>
      <c r="G839" s="92" t="str">
        <f>FoodDB!$F$1</f>
        <v>Fat
(Cal)</v>
      </c>
      <c r="H839" s="92" t="str">
        <f>FoodDB!$G$1</f>
        <v>Carb
(Cal)</v>
      </c>
      <c r="I839" s="92" t="str">
        <f>FoodDB!$H$1</f>
        <v>Protein
(Cal)</v>
      </c>
      <c r="J839" s="92" t="str">
        <f>FoodDB!$I$1</f>
        <v>Total
Calories</v>
      </c>
      <c r="K839" s="92"/>
      <c r="L839" s="92" t="s">
        <v>109</v>
      </c>
      <c r="M839" s="92" t="s">
        <v>110</v>
      </c>
      <c r="N839" s="92" t="s">
        <v>111</v>
      </c>
      <c r="O839" s="92" t="s">
        <v>112</v>
      </c>
      <c r="P839" s="92" t="s">
        <v>117</v>
      </c>
      <c r="Q839" s="92" t="s">
        <v>118</v>
      </c>
      <c r="R839" s="92" t="s">
        <v>119</v>
      </c>
      <c r="S839" s="92" t="s">
        <v>120</v>
      </c>
    </row>
    <row r="840" spans="1:19" x14ac:dyDescent="0.25">
      <c r="A840" s="93">
        <f>A828+1</f>
        <v>43064</v>
      </c>
      <c r="B840" s="94" t="s">
        <v>107</v>
      </c>
      <c r="C840" s="95">
        <v>0</v>
      </c>
      <c r="D840">
        <f>$C840*VLOOKUP($B840,FoodDB!$A$2:$I$1011,3,0)</f>
        <v>0</v>
      </c>
      <c r="E840">
        <f>$C840*VLOOKUP($B840,FoodDB!$A$2:$I$1011,4,0)</f>
        <v>0</v>
      </c>
      <c r="F840">
        <f>$C840*VLOOKUP($B840,FoodDB!$A$2:$I$1011,5,0)</f>
        <v>0</v>
      </c>
      <c r="G840">
        <f>$C840*VLOOKUP($B840,FoodDB!$A$2:$I$1011,6,0)</f>
        <v>0</v>
      </c>
      <c r="H840">
        <f>$C840*VLOOKUP($B840,FoodDB!$A$2:$I$1011,7,0)</f>
        <v>0</v>
      </c>
      <c r="I840">
        <f>$C840*VLOOKUP($B840,FoodDB!$A$2:$I$1011,8,0)</f>
        <v>0</v>
      </c>
      <c r="J840">
        <f>$C840*VLOOKUP($B840,FoodDB!$A$2:$I$1011,9,0)</f>
        <v>0</v>
      </c>
      <c r="L840">
        <f>SUM(G840:G846)</f>
        <v>0</v>
      </c>
      <c r="M840">
        <f>SUM(H840:H846)</f>
        <v>0</v>
      </c>
      <c r="N840">
        <f>SUM(I840:I846)</f>
        <v>0</v>
      </c>
      <c r="O840">
        <f>SUM(L840:N840)</f>
        <v>0</v>
      </c>
      <c r="P840" s="98">
        <f>VLOOKUP($A840,LossChart!$A$3:$AB$105,14,0)-L840</f>
        <v>796.1417914018798</v>
      </c>
      <c r="Q840" s="98">
        <f>VLOOKUP($A840,LossChart!$A$3:$AB$105,15,0)-M840</f>
        <v>80</v>
      </c>
      <c r="R840" s="98">
        <f>VLOOKUP($A840,LossChart!$A$3:$AB$105,16,0)-N840</f>
        <v>482.47465271142238</v>
      </c>
      <c r="S840" s="98">
        <f>VLOOKUP($A840,LossChart!$A$3:$AB$105,17,0)-O840</f>
        <v>1358.6164441133021</v>
      </c>
    </row>
    <row r="841" spans="1:19" x14ac:dyDescent="0.25">
      <c r="B841" s="94" t="s">
        <v>107</v>
      </c>
      <c r="C841" s="95">
        <v>0</v>
      </c>
      <c r="D841">
        <f>$C841*VLOOKUP($B841,FoodDB!$A$2:$I$1011,3,0)</f>
        <v>0</v>
      </c>
      <c r="E841">
        <f>$C841*VLOOKUP($B841,FoodDB!$A$2:$I$1011,4,0)</f>
        <v>0</v>
      </c>
      <c r="F841">
        <f>$C841*VLOOKUP($B841,FoodDB!$A$2:$I$1011,5,0)</f>
        <v>0</v>
      </c>
      <c r="G841">
        <f>$C841*VLOOKUP($B841,FoodDB!$A$2:$I$1011,6,0)</f>
        <v>0</v>
      </c>
      <c r="H841">
        <f>$C841*VLOOKUP($B841,FoodDB!$A$2:$I$1011,7,0)</f>
        <v>0</v>
      </c>
      <c r="I841">
        <f>$C841*VLOOKUP($B841,FoodDB!$A$2:$I$1011,8,0)</f>
        <v>0</v>
      </c>
      <c r="J841">
        <f>$C841*VLOOKUP($B841,FoodDB!$A$2:$I$1011,9,0)</f>
        <v>0</v>
      </c>
    </row>
    <row r="842" spans="1:19" x14ac:dyDescent="0.25">
      <c r="B842" s="94" t="s">
        <v>107</v>
      </c>
      <c r="C842" s="95">
        <v>0</v>
      </c>
      <c r="D842">
        <f>$C842*VLOOKUP($B842,FoodDB!$A$2:$I$1011,3,0)</f>
        <v>0</v>
      </c>
      <c r="E842">
        <f>$C842*VLOOKUP($B842,FoodDB!$A$2:$I$1011,4,0)</f>
        <v>0</v>
      </c>
      <c r="F842">
        <f>$C842*VLOOKUP($B842,FoodDB!$A$2:$I$1011,5,0)</f>
        <v>0</v>
      </c>
      <c r="G842">
        <f>$C842*VLOOKUP($B842,FoodDB!$A$2:$I$1011,6,0)</f>
        <v>0</v>
      </c>
      <c r="H842">
        <f>$C842*VLOOKUP($B842,FoodDB!$A$2:$I$1011,7,0)</f>
        <v>0</v>
      </c>
      <c r="I842">
        <f>$C842*VLOOKUP($B842,FoodDB!$A$2:$I$1011,8,0)</f>
        <v>0</v>
      </c>
      <c r="J842">
        <f>$C842*VLOOKUP($B842,FoodDB!$A$2:$I$1011,9,0)</f>
        <v>0</v>
      </c>
    </row>
    <row r="843" spans="1:19" x14ac:dyDescent="0.25">
      <c r="B843" s="94" t="s">
        <v>107</v>
      </c>
      <c r="C843" s="95">
        <v>0</v>
      </c>
      <c r="D843">
        <f>$C843*VLOOKUP($B843,FoodDB!$A$2:$I$1011,3,0)</f>
        <v>0</v>
      </c>
      <c r="E843">
        <f>$C843*VLOOKUP($B843,FoodDB!$A$2:$I$1011,4,0)</f>
        <v>0</v>
      </c>
      <c r="F843">
        <f>$C843*VLOOKUP($B843,FoodDB!$A$2:$I$1011,5,0)</f>
        <v>0</v>
      </c>
      <c r="G843">
        <f>$C843*VLOOKUP($B843,FoodDB!$A$2:$I$1011,6,0)</f>
        <v>0</v>
      </c>
      <c r="H843">
        <f>$C843*VLOOKUP($B843,FoodDB!$A$2:$I$1011,7,0)</f>
        <v>0</v>
      </c>
      <c r="I843">
        <f>$C843*VLOOKUP($B843,FoodDB!$A$2:$I$1011,8,0)</f>
        <v>0</v>
      </c>
      <c r="J843">
        <f>$C843*VLOOKUP($B843,FoodDB!$A$2:$I$1011,9,0)</f>
        <v>0</v>
      </c>
    </row>
    <row r="844" spans="1:19" x14ac:dyDescent="0.25">
      <c r="B844" s="94" t="s">
        <v>107</v>
      </c>
      <c r="C844" s="95">
        <v>0</v>
      </c>
      <c r="D844">
        <f>$C844*VLOOKUP($B844,FoodDB!$A$2:$I$1011,3,0)</f>
        <v>0</v>
      </c>
      <c r="E844">
        <f>$C844*VLOOKUP($B844,FoodDB!$A$2:$I$1011,4,0)</f>
        <v>0</v>
      </c>
      <c r="F844">
        <f>$C844*VLOOKUP($B844,FoodDB!$A$2:$I$1011,5,0)</f>
        <v>0</v>
      </c>
      <c r="G844">
        <f>$C844*VLOOKUP($B844,FoodDB!$A$2:$I$1011,6,0)</f>
        <v>0</v>
      </c>
      <c r="H844">
        <f>$C844*VLOOKUP($B844,FoodDB!$A$2:$I$1011,7,0)</f>
        <v>0</v>
      </c>
      <c r="I844">
        <f>$C844*VLOOKUP($B844,FoodDB!$A$2:$I$1011,8,0)</f>
        <v>0</v>
      </c>
      <c r="J844">
        <f>$C844*VLOOKUP($B844,FoodDB!$A$2:$I$1011,9,0)</f>
        <v>0</v>
      </c>
    </row>
    <row r="845" spans="1:19" x14ac:dyDescent="0.25">
      <c r="B845" s="94" t="s">
        <v>107</v>
      </c>
      <c r="C845" s="95">
        <v>0</v>
      </c>
      <c r="D845">
        <f>$C845*VLOOKUP($B845,FoodDB!$A$2:$I$1011,3,0)</f>
        <v>0</v>
      </c>
      <c r="E845">
        <f>$C845*VLOOKUP($B845,FoodDB!$A$2:$I$1011,4,0)</f>
        <v>0</v>
      </c>
      <c r="F845">
        <f>$C845*VLOOKUP($B845,FoodDB!$A$2:$I$1011,5,0)</f>
        <v>0</v>
      </c>
      <c r="G845">
        <f>$C845*VLOOKUP($B845,FoodDB!$A$2:$I$1011,6,0)</f>
        <v>0</v>
      </c>
      <c r="H845">
        <f>$C845*VLOOKUP($B845,FoodDB!$A$2:$I$1011,7,0)</f>
        <v>0</v>
      </c>
      <c r="I845">
        <f>$C845*VLOOKUP($B845,FoodDB!$A$2:$I$1011,8,0)</f>
        <v>0</v>
      </c>
      <c r="J845">
        <f>$C845*VLOOKUP($B845,FoodDB!$A$2:$I$1011,9,0)</f>
        <v>0</v>
      </c>
    </row>
    <row r="846" spans="1:19" x14ac:dyDescent="0.25">
      <c r="B846" s="94" t="s">
        <v>107</v>
      </c>
      <c r="C846" s="95">
        <v>0</v>
      </c>
      <c r="D846">
        <f>$C846*VLOOKUP($B846,FoodDB!$A$2:$I$1011,3,0)</f>
        <v>0</v>
      </c>
      <c r="E846">
        <f>$C846*VLOOKUP($B846,FoodDB!$A$2:$I$1011,4,0)</f>
        <v>0</v>
      </c>
      <c r="F846">
        <f>$C846*VLOOKUP($B846,FoodDB!$A$2:$I$1011,5,0)</f>
        <v>0</v>
      </c>
      <c r="G846">
        <f>$C846*VLOOKUP($B846,FoodDB!$A$2:$I$1011,6,0)</f>
        <v>0</v>
      </c>
      <c r="H846">
        <f>$C846*VLOOKUP($B846,FoodDB!$A$2:$I$1011,7,0)</f>
        <v>0</v>
      </c>
      <c r="I846">
        <f>$C846*VLOOKUP($B846,FoodDB!$A$2:$I$1011,8,0)</f>
        <v>0</v>
      </c>
      <c r="J846">
        <f>$C846*VLOOKUP($B846,FoodDB!$A$2:$I$1011,9,0)</f>
        <v>0</v>
      </c>
    </row>
    <row r="847" spans="1:19" x14ac:dyDescent="0.25">
      <c r="A847" t="s">
        <v>97</v>
      </c>
      <c r="G847">
        <f>SUM(G840:G846)</f>
        <v>0</v>
      </c>
      <c r="H847">
        <f>SUM(H840:H846)</f>
        <v>0</v>
      </c>
      <c r="I847">
        <f>SUM(I840:I846)</f>
        <v>0</v>
      </c>
      <c r="J847">
        <f>SUM(G847:I847)</f>
        <v>0</v>
      </c>
    </row>
    <row r="848" spans="1:19" x14ac:dyDescent="0.25">
      <c r="A848" t="s">
        <v>101</v>
      </c>
      <c r="B848" t="s">
        <v>102</v>
      </c>
      <c r="E848" s="98"/>
      <c r="F848" s="98"/>
      <c r="G848" s="98">
        <f>VLOOKUP($A840,LossChart!$A$3:$AB$105,14,0)</f>
        <v>796.1417914018798</v>
      </c>
      <c r="H848" s="98">
        <f>VLOOKUP($A840,LossChart!$A$3:$AB$105,15,0)</f>
        <v>80</v>
      </c>
      <c r="I848" s="98">
        <f>VLOOKUP($A840,LossChart!$A$3:$AB$105,16,0)</f>
        <v>482.47465271142238</v>
      </c>
      <c r="J848" s="98">
        <f>VLOOKUP($A840,LossChart!$A$3:$AB$105,17,0)</f>
        <v>1358.6164441133021</v>
      </c>
      <c r="K848" s="98"/>
    </row>
    <row r="849" spans="1:19" x14ac:dyDescent="0.25">
      <c r="A849" t="s">
        <v>103</v>
      </c>
      <c r="G849">
        <f>G848-G847</f>
        <v>796.1417914018798</v>
      </c>
      <c r="H849">
        <f>H848-H847</f>
        <v>80</v>
      </c>
      <c r="I849">
        <f>I848-I847</f>
        <v>482.47465271142238</v>
      </c>
      <c r="J849">
        <f>J848-J847</f>
        <v>1358.6164441133021</v>
      </c>
    </row>
    <row r="851" spans="1:19" ht="60" x14ac:dyDescent="0.25">
      <c r="A851" s="21" t="s">
        <v>63</v>
      </c>
      <c r="B851" s="21" t="s">
        <v>92</v>
      </c>
      <c r="C851" s="21" t="s">
        <v>93</v>
      </c>
      <c r="D851" s="92" t="str">
        <f>FoodDB!$C$1</f>
        <v>Fat
(g)</v>
      </c>
      <c r="E851" s="92" t="str">
        <f>FoodDB!$D$1</f>
        <v xml:space="preserve"> Carbs
(g)</v>
      </c>
      <c r="F851" s="92" t="str">
        <f>FoodDB!$E$1</f>
        <v>Protein
(g)</v>
      </c>
      <c r="G851" s="92" t="str">
        <f>FoodDB!$F$1</f>
        <v>Fat
(Cal)</v>
      </c>
      <c r="H851" s="92" t="str">
        <f>FoodDB!$G$1</f>
        <v>Carb
(Cal)</v>
      </c>
      <c r="I851" s="92" t="str">
        <f>FoodDB!$H$1</f>
        <v>Protein
(Cal)</v>
      </c>
      <c r="J851" s="92" t="str">
        <f>FoodDB!$I$1</f>
        <v>Total
Calories</v>
      </c>
      <c r="K851" s="92"/>
      <c r="L851" s="92" t="s">
        <v>109</v>
      </c>
      <c r="M851" s="92" t="s">
        <v>110</v>
      </c>
      <c r="N851" s="92" t="s">
        <v>111</v>
      </c>
      <c r="O851" s="92" t="s">
        <v>112</v>
      </c>
      <c r="P851" s="92" t="s">
        <v>117</v>
      </c>
      <c r="Q851" s="92" t="s">
        <v>118</v>
      </c>
      <c r="R851" s="92" t="s">
        <v>119</v>
      </c>
      <c r="S851" s="92" t="s">
        <v>120</v>
      </c>
    </row>
    <row r="852" spans="1:19" x14ac:dyDescent="0.25">
      <c r="A852" s="93">
        <f>A840+1</f>
        <v>43065</v>
      </c>
      <c r="B852" s="94" t="s">
        <v>107</v>
      </c>
      <c r="C852" s="95">
        <v>0</v>
      </c>
      <c r="D852">
        <f>$C852*VLOOKUP($B852,FoodDB!$A$2:$I$1011,3,0)</f>
        <v>0</v>
      </c>
      <c r="E852">
        <f>$C852*VLOOKUP($B852,FoodDB!$A$2:$I$1011,4,0)</f>
        <v>0</v>
      </c>
      <c r="F852">
        <f>$C852*VLOOKUP($B852,FoodDB!$A$2:$I$1011,5,0)</f>
        <v>0</v>
      </c>
      <c r="G852">
        <f>$C852*VLOOKUP($B852,FoodDB!$A$2:$I$1011,6,0)</f>
        <v>0</v>
      </c>
      <c r="H852">
        <f>$C852*VLOOKUP($B852,FoodDB!$A$2:$I$1011,7,0)</f>
        <v>0</v>
      </c>
      <c r="I852">
        <f>$C852*VLOOKUP($B852,FoodDB!$A$2:$I$1011,8,0)</f>
        <v>0</v>
      </c>
      <c r="J852">
        <f>$C852*VLOOKUP($B852,FoodDB!$A$2:$I$1011,9,0)</f>
        <v>0</v>
      </c>
      <c r="L852">
        <f>SUM(G852:G858)</f>
        <v>0</v>
      </c>
      <c r="M852">
        <f>SUM(H852:H858)</f>
        <v>0</v>
      </c>
      <c r="N852">
        <f>SUM(I852:I858)</f>
        <v>0</v>
      </c>
      <c r="O852">
        <f>SUM(L852:N852)</f>
        <v>0</v>
      </c>
      <c r="P852" s="98">
        <f>VLOOKUP($A852,LossChart!$A$3:$AB$105,14,0)-L852</f>
        <v>800.72497783938866</v>
      </c>
      <c r="Q852" s="98">
        <f>VLOOKUP($A852,LossChart!$A$3:$AB$105,15,0)-M852</f>
        <v>80</v>
      </c>
      <c r="R852" s="98">
        <f>VLOOKUP($A852,LossChart!$A$3:$AB$105,16,0)-N852</f>
        <v>482.47465271142238</v>
      </c>
      <c r="S852" s="98">
        <f>VLOOKUP($A852,LossChart!$A$3:$AB$105,17,0)-O852</f>
        <v>1363.199630550811</v>
      </c>
    </row>
    <row r="853" spans="1:19" x14ac:dyDescent="0.25">
      <c r="B853" s="94" t="s">
        <v>107</v>
      </c>
      <c r="C853" s="95">
        <v>0</v>
      </c>
      <c r="D853">
        <f>$C853*VLOOKUP($B853,FoodDB!$A$2:$I$1011,3,0)</f>
        <v>0</v>
      </c>
      <c r="E853">
        <f>$C853*VLOOKUP($B853,FoodDB!$A$2:$I$1011,4,0)</f>
        <v>0</v>
      </c>
      <c r="F853">
        <f>$C853*VLOOKUP($B853,FoodDB!$A$2:$I$1011,5,0)</f>
        <v>0</v>
      </c>
      <c r="G853">
        <f>$C853*VLOOKUP($B853,FoodDB!$A$2:$I$1011,6,0)</f>
        <v>0</v>
      </c>
      <c r="H853">
        <f>$C853*VLOOKUP($B853,FoodDB!$A$2:$I$1011,7,0)</f>
        <v>0</v>
      </c>
      <c r="I853">
        <f>$C853*VLOOKUP($B853,FoodDB!$A$2:$I$1011,8,0)</f>
        <v>0</v>
      </c>
      <c r="J853">
        <f>$C853*VLOOKUP($B853,FoodDB!$A$2:$I$1011,9,0)</f>
        <v>0</v>
      </c>
    </row>
    <row r="854" spans="1:19" x14ac:dyDescent="0.25">
      <c r="B854" s="94" t="s">
        <v>107</v>
      </c>
      <c r="C854" s="95">
        <v>0</v>
      </c>
      <c r="D854">
        <f>$C854*VLOOKUP($B854,FoodDB!$A$2:$I$1011,3,0)</f>
        <v>0</v>
      </c>
      <c r="E854">
        <f>$C854*VLOOKUP($B854,FoodDB!$A$2:$I$1011,4,0)</f>
        <v>0</v>
      </c>
      <c r="F854">
        <f>$C854*VLOOKUP($B854,FoodDB!$A$2:$I$1011,5,0)</f>
        <v>0</v>
      </c>
      <c r="G854">
        <f>$C854*VLOOKUP($B854,FoodDB!$A$2:$I$1011,6,0)</f>
        <v>0</v>
      </c>
      <c r="H854">
        <f>$C854*VLOOKUP($B854,FoodDB!$A$2:$I$1011,7,0)</f>
        <v>0</v>
      </c>
      <c r="I854">
        <f>$C854*VLOOKUP($B854,FoodDB!$A$2:$I$1011,8,0)</f>
        <v>0</v>
      </c>
      <c r="J854">
        <f>$C854*VLOOKUP($B854,FoodDB!$A$2:$I$1011,9,0)</f>
        <v>0</v>
      </c>
    </row>
    <row r="855" spans="1:19" x14ac:dyDescent="0.25">
      <c r="B855" s="94" t="s">
        <v>107</v>
      </c>
      <c r="C855" s="95">
        <v>0</v>
      </c>
      <c r="D855">
        <f>$C855*VLOOKUP($B855,FoodDB!$A$2:$I$1011,3,0)</f>
        <v>0</v>
      </c>
      <c r="E855">
        <f>$C855*VLOOKUP($B855,FoodDB!$A$2:$I$1011,4,0)</f>
        <v>0</v>
      </c>
      <c r="F855">
        <f>$C855*VLOOKUP($B855,FoodDB!$A$2:$I$1011,5,0)</f>
        <v>0</v>
      </c>
      <c r="G855">
        <f>$C855*VLOOKUP($B855,FoodDB!$A$2:$I$1011,6,0)</f>
        <v>0</v>
      </c>
      <c r="H855">
        <f>$C855*VLOOKUP($B855,FoodDB!$A$2:$I$1011,7,0)</f>
        <v>0</v>
      </c>
      <c r="I855">
        <f>$C855*VLOOKUP($B855,FoodDB!$A$2:$I$1011,8,0)</f>
        <v>0</v>
      </c>
      <c r="J855">
        <f>$C855*VLOOKUP($B855,FoodDB!$A$2:$I$1011,9,0)</f>
        <v>0</v>
      </c>
    </row>
    <row r="856" spans="1:19" x14ac:dyDescent="0.25">
      <c r="B856" s="94" t="s">
        <v>107</v>
      </c>
      <c r="C856" s="95">
        <v>0</v>
      </c>
      <c r="D856">
        <f>$C856*VLOOKUP($B856,FoodDB!$A$2:$I$1011,3,0)</f>
        <v>0</v>
      </c>
      <c r="E856">
        <f>$C856*VLOOKUP($B856,FoodDB!$A$2:$I$1011,4,0)</f>
        <v>0</v>
      </c>
      <c r="F856">
        <f>$C856*VLOOKUP($B856,FoodDB!$A$2:$I$1011,5,0)</f>
        <v>0</v>
      </c>
      <c r="G856">
        <f>$C856*VLOOKUP($B856,FoodDB!$A$2:$I$1011,6,0)</f>
        <v>0</v>
      </c>
      <c r="H856">
        <f>$C856*VLOOKUP($B856,FoodDB!$A$2:$I$1011,7,0)</f>
        <v>0</v>
      </c>
      <c r="I856">
        <f>$C856*VLOOKUP($B856,FoodDB!$A$2:$I$1011,8,0)</f>
        <v>0</v>
      </c>
      <c r="J856">
        <f>$C856*VLOOKUP($B856,FoodDB!$A$2:$I$1011,9,0)</f>
        <v>0</v>
      </c>
    </row>
    <row r="857" spans="1:19" x14ac:dyDescent="0.25">
      <c r="B857" s="94" t="s">
        <v>107</v>
      </c>
      <c r="C857" s="95">
        <v>0</v>
      </c>
      <c r="D857">
        <f>$C857*VLOOKUP($B857,FoodDB!$A$2:$I$1011,3,0)</f>
        <v>0</v>
      </c>
      <c r="E857">
        <f>$C857*VLOOKUP($B857,FoodDB!$A$2:$I$1011,4,0)</f>
        <v>0</v>
      </c>
      <c r="F857">
        <f>$C857*VLOOKUP($B857,FoodDB!$A$2:$I$1011,5,0)</f>
        <v>0</v>
      </c>
      <c r="G857">
        <f>$C857*VLOOKUP($B857,FoodDB!$A$2:$I$1011,6,0)</f>
        <v>0</v>
      </c>
      <c r="H857">
        <f>$C857*VLOOKUP($B857,FoodDB!$A$2:$I$1011,7,0)</f>
        <v>0</v>
      </c>
      <c r="I857">
        <f>$C857*VLOOKUP($B857,FoodDB!$A$2:$I$1011,8,0)</f>
        <v>0</v>
      </c>
      <c r="J857">
        <f>$C857*VLOOKUP($B857,FoodDB!$A$2:$I$1011,9,0)</f>
        <v>0</v>
      </c>
    </row>
    <row r="858" spans="1:19" x14ac:dyDescent="0.25">
      <c r="B858" s="94" t="s">
        <v>107</v>
      </c>
      <c r="C858" s="95">
        <v>0</v>
      </c>
      <c r="D858">
        <f>$C858*VLOOKUP($B858,FoodDB!$A$2:$I$1011,3,0)</f>
        <v>0</v>
      </c>
      <c r="E858">
        <f>$C858*VLOOKUP($B858,FoodDB!$A$2:$I$1011,4,0)</f>
        <v>0</v>
      </c>
      <c r="F858">
        <f>$C858*VLOOKUP($B858,FoodDB!$A$2:$I$1011,5,0)</f>
        <v>0</v>
      </c>
      <c r="G858">
        <f>$C858*VLOOKUP($B858,FoodDB!$A$2:$I$1011,6,0)</f>
        <v>0</v>
      </c>
      <c r="H858">
        <f>$C858*VLOOKUP($B858,FoodDB!$A$2:$I$1011,7,0)</f>
        <v>0</v>
      </c>
      <c r="I858">
        <f>$C858*VLOOKUP($B858,FoodDB!$A$2:$I$1011,8,0)</f>
        <v>0</v>
      </c>
      <c r="J858">
        <f>$C858*VLOOKUP($B858,FoodDB!$A$2:$I$1011,9,0)</f>
        <v>0</v>
      </c>
    </row>
    <row r="859" spans="1:19" x14ac:dyDescent="0.25">
      <c r="A859" t="s">
        <v>97</v>
      </c>
      <c r="G859">
        <f>SUM(G852:G858)</f>
        <v>0</v>
      </c>
      <c r="H859">
        <f>SUM(H852:H858)</f>
        <v>0</v>
      </c>
      <c r="I859">
        <f>SUM(I852:I858)</f>
        <v>0</v>
      </c>
      <c r="J859">
        <f>SUM(G859:I859)</f>
        <v>0</v>
      </c>
    </row>
    <row r="860" spans="1:19" x14ac:dyDescent="0.25">
      <c r="A860" t="s">
        <v>101</v>
      </c>
      <c r="B860" t="s">
        <v>102</v>
      </c>
      <c r="E860" s="98"/>
      <c r="F860" s="98"/>
      <c r="G860" s="98">
        <f>VLOOKUP($A852,LossChart!$A$3:$AB$105,14,0)</f>
        <v>800.72497783938866</v>
      </c>
      <c r="H860" s="98">
        <f>VLOOKUP($A852,LossChart!$A$3:$AB$105,15,0)</f>
        <v>80</v>
      </c>
      <c r="I860" s="98">
        <f>VLOOKUP($A852,LossChart!$A$3:$AB$105,16,0)</f>
        <v>482.47465271142238</v>
      </c>
      <c r="J860" s="98">
        <f>VLOOKUP($A852,LossChart!$A$3:$AB$105,17,0)</f>
        <v>1363.199630550811</v>
      </c>
      <c r="K860" s="98"/>
    </row>
    <row r="861" spans="1:19" x14ac:dyDescent="0.25">
      <c r="A861" t="s">
        <v>103</v>
      </c>
      <c r="G861">
        <f>G860-G859</f>
        <v>800.72497783938866</v>
      </c>
      <c r="H861">
        <f>H860-H859</f>
        <v>80</v>
      </c>
      <c r="I861">
        <f>I860-I859</f>
        <v>482.47465271142238</v>
      </c>
      <c r="J861">
        <f>J860-J859</f>
        <v>1363.199630550811</v>
      </c>
    </row>
    <row r="863" spans="1:19" ht="60" x14ac:dyDescent="0.25">
      <c r="A863" s="21" t="s">
        <v>63</v>
      </c>
      <c r="B863" s="21" t="s">
        <v>92</v>
      </c>
      <c r="C863" s="21" t="s">
        <v>93</v>
      </c>
      <c r="D863" s="92" t="str">
        <f>FoodDB!$C$1</f>
        <v>Fat
(g)</v>
      </c>
      <c r="E863" s="92" t="str">
        <f>FoodDB!$D$1</f>
        <v xml:space="preserve"> Carbs
(g)</v>
      </c>
      <c r="F863" s="92" t="str">
        <f>FoodDB!$E$1</f>
        <v>Protein
(g)</v>
      </c>
      <c r="G863" s="92" t="str">
        <f>FoodDB!$F$1</f>
        <v>Fat
(Cal)</v>
      </c>
      <c r="H863" s="92" t="str">
        <f>FoodDB!$G$1</f>
        <v>Carb
(Cal)</v>
      </c>
      <c r="I863" s="92" t="str">
        <f>FoodDB!$H$1</f>
        <v>Protein
(Cal)</v>
      </c>
      <c r="J863" s="92" t="str">
        <f>FoodDB!$I$1</f>
        <v>Total
Calories</v>
      </c>
      <c r="K863" s="92"/>
      <c r="L863" s="92" t="s">
        <v>109</v>
      </c>
      <c r="M863" s="92" t="s">
        <v>110</v>
      </c>
      <c r="N863" s="92" t="s">
        <v>111</v>
      </c>
      <c r="O863" s="92" t="s">
        <v>112</v>
      </c>
      <c r="P863" s="92" t="s">
        <v>117</v>
      </c>
      <c r="Q863" s="92" t="s">
        <v>118</v>
      </c>
      <c r="R863" s="92" t="s">
        <v>119</v>
      </c>
      <c r="S863" s="92" t="s">
        <v>120</v>
      </c>
    </row>
    <row r="864" spans="1:19" x14ac:dyDescent="0.25">
      <c r="A864" s="93">
        <f>A852+1</f>
        <v>43066</v>
      </c>
      <c r="B864" s="94" t="s">
        <v>107</v>
      </c>
      <c r="C864" s="95">
        <v>0</v>
      </c>
      <c r="D864">
        <f>$C864*VLOOKUP($B864,FoodDB!$A$2:$I$1011,3,0)</f>
        <v>0</v>
      </c>
      <c r="E864">
        <f>$C864*VLOOKUP($B864,FoodDB!$A$2:$I$1011,4,0)</f>
        <v>0</v>
      </c>
      <c r="F864">
        <f>$C864*VLOOKUP($B864,FoodDB!$A$2:$I$1011,5,0)</f>
        <v>0</v>
      </c>
      <c r="G864">
        <f>$C864*VLOOKUP($B864,FoodDB!$A$2:$I$1011,6,0)</f>
        <v>0</v>
      </c>
      <c r="H864">
        <f>$C864*VLOOKUP($B864,FoodDB!$A$2:$I$1011,7,0)</f>
        <v>0</v>
      </c>
      <c r="I864">
        <f>$C864*VLOOKUP($B864,FoodDB!$A$2:$I$1011,8,0)</f>
        <v>0</v>
      </c>
      <c r="J864">
        <f>$C864*VLOOKUP($B864,FoodDB!$A$2:$I$1011,9,0)</f>
        <v>0</v>
      </c>
      <c r="L864">
        <f>SUM(G864:G870)</f>
        <v>0</v>
      </c>
      <c r="M864">
        <f>SUM(H864:H870)</f>
        <v>0</v>
      </c>
      <c r="N864">
        <f>SUM(I864:I870)</f>
        <v>0</v>
      </c>
      <c r="O864">
        <f>SUM(L864:N864)</f>
        <v>0</v>
      </c>
      <c r="P864" s="98">
        <f>VLOOKUP($A864,LossChart!$A$3:$AB$105,14,0)-L864</f>
        <v>805.26757033987928</v>
      </c>
      <c r="Q864" s="98">
        <f>VLOOKUP($A864,LossChart!$A$3:$AB$105,15,0)-M864</f>
        <v>80</v>
      </c>
      <c r="R864" s="98">
        <f>VLOOKUP($A864,LossChart!$A$3:$AB$105,16,0)-N864</f>
        <v>482.47465271142238</v>
      </c>
      <c r="S864" s="98">
        <f>VLOOKUP($A864,LossChart!$A$3:$AB$105,17,0)-O864</f>
        <v>1367.7422230513016</v>
      </c>
    </row>
    <row r="865" spans="1:19" x14ac:dyDescent="0.25">
      <c r="B865" s="94" t="s">
        <v>107</v>
      </c>
      <c r="C865" s="95">
        <v>0</v>
      </c>
      <c r="D865">
        <f>$C865*VLOOKUP($B865,FoodDB!$A$2:$I$1011,3,0)</f>
        <v>0</v>
      </c>
      <c r="E865">
        <f>$C865*VLOOKUP($B865,FoodDB!$A$2:$I$1011,4,0)</f>
        <v>0</v>
      </c>
      <c r="F865">
        <f>$C865*VLOOKUP($B865,FoodDB!$A$2:$I$1011,5,0)</f>
        <v>0</v>
      </c>
      <c r="G865">
        <f>$C865*VLOOKUP($B865,FoodDB!$A$2:$I$1011,6,0)</f>
        <v>0</v>
      </c>
      <c r="H865">
        <f>$C865*VLOOKUP($B865,FoodDB!$A$2:$I$1011,7,0)</f>
        <v>0</v>
      </c>
      <c r="I865">
        <f>$C865*VLOOKUP($B865,FoodDB!$A$2:$I$1011,8,0)</f>
        <v>0</v>
      </c>
      <c r="J865">
        <f>$C865*VLOOKUP($B865,FoodDB!$A$2:$I$1011,9,0)</f>
        <v>0</v>
      </c>
    </row>
    <row r="866" spans="1:19" x14ac:dyDescent="0.25">
      <c r="B866" s="94" t="s">
        <v>107</v>
      </c>
      <c r="C866" s="95">
        <v>0</v>
      </c>
      <c r="D866">
        <f>$C866*VLOOKUP($B866,FoodDB!$A$2:$I$1011,3,0)</f>
        <v>0</v>
      </c>
      <c r="E866">
        <f>$C866*VLOOKUP($B866,FoodDB!$A$2:$I$1011,4,0)</f>
        <v>0</v>
      </c>
      <c r="F866">
        <f>$C866*VLOOKUP($B866,FoodDB!$A$2:$I$1011,5,0)</f>
        <v>0</v>
      </c>
      <c r="G866">
        <f>$C866*VLOOKUP($B866,FoodDB!$A$2:$I$1011,6,0)</f>
        <v>0</v>
      </c>
      <c r="H866">
        <f>$C866*VLOOKUP($B866,FoodDB!$A$2:$I$1011,7,0)</f>
        <v>0</v>
      </c>
      <c r="I866">
        <f>$C866*VLOOKUP($B866,FoodDB!$A$2:$I$1011,8,0)</f>
        <v>0</v>
      </c>
      <c r="J866">
        <f>$C866*VLOOKUP($B866,FoodDB!$A$2:$I$1011,9,0)</f>
        <v>0</v>
      </c>
    </row>
    <row r="867" spans="1:19" x14ac:dyDescent="0.25">
      <c r="B867" s="94" t="s">
        <v>107</v>
      </c>
      <c r="C867" s="95">
        <v>0</v>
      </c>
      <c r="D867">
        <f>$C867*VLOOKUP($B867,FoodDB!$A$2:$I$1011,3,0)</f>
        <v>0</v>
      </c>
      <c r="E867">
        <f>$C867*VLOOKUP($B867,FoodDB!$A$2:$I$1011,4,0)</f>
        <v>0</v>
      </c>
      <c r="F867">
        <f>$C867*VLOOKUP($B867,FoodDB!$A$2:$I$1011,5,0)</f>
        <v>0</v>
      </c>
      <c r="G867">
        <f>$C867*VLOOKUP($B867,FoodDB!$A$2:$I$1011,6,0)</f>
        <v>0</v>
      </c>
      <c r="H867">
        <f>$C867*VLOOKUP($B867,FoodDB!$A$2:$I$1011,7,0)</f>
        <v>0</v>
      </c>
      <c r="I867">
        <f>$C867*VLOOKUP($B867,FoodDB!$A$2:$I$1011,8,0)</f>
        <v>0</v>
      </c>
      <c r="J867">
        <f>$C867*VLOOKUP($B867,FoodDB!$A$2:$I$1011,9,0)</f>
        <v>0</v>
      </c>
    </row>
    <row r="868" spans="1:19" x14ac:dyDescent="0.25">
      <c r="B868" s="94" t="s">
        <v>107</v>
      </c>
      <c r="C868" s="95">
        <v>0</v>
      </c>
      <c r="D868">
        <f>$C868*VLOOKUP($B868,FoodDB!$A$2:$I$1011,3,0)</f>
        <v>0</v>
      </c>
      <c r="E868">
        <f>$C868*VLOOKUP($B868,FoodDB!$A$2:$I$1011,4,0)</f>
        <v>0</v>
      </c>
      <c r="F868">
        <f>$C868*VLOOKUP($B868,FoodDB!$A$2:$I$1011,5,0)</f>
        <v>0</v>
      </c>
      <c r="G868">
        <f>$C868*VLOOKUP($B868,FoodDB!$A$2:$I$1011,6,0)</f>
        <v>0</v>
      </c>
      <c r="H868">
        <f>$C868*VLOOKUP($B868,FoodDB!$A$2:$I$1011,7,0)</f>
        <v>0</v>
      </c>
      <c r="I868">
        <f>$C868*VLOOKUP($B868,FoodDB!$A$2:$I$1011,8,0)</f>
        <v>0</v>
      </c>
      <c r="J868">
        <f>$C868*VLOOKUP($B868,FoodDB!$A$2:$I$1011,9,0)</f>
        <v>0</v>
      </c>
    </row>
    <row r="869" spans="1:19" x14ac:dyDescent="0.25">
      <c r="B869" s="94" t="s">
        <v>107</v>
      </c>
      <c r="C869" s="95">
        <v>0</v>
      </c>
      <c r="D869">
        <f>$C869*VLOOKUP($B869,FoodDB!$A$2:$I$1011,3,0)</f>
        <v>0</v>
      </c>
      <c r="E869">
        <f>$C869*VLOOKUP($B869,FoodDB!$A$2:$I$1011,4,0)</f>
        <v>0</v>
      </c>
      <c r="F869">
        <f>$C869*VLOOKUP($B869,FoodDB!$A$2:$I$1011,5,0)</f>
        <v>0</v>
      </c>
      <c r="G869">
        <f>$C869*VLOOKUP($B869,FoodDB!$A$2:$I$1011,6,0)</f>
        <v>0</v>
      </c>
      <c r="H869">
        <f>$C869*VLOOKUP($B869,FoodDB!$A$2:$I$1011,7,0)</f>
        <v>0</v>
      </c>
      <c r="I869">
        <f>$C869*VLOOKUP($B869,FoodDB!$A$2:$I$1011,8,0)</f>
        <v>0</v>
      </c>
      <c r="J869">
        <f>$C869*VLOOKUP($B869,FoodDB!$A$2:$I$1011,9,0)</f>
        <v>0</v>
      </c>
    </row>
    <row r="870" spans="1:19" x14ac:dyDescent="0.25">
      <c r="B870" s="94" t="s">
        <v>107</v>
      </c>
      <c r="C870" s="95">
        <v>0</v>
      </c>
      <c r="D870">
        <f>$C870*VLOOKUP($B870,FoodDB!$A$2:$I$1011,3,0)</f>
        <v>0</v>
      </c>
      <c r="E870">
        <f>$C870*VLOOKUP($B870,FoodDB!$A$2:$I$1011,4,0)</f>
        <v>0</v>
      </c>
      <c r="F870">
        <f>$C870*VLOOKUP($B870,FoodDB!$A$2:$I$1011,5,0)</f>
        <v>0</v>
      </c>
      <c r="G870">
        <f>$C870*VLOOKUP($B870,FoodDB!$A$2:$I$1011,6,0)</f>
        <v>0</v>
      </c>
      <c r="H870">
        <f>$C870*VLOOKUP($B870,FoodDB!$A$2:$I$1011,7,0)</f>
        <v>0</v>
      </c>
      <c r="I870">
        <f>$C870*VLOOKUP($B870,FoodDB!$A$2:$I$1011,8,0)</f>
        <v>0</v>
      </c>
      <c r="J870">
        <f>$C870*VLOOKUP($B870,FoodDB!$A$2:$I$1011,9,0)</f>
        <v>0</v>
      </c>
    </row>
    <row r="871" spans="1:19" x14ac:dyDescent="0.25">
      <c r="A871" t="s">
        <v>97</v>
      </c>
      <c r="G871">
        <f>SUM(G864:G870)</f>
        <v>0</v>
      </c>
      <c r="H871">
        <f>SUM(H864:H870)</f>
        <v>0</v>
      </c>
      <c r="I871">
        <f>SUM(I864:I870)</f>
        <v>0</v>
      </c>
      <c r="J871">
        <f>SUM(G871:I871)</f>
        <v>0</v>
      </c>
    </row>
    <row r="872" spans="1:19" x14ac:dyDescent="0.25">
      <c r="A872" t="s">
        <v>101</v>
      </c>
      <c r="B872" t="s">
        <v>102</v>
      </c>
      <c r="E872" s="98"/>
      <c r="F872" s="98"/>
      <c r="G872" s="98">
        <f>VLOOKUP($A864,LossChart!$A$3:$AB$105,14,0)</f>
        <v>805.26757033987928</v>
      </c>
      <c r="H872" s="98">
        <f>VLOOKUP($A864,LossChart!$A$3:$AB$105,15,0)</f>
        <v>80</v>
      </c>
      <c r="I872" s="98">
        <f>VLOOKUP($A864,LossChart!$A$3:$AB$105,16,0)</f>
        <v>482.47465271142238</v>
      </c>
      <c r="J872" s="98">
        <f>VLOOKUP($A864,LossChart!$A$3:$AB$105,17,0)</f>
        <v>1367.7422230513016</v>
      </c>
      <c r="K872" s="98"/>
    </row>
    <row r="873" spans="1:19" x14ac:dyDescent="0.25">
      <c r="A873" t="s">
        <v>103</v>
      </c>
      <c r="G873">
        <f>G872-G871</f>
        <v>805.26757033987928</v>
      </c>
      <c r="H873">
        <f>H872-H871</f>
        <v>80</v>
      </c>
      <c r="I873">
        <f>I872-I871</f>
        <v>482.47465271142238</v>
      </c>
      <c r="J873">
        <f>J872-J871</f>
        <v>1367.7422230513016</v>
      </c>
    </row>
    <row r="875" spans="1:19" ht="60" x14ac:dyDescent="0.25">
      <c r="A875" s="21" t="s">
        <v>63</v>
      </c>
      <c r="B875" s="21" t="s">
        <v>92</v>
      </c>
      <c r="C875" s="21" t="s">
        <v>93</v>
      </c>
      <c r="D875" s="92" t="str">
        <f>FoodDB!$C$1</f>
        <v>Fat
(g)</v>
      </c>
      <c r="E875" s="92" t="str">
        <f>FoodDB!$D$1</f>
        <v xml:space="preserve"> Carbs
(g)</v>
      </c>
      <c r="F875" s="92" t="str">
        <f>FoodDB!$E$1</f>
        <v>Protein
(g)</v>
      </c>
      <c r="G875" s="92" t="str">
        <f>FoodDB!$F$1</f>
        <v>Fat
(Cal)</v>
      </c>
      <c r="H875" s="92" t="str">
        <f>FoodDB!$G$1</f>
        <v>Carb
(Cal)</v>
      </c>
      <c r="I875" s="92" t="str">
        <f>FoodDB!$H$1</f>
        <v>Protein
(Cal)</v>
      </c>
      <c r="J875" s="92" t="str">
        <f>FoodDB!$I$1</f>
        <v>Total
Calories</v>
      </c>
      <c r="K875" s="92"/>
      <c r="L875" s="92" t="s">
        <v>109</v>
      </c>
      <c r="M875" s="92" t="s">
        <v>110</v>
      </c>
      <c r="N875" s="92" t="s">
        <v>111</v>
      </c>
      <c r="O875" s="92" t="s">
        <v>112</v>
      </c>
      <c r="P875" s="92" t="s">
        <v>117</v>
      </c>
      <c r="Q875" s="92" t="s">
        <v>118</v>
      </c>
      <c r="R875" s="92" t="s">
        <v>119</v>
      </c>
      <c r="S875" s="92" t="s">
        <v>120</v>
      </c>
    </row>
    <row r="876" spans="1:19" x14ac:dyDescent="0.25">
      <c r="A876" s="93">
        <f>A864+1</f>
        <v>43067</v>
      </c>
      <c r="B876" s="94" t="s">
        <v>107</v>
      </c>
      <c r="C876" s="95">
        <v>0</v>
      </c>
      <c r="D876">
        <f>$C876*VLOOKUP($B876,FoodDB!$A$2:$I$1011,3,0)</f>
        <v>0</v>
      </c>
      <c r="E876">
        <f>$C876*VLOOKUP($B876,FoodDB!$A$2:$I$1011,4,0)</f>
        <v>0</v>
      </c>
      <c r="F876">
        <f>$C876*VLOOKUP($B876,FoodDB!$A$2:$I$1011,5,0)</f>
        <v>0</v>
      </c>
      <c r="G876">
        <f>$C876*VLOOKUP($B876,FoodDB!$A$2:$I$1011,6,0)</f>
        <v>0</v>
      </c>
      <c r="H876">
        <f>$C876*VLOOKUP($B876,FoodDB!$A$2:$I$1011,7,0)</f>
        <v>0</v>
      </c>
      <c r="I876">
        <f>$C876*VLOOKUP($B876,FoodDB!$A$2:$I$1011,8,0)</f>
        <v>0</v>
      </c>
      <c r="J876">
        <f>$C876*VLOOKUP($B876,FoodDB!$A$2:$I$1011,9,0)</f>
        <v>0</v>
      </c>
      <c r="L876">
        <f>SUM(G876:G882)</f>
        <v>0</v>
      </c>
      <c r="M876">
        <f>SUM(H876:H882)</f>
        <v>0</v>
      </c>
      <c r="N876">
        <f>SUM(I876:I882)</f>
        <v>0</v>
      </c>
      <c r="O876">
        <f>SUM(L876:N876)</f>
        <v>0</v>
      </c>
      <c r="P876" s="98">
        <f>VLOOKUP($A876,LossChart!$A$3:$AB$105,14,0)-L876</f>
        <v>809.76992844965139</v>
      </c>
      <c r="Q876" s="98">
        <f>VLOOKUP($A876,LossChart!$A$3:$AB$105,15,0)-M876</f>
        <v>80</v>
      </c>
      <c r="R876" s="98">
        <f>VLOOKUP($A876,LossChart!$A$3:$AB$105,16,0)-N876</f>
        <v>482.47465271142238</v>
      </c>
      <c r="S876" s="98">
        <f>VLOOKUP($A876,LossChart!$A$3:$AB$105,17,0)-O876</f>
        <v>1372.2445811610737</v>
      </c>
    </row>
    <row r="877" spans="1:19" x14ac:dyDescent="0.25">
      <c r="B877" s="94" t="s">
        <v>107</v>
      </c>
      <c r="C877" s="95">
        <v>0</v>
      </c>
      <c r="D877">
        <f>$C877*VLOOKUP($B877,FoodDB!$A$2:$I$1011,3,0)</f>
        <v>0</v>
      </c>
      <c r="E877">
        <f>$C877*VLOOKUP($B877,FoodDB!$A$2:$I$1011,4,0)</f>
        <v>0</v>
      </c>
      <c r="F877">
        <f>$C877*VLOOKUP($B877,FoodDB!$A$2:$I$1011,5,0)</f>
        <v>0</v>
      </c>
      <c r="G877">
        <f>$C877*VLOOKUP($B877,FoodDB!$A$2:$I$1011,6,0)</f>
        <v>0</v>
      </c>
      <c r="H877">
        <f>$C877*VLOOKUP($B877,FoodDB!$A$2:$I$1011,7,0)</f>
        <v>0</v>
      </c>
      <c r="I877">
        <f>$C877*VLOOKUP($B877,FoodDB!$A$2:$I$1011,8,0)</f>
        <v>0</v>
      </c>
      <c r="J877">
        <f>$C877*VLOOKUP($B877,FoodDB!$A$2:$I$1011,9,0)</f>
        <v>0</v>
      </c>
    </row>
    <row r="878" spans="1:19" x14ac:dyDescent="0.25">
      <c r="B878" s="94" t="s">
        <v>107</v>
      </c>
      <c r="C878" s="95">
        <v>0</v>
      </c>
      <c r="D878">
        <f>$C878*VLOOKUP($B878,FoodDB!$A$2:$I$1011,3,0)</f>
        <v>0</v>
      </c>
      <c r="E878">
        <f>$C878*VLOOKUP($B878,FoodDB!$A$2:$I$1011,4,0)</f>
        <v>0</v>
      </c>
      <c r="F878">
        <f>$C878*VLOOKUP($B878,FoodDB!$A$2:$I$1011,5,0)</f>
        <v>0</v>
      </c>
      <c r="G878">
        <f>$C878*VLOOKUP($B878,FoodDB!$A$2:$I$1011,6,0)</f>
        <v>0</v>
      </c>
      <c r="H878">
        <f>$C878*VLOOKUP($B878,FoodDB!$A$2:$I$1011,7,0)</f>
        <v>0</v>
      </c>
      <c r="I878">
        <f>$C878*VLOOKUP($B878,FoodDB!$A$2:$I$1011,8,0)</f>
        <v>0</v>
      </c>
      <c r="J878">
        <f>$C878*VLOOKUP($B878,FoodDB!$A$2:$I$1011,9,0)</f>
        <v>0</v>
      </c>
    </row>
    <row r="879" spans="1:19" x14ac:dyDescent="0.25">
      <c r="B879" s="94" t="s">
        <v>107</v>
      </c>
      <c r="C879" s="95">
        <v>0</v>
      </c>
      <c r="D879">
        <f>$C879*VLOOKUP($B879,FoodDB!$A$2:$I$1011,3,0)</f>
        <v>0</v>
      </c>
      <c r="E879">
        <f>$C879*VLOOKUP($B879,FoodDB!$A$2:$I$1011,4,0)</f>
        <v>0</v>
      </c>
      <c r="F879">
        <f>$C879*VLOOKUP($B879,FoodDB!$A$2:$I$1011,5,0)</f>
        <v>0</v>
      </c>
      <c r="G879">
        <f>$C879*VLOOKUP($B879,FoodDB!$A$2:$I$1011,6,0)</f>
        <v>0</v>
      </c>
      <c r="H879">
        <f>$C879*VLOOKUP($B879,FoodDB!$A$2:$I$1011,7,0)</f>
        <v>0</v>
      </c>
      <c r="I879">
        <f>$C879*VLOOKUP($B879,FoodDB!$A$2:$I$1011,8,0)</f>
        <v>0</v>
      </c>
      <c r="J879">
        <f>$C879*VLOOKUP($B879,FoodDB!$A$2:$I$1011,9,0)</f>
        <v>0</v>
      </c>
    </row>
    <row r="880" spans="1:19" x14ac:dyDescent="0.25">
      <c r="B880" s="94" t="s">
        <v>107</v>
      </c>
      <c r="C880" s="95">
        <v>0</v>
      </c>
      <c r="D880">
        <f>$C880*VLOOKUP($B880,FoodDB!$A$2:$I$1011,3,0)</f>
        <v>0</v>
      </c>
      <c r="E880">
        <f>$C880*VLOOKUP($B880,FoodDB!$A$2:$I$1011,4,0)</f>
        <v>0</v>
      </c>
      <c r="F880">
        <f>$C880*VLOOKUP($B880,FoodDB!$A$2:$I$1011,5,0)</f>
        <v>0</v>
      </c>
      <c r="G880">
        <f>$C880*VLOOKUP($B880,FoodDB!$A$2:$I$1011,6,0)</f>
        <v>0</v>
      </c>
      <c r="H880">
        <f>$C880*VLOOKUP($B880,FoodDB!$A$2:$I$1011,7,0)</f>
        <v>0</v>
      </c>
      <c r="I880">
        <f>$C880*VLOOKUP($B880,FoodDB!$A$2:$I$1011,8,0)</f>
        <v>0</v>
      </c>
      <c r="J880">
        <f>$C880*VLOOKUP($B880,FoodDB!$A$2:$I$1011,9,0)</f>
        <v>0</v>
      </c>
    </row>
    <row r="881" spans="1:19" x14ac:dyDescent="0.25">
      <c r="B881" s="94" t="s">
        <v>107</v>
      </c>
      <c r="C881" s="95">
        <v>0</v>
      </c>
      <c r="D881">
        <f>$C881*VLOOKUP($B881,FoodDB!$A$2:$I$1011,3,0)</f>
        <v>0</v>
      </c>
      <c r="E881">
        <f>$C881*VLOOKUP($B881,FoodDB!$A$2:$I$1011,4,0)</f>
        <v>0</v>
      </c>
      <c r="F881">
        <f>$C881*VLOOKUP($B881,FoodDB!$A$2:$I$1011,5,0)</f>
        <v>0</v>
      </c>
      <c r="G881">
        <f>$C881*VLOOKUP($B881,FoodDB!$A$2:$I$1011,6,0)</f>
        <v>0</v>
      </c>
      <c r="H881">
        <f>$C881*VLOOKUP($B881,FoodDB!$A$2:$I$1011,7,0)</f>
        <v>0</v>
      </c>
      <c r="I881">
        <f>$C881*VLOOKUP($B881,FoodDB!$A$2:$I$1011,8,0)</f>
        <v>0</v>
      </c>
      <c r="J881">
        <f>$C881*VLOOKUP($B881,FoodDB!$A$2:$I$1011,9,0)</f>
        <v>0</v>
      </c>
    </row>
    <row r="882" spans="1:19" x14ac:dyDescent="0.25">
      <c r="B882" s="94" t="s">
        <v>107</v>
      </c>
      <c r="C882" s="95">
        <v>0</v>
      </c>
      <c r="D882">
        <f>$C882*VLOOKUP($B882,FoodDB!$A$2:$I$1011,3,0)</f>
        <v>0</v>
      </c>
      <c r="E882">
        <f>$C882*VLOOKUP($B882,FoodDB!$A$2:$I$1011,4,0)</f>
        <v>0</v>
      </c>
      <c r="F882">
        <f>$C882*VLOOKUP($B882,FoodDB!$A$2:$I$1011,5,0)</f>
        <v>0</v>
      </c>
      <c r="G882">
        <f>$C882*VLOOKUP($B882,FoodDB!$A$2:$I$1011,6,0)</f>
        <v>0</v>
      </c>
      <c r="H882">
        <f>$C882*VLOOKUP($B882,FoodDB!$A$2:$I$1011,7,0)</f>
        <v>0</v>
      </c>
      <c r="I882">
        <f>$C882*VLOOKUP($B882,FoodDB!$A$2:$I$1011,8,0)</f>
        <v>0</v>
      </c>
      <c r="J882">
        <f>$C882*VLOOKUP($B882,FoodDB!$A$2:$I$1011,9,0)</f>
        <v>0</v>
      </c>
    </row>
    <row r="883" spans="1:19" x14ac:dyDescent="0.25">
      <c r="A883" t="s">
        <v>97</v>
      </c>
      <c r="G883">
        <f>SUM(G876:G882)</f>
        <v>0</v>
      </c>
      <c r="H883">
        <f>SUM(H876:H882)</f>
        <v>0</v>
      </c>
      <c r="I883">
        <f>SUM(I876:I882)</f>
        <v>0</v>
      </c>
      <c r="J883">
        <f>SUM(G883:I883)</f>
        <v>0</v>
      </c>
    </row>
    <row r="884" spans="1:19" x14ac:dyDescent="0.25">
      <c r="A884" t="s">
        <v>101</v>
      </c>
      <c r="B884" t="s">
        <v>102</v>
      </c>
      <c r="E884" s="98"/>
      <c r="F884" s="98"/>
      <c r="G884" s="98">
        <f>VLOOKUP($A876,LossChart!$A$3:$AB$105,14,0)</f>
        <v>809.76992844965139</v>
      </c>
      <c r="H884" s="98">
        <f>VLOOKUP($A876,LossChart!$A$3:$AB$105,15,0)</f>
        <v>80</v>
      </c>
      <c r="I884" s="98">
        <f>VLOOKUP($A876,LossChart!$A$3:$AB$105,16,0)</f>
        <v>482.47465271142238</v>
      </c>
      <c r="J884" s="98">
        <f>VLOOKUP($A876,LossChart!$A$3:$AB$105,17,0)</f>
        <v>1372.2445811610737</v>
      </c>
      <c r="K884" s="98"/>
    </row>
    <row r="885" spans="1:19" x14ac:dyDescent="0.25">
      <c r="A885" t="s">
        <v>103</v>
      </c>
      <c r="G885">
        <f>G884-G883</f>
        <v>809.76992844965139</v>
      </c>
      <c r="H885">
        <f>H884-H883</f>
        <v>80</v>
      </c>
      <c r="I885">
        <f>I884-I883</f>
        <v>482.47465271142238</v>
      </c>
      <c r="J885">
        <f>J884-J883</f>
        <v>1372.2445811610737</v>
      </c>
    </row>
    <row r="887" spans="1:19" ht="60" x14ac:dyDescent="0.25">
      <c r="A887" s="21" t="s">
        <v>63</v>
      </c>
      <c r="B887" s="21" t="s">
        <v>92</v>
      </c>
      <c r="C887" s="21" t="s">
        <v>93</v>
      </c>
      <c r="D887" s="92" t="str">
        <f>FoodDB!$C$1</f>
        <v>Fat
(g)</v>
      </c>
      <c r="E887" s="92" t="str">
        <f>FoodDB!$D$1</f>
        <v xml:space="preserve"> Carbs
(g)</v>
      </c>
      <c r="F887" s="92" t="str">
        <f>FoodDB!$E$1</f>
        <v>Protein
(g)</v>
      </c>
      <c r="G887" s="92" t="str">
        <f>FoodDB!$F$1</f>
        <v>Fat
(Cal)</v>
      </c>
      <c r="H887" s="92" t="str">
        <f>FoodDB!$G$1</f>
        <v>Carb
(Cal)</v>
      </c>
      <c r="I887" s="92" t="str">
        <f>FoodDB!$H$1</f>
        <v>Protein
(Cal)</v>
      </c>
      <c r="J887" s="92" t="str">
        <f>FoodDB!$I$1</f>
        <v>Total
Calories</v>
      </c>
      <c r="K887" s="92"/>
      <c r="L887" s="92" t="s">
        <v>109</v>
      </c>
      <c r="M887" s="92" t="s">
        <v>110</v>
      </c>
      <c r="N887" s="92" t="s">
        <v>111</v>
      </c>
      <c r="O887" s="92" t="s">
        <v>112</v>
      </c>
      <c r="P887" s="92" t="s">
        <v>117</v>
      </c>
      <c r="Q887" s="92" t="s">
        <v>118</v>
      </c>
      <c r="R887" s="92" t="s">
        <v>119</v>
      </c>
      <c r="S887" s="92" t="s">
        <v>120</v>
      </c>
    </row>
    <row r="888" spans="1:19" x14ac:dyDescent="0.25">
      <c r="A888" s="93">
        <f>A876+1</f>
        <v>43068</v>
      </c>
      <c r="B888" s="94" t="s">
        <v>107</v>
      </c>
      <c r="C888" s="95">
        <v>0</v>
      </c>
      <c r="D888">
        <f>$C888*VLOOKUP($B888,FoodDB!$A$2:$I$1011,3,0)</f>
        <v>0</v>
      </c>
      <c r="E888">
        <f>$C888*VLOOKUP($B888,FoodDB!$A$2:$I$1011,4,0)</f>
        <v>0</v>
      </c>
      <c r="F888">
        <f>$C888*VLOOKUP($B888,FoodDB!$A$2:$I$1011,5,0)</f>
        <v>0</v>
      </c>
      <c r="G888">
        <f>$C888*VLOOKUP($B888,FoodDB!$A$2:$I$1011,6,0)</f>
        <v>0</v>
      </c>
      <c r="H888">
        <f>$C888*VLOOKUP($B888,FoodDB!$A$2:$I$1011,7,0)</f>
        <v>0</v>
      </c>
      <c r="I888">
        <f>$C888*VLOOKUP($B888,FoodDB!$A$2:$I$1011,8,0)</f>
        <v>0</v>
      </c>
      <c r="J888">
        <f>$C888*VLOOKUP($B888,FoodDB!$A$2:$I$1011,9,0)</f>
        <v>0</v>
      </c>
      <c r="L888">
        <f>SUM(G888:G894)</f>
        <v>0</v>
      </c>
      <c r="M888">
        <f>SUM(H888:H894)</f>
        <v>0</v>
      </c>
      <c r="N888">
        <f>SUM(I888:I894)</f>
        <v>0</v>
      </c>
      <c r="O888">
        <f>SUM(L888:N888)</f>
        <v>0</v>
      </c>
      <c r="P888" s="98">
        <f>VLOOKUP($A888,LossChart!$A$3:$AB$105,14,0)-L888</f>
        <v>814.23240853045149</v>
      </c>
      <c r="Q888" s="98">
        <f>VLOOKUP($A888,LossChart!$A$3:$AB$105,15,0)-M888</f>
        <v>80</v>
      </c>
      <c r="R888" s="98">
        <f>VLOOKUP($A888,LossChart!$A$3:$AB$105,16,0)-N888</f>
        <v>482.47465271142238</v>
      </c>
      <c r="S888" s="98">
        <f>VLOOKUP($A888,LossChart!$A$3:$AB$105,17,0)-O888</f>
        <v>1376.7070612418738</v>
      </c>
    </row>
    <row r="889" spans="1:19" x14ac:dyDescent="0.25">
      <c r="B889" s="94" t="s">
        <v>107</v>
      </c>
      <c r="C889" s="95">
        <v>0</v>
      </c>
      <c r="D889">
        <f>$C889*VLOOKUP($B889,FoodDB!$A$2:$I$1011,3,0)</f>
        <v>0</v>
      </c>
      <c r="E889">
        <f>$C889*VLOOKUP($B889,FoodDB!$A$2:$I$1011,4,0)</f>
        <v>0</v>
      </c>
      <c r="F889">
        <f>$C889*VLOOKUP($B889,FoodDB!$A$2:$I$1011,5,0)</f>
        <v>0</v>
      </c>
      <c r="G889">
        <f>$C889*VLOOKUP($B889,FoodDB!$A$2:$I$1011,6,0)</f>
        <v>0</v>
      </c>
      <c r="H889">
        <f>$C889*VLOOKUP($B889,FoodDB!$A$2:$I$1011,7,0)</f>
        <v>0</v>
      </c>
      <c r="I889">
        <f>$C889*VLOOKUP($B889,FoodDB!$A$2:$I$1011,8,0)</f>
        <v>0</v>
      </c>
      <c r="J889">
        <f>$C889*VLOOKUP($B889,FoodDB!$A$2:$I$1011,9,0)</f>
        <v>0</v>
      </c>
    </row>
    <row r="890" spans="1:19" x14ac:dyDescent="0.25">
      <c r="B890" s="94" t="s">
        <v>107</v>
      </c>
      <c r="C890" s="95">
        <v>0</v>
      </c>
      <c r="D890">
        <f>$C890*VLOOKUP($B890,FoodDB!$A$2:$I$1011,3,0)</f>
        <v>0</v>
      </c>
      <c r="E890">
        <f>$C890*VLOOKUP($B890,FoodDB!$A$2:$I$1011,4,0)</f>
        <v>0</v>
      </c>
      <c r="F890">
        <f>$C890*VLOOKUP($B890,FoodDB!$A$2:$I$1011,5,0)</f>
        <v>0</v>
      </c>
      <c r="G890">
        <f>$C890*VLOOKUP($B890,FoodDB!$A$2:$I$1011,6,0)</f>
        <v>0</v>
      </c>
      <c r="H890">
        <f>$C890*VLOOKUP($B890,FoodDB!$A$2:$I$1011,7,0)</f>
        <v>0</v>
      </c>
      <c r="I890">
        <f>$C890*VLOOKUP($B890,FoodDB!$A$2:$I$1011,8,0)</f>
        <v>0</v>
      </c>
      <c r="J890">
        <f>$C890*VLOOKUP($B890,FoodDB!$A$2:$I$1011,9,0)</f>
        <v>0</v>
      </c>
    </row>
    <row r="891" spans="1:19" x14ac:dyDescent="0.25">
      <c r="B891" s="94" t="s">
        <v>107</v>
      </c>
      <c r="C891" s="95">
        <v>0</v>
      </c>
      <c r="D891">
        <f>$C891*VLOOKUP($B891,FoodDB!$A$2:$I$1011,3,0)</f>
        <v>0</v>
      </c>
      <c r="E891">
        <f>$C891*VLOOKUP($B891,FoodDB!$A$2:$I$1011,4,0)</f>
        <v>0</v>
      </c>
      <c r="F891">
        <f>$C891*VLOOKUP($B891,FoodDB!$A$2:$I$1011,5,0)</f>
        <v>0</v>
      </c>
      <c r="G891">
        <f>$C891*VLOOKUP($B891,FoodDB!$A$2:$I$1011,6,0)</f>
        <v>0</v>
      </c>
      <c r="H891">
        <f>$C891*VLOOKUP($B891,FoodDB!$A$2:$I$1011,7,0)</f>
        <v>0</v>
      </c>
      <c r="I891">
        <f>$C891*VLOOKUP($B891,FoodDB!$A$2:$I$1011,8,0)</f>
        <v>0</v>
      </c>
      <c r="J891">
        <f>$C891*VLOOKUP($B891,FoodDB!$A$2:$I$1011,9,0)</f>
        <v>0</v>
      </c>
    </row>
    <row r="892" spans="1:19" x14ac:dyDescent="0.25">
      <c r="B892" s="94" t="s">
        <v>107</v>
      </c>
      <c r="C892" s="95">
        <v>0</v>
      </c>
      <c r="D892">
        <f>$C892*VLOOKUP($B892,FoodDB!$A$2:$I$1011,3,0)</f>
        <v>0</v>
      </c>
      <c r="E892">
        <f>$C892*VLOOKUP($B892,FoodDB!$A$2:$I$1011,4,0)</f>
        <v>0</v>
      </c>
      <c r="F892">
        <f>$C892*VLOOKUP($B892,FoodDB!$A$2:$I$1011,5,0)</f>
        <v>0</v>
      </c>
      <c r="G892">
        <f>$C892*VLOOKUP($B892,FoodDB!$A$2:$I$1011,6,0)</f>
        <v>0</v>
      </c>
      <c r="H892">
        <f>$C892*VLOOKUP($B892,FoodDB!$A$2:$I$1011,7,0)</f>
        <v>0</v>
      </c>
      <c r="I892">
        <f>$C892*VLOOKUP($B892,FoodDB!$A$2:$I$1011,8,0)</f>
        <v>0</v>
      </c>
      <c r="J892">
        <f>$C892*VLOOKUP($B892,FoodDB!$A$2:$I$1011,9,0)</f>
        <v>0</v>
      </c>
    </row>
    <row r="893" spans="1:19" x14ac:dyDescent="0.25">
      <c r="B893" s="94" t="s">
        <v>107</v>
      </c>
      <c r="C893" s="95">
        <v>0</v>
      </c>
      <c r="D893">
        <f>$C893*VLOOKUP($B893,FoodDB!$A$2:$I$1011,3,0)</f>
        <v>0</v>
      </c>
      <c r="E893">
        <f>$C893*VLOOKUP($B893,FoodDB!$A$2:$I$1011,4,0)</f>
        <v>0</v>
      </c>
      <c r="F893">
        <f>$C893*VLOOKUP($B893,FoodDB!$A$2:$I$1011,5,0)</f>
        <v>0</v>
      </c>
      <c r="G893">
        <f>$C893*VLOOKUP($B893,FoodDB!$A$2:$I$1011,6,0)</f>
        <v>0</v>
      </c>
      <c r="H893">
        <f>$C893*VLOOKUP($B893,FoodDB!$A$2:$I$1011,7,0)</f>
        <v>0</v>
      </c>
      <c r="I893">
        <f>$C893*VLOOKUP($B893,FoodDB!$A$2:$I$1011,8,0)</f>
        <v>0</v>
      </c>
      <c r="J893">
        <f>$C893*VLOOKUP($B893,FoodDB!$A$2:$I$1011,9,0)</f>
        <v>0</v>
      </c>
    </row>
    <row r="894" spans="1:19" x14ac:dyDescent="0.25">
      <c r="B894" s="94" t="s">
        <v>107</v>
      </c>
      <c r="C894" s="95">
        <v>0</v>
      </c>
      <c r="D894">
        <f>$C894*VLOOKUP($B894,FoodDB!$A$2:$I$1011,3,0)</f>
        <v>0</v>
      </c>
      <c r="E894">
        <f>$C894*VLOOKUP($B894,FoodDB!$A$2:$I$1011,4,0)</f>
        <v>0</v>
      </c>
      <c r="F894">
        <f>$C894*VLOOKUP($B894,FoodDB!$A$2:$I$1011,5,0)</f>
        <v>0</v>
      </c>
      <c r="G894">
        <f>$C894*VLOOKUP($B894,FoodDB!$A$2:$I$1011,6,0)</f>
        <v>0</v>
      </c>
      <c r="H894">
        <f>$C894*VLOOKUP($B894,FoodDB!$A$2:$I$1011,7,0)</f>
        <v>0</v>
      </c>
      <c r="I894">
        <f>$C894*VLOOKUP($B894,FoodDB!$A$2:$I$1011,8,0)</f>
        <v>0</v>
      </c>
      <c r="J894">
        <f>$C894*VLOOKUP($B894,FoodDB!$A$2:$I$1011,9,0)</f>
        <v>0</v>
      </c>
    </row>
    <row r="895" spans="1:19" x14ac:dyDescent="0.25">
      <c r="A895" t="s">
        <v>97</v>
      </c>
      <c r="G895">
        <f>SUM(G888:G894)</f>
        <v>0</v>
      </c>
      <c r="H895">
        <f>SUM(H888:H894)</f>
        <v>0</v>
      </c>
      <c r="I895">
        <f>SUM(I888:I894)</f>
        <v>0</v>
      </c>
      <c r="J895">
        <f>SUM(G895:I895)</f>
        <v>0</v>
      </c>
    </row>
    <row r="896" spans="1:19" x14ac:dyDescent="0.25">
      <c r="A896" t="s">
        <v>101</v>
      </c>
      <c r="B896" t="s">
        <v>102</v>
      </c>
      <c r="E896" s="98"/>
      <c r="F896" s="98"/>
      <c r="G896" s="98">
        <f>VLOOKUP($A888,LossChart!$A$3:$AB$105,14,0)</f>
        <v>814.23240853045149</v>
      </c>
      <c r="H896" s="98">
        <f>VLOOKUP($A888,LossChart!$A$3:$AB$105,15,0)</f>
        <v>80</v>
      </c>
      <c r="I896" s="98">
        <f>VLOOKUP($A888,LossChart!$A$3:$AB$105,16,0)</f>
        <v>482.47465271142238</v>
      </c>
      <c r="J896" s="98">
        <f>VLOOKUP($A888,LossChart!$A$3:$AB$105,17,0)</f>
        <v>1376.7070612418738</v>
      </c>
      <c r="K896" s="98"/>
    </row>
    <row r="897" spans="1:19" x14ac:dyDescent="0.25">
      <c r="A897" t="s">
        <v>103</v>
      </c>
      <c r="G897">
        <f>G896-G895</f>
        <v>814.23240853045149</v>
      </c>
      <c r="H897">
        <f>H896-H895</f>
        <v>80</v>
      </c>
      <c r="I897">
        <f>I896-I895</f>
        <v>482.47465271142238</v>
      </c>
      <c r="J897">
        <f>J896-J895</f>
        <v>1376.7070612418738</v>
      </c>
    </row>
    <row r="899" spans="1:19" ht="60" x14ac:dyDescent="0.25">
      <c r="A899" s="21" t="s">
        <v>63</v>
      </c>
      <c r="B899" s="21" t="s">
        <v>92</v>
      </c>
      <c r="C899" s="21" t="s">
        <v>93</v>
      </c>
      <c r="D899" s="92" t="str">
        <f>FoodDB!$C$1</f>
        <v>Fat
(g)</v>
      </c>
      <c r="E899" s="92" t="str">
        <f>FoodDB!$D$1</f>
        <v xml:space="preserve"> Carbs
(g)</v>
      </c>
      <c r="F899" s="92" t="str">
        <f>FoodDB!$E$1</f>
        <v>Protein
(g)</v>
      </c>
      <c r="G899" s="92" t="str">
        <f>FoodDB!$F$1</f>
        <v>Fat
(Cal)</v>
      </c>
      <c r="H899" s="92" t="str">
        <f>FoodDB!$G$1</f>
        <v>Carb
(Cal)</v>
      </c>
      <c r="I899" s="92" t="str">
        <f>FoodDB!$H$1</f>
        <v>Protein
(Cal)</v>
      </c>
      <c r="J899" s="92" t="str">
        <f>FoodDB!$I$1</f>
        <v>Total
Calories</v>
      </c>
      <c r="K899" s="92"/>
      <c r="L899" s="92" t="s">
        <v>109</v>
      </c>
      <c r="M899" s="92" t="s">
        <v>110</v>
      </c>
      <c r="N899" s="92" t="s">
        <v>111</v>
      </c>
      <c r="O899" s="92" t="s">
        <v>112</v>
      </c>
      <c r="P899" s="92" t="s">
        <v>117</v>
      </c>
      <c r="Q899" s="92" t="s">
        <v>118</v>
      </c>
      <c r="R899" s="92" t="s">
        <v>119</v>
      </c>
      <c r="S899" s="92" t="s">
        <v>120</v>
      </c>
    </row>
    <row r="900" spans="1:19" x14ac:dyDescent="0.25">
      <c r="A900" s="93">
        <f>A888+1</f>
        <v>43069</v>
      </c>
      <c r="B900" s="94" t="s">
        <v>107</v>
      </c>
      <c r="C900" s="95">
        <v>0</v>
      </c>
      <c r="D900">
        <f>$C900*VLOOKUP($B900,FoodDB!$A$2:$I$1011,3,0)</f>
        <v>0</v>
      </c>
      <c r="E900">
        <f>$C900*VLOOKUP($B900,FoodDB!$A$2:$I$1011,4,0)</f>
        <v>0</v>
      </c>
      <c r="F900">
        <f>$C900*VLOOKUP($B900,FoodDB!$A$2:$I$1011,5,0)</f>
        <v>0</v>
      </c>
      <c r="G900">
        <f>$C900*VLOOKUP($B900,FoodDB!$A$2:$I$1011,6,0)</f>
        <v>0</v>
      </c>
      <c r="H900">
        <f>$C900*VLOOKUP($B900,FoodDB!$A$2:$I$1011,7,0)</f>
        <v>0</v>
      </c>
      <c r="I900">
        <f>$C900*VLOOKUP($B900,FoodDB!$A$2:$I$1011,8,0)</f>
        <v>0</v>
      </c>
      <c r="J900">
        <f>$C900*VLOOKUP($B900,FoodDB!$A$2:$I$1011,9,0)</f>
        <v>0</v>
      </c>
      <c r="L900">
        <f>SUM(G900:G906)</f>
        <v>0</v>
      </c>
      <c r="M900">
        <f>SUM(H900:H906)</f>
        <v>0</v>
      </c>
      <c r="N900">
        <f>SUM(I900:I906)</f>
        <v>0</v>
      </c>
      <c r="O900">
        <f>SUM(L900:N900)</f>
        <v>0</v>
      </c>
      <c r="P900" s="98">
        <f>VLOOKUP($A900,LossChart!$A$3:$AB$105,14,0)-L900</f>
        <v>818.65536378767888</v>
      </c>
      <c r="Q900" s="98">
        <f>VLOOKUP($A900,LossChart!$A$3:$AB$105,15,0)-M900</f>
        <v>80</v>
      </c>
      <c r="R900" s="98">
        <f>VLOOKUP($A900,LossChart!$A$3:$AB$105,16,0)-N900</f>
        <v>482.47465271142238</v>
      </c>
      <c r="S900" s="98">
        <f>VLOOKUP($A900,LossChart!$A$3:$AB$105,17,0)-O900</f>
        <v>1381.1300164991012</v>
      </c>
    </row>
    <row r="901" spans="1:19" x14ac:dyDescent="0.25">
      <c r="B901" s="94" t="s">
        <v>107</v>
      </c>
      <c r="C901" s="95">
        <v>0</v>
      </c>
      <c r="D901">
        <f>$C901*VLOOKUP($B901,FoodDB!$A$2:$I$1011,3,0)</f>
        <v>0</v>
      </c>
      <c r="E901">
        <f>$C901*VLOOKUP($B901,FoodDB!$A$2:$I$1011,4,0)</f>
        <v>0</v>
      </c>
      <c r="F901">
        <f>$C901*VLOOKUP($B901,FoodDB!$A$2:$I$1011,5,0)</f>
        <v>0</v>
      </c>
      <c r="G901">
        <f>$C901*VLOOKUP($B901,FoodDB!$A$2:$I$1011,6,0)</f>
        <v>0</v>
      </c>
      <c r="H901">
        <f>$C901*VLOOKUP($B901,FoodDB!$A$2:$I$1011,7,0)</f>
        <v>0</v>
      </c>
      <c r="I901">
        <f>$C901*VLOOKUP($B901,FoodDB!$A$2:$I$1011,8,0)</f>
        <v>0</v>
      </c>
      <c r="J901">
        <f>$C901*VLOOKUP($B901,FoodDB!$A$2:$I$1011,9,0)</f>
        <v>0</v>
      </c>
    </row>
    <row r="902" spans="1:19" x14ac:dyDescent="0.25">
      <c r="B902" s="94" t="s">
        <v>107</v>
      </c>
      <c r="C902" s="95">
        <v>0</v>
      </c>
      <c r="D902">
        <f>$C902*VLOOKUP($B902,FoodDB!$A$2:$I$1011,3,0)</f>
        <v>0</v>
      </c>
      <c r="E902">
        <f>$C902*VLOOKUP($B902,FoodDB!$A$2:$I$1011,4,0)</f>
        <v>0</v>
      </c>
      <c r="F902">
        <f>$C902*VLOOKUP($B902,FoodDB!$A$2:$I$1011,5,0)</f>
        <v>0</v>
      </c>
      <c r="G902">
        <f>$C902*VLOOKUP($B902,FoodDB!$A$2:$I$1011,6,0)</f>
        <v>0</v>
      </c>
      <c r="H902">
        <f>$C902*VLOOKUP($B902,FoodDB!$A$2:$I$1011,7,0)</f>
        <v>0</v>
      </c>
      <c r="I902">
        <f>$C902*VLOOKUP($B902,FoodDB!$A$2:$I$1011,8,0)</f>
        <v>0</v>
      </c>
      <c r="J902">
        <f>$C902*VLOOKUP($B902,FoodDB!$A$2:$I$1011,9,0)</f>
        <v>0</v>
      </c>
    </row>
    <row r="903" spans="1:19" x14ac:dyDescent="0.25">
      <c r="B903" s="94" t="s">
        <v>107</v>
      </c>
      <c r="C903" s="95">
        <v>0</v>
      </c>
      <c r="D903">
        <f>$C903*VLOOKUP($B903,FoodDB!$A$2:$I$1011,3,0)</f>
        <v>0</v>
      </c>
      <c r="E903">
        <f>$C903*VLOOKUP($B903,FoodDB!$A$2:$I$1011,4,0)</f>
        <v>0</v>
      </c>
      <c r="F903">
        <f>$C903*VLOOKUP($B903,FoodDB!$A$2:$I$1011,5,0)</f>
        <v>0</v>
      </c>
      <c r="G903">
        <f>$C903*VLOOKUP($B903,FoodDB!$A$2:$I$1011,6,0)</f>
        <v>0</v>
      </c>
      <c r="H903">
        <f>$C903*VLOOKUP($B903,FoodDB!$A$2:$I$1011,7,0)</f>
        <v>0</v>
      </c>
      <c r="I903">
        <f>$C903*VLOOKUP($B903,FoodDB!$A$2:$I$1011,8,0)</f>
        <v>0</v>
      </c>
      <c r="J903">
        <f>$C903*VLOOKUP($B903,FoodDB!$A$2:$I$1011,9,0)</f>
        <v>0</v>
      </c>
    </row>
    <row r="904" spans="1:19" x14ac:dyDescent="0.25">
      <c r="B904" s="94" t="s">
        <v>107</v>
      </c>
      <c r="C904" s="95">
        <v>0</v>
      </c>
      <c r="D904">
        <f>$C904*VLOOKUP($B904,FoodDB!$A$2:$I$1011,3,0)</f>
        <v>0</v>
      </c>
      <c r="E904">
        <f>$C904*VLOOKUP($B904,FoodDB!$A$2:$I$1011,4,0)</f>
        <v>0</v>
      </c>
      <c r="F904">
        <f>$C904*VLOOKUP($B904,FoodDB!$A$2:$I$1011,5,0)</f>
        <v>0</v>
      </c>
      <c r="G904">
        <f>$C904*VLOOKUP($B904,FoodDB!$A$2:$I$1011,6,0)</f>
        <v>0</v>
      </c>
      <c r="H904">
        <f>$C904*VLOOKUP($B904,FoodDB!$A$2:$I$1011,7,0)</f>
        <v>0</v>
      </c>
      <c r="I904">
        <f>$C904*VLOOKUP($B904,FoodDB!$A$2:$I$1011,8,0)</f>
        <v>0</v>
      </c>
      <c r="J904">
        <f>$C904*VLOOKUP($B904,FoodDB!$A$2:$I$1011,9,0)</f>
        <v>0</v>
      </c>
    </row>
    <row r="905" spans="1:19" x14ac:dyDescent="0.25">
      <c r="B905" s="94" t="s">
        <v>107</v>
      </c>
      <c r="C905" s="95">
        <v>0</v>
      </c>
      <c r="D905">
        <f>$C905*VLOOKUP($B905,FoodDB!$A$2:$I$1011,3,0)</f>
        <v>0</v>
      </c>
      <c r="E905">
        <f>$C905*VLOOKUP($B905,FoodDB!$A$2:$I$1011,4,0)</f>
        <v>0</v>
      </c>
      <c r="F905">
        <f>$C905*VLOOKUP($B905,FoodDB!$A$2:$I$1011,5,0)</f>
        <v>0</v>
      </c>
      <c r="G905">
        <f>$C905*VLOOKUP($B905,FoodDB!$A$2:$I$1011,6,0)</f>
        <v>0</v>
      </c>
      <c r="H905">
        <f>$C905*VLOOKUP($B905,FoodDB!$A$2:$I$1011,7,0)</f>
        <v>0</v>
      </c>
      <c r="I905">
        <f>$C905*VLOOKUP($B905,FoodDB!$A$2:$I$1011,8,0)</f>
        <v>0</v>
      </c>
      <c r="J905">
        <f>$C905*VLOOKUP($B905,FoodDB!$A$2:$I$1011,9,0)</f>
        <v>0</v>
      </c>
    </row>
    <row r="906" spans="1:19" x14ac:dyDescent="0.25">
      <c r="B906" s="94" t="s">
        <v>107</v>
      </c>
      <c r="C906" s="95">
        <v>0</v>
      </c>
      <c r="D906">
        <f>$C906*VLOOKUP($B906,FoodDB!$A$2:$I$1011,3,0)</f>
        <v>0</v>
      </c>
      <c r="E906">
        <f>$C906*VLOOKUP($B906,FoodDB!$A$2:$I$1011,4,0)</f>
        <v>0</v>
      </c>
      <c r="F906">
        <f>$C906*VLOOKUP($B906,FoodDB!$A$2:$I$1011,5,0)</f>
        <v>0</v>
      </c>
      <c r="G906">
        <f>$C906*VLOOKUP($B906,FoodDB!$A$2:$I$1011,6,0)</f>
        <v>0</v>
      </c>
      <c r="H906">
        <f>$C906*VLOOKUP($B906,FoodDB!$A$2:$I$1011,7,0)</f>
        <v>0</v>
      </c>
      <c r="I906">
        <f>$C906*VLOOKUP($B906,FoodDB!$A$2:$I$1011,8,0)</f>
        <v>0</v>
      </c>
      <c r="J906">
        <f>$C906*VLOOKUP($B906,FoodDB!$A$2:$I$1011,9,0)</f>
        <v>0</v>
      </c>
    </row>
    <row r="907" spans="1:19" x14ac:dyDescent="0.25">
      <c r="A907" t="s">
        <v>97</v>
      </c>
      <c r="G907">
        <f>SUM(G900:G906)</f>
        <v>0</v>
      </c>
      <c r="H907">
        <f>SUM(H900:H906)</f>
        <v>0</v>
      </c>
      <c r="I907">
        <f>SUM(I900:I906)</f>
        <v>0</v>
      </c>
      <c r="J907">
        <f>SUM(G907:I907)</f>
        <v>0</v>
      </c>
    </row>
    <row r="908" spans="1:19" x14ac:dyDescent="0.25">
      <c r="A908" t="s">
        <v>101</v>
      </c>
      <c r="B908" t="s">
        <v>102</v>
      </c>
      <c r="E908" s="98"/>
      <c r="F908" s="98"/>
      <c r="G908" s="98">
        <f>VLOOKUP($A900,LossChart!$A$3:$AB$105,14,0)</f>
        <v>818.65536378767888</v>
      </c>
      <c r="H908" s="98">
        <f>VLOOKUP($A900,LossChart!$A$3:$AB$105,15,0)</f>
        <v>80</v>
      </c>
      <c r="I908" s="98">
        <f>VLOOKUP($A900,LossChart!$A$3:$AB$105,16,0)</f>
        <v>482.47465271142238</v>
      </c>
      <c r="J908" s="98">
        <f>VLOOKUP($A900,LossChart!$A$3:$AB$105,17,0)</f>
        <v>1381.1300164991012</v>
      </c>
      <c r="K908" s="98"/>
    </row>
    <row r="909" spans="1:19" x14ac:dyDescent="0.25">
      <c r="A909" t="s">
        <v>103</v>
      </c>
      <c r="G909">
        <f>G908-G907</f>
        <v>818.65536378767888</v>
      </c>
      <c r="H909">
        <f>H908-H907</f>
        <v>80</v>
      </c>
      <c r="I909">
        <f>I908-I907</f>
        <v>482.47465271142238</v>
      </c>
      <c r="J909">
        <f>J908-J907</f>
        <v>1381.1300164991012</v>
      </c>
    </row>
    <row r="911" spans="1:19" ht="60" x14ac:dyDescent="0.25">
      <c r="A911" s="21" t="s">
        <v>63</v>
      </c>
      <c r="B911" s="21" t="s">
        <v>92</v>
      </c>
      <c r="C911" s="21" t="s">
        <v>93</v>
      </c>
      <c r="D911" s="92" t="str">
        <f>FoodDB!$C$1</f>
        <v>Fat
(g)</v>
      </c>
      <c r="E911" s="92" t="str">
        <f>FoodDB!$D$1</f>
        <v xml:space="preserve"> Carbs
(g)</v>
      </c>
      <c r="F911" s="92" t="str">
        <f>FoodDB!$E$1</f>
        <v>Protein
(g)</v>
      </c>
      <c r="G911" s="92" t="str">
        <f>FoodDB!$F$1</f>
        <v>Fat
(Cal)</v>
      </c>
      <c r="H911" s="92" t="str">
        <f>FoodDB!$G$1</f>
        <v>Carb
(Cal)</v>
      </c>
      <c r="I911" s="92" t="str">
        <f>FoodDB!$H$1</f>
        <v>Protein
(Cal)</v>
      </c>
      <c r="J911" s="92" t="str">
        <f>FoodDB!$I$1</f>
        <v>Total
Calories</v>
      </c>
      <c r="K911" s="92"/>
      <c r="L911" s="92" t="s">
        <v>109</v>
      </c>
      <c r="M911" s="92" t="s">
        <v>110</v>
      </c>
      <c r="N911" s="92" t="s">
        <v>111</v>
      </c>
      <c r="O911" s="92" t="s">
        <v>112</v>
      </c>
      <c r="P911" s="92" t="s">
        <v>117</v>
      </c>
      <c r="Q911" s="92" t="s">
        <v>118</v>
      </c>
      <c r="R911" s="92" t="s">
        <v>119</v>
      </c>
      <c r="S911" s="92" t="s">
        <v>120</v>
      </c>
    </row>
    <row r="912" spans="1:19" x14ac:dyDescent="0.25">
      <c r="A912" s="93">
        <f>A900+1</f>
        <v>43070</v>
      </c>
      <c r="B912" s="94" t="s">
        <v>107</v>
      </c>
      <c r="C912" s="95">
        <v>0</v>
      </c>
      <c r="D912">
        <f>$C912*VLOOKUP($B912,FoodDB!$A$2:$I$1011,3,0)</f>
        <v>0</v>
      </c>
      <c r="E912">
        <f>$C912*VLOOKUP($B912,FoodDB!$A$2:$I$1011,4,0)</f>
        <v>0</v>
      </c>
      <c r="F912">
        <f>$C912*VLOOKUP($B912,FoodDB!$A$2:$I$1011,5,0)</f>
        <v>0</v>
      </c>
      <c r="G912">
        <f>$C912*VLOOKUP($B912,FoodDB!$A$2:$I$1011,6,0)</f>
        <v>0</v>
      </c>
      <c r="H912">
        <f>$C912*VLOOKUP($B912,FoodDB!$A$2:$I$1011,7,0)</f>
        <v>0</v>
      </c>
      <c r="I912">
        <f>$C912*VLOOKUP($B912,FoodDB!$A$2:$I$1011,8,0)</f>
        <v>0</v>
      </c>
      <c r="J912">
        <f>$C912*VLOOKUP($B912,FoodDB!$A$2:$I$1011,9,0)</f>
        <v>0</v>
      </c>
      <c r="L912">
        <f>SUM(G912:G918)</f>
        <v>0</v>
      </c>
      <c r="M912">
        <f>SUM(H912:H918)</f>
        <v>0</v>
      </c>
      <c r="N912">
        <f>SUM(I912:I918)</f>
        <v>0</v>
      </c>
      <c r="O912">
        <f>SUM(L912:N912)</f>
        <v>0</v>
      </c>
      <c r="P912" s="98">
        <f>VLOOKUP($A912,LossChart!$A$3:$AB$105,14,0)-L912</f>
        <v>823.03914429834208</v>
      </c>
      <c r="Q912" s="98">
        <f>VLOOKUP($A912,LossChart!$A$3:$AB$105,15,0)-M912</f>
        <v>80</v>
      </c>
      <c r="R912" s="98">
        <f>VLOOKUP($A912,LossChart!$A$3:$AB$105,16,0)-N912</f>
        <v>482.47465271142238</v>
      </c>
      <c r="S912" s="98">
        <f>VLOOKUP($A912,LossChart!$A$3:$AB$105,17,0)-O912</f>
        <v>1385.5137970097644</v>
      </c>
    </row>
    <row r="913" spans="1:19" x14ac:dyDescent="0.25">
      <c r="B913" s="94" t="s">
        <v>107</v>
      </c>
      <c r="C913" s="95">
        <v>0</v>
      </c>
      <c r="D913">
        <f>$C913*VLOOKUP($B913,FoodDB!$A$2:$I$1011,3,0)</f>
        <v>0</v>
      </c>
      <c r="E913">
        <f>$C913*VLOOKUP($B913,FoodDB!$A$2:$I$1011,4,0)</f>
        <v>0</v>
      </c>
      <c r="F913">
        <f>$C913*VLOOKUP($B913,FoodDB!$A$2:$I$1011,5,0)</f>
        <v>0</v>
      </c>
      <c r="G913">
        <f>$C913*VLOOKUP($B913,FoodDB!$A$2:$I$1011,6,0)</f>
        <v>0</v>
      </c>
      <c r="H913">
        <f>$C913*VLOOKUP($B913,FoodDB!$A$2:$I$1011,7,0)</f>
        <v>0</v>
      </c>
      <c r="I913">
        <f>$C913*VLOOKUP($B913,FoodDB!$A$2:$I$1011,8,0)</f>
        <v>0</v>
      </c>
      <c r="J913">
        <f>$C913*VLOOKUP($B913,FoodDB!$A$2:$I$1011,9,0)</f>
        <v>0</v>
      </c>
    </row>
    <row r="914" spans="1:19" x14ac:dyDescent="0.25">
      <c r="B914" s="94" t="s">
        <v>107</v>
      </c>
      <c r="C914" s="95">
        <v>0</v>
      </c>
      <c r="D914">
        <f>$C914*VLOOKUP($B914,FoodDB!$A$2:$I$1011,3,0)</f>
        <v>0</v>
      </c>
      <c r="E914">
        <f>$C914*VLOOKUP($B914,FoodDB!$A$2:$I$1011,4,0)</f>
        <v>0</v>
      </c>
      <c r="F914">
        <f>$C914*VLOOKUP($B914,FoodDB!$A$2:$I$1011,5,0)</f>
        <v>0</v>
      </c>
      <c r="G914">
        <f>$C914*VLOOKUP($B914,FoodDB!$A$2:$I$1011,6,0)</f>
        <v>0</v>
      </c>
      <c r="H914">
        <f>$C914*VLOOKUP($B914,FoodDB!$A$2:$I$1011,7,0)</f>
        <v>0</v>
      </c>
      <c r="I914">
        <f>$C914*VLOOKUP($B914,FoodDB!$A$2:$I$1011,8,0)</f>
        <v>0</v>
      </c>
      <c r="J914">
        <f>$C914*VLOOKUP($B914,FoodDB!$A$2:$I$1011,9,0)</f>
        <v>0</v>
      </c>
    </row>
    <row r="915" spans="1:19" x14ac:dyDescent="0.25">
      <c r="B915" s="94" t="s">
        <v>107</v>
      </c>
      <c r="C915" s="95">
        <v>0</v>
      </c>
      <c r="D915">
        <f>$C915*VLOOKUP($B915,FoodDB!$A$2:$I$1011,3,0)</f>
        <v>0</v>
      </c>
      <c r="E915">
        <f>$C915*VLOOKUP($B915,FoodDB!$A$2:$I$1011,4,0)</f>
        <v>0</v>
      </c>
      <c r="F915">
        <f>$C915*VLOOKUP($B915,FoodDB!$A$2:$I$1011,5,0)</f>
        <v>0</v>
      </c>
      <c r="G915">
        <f>$C915*VLOOKUP($B915,FoodDB!$A$2:$I$1011,6,0)</f>
        <v>0</v>
      </c>
      <c r="H915">
        <f>$C915*VLOOKUP($B915,FoodDB!$A$2:$I$1011,7,0)</f>
        <v>0</v>
      </c>
      <c r="I915">
        <f>$C915*VLOOKUP($B915,FoodDB!$A$2:$I$1011,8,0)</f>
        <v>0</v>
      </c>
      <c r="J915">
        <f>$C915*VLOOKUP($B915,FoodDB!$A$2:$I$1011,9,0)</f>
        <v>0</v>
      </c>
    </row>
    <row r="916" spans="1:19" x14ac:dyDescent="0.25">
      <c r="B916" s="94" t="s">
        <v>107</v>
      </c>
      <c r="C916" s="95">
        <v>0</v>
      </c>
      <c r="D916">
        <f>$C916*VLOOKUP($B916,FoodDB!$A$2:$I$1011,3,0)</f>
        <v>0</v>
      </c>
      <c r="E916">
        <f>$C916*VLOOKUP($B916,FoodDB!$A$2:$I$1011,4,0)</f>
        <v>0</v>
      </c>
      <c r="F916">
        <f>$C916*VLOOKUP($B916,FoodDB!$A$2:$I$1011,5,0)</f>
        <v>0</v>
      </c>
      <c r="G916">
        <f>$C916*VLOOKUP($B916,FoodDB!$A$2:$I$1011,6,0)</f>
        <v>0</v>
      </c>
      <c r="H916">
        <f>$C916*VLOOKUP($B916,FoodDB!$A$2:$I$1011,7,0)</f>
        <v>0</v>
      </c>
      <c r="I916">
        <f>$C916*VLOOKUP($B916,FoodDB!$A$2:$I$1011,8,0)</f>
        <v>0</v>
      </c>
      <c r="J916">
        <f>$C916*VLOOKUP($B916,FoodDB!$A$2:$I$1011,9,0)</f>
        <v>0</v>
      </c>
    </row>
    <row r="917" spans="1:19" x14ac:dyDescent="0.25">
      <c r="B917" s="94" t="s">
        <v>107</v>
      </c>
      <c r="C917" s="95">
        <v>0</v>
      </c>
      <c r="D917">
        <f>$C917*VLOOKUP($B917,FoodDB!$A$2:$I$1011,3,0)</f>
        <v>0</v>
      </c>
      <c r="E917">
        <f>$C917*VLOOKUP($B917,FoodDB!$A$2:$I$1011,4,0)</f>
        <v>0</v>
      </c>
      <c r="F917">
        <f>$C917*VLOOKUP($B917,FoodDB!$A$2:$I$1011,5,0)</f>
        <v>0</v>
      </c>
      <c r="G917">
        <f>$C917*VLOOKUP($B917,FoodDB!$A$2:$I$1011,6,0)</f>
        <v>0</v>
      </c>
      <c r="H917">
        <f>$C917*VLOOKUP($B917,FoodDB!$A$2:$I$1011,7,0)</f>
        <v>0</v>
      </c>
      <c r="I917">
        <f>$C917*VLOOKUP($B917,FoodDB!$A$2:$I$1011,8,0)</f>
        <v>0</v>
      </c>
      <c r="J917">
        <f>$C917*VLOOKUP($B917,FoodDB!$A$2:$I$1011,9,0)</f>
        <v>0</v>
      </c>
    </row>
    <row r="918" spans="1:19" x14ac:dyDescent="0.25">
      <c r="B918" s="94" t="s">
        <v>107</v>
      </c>
      <c r="C918" s="95">
        <v>0</v>
      </c>
      <c r="D918">
        <f>$C918*VLOOKUP($B918,FoodDB!$A$2:$I$1011,3,0)</f>
        <v>0</v>
      </c>
      <c r="E918">
        <f>$C918*VLOOKUP($B918,FoodDB!$A$2:$I$1011,4,0)</f>
        <v>0</v>
      </c>
      <c r="F918">
        <f>$C918*VLOOKUP($B918,FoodDB!$A$2:$I$1011,5,0)</f>
        <v>0</v>
      </c>
      <c r="G918">
        <f>$C918*VLOOKUP($B918,FoodDB!$A$2:$I$1011,6,0)</f>
        <v>0</v>
      </c>
      <c r="H918">
        <f>$C918*VLOOKUP($B918,FoodDB!$A$2:$I$1011,7,0)</f>
        <v>0</v>
      </c>
      <c r="I918">
        <f>$C918*VLOOKUP($B918,FoodDB!$A$2:$I$1011,8,0)</f>
        <v>0</v>
      </c>
      <c r="J918">
        <f>$C918*VLOOKUP($B918,FoodDB!$A$2:$I$1011,9,0)</f>
        <v>0</v>
      </c>
    </row>
    <row r="919" spans="1:19" x14ac:dyDescent="0.25">
      <c r="A919" t="s">
        <v>97</v>
      </c>
      <c r="G919">
        <f>SUM(G912:G918)</f>
        <v>0</v>
      </c>
      <c r="H919">
        <f>SUM(H912:H918)</f>
        <v>0</v>
      </c>
      <c r="I919">
        <f>SUM(I912:I918)</f>
        <v>0</v>
      </c>
      <c r="J919">
        <f>SUM(G919:I919)</f>
        <v>0</v>
      </c>
    </row>
    <row r="920" spans="1:19" x14ac:dyDescent="0.25">
      <c r="A920" t="s">
        <v>101</v>
      </c>
      <c r="B920" t="s">
        <v>102</v>
      </c>
      <c r="E920" s="98"/>
      <c r="F920" s="98"/>
      <c r="G920" s="98">
        <f>VLOOKUP($A912,LossChart!$A$3:$AB$105,14,0)</f>
        <v>823.03914429834208</v>
      </c>
      <c r="H920" s="98">
        <f>VLOOKUP($A912,LossChart!$A$3:$AB$105,15,0)</f>
        <v>80</v>
      </c>
      <c r="I920" s="98">
        <f>VLOOKUP($A912,LossChart!$A$3:$AB$105,16,0)</f>
        <v>482.47465271142238</v>
      </c>
      <c r="J920" s="98">
        <f>VLOOKUP($A912,LossChart!$A$3:$AB$105,17,0)</f>
        <v>1385.5137970097644</v>
      </c>
      <c r="K920" s="98"/>
    </row>
    <row r="921" spans="1:19" x14ac:dyDescent="0.25">
      <c r="A921" t="s">
        <v>103</v>
      </c>
      <c r="G921">
        <f>G920-G919</f>
        <v>823.03914429834208</v>
      </c>
      <c r="H921">
        <f>H920-H919</f>
        <v>80</v>
      </c>
      <c r="I921">
        <f>I920-I919</f>
        <v>482.47465271142238</v>
      </c>
      <c r="J921">
        <f>J920-J919</f>
        <v>1385.5137970097644</v>
      </c>
    </row>
    <row r="923" spans="1:19" ht="60" x14ac:dyDescent="0.25">
      <c r="A923" s="21" t="s">
        <v>63</v>
      </c>
      <c r="B923" s="21" t="s">
        <v>92</v>
      </c>
      <c r="C923" s="21" t="s">
        <v>93</v>
      </c>
      <c r="D923" s="92" t="str">
        <f>FoodDB!$C$1</f>
        <v>Fat
(g)</v>
      </c>
      <c r="E923" s="92" t="str">
        <f>FoodDB!$D$1</f>
        <v xml:space="preserve"> Carbs
(g)</v>
      </c>
      <c r="F923" s="92" t="str">
        <f>FoodDB!$E$1</f>
        <v>Protein
(g)</v>
      </c>
      <c r="G923" s="92" t="str">
        <f>FoodDB!$F$1</f>
        <v>Fat
(Cal)</v>
      </c>
      <c r="H923" s="92" t="str">
        <f>FoodDB!$G$1</f>
        <v>Carb
(Cal)</v>
      </c>
      <c r="I923" s="92" t="str">
        <f>FoodDB!$H$1</f>
        <v>Protein
(Cal)</v>
      </c>
      <c r="J923" s="92" t="str">
        <f>FoodDB!$I$1</f>
        <v>Total
Calories</v>
      </c>
      <c r="K923" s="92"/>
      <c r="L923" s="92" t="s">
        <v>109</v>
      </c>
      <c r="M923" s="92" t="s">
        <v>110</v>
      </c>
      <c r="N923" s="92" t="s">
        <v>111</v>
      </c>
      <c r="O923" s="92" t="s">
        <v>112</v>
      </c>
      <c r="P923" s="92" t="s">
        <v>117</v>
      </c>
      <c r="Q923" s="92" t="s">
        <v>118</v>
      </c>
      <c r="R923" s="92" t="s">
        <v>119</v>
      </c>
      <c r="S923" s="92" t="s">
        <v>120</v>
      </c>
    </row>
    <row r="924" spans="1:19" x14ac:dyDescent="0.25">
      <c r="A924" s="93">
        <f>A912+1</f>
        <v>43071</v>
      </c>
      <c r="B924" s="94" t="s">
        <v>107</v>
      </c>
      <c r="C924" s="95">
        <v>0</v>
      </c>
      <c r="D924">
        <f>$C924*VLOOKUP($B924,FoodDB!$A$2:$I$1011,3,0)</f>
        <v>0</v>
      </c>
      <c r="E924">
        <f>$C924*VLOOKUP($B924,FoodDB!$A$2:$I$1011,4,0)</f>
        <v>0</v>
      </c>
      <c r="F924">
        <f>$C924*VLOOKUP($B924,FoodDB!$A$2:$I$1011,5,0)</f>
        <v>0</v>
      </c>
      <c r="G924">
        <f>$C924*VLOOKUP($B924,FoodDB!$A$2:$I$1011,6,0)</f>
        <v>0</v>
      </c>
      <c r="H924">
        <f>$C924*VLOOKUP($B924,FoodDB!$A$2:$I$1011,7,0)</f>
        <v>0</v>
      </c>
      <c r="I924">
        <f>$C924*VLOOKUP($B924,FoodDB!$A$2:$I$1011,8,0)</f>
        <v>0</v>
      </c>
      <c r="J924">
        <f>$C924*VLOOKUP($B924,FoodDB!$A$2:$I$1011,9,0)</f>
        <v>0</v>
      </c>
      <c r="L924">
        <f>SUM(G924:G930)</f>
        <v>0</v>
      </c>
      <c r="M924">
        <f>SUM(H924:H930)</f>
        <v>0</v>
      </c>
      <c r="N924">
        <f>SUM(I924:I930)</f>
        <v>0</v>
      </c>
      <c r="O924">
        <f>SUM(L924:N924)</f>
        <v>0</v>
      </c>
      <c r="P924" s="98">
        <f>VLOOKUP($A924,LossChart!$A$3:$AB$105,14,0)-L924</f>
        <v>827.38409703876755</v>
      </c>
      <c r="Q924" s="98">
        <f>VLOOKUP($A924,LossChart!$A$3:$AB$105,15,0)-M924</f>
        <v>80</v>
      </c>
      <c r="R924" s="98">
        <f>VLOOKUP($A924,LossChart!$A$3:$AB$105,16,0)-N924</f>
        <v>482.47465271142238</v>
      </c>
      <c r="S924" s="98">
        <f>VLOOKUP($A924,LossChart!$A$3:$AB$105,17,0)-O924</f>
        <v>1389.8587497501899</v>
      </c>
    </row>
    <row r="925" spans="1:19" x14ac:dyDescent="0.25">
      <c r="B925" s="94" t="s">
        <v>107</v>
      </c>
      <c r="C925" s="95">
        <v>0</v>
      </c>
      <c r="D925">
        <f>$C925*VLOOKUP($B925,FoodDB!$A$2:$I$1011,3,0)</f>
        <v>0</v>
      </c>
      <c r="E925">
        <f>$C925*VLOOKUP($B925,FoodDB!$A$2:$I$1011,4,0)</f>
        <v>0</v>
      </c>
      <c r="F925">
        <f>$C925*VLOOKUP($B925,FoodDB!$A$2:$I$1011,5,0)</f>
        <v>0</v>
      </c>
      <c r="G925">
        <f>$C925*VLOOKUP($B925,FoodDB!$A$2:$I$1011,6,0)</f>
        <v>0</v>
      </c>
      <c r="H925">
        <f>$C925*VLOOKUP($B925,FoodDB!$A$2:$I$1011,7,0)</f>
        <v>0</v>
      </c>
      <c r="I925">
        <f>$C925*VLOOKUP($B925,FoodDB!$A$2:$I$1011,8,0)</f>
        <v>0</v>
      </c>
      <c r="J925">
        <f>$C925*VLOOKUP($B925,FoodDB!$A$2:$I$1011,9,0)</f>
        <v>0</v>
      </c>
    </row>
    <row r="926" spans="1:19" x14ac:dyDescent="0.25">
      <c r="B926" s="94" t="s">
        <v>107</v>
      </c>
      <c r="C926" s="95">
        <v>0</v>
      </c>
      <c r="D926">
        <f>$C926*VLOOKUP($B926,FoodDB!$A$2:$I$1011,3,0)</f>
        <v>0</v>
      </c>
      <c r="E926">
        <f>$C926*VLOOKUP($B926,FoodDB!$A$2:$I$1011,4,0)</f>
        <v>0</v>
      </c>
      <c r="F926">
        <f>$C926*VLOOKUP($B926,FoodDB!$A$2:$I$1011,5,0)</f>
        <v>0</v>
      </c>
      <c r="G926">
        <f>$C926*VLOOKUP($B926,FoodDB!$A$2:$I$1011,6,0)</f>
        <v>0</v>
      </c>
      <c r="H926">
        <f>$C926*VLOOKUP($B926,FoodDB!$A$2:$I$1011,7,0)</f>
        <v>0</v>
      </c>
      <c r="I926">
        <f>$C926*VLOOKUP($B926,FoodDB!$A$2:$I$1011,8,0)</f>
        <v>0</v>
      </c>
      <c r="J926">
        <f>$C926*VLOOKUP($B926,FoodDB!$A$2:$I$1011,9,0)</f>
        <v>0</v>
      </c>
    </row>
    <row r="927" spans="1:19" x14ac:dyDescent="0.25">
      <c r="B927" s="94" t="s">
        <v>107</v>
      </c>
      <c r="C927" s="95">
        <v>0</v>
      </c>
      <c r="D927">
        <f>$C927*VLOOKUP($B927,FoodDB!$A$2:$I$1011,3,0)</f>
        <v>0</v>
      </c>
      <c r="E927">
        <f>$C927*VLOOKUP($B927,FoodDB!$A$2:$I$1011,4,0)</f>
        <v>0</v>
      </c>
      <c r="F927">
        <f>$C927*VLOOKUP($B927,FoodDB!$A$2:$I$1011,5,0)</f>
        <v>0</v>
      </c>
      <c r="G927">
        <f>$C927*VLOOKUP($B927,FoodDB!$A$2:$I$1011,6,0)</f>
        <v>0</v>
      </c>
      <c r="H927">
        <f>$C927*VLOOKUP($B927,FoodDB!$A$2:$I$1011,7,0)</f>
        <v>0</v>
      </c>
      <c r="I927">
        <f>$C927*VLOOKUP($B927,FoodDB!$A$2:$I$1011,8,0)</f>
        <v>0</v>
      </c>
      <c r="J927">
        <f>$C927*VLOOKUP($B927,FoodDB!$A$2:$I$1011,9,0)</f>
        <v>0</v>
      </c>
    </row>
    <row r="928" spans="1:19" x14ac:dyDescent="0.25">
      <c r="B928" s="94" t="s">
        <v>107</v>
      </c>
      <c r="C928" s="95">
        <v>0</v>
      </c>
      <c r="D928">
        <f>$C928*VLOOKUP($B928,FoodDB!$A$2:$I$1011,3,0)</f>
        <v>0</v>
      </c>
      <c r="E928">
        <f>$C928*VLOOKUP($B928,FoodDB!$A$2:$I$1011,4,0)</f>
        <v>0</v>
      </c>
      <c r="F928">
        <f>$C928*VLOOKUP($B928,FoodDB!$A$2:$I$1011,5,0)</f>
        <v>0</v>
      </c>
      <c r="G928">
        <f>$C928*VLOOKUP($B928,FoodDB!$A$2:$I$1011,6,0)</f>
        <v>0</v>
      </c>
      <c r="H928">
        <f>$C928*VLOOKUP($B928,FoodDB!$A$2:$I$1011,7,0)</f>
        <v>0</v>
      </c>
      <c r="I928">
        <f>$C928*VLOOKUP($B928,FoodDB!$A$2:$I$1011,8,0)</f>
        <v>0</v>
      </c>
      <c r="J928">
        <f>$C928*VLOOKUP($B928,FoodDB!$A$2:$I$1011,9,0)</f>
        <v>0</v>
      </c>
    </row>
    <row r="929" spans="1:19" x14ac:dyDescent="0.25">
      <c r="B929" s="94" t="s">
        <v>107</v>
      </c>
      <c r="C929" s="95">
        <v>0</v>
      </c>
      <c r="D929">
        <f>$C929*VLOOKUP($B929,FoodDB!$A$2:$I$1011,3,0)</f>
        <v>0</v>
      </c>
      <c r="E929">
        <f>$C929*VLOOKUP($B929,FoodDB!$A$2:$I$1011,4,0)</f>
        <v>0</v>
      </c>
      <c r="F929">
        <f>$C929*VLOOKUP($B929,FoodDB!$A$2:$I$1011,5,0)</f>
        <v>0</v>
      </c>
      <c r="G929">
        <f>$C929*VLOOKUP($B929,FoodDB!$A$2:$I$1011,6,0)</f>
        <v>0</v>
      </c>
      <c r="H929">
        <f>$C929*VLOOKUP($B929,FoodDB!$A$2:$I$1011,7,0)</f>
        <v>0</v>
      </c>
      <c r="I929">
        <f>$C929*VLOOKUP($B929,FoodDB!$A$2:$I$1011,8,0)</f>
        <v>0</v>
      </c>
      <c r="J929">
        <f>$C929*VLOOKUP($B929,FoodDB!$A$2:$I$1011,9,0)</f>
        <v>0</v>
      </c>
    </row>
    <row r="930" spans="1:19" x14ac:dyDescent="0.25">
      <c r="B930" s="94" t="s">
        <v>107</v>
      </c>
      <c r="C930" s="95">
        <v>0</v>
      </c>
      <c r="D930">
        <f>$C930*VLOOKUP($B930,FoodDB!$A$2:$I$1011,3,0)</f>
        <v>0</v>
      </c>
      <c r="E930">
        <f>$C930*VLOOKUP($B930,FoodDB!$A$2:$I$1011,4,0)</f>
        <v>0</v>
      </c>
      <c r="F930">
        <f>$C930*VLOOKUP($B930,FoodDB!$A$2:$I$1011,5,0)</f>
        <v>0</v>
      </c>
      <c r="G930">
        <f>$C930*VLOOKUP($B930,FoodDB!$A$2:$I$1011,6,0)</f>
        <v>0</v>
      </c>
      <c r="H930">
        <f>$C930*VLOOKUP($B930,FoodDB!$A$2:$I$1011,7,0)</f>
        <v>0</v>
      </c>
      <c r="I930">
        <f>$C930*VLOOKUP($B930,FoodDB!$A$2:$I$1011,8,0)</f>
        <v>0</v>
      </c>
      <c r="J930">
        <f>$C930*VLOOKUP($B930,FoodDB!$A$2:$I$1011,9,0)</f>
        <v>0</v>
      </c>
    </row>
    <row r="931" spans="1:19" x14ac:dyDescent="0.25">
      <c r="A931" t="s">
        <v>97</v>
      </c>
      <c r="G931">
        <f>SUM(G924:G930)</f>
        <v>0</v>
      </c>
      <c r="H931">
        <f>SUM(H924:H930)</f>
        <v>0</v>
      </c>
      <c r="I931">
        <f>SUM(I924:I930)</f>
        <v>0</v>
      </c>
      <c r="J931">
        <f>SUM(G931:I931)</f>
        <v>0</v>
      </c>
    </row>
    <row r="932" spans="1:19" x14ac:dyDescent="0.25">
      <c r="A932" t="s">
        <v>101</v>
      </c>
      <c r="B932" t="s">
        <v>102</v>
      </c>
      <c r="E932" s="98"/>
      <c r="F932" s="98"/>
      <c r="G932" s="98">
        <f>VLOOKUP($A924,LossChart!$A$3:$AB$105,14,0)</f>
        <v>827.38409703876755</v>
      </c>
      <c r="H932" s="98">
        <f>VLOOKUP($A924,LossChart!$A$3:$AB$105,15,0)</f>
        <v>80</v>
      </c>
      <c r="I932" s="98">
        <f>VLOOKUP($A924,LossChart!$A$3:$AB$105,16,0)</f>
        <v>482.47465271142238</v>
      </c>
      <c r="J932" s="98">
        <f>VLOOKUP($A924,LossChart!$A$3:$AB$105,17,0)</f>
        <v>1389.8587497501899</v>
      </c>
      <c r="K932" s="98"/>
    </row>
    <row r="933" spans="1:19" x14ac:dyDescent="0.25">
      <c r="A933" t="s">
        <v>103</v>
      </c>
      <c r="G933">
        <f>G932-G931</f>
        <v>827.38409703876755</v>
      </c>
      <c r="H933">
        <f>H932-H931</f>
        <v>80</v>
      </c>
      <c r="I933">
        <f>I932-I931</f>
        <v>482.47465271142238</v>
      </c>
      <c r="J933">
        <f>J932-J931</f>
        <v>1389.8587497501899</v>
      </c>
    </row>
    <row r="935" spans="1:19" ht="60" x14ac:dyDescent="0.25">
      <c r="A935" s="21" t="s">
        <v>63</v>
      </c>
      <c r="B935" s="21" t="s">
        <v>92</v>
      </c>
      <c r="C935" s="21" t="s">
        <v>93</v>
      </c>
      <c r="D935" s="92" t="str">
        <f>FoodDB!$C$1</f>
        <v>Fat
(g)</v>
      </c>
      <c r="E935" s="92" t="str">
        <f>FoodDB!$D$1</f>
        <v xml:space="preserve"> Carbs
(g)</v>
      </c>
      <c r="F935" s="92" t="str">
        <f>FoodDB!$E$1</f>
        <v>Protein
(g)</v>
      </c>
      <c r="G935" s="92" t="str">
        <f>FoodDB!$F$1</f>
        <v>Fat
(Cal)</v>
      </c>
      <c r="H935" s="92" t="str">
        <f>FoodDB!$G$1</f>
        <v>Carb
(Cal)</v>
      </c>
      <c r="I935" s="92" t="str">
        <f>FoodDB!$H$1</f>
        <v>Protein
(Cal)</v>
      </c>
      <c r="J935" s="92" t="str">
        <f>FoodDB!$I$1</f>
        <v>Total
Calories</v>
      </c>
      <c r="K935" s="92"/>
      <c r="L935" s="92" t="s">
        <v>109</v>
      </c>
      <c r="M935" s="92" t="s">
        <v>110</v>
      </c>
      <c r="N935" s="92" t="s">
        <v>111</v>
      </c>
      <c r="O935" s="92" t="s">
        <v>112</v>
      </c>
      <c r="P935" s="92" t="s">
        <v>117</v>
      </c>
      <c r="Q935" s="92" t="s">
        <v>118</v>
      </c>
      <c r="R935" s="92" t="s">
        <v>119</v>
      </c>
      <c r="S935" s="92" t="s">
        <v>120</v>
      </c>
    </row>
    <row r="936" spans="1:19" x14ac:dyDescent="0.25">
      <c r="A936" s="93">
        <f>A924+1</f>
        <v>43072</v>
      </c>
      <c r="B936" s="94" t="s">
        <v>107</v>
      </c>
      <c r="C936" s="95">
        <v>0</v>
      </c>
      <c r="D936">
        <f>$C936*VLOOKUP($B936,FoodDB!$A$2:$I$1011,3,0)</f>
        <v>0</v>
      </c>
      <c r="E936">
        <f>$C936*VLOOKUP($B936,FoodDB!$A$2:$I$1011,4,0)</f>
        <v>0</v>
      </c>
      <c r="F936">
        <f>$C936*VLOOKUP($B936,FoodDB!$A$2:$I$1011,5,0)</f>
        <v>0</v>
      </c>
      <c r="G936">
        <f>$C936*VLOOKUP($B936,FoodDB!$A$2:$I$1011,6,0)</f>
        <v>0</v>
      </c>
      <c r="H936">
        <f>$C936*VLOOKUP($B936,FoodDB!$A$2:$I$1011,7,0)</f>
        <v>0</v>
      </c>
      <c r="I936">
        <f>$C936*VLOOKUP($B936,FoodDB!$A$2:$I$1011,8,0)</f>
        <v>0</v>
      </c>
      <c r="J936">
        <f>$C936*VLOOKUP($B936,FoodDB!$A$2:$I$1011,9,0)</f>
        <v>0</v>
      </c>
      <c r="L936">
        <f>SUM(G936:G942)</f>
        <v>0</v>
      </c>
      <c r="M936">
        <f>SUM(H936:H942)</f>
        <v>0</v>
      </c>
      <c r="N936">
        <f>SUM(I936:I942)</f>
        <v>0</v>
      </c>
      <c r="O936">
        <f>SUM(L936:N936)</f>
        <v>0</v>
      </c>
      <c r="P936" s="98">
        <f>VLOOKUP($A936,LossChart!$A$3:$AB$105,14,0)-L936</f>
        <v>831.6905659120639</v>
      </c>
      <c r="Q936" s="98">
        <f>VLOOKUP($A936,LossChart!$A$3:$AB$105,15,0)-M936</f>
        <v>80</v>
      </c>
      <c r="R936" s="98">
        <f>VLOOKUP($A936,LossChart!$A$3:$AB$105,16,0)-N936</f>
        <v>482.47465271142238</v>
      </c>
      <c r="S936" s="98">
        <f>VLOOKUP($A936,LossChart!$A$3:$AB$105,17,0)-O936</f>
        <v>1394.1652186234862</v>
      </c>
    </row>
    <row r="937" spans="1:19" x14ac:dyDescent="0.25">
      <c r="B937" s="94" t="s">
        <v>107</v>
      </c>
      <c r="C937" s="95">
        <v>0</v>
      </c>
      <c r="D937">
        <f>$C937*VLOOKUP($B937,FoodDB!$A$2:$I$1011,3,0)</f>
        <v>0</v>
      </c>
      <c r="E937">
        <f>$C937*VLOOKUP($B937,FoodDB!$A$2:$I$1011,4,0)</f>
        <v>0</v>
      </c>
      <c r="F937">
        <f>$C937*VLOOKUP($B937,FoodDB!$A$2:$I$1011,5,0)</f>
        <v>0</v>
      </c>
      <c r="G937">
        <f>$C937*VLOOKUP($B937,FoodDB!$A$2:$I$1011,6,0)</f>
        <v>0</v>
      </c>
      <c r="H937">
        <f>$C937*VLOOKUP($B937,FoodDB!$A$2:$I$1011,7,0)</f>
        <v>0</v>
      </c>
      <c r="I937">
        <f>$C937*VLOOKUP($B937,FoodDB!$A$2:$I$1011,8,0)</f>
        <v>0</v>
      </c>
      <c r="J937">
        <f>$C937*VLOOKUP($B937,FoodDB!$A$2:$I$1011,9,0)</f>
        <v>0</v>
      </c>
    </row>
    <row r="938" spans="1:19" x14ac:dyDescent="0.25">
      <c r="B938" s="94" t="s">
        <v>107</v>
      </c>
      <c r="C938" s="95">
        <v>0</v>
      </c>
      <c r="D938">
        <f>$C938*VLOOKUP($B938,FoodDB!$A$2:$I$1011,3,0)</f>
        <v>0</v>
      </c>
      <c r="E938">
        <f>$C938*VLOOKUP($B938,FoodDB!$A$2:$I$1011,4,0)</f>
        <v>0</v>
      </c>
      <c r="F938">
        <f>$C938*VLOOKUP($B938,FoodDB!$A$2:$I$1011,5,0)</f>
        <v>0</v>
      </c>
      <c r="G938">
        <f>$C938*VLOOKUP($B938,FoodDB!$A$2:$I$1011,6,0)</f>
        <v>0</v>
      </c>
      <c r="H938">
        <f>$C938*VLOOKUP($B938,FoodDB!$A$2:$I$1011,7,0)</f>
        <v>0</v>
      </c>
      <c r="I938">
        <f>$C938*VLOOKUP($B938,FoodDB!$A$2:$I$1011,8,0)</f>
        <v>0</v>
      </c>
      <c r="J938">
        <f>$C938*VLOOKUP($B938,FoodDB!$A$2:$I$1011,9,0)</f>
        <v>0</v>
      </c>
    </row>
    <row r="939" spans="1:19" x14ac:dyDescent="0.25">
      <c r="B939" s="94" t="s">
        <v>107</v>
      </c>
      <c r="C939" s="95">
        <v>0</v>
      </c>
      <c r="D939">
        <f>$C939*VLOOKUP($B939,FoodDB!$A$2:$I$1011,3,0)</f>
        <v>0</v>
      </c>
      <c r="E939">
        <f>$C939*VLOOKUP($B939,FoodDB!$A$2:$I$1011,4,0)</f>
        <v>0</v>
      </c>
      <c r="F939">
        <f>$C939*VLOOKUP($B939,FoodDB!$A$2:$I$1011,5,0)</f>
        <v>0</v>
      </c>
      <c r="G939">
        <f>$C939*VLOOKUP($B939,FoodDB!$A$2:$I$1011,6,0)</f>
        <v>0</v>
      </c>
      <c r="H939">
        <f>$C939*VLOOKUP($B939,FoodDB!$A$2:$I$1011,7,0)</f>
        <v>0</v>
      </c>
      <c r="I939">
        <f>$C939*VLOOKUP($B939,FoodDB!$A$2:$I$1011,8,0)</f>
        <v>0</v>
      </c>
      <c r="J939">
        <f>$C939*VLOOKUP($B939,FoodDB!$A$2:$I$1011,9,0)</f>
        <v>0</v>
      </c>
    </row>
    <row r="940" spans="1:19" x14ac:dyDescent="0.25">
      <c r="B940" s="94" t="s">
        <v>107</v>
      </c>
      <c r="C940" s="95">
        <v>0</v>
      </c>
      <c r="D940">
        <f>$C940*VLOOKUP($B940,FoodDB!$A$2:$I$1011,3,0)</f>
        <v>0</v>
      </c>
      <c r="E940">
        <f>$C940*VLOOKUP($B940,FoodDB!$A$2:$I$1011,4,0)</f>
        <v>0</v>
      </c>
      <c r="F940">
        <f>$C940*VLOOKUP($B940,FoodDB!$A$2:$I$1011,5,0)</f>
        <v>0</v>
      </c>
      <c r="G940">
        <f>$C940*VLOOKUP($B940,FoodDB!$A$2:$I$1011,6,0)</f>
        <v>0</v>
      </c>
      <c r="H940">
        <f>$C940*VLOOKUP($B940,FoodDB!$A$2:$I$1011,7,0)</f>
        <v>0</v>
      </c>
      <c r="I940">
        <f>$C940*VLOOKUP($B940,FoodDB!$A$2:$I$1011,8,0)</f>
        <v>0</v>
      </c>
      <c r="J940">
        <f>$C940*VLOOKUP($B940,FoodDB!$A$2:$I$1011,9,0)</f>
        <v>0</v>
      </c>
    </row>
    <row r="941" spans="1:19" x14ac:dyDescent="0.25">
      <c r="B941" s="94" t="s">
        <v>107</v>
      </c>
      <c r="C941" s="95">
        <v>0</v>
      </c>
      <c r="D941">
        <f>$C941*VLOOKUP($B941,FoodDB!$A$2:$I$1011,3,0)</f>
        <v>0</v>
      </c>
      <c r="E941">
        <f>$C941*VLOOKUP($B941,FoodDB!$A$2:$I$1011,4,0)</f>
        <v>0</v>
      </c>
      <c r="F941">
        <f>$C941*VLOOKUP($B941,FoodDB!$A$2:$I$1011,5,0)</f>
        <v>0</v>
      </c>
      <c r="G941">
        <f>$C941*VLOOKUP($B941,FoodDB!$A$2:$I$1011,6,0)</f>
        <v>0</v>
      </c>
      <c r="H941">
        <f>$C941*VLOOKUP($B941,FoodDB!$A$2:$I$1011,7,0)</f>
        <v>0</v>
      </c>
      <c r="I941">
        <f>$C941*VLOOKUP($B941,FoodDB!$A$2:$I$1011,8,0)</f>
        <v>0</v>
      </c>
      <c r="J941">
        <f>$C941*VLOOKUP($B941,FoodDB!$A$2:$I$1011,9,0)</f>
        <v>0</v>
      </c>
    </row>
    <row r="942" spans="1:19" x14ac:dyDescent="0.25">
      <c r="B942" s="94" t="s">
        <v>107</v>
      </c>
      <c r="C942" s="95">
        <v>0</v>
      </c>
      <c r="D942">
        <f>$C942*VLOOKUP($B942,FoodDB!$A$2:$I$1011,3,0)</f>
        <v>0</v>
      </c>
      <c r="E942">
        <f>$C942*VLOOKUP($B942,FoodDB!$A$2:$I$1011,4,0)</f>
        <v>0</v>
      </c>
      <c r="F942">
        <f>$C942*VLOOKUP($B942,FoodDB!$A$2:$I$1011,5,0)</f>
        <v>0</v>
      </c>
      <c r="G942">
        <f>$C942*VLOOKUP($B942,FoodDB!$A$2:$I$1011,6,0)</f>
        <v>0</v>
      </c>
      <c r="H942">
        <f>$C942*VLOOKUP($B942,FoodDB!$A$2:$I$1011,7,0)</f>
        <v>0</v>
      </c>
      <c r="I942">
        <f>$C942*VLOOKUP($B942,FoodDB!$A$2:$I$1011,8,0)</f>
        <v>0</v>
      </c>
      <c r="J942">
        <f>$C942*VLOOKUP($B942,FoodDB!$A$2:$I$1011,9,0)</f>
        <v>0</v>
      </c>
    </row>
    <row r="943" spans="1:19" x14ac:dyDescent="0.25">
      <c r="A943" t="s">
        <v>97</v>
      </c>
      <c r="G943">
        <f>SUM(G936:G942)</f>
        <v>0</v>
      </c>
      <c r="H943">
        <f>SUM(H936:H942)</f>
        <v>0</v>
      </c>
      <c r="I943">
        <f>SUM(I936:I942)</f>
        <v>0</v>
      </c>
      <c r="J943">
        <f>SUM(G943:I943)</f>
        <v>0</v>
      </c>
    </row>
    <row r="944" spans="1:19" x14ac:dyDescent="0.25">
      <c r="A944" t="s">
        <v>101</v>
      </c>
      <c r="B944" t="s">
        <v>102</v>
      </c>
      <c r="E944" s="98"/>
      <c r="F944" s="98"/>
      <c r="G944" s="98">
        <f>VLOOKUP($A936,LossChart!$A$3:$AB$105,14,0)</f>
        <v>831.6905659120639</v>
      </c>
      <c r="H944" s="98">
        <f>VLOOKUP($A936,LossChart!$A$3:$AB$105,15,0)</f>
        <v>80</v>
      </c>
      <c r="I944" s="98">
        <f>VLOOKUP($A936,LossChart!$A$3:$AB$105,16,0)</f>
        <v>482.47465271142238</v>
      </c>
      <c r="J944" s="98">
        <f>VLOOKUP($A936,LossChart!$A$3:$AB$105,17,0)</f>
        <v>1394.1652186234862</v>
      </c>
      <c r="K944" s="98"/>
    </row>
    <row r="945" spans="1:19" x14ac:dyDescent="0.25">
      <c r="A945" t="s">
        <v>103</v>
      </c>
      <c r="G945">
        <f>G944-G943</f>
        <v>831.6905659120639</v>
      </c>
      <c r="H945">
        <f>H944-H943</f>
        <v>80</v>
      </c>
      <c r="I945">
        <f>I944-I943</f>
        <v>482.47465271142238</v>
      </c>
      <c r="J945">
        <f>J944-J943</f>
        <v>1394.1652186234862</v>
      </c>
    </row>
    <row r="947" spans="1:19" ht="60" x14ac:dyDescent="0.25">
      <c r="A947" s="21" t="s">
        <v>63</v>
      </c>
      <c r="B947" s="21" t="s">
        <v>92</v>
      </c>
      <c r="C947" s="21" t="s">
        <v>93</v>
      </c>
      <c r="D947" s="92" t="str">
        <f>FoodDB!$C$1</f>
        <v>Fat
(g)</v>
      </c>
      <c r="E947" s="92" t="str">
        <f>FoodDB!$D$1</f>
        <v xml:space="preserve"> Carbs
(g)</v>
      </c>
      <c r="F947" s="92" t="str">
        <f>FoodDB!$E$1</f>
        <v>Protein
(g)</v>
      </c>
      <c r="G947" s="92" t="str">
        <f>FoodDB!$F$1</f>
        <v>Fat
(Cal)</v>
      </c>
      <c r="H947" s="92" t="str">
        <f>FoodDB!$G$1</f>
        <v>Carb
(Cal)</v>
      </c>
      <c r="I947" s="92" t="str">
        <f>FoodDB!$H$1</f>
        <v>Protein
(Cal)</v>
      </c>
      <c r="J947" s="92" t="str">
        <f>FoodDB!$I$1</f>
        <v>Total
Calories</v>
      </c>
      <c r="K947" s="92"/>
      <c r="L947" s="92" t="s">
        <v>109</v>
      </c>
      <c r="M947" s="92" t="s">
        <v>110</v>
      </c>
      <c r="N947" s="92" t="s">
        <v>111</v>
      </c>
      <c r="O947" s="92" t="s">
        <v>112</v>
      </c>
      <c r="P947" s="92" t="s">
        <v>117</v>
      </c>
      <c r="Q947" s="92" t="s">
        <v>118</v>
      </c>
      <c r="R947" s="92" t="s">
        <v>119</v>
      </c>
      <c r="S947" s="92" t="s">
        <v>120</v>
      </c>
    </row>
    <row r="948" spans="1:19" x14ac:dyDescent="0.25">
      <c r="A948" s="93">
        <f>A936+1</f>
        <v>43073</v>
      </c>
      <c r="B948" s="94" t="s">
        <v>107</v>
      </c>
      <c r="C948" s="95">
        <v>0</v>
      </c>
      <c r="D948">
        <f>$C948*VLOOKUP($B948,FoodDB!$A$2:$I$1011,3,0)</f>
        <v>0</v>
      </c>
      <c r="E948">
        <f>$C948*VLOOKUP($B948,FoodDB!$A$2:$I$1011,4,0)</f>
        <v>0</v>
      </c>
      <c r="F948">
        <f>$C948*VLOOKUP($B948,FoodDB!$A$2:$I$1011,5,0)</f>
        <v>0</v>
      </c>
      <c r="G948">
        <f>$C948*VLOOKUP($B948,FoodDB!$A$2:$I$1011,6,0)</f>
        <v>0</v>
      </c>
      <c r="H948">
        <f>$C948*VLOOKUP($B948,FoodDB!$A$2:$I$1011,7,0)</f>
        <v>0</v>
      </c>
      <c r="I948">
        <f>$C948*VLOOKUP($B948,FoodDB!$A$2:$I$1011,8,0)</f>
        <v>0</v>
      </c>
      <c r="J948">
        <f>$C948*VLOOKUP($B948,FoodDB!$A$2:$I$1011,9,0)</f>
        <v>0</v>
      </c>
      <c r="L948">
        <f>SUM(G948:G954)</f>
        <v>0</v>
      </c>
      <c r="M948">
        <f>SUM(H948:H954)</f>
        <v>0</v>
      </c>
      <c r="N948">
        <f>SUM(I948:I954)</f>
        <v>0</v>
      </c>
      <c r="O948">
        <f>SUM(L948:N948)</f>
        <v>0</v>
      </c>
      <c r="P948" s="98">
        <f>VLOOKUP($A948,LossChart!$A$3:$AB$105,14,0)-L948</f>
        <v>835.95889177533945</v>
      </c>
      <c r="Q948" s="98">
        <f>VLOOKUP($A948,LossChart!$A$3:$AB$105,15,0)-M948</f>
        <v>80</v>
      </c>
      <c r="R948" s="98">
        <f>VLOOKUP($A948,LossChart!$A$3:$AB$105,16,0)-N948</f>
        <v>482.47465271142238</v>
      </c>
      <c r="S948" s="98">
        <f>VLOOKUP($A948,LossChart!$A$3:$AB$105,17,0)-O948</f>
        <v>1398.4335444867618</v>
      </c>
    </row>
    <row r="949" spans="1:19" x14ac:dyDescent="0.25">
      <c r="B949" s="94" t="s">
        <v>107</v>
      </c>
      <c r="C949" s="95">
        <v>0</v>
      </c>
      <c r="D949">
        <f>$C949*VLOOKUP($B949,FoodDB!$A$2:$I$1011,3,0)</f>
        <v>0</v>
      </c>
      <c r="E949">
        <f>$C949*VLOOKUP($B949,FoodDB!$A$2:$I$1011,4,0)</f>
        <v>0</v>
      </c>
      <c r="F949">
        <f>$C949*VLOOKUP($B949,FoodDB!$A$2:$I$1011,5,0)</f>
        <v>0</v>
      </c>
      <c r="G949">
        <f>$C949*VLOOKUP($B949,FoodDB!$A$2:$I$1011,6,0)</f>
        <v>0</v>
      </c>
      <c r="H949">
        <f>$C949*VLOOKUP($B949,FoodDB!$A$2:$I$1011,7,0)</f>
        <v>0</v>
      </c>
      <c r="I949">
        <f>$C949*VLOOKUP($B949,FoodDB!$A$2:$I$1011,8,0)</f>
        <v>0</v>
      </c>
      <c r="J949">
        <f>$C949*VLOOKUP($B949,FoodDB!$A$2:$I$1011,9,0)</f>
        <v>0</v>
      </c>
    </row>
    <row r="950" spans="1:19" x14ac:dyDescent="0.25">
      <c r="B950" s="94" t="s">
        <v>107</v>
      </c>
      <c r="C950" s="95">
        <v>0</v>
      </c>
      <c r="D950">
        <f>$C950*VLOOKUP($B950,FoodDB!$A$2:$I$1011,3,0)</f>
        <v>0</v>
      </c>
      <c r="E950">
        <f>$C950*VLOOKUP($B950,FoodDB!$A$2:$I$1011,4,0)</f>
        <v>0</v>
      </c>
      <c r="F950">
        <f>$C950*VLOOKUP($B950,FoodDB!$A$2:$I$1011,5,0)</f>
        <v>0</v>
      </c>
      <c r="G950">
        <f>$C950*VLOOKUP($B950,FoodDB!$A$2:$I$1011,6,0)</f>
        <v>0</v>
      </c>
      <c r="H950">
        <f>$C950*VLOOKUP($B950,FoodDB!$A$2:$I$1011,7,0)</f>
        <v>0</v>
      </c>
      <c r="I950">
        <f>$C950*VLOOKUP($B950,FoodDB!$A$2:$I$1011,8,0)</f>
        <v>0</v>
      </c>
      <c r="J950">
        <f>$C950*VLOOKUP($B950,FoodDB!$A$2:$I$1011,9,0)</f>
        <v>0</v>
      </c>
    </row>
    <row r="951" spans="1:19" x14ac:dyDescent="0.25">
      <c r="B951" s="94" t="s">
        <v>107</v>
      </c>
      <c r="C951" s="95">
        <v>0</v>
      </c>
      <c r="D951">
        <f>$C951*VLOOKUP($B951,FoodDB!$A$2:$I$1011,3,0)</f>
        <v>0</v>
      </c>
      <c r="E951">
        <f>$C951*VLOOKUP($B951,FoodDB!$A$2:$I$1011,4,0)</f>
        <v>0</v>
      </c>
      <c r="F951">
        <f>$C951*VLOOKUP($B951,FoodDB!$A$2:$I$1011,5,0)</f>
        <v>0</v>
      </c>
      <c r="G951">
        <f>$C951*VLOOKUP($B951,FoodDB!$A$2:$I$1011,6,0)</f>
        <v>0</v>
      </c>
      <c r="H951">
        <f>$C951*VLOOKUP($B951,FoodDB!$A$2:$I$1011,7,0)</f>
        <v>0</v>
      </c>
      <c r="I951">
        <f>$C951*VLOOKUP($B951,FoodDB!$A$2:$I$1011,8,0)</f>
        <v>0</v>
      </c>
      <c r="J951">
        <f>$C951*VLOOKUP($B951,FoodDB!$A$2:$I$1011,9,0)</f>
        <v>0</v>
      </c>
    </row>
    <row r="952" spans="1:19" x14ac:dyDescent="0.25">
      <c r="B952" s="94" t="s">
        <v>107</v>
      </c>
      <c r="C952" s="95">
        <v>0</v>
      </c>
      <c r="D952">
        <f>$C952*VLOOKUP($B952,FoodDB!$A$2:$I$1011,3,0)</f>
        <v>0</v>
      </c>
      <c r="E952">
        <f>$C952*VLOOKUP($B952,FoodDB!$A$2:$I$1011,4,0)</f>
        <v>0</v>
      </c>
      <c r="F952">
        <f>$C952*VLOOKUP($B952,FoodDB!$A$2:$I$1011,5,0)</f>
        <v>0</v>
      </c>
      <c r="G952">
        <f>$C952*VLOOKUP($B952,FoodDB!$A$2:$I$1011,6,0)</f>
        <v>0</v>
      </c>
      <c r="H952">
        <f>$C952*VLOOKUP($B952,FoodDB!$A$2:$I$1011,7,0)</f>
        <v>0</v>
      </c>
      <c r="I952">
        <f>$C952*VLOOKUP($B952,FoodDB!$A$2:$I$1011,8,0)</f>
        <v>0</v>
      </c>
      <c r="J952">
        <f>$C952*VLOOKUP($B952,FoodDB!$A$2:$I$1011,9,0)</f>
        <v>0</v>
      </c>
    </row>
    <row r="953" spans="1:19" x14ac:dyDescent="0.25">
      <c r="B953" s="94" t="s">
        <v>107</v>
      </c>
      <c r="C953" s="95">
        <v>0</v>
      </c>
      <c r="D953">
        <f>$C953*VLOOKUP($B953,FoodDB!$A$2:$I$1011,3,0)</f>
        <v>0</v>
      </c>
      <c r="E953">
        <f>$C953*VLOOKUP($B953,FoodDB!$A$2:$I$1011,4,0)</f>
        <v>0</v>
      </c>
      <c r="F953">
        <f>$C953*VLOOKUP($B953,FoodDB!$A$2:$I$1011,5,0)</f>
        <v>0</v>
      </c>
      <c r="G953">
        <f>$C953*VLOOKUP($B953,FoodDB!$A$2:$I$1011,6,0)</f>
        <v>0</v>
      </c>
      <c r="H953">
        <f>$C953*VLOOKUP($B953,FoodDB!$A$2:$I$1011,7,0)</f>
        <v>0</v>
      </c>
      <c r="I953">
        <f>$C953*VLOOKUP($B953,FoodDB!$A$2:$I$1011,8,0)</f>
        <v>0</v>
      </c>
      <c r="J953">
        <f>$C953*VLOOKUP($B953,FoodDB!$A$2:$I$1011,9,0)</f>
        <v>0</v>
      </c>
    </row>
    <row r="954" spans="1:19" x14ac:dyDescent="0.25">
      <c r="B954" s="94" t="s">
        <v>107</v>
      </c>
      <c r="C954" s="95">
        <v>0</v>
      </c>
      <c r="D954">
        <f>$C954*VLOOKUP($B954,FoodDB!$A$2:$I$1011,3,0)</f>
        <v>0</v>
      </c>
      <c r="E954">
        <f>$C954*VLOOKUP($B954,FoodDB!$A$2:$I$1011,4,0)</f>
        <v>0</v>
      </c>
      <c r="F954">
        <f>$C954*VLOOKUP($B954,FoodDB!$A$2:$I$1011,5,0)</f>
        <v>0</v>
      </c>
      <c r="G954">
        <f>$C954*VLOOKUP($B954,FoodDB!$A$2:$I$1011,6,0)</f>
        <v>0</v>
      </c>
      <c r="H954">
        <f>$C954*VLOOKUP($B954,FoodDB!$A$2:$I$1011,7,0)</f>
        <v>0</v>
      </c>
      <c r="I954">
        <f>$C954*VLOOKUP($B954,FoodDB!$A$2:$I$1011,8,0)</f>
        <v>0</v>
      </c>
      <c r="J954">
        <f>$C954*VLOOKUP($B954,FoodDB!$A$2:$I$1011,9,0)</f>
        <v>0</v>
      </c>
    </row>
    <row r="955" spans="1:19" x14ac:dyDescent="0.25">
      <c r="A955" t="s">
        <v>97</v>
      </c>
      <c r="G955">
        <f>SUM(G948:G954)</f>
        <v>0</v>
      </c>
      <c r="H955">
        <f>SUM(H948:H954)</f>
        <v>0</v>
      </c>
      <c r="I955">
        <f>SUM(I948:I954)</f>
        <v>0</v>
      </c>
      <c r="J955">
        <f>SUM(G955:I955)</f>
        <v>0</v>
      </c>
    </row>
    <row r="956" spans="1:19" x14ac:dyDescent="0.25">
      <c r="A956" t="s">
        <v>101</v>
      </c>
      <c r="B956" t="s">
        <v>102</v>
      </c>
      <c r="E956" s="98"/>
      <c r="F956" s="98"/>
      <c r="G956" s="98">
        <f>VLOOKUP($A948,LossChart!$A$3:$AB$105,14,0)</f>
        <v>835.95889177533945</v>
      </c>
      <c r="H956" s="98">
        <f>VLOOKUP($A948,LossChart!$A$3:$AB$105,15,0)</f>
        <v>80</v>
      </c>
      <c r="I956" s="98">
        <f>VLOOKUP($A948,LossChart!$A$3:$AB$105,16,0)</f>
        <v>482.47465271142238</v>
      </c>
      <c r="J956" s="98">
        <f>VLOOKUP($A948,LossChart!$A$3:$AB$105,17,0)</f>
        <v>1398.4335444867618</v>
      </c>
      <c r="K956" s="98"/>
    </row>
    <row r="957" spans="1:19" x14ac:dyDescent="0.25">
      <c r="A957" t="s">
        <v>103</v>
      </c>
      <c r="G957">
        <f>G956-G955</f>
        <v>835.95889177533945</v>
      </c>
      <c r="H957">
        <f>H956-H955</f>
        <v>80</v>
      </c>
      <c r="I957">
        <f>I956-I955</f>
        <v>482.47465271142238</v>
      </c>
      <c r="J957">
        <f>J956-J955</f>
        <v>1398.4335444867618</v>
      </c>
    </row>
    <row r="959" spans="1:19" ht="60" x14ac:dyDescent="0.25">
      <c r="A959" s="21" t="s">
        <v>63</v>
      </c>
      <c r="B959" s="21" t="s">
        <v>92</v>
      </c>
      <c r="C959" s="21" t="s">
        <v>93</v>
      </c>
      <c r="D959" s="92" t="str">
        <f>FoodDB!$C$1</f>
        <v>Fat
(g)</v>
      </c>
      <c r="E959" s="92" t="str">
        <f>FoodDB!$D$1</f>
        <v xml:space="preserve"> Carbs
(g)</v>
      </c>
      <c r="F959" s="92" t="str">
        <f>FoodDB!$E$1</f>
        <v>Protein
(g)</v>
      </c>
      <c r="G959" s="92" t="str">
        <f>FoodDB!$F$1</f>
        <v>Fat
(Cal)</v>
      </c>
      <c r="H959" s="92" t="str">
        <f>FoodDB!$G$1</f>
        <v>Carb
(Cal)</v>
      </c>
      <c r="I959" s="92" t="str">
        <f>FoodDB!$H$1</f>
        <v>Protein
(Cal)</v>
      </c>
      <c r="J959" s="92" t="str">
        <f>FoodDB!$I$1</f>
        <v>Total
Calories</v>
      </c>
      <c r="K959" s="92"/>
      <c r="L959" s="92" t="s">
        <v>109</v>
      </c>
      <c r="M959" s="92" t="s">
        <v>110</v>
      </c>
      <c r="N959" s="92" t="s">
        <v>111</v>
      </c>
      <c r="O959" s="92" t="s">
        <v>112</v>
      </c>
      <c r="P959" s="92" t="s">
        <v>117</v>
      </c>
      <c r="Q959" s="92" t="s">
        <v>118</v>
      </c>
      <c r="R959" s="92" t="s">
        <v>119</v>
      </c>
      <c r="S959" s="92" t="s">
        <v>120</v>
      </c>
    </row>
    <row r="960" spans="1:19" x14ac:dyDescent="0.25">
      <c r="A960" s="93">
        <f>A948+1</f>
        <v>43074</v>
      </c>
      <c r="B960" s="94" t="s">
        <v>107</v>
      </c>
      <c r="C960" s="95">
        <v>0</v>
      </c>
      <c r="D960">
        <f>$C960*VLOOKUP($B960,FoodDB!$A$2:$I$1011,3,0)</f>
        <v>0</v>
      </c>
      <c r="E960">
        <f>$C960*VLOOKUP($B960,FoodDB!$A$2:$I$1011,4,0)</f>
        <v>0</v>
      </c>
      <c r="F960">
        <f>$C960*VLOOKUP($B960,FoodDB!$A$2:$I$1011,5,0)</f>
        <v>0</v>
      </c>
      <c r="G960">
        <f>$C960*VLOOKUP($B960,FoodDB!$A$2:$I$1011,6,0)</f>
        <v>0</v>
      </c>
      <c r="H960">
        <f>$C960*VLOOKUP($B960,FoodDB!$A$2:$I$1011,7,0)</f>
        <v>0</v>
      </c>
      <c r="I960">
        <f>$C960*VLOOKUP($B960,FoodDB!$A$2:$I$1011,8,0)</f>
        <v>0</v>
      </c>
      <c r="J960">
        <f>$C960*VLOOKUP($B960,FoodDB!$A$2:$I$1011,9,0)</f>
        <v>0</v>
      </c>
      <c r="L960">
        <f>SUM(G960:G966)</f>
        <v>0</v>
      </c>
      <c r="M960">
        <f>SUM(H960:H966)</f>
        <v>0</v>
      </c>
      <c r="N960">
        <f>SUM(I960:I966)</f>
        <v>0</v>
      </c>
      <c r="O960">
        <f>SUM(L960:N960)</f>
        <v>0</v>
      </c>
      <c r="P960" s="98">
        <f>VLOOKUP($A960,LossChart!$A$3:$AB$105,14,0)-L960</f>
        <v>840.18941246668351</v>
      </c>
      <c r="Q960" s="98">
        <f>VLOOKUP($A960,LossChart!$A$3:$AB$105,15,0)-M960</f>
        <v>80</v>
      </c>
      <c r="R960" s="98">
        <f>VLOOKUP($A960,LossChart!$A$3:$AB$105,16,0)-N960</f>
        <v>482.47465271142238</v>
      </c>
      <c r="S960" s="98">
        <f>VLOOKUP($A960,LossChart!$A$3:$AB$105,17,0)-O960</f>
        <v>1402.6640651781058</v>
      </c>
    </row>
    <row r="961" spans="1:19" x14ac:dyDescent="0.25">
      <c r="B961" s="94" t="s">
        <v>107</v>
      </c>
      <c r="C961" s="95">
        <v>0</v>
      </c>
      <c r="D961">
        <f>$C961*VLOOKUP($B961,FoodDB!$A$2:$I$1011,3,0)</f>
        <v>0</v>
      </c>
      <c r="E961">
        <f>$C961*VLOOKUP($B961,FoodDB!$A$2:$I$1011,4,0)</f>
        <v>0</v>
      </c>
      <c r="F961">
        <f>$C961*VLOOKUP($B961,FoodDB!$A$2:$I$1011,5,0)</f>
        <v>0</v>
      </c>
      <c r="G961">
        <f>$C961*VLOOKUP($B961,FoodDB!$A$2:$I$1011,6,0)</f>
        <v>0</v>
      </c>
      <c r="H961">
        <f>$C961*VLOOKUP($B961,FoodDB!$A$2:$I$1011,7,0)</f>
        <v>0</v>
      </c>
      <c r="I961">
        <f>$C961*VLOOKUP($B961,FoodDB!$A$2:$I$1011,8,0)</f>
        <v>0</v>
      </c>
      <c r="J961">
        <f>$C961*VLOOKUP($B961,FoodDB!$A$2:$I$1011,9,0)</f>
        <v>0</v>
      </c>
    </row>
    <row r="962" spans="1:19" x14ac:dyDescent="0.25">
      <c r="B962" s="94" t="s">
        <v>107</v>
      </c>
      <c r="C962" s="95">
        <v>0</v>
      </c>
      <c r="D962">
        <f>$C962*VLOOKUP($B962,FoodDB!$A$2:$I$1011,3,0)</f>
        <v>0</v>
      </c>
      <c r="E962">
        <f>$C962*VLOOKUP($B962,FoodDB!$A$2:$I$1011,4,0)</f>
        <v>0</v>
      </c>
      <c r="F962">
        <f>$C962*VLOOKUP($B962,FoodDB!$A$2:$I$1011,5,0)</f>
        <v>0</v>
      </c>
      <c r="G962">
        <f>$C962*VLOOKUP($B962,FoodDB!$A$2:$I$1011,6,0)</f>
        <v>0</v>
      </c>
      <c r="H962">
        <f>$C962*VLOOKUP($B962,FoodDB!$A$2:$I$1011,7,0)</f>
        <v>0</v>
      </c>
      <c r="I962">
        <f>$C962*VLOOKUP($B962,FoodDB!$A$2:$I$1011,8,0)</f>
        <v>0</v>
      </c>
      <c r="J962">
        <f>$C962*VLOOKUP($B962,FoodDB!$A$2:$I$1011,9,0)</f>
        <v>0</v>
      </c>
    </row>
    <row r="963" spans="1:19" x14ac:dyDescent="0.25">
      <c r="B963" s="94" t="s">
        <v>107</v>
      </c>
      <c r="C963" s="95">
        <v>0</v>
      </c>
      <c r="D963">
        <f>$C963*VLOOKUP($B963,FoodDB!$A$2:$I$1011,3,0)</f>
        <v>0</v>
      </c>
      <c r="E963">
        <f>$C963*VLOOKUP($B963,FoodDB!$A$2:$I$1011,4,0)</f>
        <v>0</v>
      </c>
      <c r="F963">
        <f>$C963*VLOOKUP($B963,FoodDB!$A$2:$I$1011,5,0)</f>
        <v>0</v>
      </c>
      <c r="G963">
        <f>$C963*VLOOKUP($B963,FoodDB!$A$2:$I$1011,6,0)</f>
        <v>0</v>
      </c>
      <c r="H963">
        <f>$C963*VLOOKUP($B963,FoodDB!$A$2:$I$1011,7,0)</f>
        <v>0</v>
      </c>
      <c r="I963">
        <f>$C963*VLOOKUP($B963,FoodDB!$A$2:$I$1011,8,0)</f>
        <v>0</v>
      </c>
      <c r="J963">
        <f>$C963*VLOOKUP($B963,FoodDB!$A$2:$I$1011,9,0)</f>
        <v>0</v>
      </c>
    </row>
    <row r="964" spans="1:19" x14ac:dyDescent="0.25">
      <c r="B964" s="94" t="s">
        <v>107</v>
      </c>
      <c r="C964" s="95">
        <v>0</v>
      </c>
      <c r="D964">
        <f>$C964*VLOOKUP($B964,FoodDB!$A$2:$I$1011,3,0)</f>
        <v>0</v>
      </c>
      <c r="E964">
        <f>$C964*VLOOKUP($B964,FoodDB!$A$2:$I$1011,4,0)</f>
        <v>0</v>
      </c>
      <c r="F964">
        <f>$C964*VLOOKUP($B964,FoodDB!$A$2:$I$1011,5,0)</f>
        <v>0</v>
      </c>
      <c r="G964">
        <f>$C964*VLOOKUP($B964,FoodDB!$A$2:$I$1011,6,0)</f>
        <v>0</v>
      </c>
      <c r="H964">
        <f>$C964*VLOOKUP($B964,FoodDB!$A$2:$I$1011,7,0)</f>
        <v>0</v>
      </c>
      <c r="I964">
        <f>$C964*VLOOKUP($B964,FoodDB!$A$2:$I$1011,8,0)</f>
        <v>0</v>
      </c>
      <c r="J964">
        <f>$C964*VLOOKUP($B964,FoodDB!$A$2:$I$1011,9,0)</f>
        <v>0</v>
      </c>
    </row>
    <row r="965" spans="1:19" x14ac:dyDescent="0.25">
      <c r="B965" s="94" t="s">
        <v>107</v>
      </c>
      <c r="C965" s="95">
        <v>0</v>
      </c>
      <c r="D965">
        <f>$C965*VLOOKUP($B965,FoodDB!$A$2:$I$1011,3,0)</f>
        <v>0</v>
      </c>
      <c r="E965">
        <f>$C965*VLOOKUP($B965,FoodDB!$A$2:$I$1011,4,0)</f>
        <v>0</v>
      </c>
      <c r="F965">
        <f>$C965*VLOOKUP($B965,FoodDB!$A$2:$I$1011,5,0)</f>
        <v>0</v>
      </c>
      <c r="G965">
        <f>$C965*VLOOKUP($B965,FoodDB!$A$2:$I$1011,6,0)</f>
        <v>0</v>
      </c>
      <c r="H965">
        <f>$C965*VLOOKUP($B965,FoodDB!$A$2:$I$1011,7,0)</f>
        <v>0</v>
      </c>
      <c r="I965">
        <f>$C965*VLOOKUP($B965,FoodDB!$A$2:$I$1011,8,0)</f>
        <v>0</v>
      </c>
      <c r="J965">
        <f>$C965*VLOOKUP($B965,FoodDB!$A$2:$I$1011,9,0)</f>
        <v>0</v>
      </c>
    </row>
    <row r="966" spans="1:19" x14ac:dyDescent="0.25">
      <c r="B966" s="94" t="s">
        <v>107</v>
      </c>
      <c r="C966" s="95">
        <v>0</v>
      </c>
      <c r="D966">
        <f>$C966*VLOOKUP($B966,FoodDB!$A$2:$I$1011,3,0)</f>
        <v>0</v>
      </c>
      <c r="E966">
        <f>$C966*VLOOKUP($B966,FoodDB!$A$2:$I$1011,4,0)</f>
        <v>0</v>
      </c>
      <c r="F966">
        <f>$C966*VLOOKUP($B966,FoodDB!$A$2:$I$1011,5,0)</f>
        <v>0</v>
      </c>
      <c r="G966">
        <f>$C966*VLOOKUP($B966,FoodDB!$A$2:$I$1011,6,0)</f>
        <v>0</v>
      </c>
      <c r="H966">
        <f>$C966*VLOOKUP($B966,FoodDB!$A$2:$I$1011,7,0)</f>
        <v>0</v>
      </c>
      <c r="I966">
        <f>$C966*VLOOKUP($B966,FoodDB!$A$2:$I$1011,8,0)</f>
        <v>0</v>
      </c>
      <c r="J966">
        <f>$C966*VLOOKUP($B966,FoodDB!$A$2:$I$1011,9,0)</f>
        <v>0</v>
      </c>
    </row>
    <row r="967" spans="1:19" x14ac:dyDescent="0.25">
      <c r="A967" t="s">
        <v>97</v>
      </c>
      <c r="G967">
        <f>SUM(G960:G966)</f>
        <v>0</v>
      </c>
      <c r="H967">
        <f>SUM(H960:H966)</f>
        <v>0</v>
      </c>
      <c r="I967">
        <f>SUM(I960:I966)</f>
        <v>0</v>
      </c>
      <c r="J967">
        <f>SUM(G967:I967)</f>
        <v>0</v>
      </c>
    </row>
    <row r="968" spans="1:19" x14ac:dyDescent="0.25">
      <c r="A968" t="s">
        <v>101</v>
      </c>
      <c r="B968" t="s">
        <v>102</v>
      </c>
      <c r="E968" s="98"/>
      <c r="F968" s="98"/>
      <c r="G968" s="98">
        <f>VLOOKUP($A960,LossChart!$A$3:$AB$105,14,0)</f>
        <v>840.18941246668351</v>
      </c>
      <c r="H968" s="98">
        <f>VLOOKUP($A960,LossChart!$A$3:$AB$105,15,0)</f>
        <v>80</v>
      </c>
      <c r="I968" s="98">
        <f>VLOOKUP($A960,LossChart!$A$3:$AB$105,16,0)</f>
        <v>482.47465271142238</v>
      </c>
      <c r="J968" s="98">
        <f>VLOOKUP($A960,LossChart!$A$3:$AB$105,17,0)</f>
        <v>1402.6640651781058</v>
      </c>
      <c r="K968" s="98"/>
    </row>
    <row r="969" spans="1:19" x14ac:dyDescent="0.25">
      <c r="A969" t="s">
        <v>103</v>
      </c>
      <c r="G969">
        <f>G968-G967</f>
        <v>840.18941246668351</v>
      </c>
      <c r="H969">
        <f>H968-H967</f>
        <v>80</v>
      </c>
      <c r="I969">
        <f>I968-I967</f>
        <v>482.47465271142238</v>
      </c>
      <c r="J969">
        <f>J968-J967</f>
        <v>1402.6640651781058</v>
      </c>
    </row>
    <row r="971" spans="1:19" ht="60" x14ac:dyDescent="0.25">
      <c r="A971" s="21" t="s">
        <v>63</v>
      </c>
      <c r="B971" s="21" t="s">
        <v>92</v>
      </c>
      <c r="C971" s="21" t="s">
        <v>93</v>
      </c>
      <c r="D971" s="92" t="str">
        <f>FoodDB!$C$1</f>
        <v>Fat
(g)</v>
      </c>
      <c r="E971" s="92" t="str">
        <f>FoodDB!$D$1</f>
        <v xml:space="preserve"> Carbs
(g)</v>
      </c>
      <c r="F971" s="92" t="str">
        <f>FoodDB!$E$1</f>
        <v>Protein
(g)</v>
      </c>
      <c r="G971" s="92" t="str">
        <f>FoodDB!$F$1</f>
        <v>Fat
(Cal)</v>
      </c>
      <c r="H971" s="92" t="str">
        <f>FoodDB!$G$1</f>
        <v>Carb
(Cal)</v>
      </c>
      <c r="I971" s="92" t="str">
        <f>FoodDB!$H$1</f>
        <v>Protein
(Cal)</v>
      </c>
      <c r="J971" s="92" t="str">
        <f>FoodDB!$I$1</f>
        <v>Total
Calories</v>
      </c>
      <c r="K971" s="92"/>
      <c r="L971" s="92" t="s">
        <v>109</v>
      </c>
      <c r="M971" s="92" t="s">
        <v>110</v>
      </c>
      <c r="N971" s="92" t="s">
        <v>111</v>
      </c>
      <c r="O971" s="92" t="s">
        <v>112</v>
      </c>
      <c r="P971" s="92" t="s">
        <v>117</v>
      </c>
      <c r="Q971" s="92" t="s">
        <v>118</v>
      </c>
      <c r="R971" s="92" t="s">
        <v>119</v>
      </c>
      <c r="S971" s="92" t="s">
        <v>120</v>
      </c>
    </row>
    <row r="972" spans="1:19" x14ac:dyDescent="0.25">
      <c r="A972" s="93">
        <f>A960+1</f>
        <v>43075</v>
      </c>
      <c r="B972" s="94" t="s">
        <v>107</v>
      </c>
      <c r="C972" s="95">
        <v>0</v>
      </c>
      <c r="D972">
        <f>$C972*VLOOKUP($B972,FoodDB!$A$2:$I$1011,3,0)</f>
        <v>0</v>
      </c>
      <c r="E972">
        <f>$C972*VLOOKUP($B972,FoodDB!$A$2:$I$1011,4,0)</f>
        <v>0</v>
      </c>
      <c r="F972">
        <f>$C972*VLOOKUP($B972,FoodDB!$A$2:$I$1011,5,0)</f>
        <v>0</v>
      </c>
      <c r="G972">
        <f>$C972*VLOOKUP($B972,FoodDB!$A$2:$I$1011,6,0)</f>
        <v>0</v>
      </c>
      <c r="H972">
        <f>$C972*VLOOKUP($B972,FoodDB!$A$2:$I$1011,7,0)</f>
        <v>0</v>
      </c>
      <c r="I972">
        <f>$C972*VLOOKUP($B972,FoodDB!$A$2:$I$1011,8,0)</f>
        <v>0</v>
      </c>
      <c r="J972">
        <f>$C972*VLOOKUP($B972,FoodDB!$A$2:$I$1011,9,0)</f>
        <v>0</v>
      </c>
      <c r="L972">
        <f>SUM(G972:G978)</f>
        <v>0</v>
      </c>
      <c r="M972">
        <f>SUM(H972:H978)</f>
        <v>0</v>
      </c>
      <c r="N972">
        <f>SUM(I972:I978)</f>
        <v>0</v>
      </c>
      <c r="O972">
        <f>SUM(L972:N972)</f>
        <v>0</v>
      </c>
      <c r="P972" s="98">
        <f>VLOOKUP($A972,LossChart!$A$3:$AB$105,14,0)-L972</f>
        <v>844.38246283190415</v>
      </c>
      <c r="Q972" s="98">
        <f>VLOOKUP($A972,LossChart!$A$3:$AB$105,15,0)-M972</f>
        <v>80</v>
      </c>
      <c r="R972" s="98">
        <f>VLOOKUP($A972,LossChart!$A$3:$AB$105,16,0)-N972</f>
        <v>482.47465271142238</v>
      </c>
      <c r="S972" s="98">
        <f>VLOOKUP($A972,LossChart!$A$3:$AB$105,17,0)-O972</f>
        <v>1406.8571155433265</v>
      </c>
    </row>
    <row r="973" spans="1:19" x14ac:dyDescent="0.25">
      <c r="B973" s="94" t="s">
        <v>107</v>
      </c>
      <c r="C973" s="95">
        <v>0</v>
      </c>
      <c r="D973">
        <f>$C973*VLOOKUP($B973,FoodDB!$A$2:$I$1011,3,0)</f>
        <v>0</v>
      </c>
      <c r="E973">
        <f>$C973*VLOOKUP($B973,FoodDB!$A$2:$I$1011,4,0)</f>
        <v>0</v>
      </c>
      <c r="F973">
        <f>$C973*VLOOKUP($B973,FoodDB!$A$2:$I$1011,5,0)</f>
        <v>0</v>
      </c>
      <c r="G973">
        <f>$C973*VLOOKUP($B973,FoodDB!$A$2:$I$1011,6,0)</f>
        <v>0</v>
      </c>
      <c r="H973">
        <f>$C973*VLOOKUP($B973,FoodDB!$A$2:$I$1011,7,0)</f>
        <v>0</v>
      </c>
      <c r="I973">
        <f>$C973*VLOOKUP($B973,FoodDB!$A$2:$I$1011,8,0)</f>
        <v>0</v>
      </c>
      <c r="J973">
        <f>$C973*VLOOKUP($B973,FoodDB!$A$2:$I$1011,9,0)</f>
        <v>0</v>
      </c>
    </row>
    <row r="974" spans="1:19" x14ac:dyDescent="0.25">
      <c r="B974" s="94" t="s">
        <v>107</v>
      </c>
      <c r="C974" s="95">
        <v>0</v>
      </c>
      <c r="D974">
        <f>$C974*VLOOKUP($B974,FoodDB!$A$2:$I$1011,3,0)</f>
        <v>0</v>
      </c>
      <c r="E974">
        <f>$C974*VLOOKUP($B974,FoodDB!$A$2:$I$1011,4,0)</f>
        <v>0</v>
      </c>
      <c r="F974">
        <f>$C974*VLOOKUP($B974,FoodDB!$A$2:$I$1011,5,0)</f>
        <v>0</v>
      </c>
      <c r="G974">
        <f>$C974*VLOOKUP($B974,FoodDB!$A$2:$I$1011,6,0)</f>
        <v>0</v>
      </c>
      <c r="H974">
        <f>$C974*VLOOKUP($B974,FoodDB!$A$2:$I$1011,7,0)</f>
        <v>0</v>
      </c>
      <c r="I974">
        <f>$C974*VLOOKUP($B974,FoodDB!$A$2:$I$1011,8,0)</f>
        <v>0</v>
      </c>
      <c r="J974">
        <f>$C974*VLOOKUP($B974,FoodDB!$A$2:$I$1011,9,0)</f>
        <v>0</v>
      </c>
    </row>
    <row r="975" spans="1:19" x14ac:dyDescent="0.25">
      <c r="B975" s="94" t="s">
        <v>107</v>
      </c>
      <c r="C975" s="95">
        <v>0</v>
      </c>
      <c r="D975">
        <f>$C975*VLOOKUP($B975,FoodDB!$A$2:$I$1011,3,0)</f>
        <v>0</v>
      </c>
      <c r="E975">
        <f>$C975*VLOOKUP($B975,FoodDB!$A$2:$I$1011,4,0)</f>
        <v>0</v>
      </c>
      <c r="F975">
        <f>$C975*VLOOKUP($B975,FoodDB!$A$2:$I$1011,5,0)</f>
        <v>0</v>
      </c>
      <c r="G975">
        <f>$C975*VLOOKUP($B975,FoodDB!$A$2:$I$1011,6,0)</f>
        <v>0</v>
      </c>
      <c r="H975">
        <f>$C975*VLOOKUP($B975,FoodDB!$A$2:$I$1011,7,0)</f>
        <v>0</v>
      </c>
      <c r="I975">
        <f>$C975*VLOOKUP($B975,FoodDB!$A$2:$I$1011,8,0)</f>
        <v>0</v>
      </c>
      <c r="J975">
        <f>$C975*VLOOKUP($B975,FoodDB!$A$2:$I$1011,9,0)</f>
        <v>0</v>
      </c>
    </row>
    <row r="976" spans="1:19" x14ac:dyDescent="0.25">
      <c r="B976" s="94" t="s">
        <v>107</v>
      </c>
      <c r="C976" s="95">
        <v>0</v>
      </c>
      <c r="D976">
        <f>$C976*VLOOKUP($B976,FoodDB!$A$2:$I$1011,3,0)</f>
        <v>0</v>
      </c>
      <c r="E976">
        <f>$C976*VLOOKUP($B976,FoodDB!$A$2:$I$1011,4,0)</f>
        <v>0</v>
      </c>
      <c r="F976">
        <f>$C976*VLOOKUP($B976,FoodDB!$A$2:$I$1011,5,0)</f>
        <v>0</v>
      </c>
      <c r="G976">
        <f>$C976*VLOOKUP($B976,FoodDB!$A$2:$I$1011,6,0)</f>
        <v>0</v>
      </c>
      <c r="H976">
        <f>$C976*VLOOKUP($B976,FoodDB!$A$2:$I$1011,7,0)</f>
        <v>0</v>
      </c>
      <c r="I976">
        <f>$C976*VLOOKUP($B976,FoodDB!$A$2:$I$1011,8,0)</f>
        <v>0</v>
      </c>
      <c r="J976">
        <f>$C976*VLOOKUP($B976,FoodDB!$A$2:$I$1011,9,0)</f>
        <v>0</v>
      </c>
    </row>
    <row r="977" spans="1:19" x14ac:dyDescent="0.25">
      <c r="B977" s="94" t="s">
        <v>107</v>
      </c>
      <c r="C977" s="95">
        <v>0</v>
      </c>
      <c r="D977">
        <f>$C977*VLOOKUP($B977,FoodDB!$A$2:$I$1011,3,0)</f>
        <v>0</v>
      </c>
      <c r="E977">
        <f>$C977*VLOOKUP($B977,FoodDB!$A$2:$I$1011,4,0)</f>
        <v>0</v>
      </c>
      <c r="F977">
        <f>$C977*VLOOKUP($B977,FoodDB!$A$2:$I$1011,5,0)</f>
        <v>0</v>
      </c>
      <c r="G977">
        <f>$C977*VLOOKUP($B977,FoodDB!$A$2:$I$1011,6,0)</f>
        <v>0</v>
      </c>
      <c r="H977">
        <f>$C977*VLOOKUP($B977,FoodDB!$A$2:$I$1011,7,0)</f>
        <v>0</v>
      </c>
      <c r="I977">
        <f>$C977*VLOOKUP($B977,FoodDB!$A$2:$I$1011,8,0)</f>
        <v>0</v>
      </c>
      <c r="J977">
        <f>$C977*VLOOKUP($B977,FoodDB!$A$2:$I$1011,9,0)</f>
        <v>0</v>
      </c>
    </row>
    <row r="978" spans="1:19" x14ac:dyDescent="0.25">
      <c r="B978" s="94" t="s">
        <v>107</v>
      </c>
      <c r="C978" s="95">
        <v>0</v>
      </c>
      <c r="D978">
        <f>$C978*VLOOKUP($B978,FoodDB!$A$2:$I$1011,3,0)</f>
        <v>0</v>
      </c>
      <c r="E978">
        <f>$C978*VLOOKUP($B978,FoodDB!$A$2:$I$1011,4,0)</f>
        <v>0</v>
      </c>
      <c r="F978">
        <f>$C978*VLOOKUP($B978,FoodDB!$A$2:$I$1011,5,0)</f>
        <v>0</v>
      </c>
      <c r="G978">
        <f>$C978*VLOOKUP($B978,FoodDB!$A$2:$I$1011,6,0)</f>
        <v>0</v>
      </c>
      <c r="H978">
        <f>$C978*VLOOKUP($B978,FoodDB!$A$2:$I$1011,7,0)</f>
        <v>0</v>
      </c>
      <c r="I978">
        <f>$C978*VLOOKUP($B978,FoodDB!$A$2:$I$1011,8,0)</f>
        <v>0</v>
      </c>
      <c r="J978">
        <f>$C978*VLOOKUP($B978,FoodDB!$A$2:$I$1011,9,0)</f>
        <v>0</v>
      </c>
    </row>
    <row r="979" spans="1:19" x14ac:dyDescent="0.25">
      <c r="A979" t="s">
        <v>97</v>
      </c>
      <c r="G979">
        <f>SUM(G972:G978)</f>
        <v>0</v>
      </c>
      <c r="H979">
        <f>SUM(H972:H978)</f>
        <v>0</v>
      </c>
      <c r="I979">
        <f>SUM(I972:I978)</f>
        <v>0</v>
      </c>
      <c r="J979">
        <f>SUM(G979:I979)</f>
        <v>0</v>
      </c>
    </row>
    <row r="980" spans="1:19" x14ac:dyDescent="0.25">
      <c r="A980" t="s">
        <v>101</v>
      </c>
      <c r="B980" t="s">
        <v>102</v>
      </c>
      <c r="E980" s="98"/>
      <c r="F980" s="98"/>
      <c r="G980" s="98">
        <f>VLOOKUP($A972,LossChart!$A$3:$AB$105,14,0)</f>
        <v>844.38246283190415</v>
      </c>
      <c r="H980" s="98">
        <f>VLOOKUP($A972,LossChart!$A$3:$AB$105,15,0)</f>
        <v>80</v>
      </c>
      <c r="I980" s="98">
        <f>VLOOKUP($A972,LossChart!$A$3:$AB$105,16,0)</f>
        <v>482.47465271142238</v>
      </c>
      <c r="J980" s="98">
        <f>VLOOKUP($A972,LossChart!$A$3:$AB$105,17,0)</f>
        <v>1406.8571155433265</v>
      </c>
      <c r="K980" s="98"/>
    </row>
    <row r="981" spans="1:19" x14ac:dyDescent="0.25">
      <c r="A981" t="s">
        <v>103</v>
      </c>
      <c r="G981">
        <f>G980-G979</f>
        <v>844.38246283190415</v>
      </c>
      <c r="H981">
        <f>H980-H979</f>
        <v>80</v>
      </c>
      <c r="I981">
        <f>I980-I979</f>
        <v>482.47465271142238</v>
      </c>
      <c r="J981">
        <f>J980-J979</f>
        <v>1406.8571155433265</v>
      </c>
    </row>
    <row r="983" spans="1:19" ht="60" x14ac:dyDescent="0.25">
      <c r="A983" s="21" t="s">
        <v>63</v>
      </c>
      <c r="B983" s="21" t="s">
        <v>92</v>
      </c>
      <c r="C983" s="21" t="s">
        <v>93</v>
      </c>
      <c r="D983" s="92" t="str">
        <f>FoodDB!$C$1</f>
        <v>Fat
(g)</v>
      </c>
      <c r="E983" s="92" t="str">
        <f>FoodDB!$D$1</f>
        <v xml:space="preserve"> Carbs
(g)</v>
      </c>
      <c r="F983" s="92" t="str">
        <f>FoodDB!$E$1</f>
        <v>Protein
(g)</v>
      </c>
      <c r="G983" s="92" t="str">
        <f>FoodDB!$F$1</f>
        <v>Fat
(Cal)</v>
      </c>
      <c r="H983" s="92" t="str">
        <f>FoodDB!$G$1</f>
        <v>Carb
(Cal)</v>
      </c>
      <c r="I983" s="92" t="str">
        <f>FoodDB!$H$1</f>
        <v>Protein
(Cal)</v>
      </c>
      <c r="J983" s="92" t="str">
        <f>FoodDB!$I$1</f>
        <v>Total
Calories</v>
      </c>
      <c r="K983" s="92"/>
      <c r="L983" s="92" t="s">
        <v>109</v>
      </c>
      <c r="M983" s="92" t="s">
        <v>110</v>
      </c>
      <c r="N983" s="92" t="s">
        <v>111</v>
      </c>
      <c r="O983" s="92" t="s">
        <v>112</v>
      </c>
      <c r="P983" s="92" t="s">
        <v>117</v>
      </c>
      <c r="Q983" s="92" t="s">
        <v>118</v>
      </c>
      <c r="R983" s="92" t="s">
        <v>119</v>
      </c>
      <c r="S983" s="92" t="s">
        <v>120</v>
      </c>
    </row>
    <row r="984" spans="1:19" x14ac:dyDescent="0.25">
      <c r="A984" s="93">
        <f>A972+1</f>
        <v>43076</v>
      </c>
      <c r="B984" s="94" t="s">
        <v>107</v>
      </c>
      <c r="C984" s="95">
        <v>0</v>
      </c>
      <c r="D984">
        <f>$C984*VLOOKUP($B984,FoodDB!$A$2:$I$1011,3,0)</f>
        <v>0</v>
      </c>
      <c r="E984">
        <f>$C984*VLOOKUP($B984,FoodDB!$A$2:$I$1011,4,0)</f>
        <v>0</v>
      </c>
      <c r="F984">
        <f>$C984*VLOOKUP($B984,FoodDB!$A$2:$I$1011,5,0)</f>
        <v>0</v>
      </c>
      <c r="G984">
        <f>$C984*VLOOKUP($B984,FoodDB!$A$2:$I$1011,6,0)</f>
        <v>0</v>
      </c>
      <c r="H984">
        <f>$C984*VLOOKUP($B984,FoodDB!$A$2:$I$1011,7,0)</f>
        <v>0</v>
      </c>
      <c r="I984">
        <f>$C984*VLOOKUP($B984,FoodDB!$A$2:$I$1011,8,0)</f>
        <v>0</v>
      </c>
      <c r="J984">
        <f>$C984*VLOOKUP($B984,FoodDB!$A$2:$I$1011,9,0)</f>
        <v>0</v>
      </c>
      <c r="L984">
        <f>SUM(G984:G990)</f>
        <v>0</v>
      </c>
      <c r="M984">
        <f>SUM(H984:H990)</f>
        <v>0</v>
      </c>
      <c r="N984">
        <f>SUM(I984:I990)</f>
        <v>0</v>
      </c>
      <c r="O984">
        <f>SUM(L984:N984)</f>
        <v>0</v>
      </c>
      <c r="P984" s="98">
        <f>VLOOKUP($A984,LossChart!$A$3:$AB$105,14,0)-L984</f>
        <v>844.53837475103251</v>
      </c>
      <c r="Q984" s="98">
        <f>VLOOKUP($A984,LossChart!$A$3:$AB$105,15,0)-M984</f>
        <v>84</v>
      </c>
      <c r="R984" s="98">
        <f>VLOOKUP($A984,LossChart!$A$3:$AB$105,16,0)-N984</f>
        <v>482.47465271142238</v>
      </c>
      <c r="S984" s="98">
        <f>VLOOKUP($A984,LossChart!$A$3:$AB$105,17,0)-O984</f>
        <v>1411.0130274624548</v>
      </c>
    </row>
    <row r="985" spans="1:19" x14ac:dyDescent="0.25">
      <c r="B985" s="94" t="s">
        <v>107</v>
      </c>
      <c r="C985" s="95">
        <v>0</v>
      </c>
      <c r="D985">
        <f>$C985*VLOOKUP($B985,FoodDB!$A$2:$I$1011,3,0)</f>
        <v>0</v>
      </c>
      <c r="E985">
        <f>$C985*VLOOKUP($B985,FoodDB!$A$2:$I$1011,4,0)</f>
        <v>0</v>
      </c>
      <c r="F985">
        <f>$C985*VLOOKUP($B985,FoodDB!$A$2:$I$1011,5,0)</f>
        <v>0</v>
      </c>
      <c r="G985">
        <f>$C985*VLOOKUP($B985,FoodDB!$A$2:$I$1011,6,0)</f>
        <v>0</v>
      </c>
      <c r="H985">
        <f>$C985*VLOOKUP($B985,FoodDB!$A$2:$I$1011,7,0)</f>
        <v>0</v>
      </c>
      <c r="I985">
        <f>$C985*VLOOKUP($B985,FoodDB!$A$2:$I$1011,8,0)</f>
        <v>0</v>
      </c>
      <c r="J985">
        <f>$C985*VLOOKUP($B985,FoodDB!$A$2:$I$1011,9,0)</f>
        <v>0</v>
      </c>
    </row>
    <row r="986" spans="1:19" x14ac:dyDescent="0.25">
      <c r="B986" s="94" t="s">
        <v>107</v>
      </c>
      <c r="C986" s="95">
        <v>0</v>
      </c>
      <c r="D986">
        <f>$C986*VLOOKUP($B986,FoodDB!$A$2:$I$1011,3,0)</f>
        <v>0</v>
      </c>
      <c r="E986">
        <f>$C986*VLOOKUP($B986,FoodDB!$A$2:$I$1011,4,0)</f>
        <v>0</v>
      </c>
      <c r="F986">
        <f>$C986*VLOOKUP($B986,FoodDB!$A$2:$I$1011,5,0)</f>
        <v>0</v>
      </c>
      <c r="G986">
        <f>$C986*VLOOKUP($B986,FoodDB!$A$2:$I$1011,6,0)</f>
        <v>0</v>
      </c>
      <c r="H986">
        <f>$C986*VLOOKUP($B986,FoodDB!$A$2:$I$1011,7,0)</f>
        <v>0</v>
      </c>
      <c r="I986">
        <f>$C986*VLOOKUP($B986,FoodDB!$A$2:$I$1011,8,0)</f>
        <v>0</v>
      </c>
      <c r="J986">
        <f>$C986*VLOOKUP($B986,FoodDB!$A$2:$I$1011,9,0)</f>
        <v>0</v>
      </c>
    </row>
    <row r="987" spans="1:19" x14ac:dyDescent="0.25">
      <c r="B987" s="94" t="s">
        <v>107</v>
      </c>
      <c r="C987" s="95">
        <v>0</v>
      </c>
      <c r="D987">
        <f>$C987*VLOOKUP($B987,FoodDB!$A$2:$I$1011,3,0)</f>
        <v>0</v>
      </c>
      <c r="E987">
        <f>$C987*VLOOKUP($B987,FoodDB!$A$2:$I$1011,4,0)</f>
        <v>0</v>
      </c>
      <c r="F987">
        <f>$C987*VLOOKUP($B987,FoodDB!$A$2:$I$1011,5,0)</f>
        <v>0</v>
      </c>
      <c r="G987">
        <f>$C987*VLOOKUP($B987,FoodDB!$A$2:$I$1011,6,0)</f>
        <v>0</v>
      </c>
      <c r="H987">
        <f>$C987*VLOOKUP($B987,FoodDB!$A$2:$I$1011,7,0)</f>
        <v>0</v>
      </c>
      <c r="I987">
        <f>$C987*VLOOKUP($B987,FoodDB!$A$2:$I$1011,8,0)</f>
        <v>0</v>
      </c>
      <c r="J987">
        <f>$C987*VLOOKUP($B987,FoodDB!$A$2:$I$1011,9,0)</f>
        <v>0</v>
      </c>
    </row>
    <row r="988" spans="1:19" x14ac:dyDescent="0.25">
      <c r="B988" s="94" t="s">
        <v>107</v>
      </c>
      <c r="C988" s="95">
        <v>0</v>
      </c>
      <c r="D988">
        <f>$C988*VLOOKUP($B988,FoodDB!$A$2:$I$1011,3,0)</f>
        <v>0</v>
      </c>
      <c r="E988">
        <f>$C988*VLOOKUP($B988,FoodDB!$A$2:$I$1011,4,0)</f>
        <v>0</v>
      </c>
      <c r="F988">
        <f>$C988*VLOOKUP($B988,FoodDB!$A$2:$I$1011,5,0)</f>
        <v>0</v>
      </c>
      <c r="G988">
        <f>$C988*VLOOKUP($B988,FoodDB!$A$2:$I$1011,6,0)</f>
        <v>0</v>
      </c>
      <c r="H988">
        <f>$C988*VLOOKUP($B988,FoodDB!$A$2:$I$1011,7,0)</f>
        <v>0</v>
      </c>
      <c r="I988">
        <f>$C988*VLOOKUP($B988,FoodDB!$A$2:$I$1011,8,0)</f>
        <v>0</v>
      </c>
      <c r="J988">
        <f>$C988*VLOOKUP($B988,FoodDB!$A$2:$I$1011,9,0)</f>
        <v>0</v>
      </c>
    </row>
    <row r="989" spans="1:19" x14ac:dyDescent="0.25">
      <c r="B989" s="94" t="s">
        <v>107</v>
      </c>
      <c r="C989" s="95">
        <v>0</v>
      </c>
      <c r="D989">
        <f>$C989*VLOOKUP($B989,FoodDB!$A$2:$I$1011,3,0)</f>
        <v>0</v>
      </c>
      <c r="E989">
        <f>$C989*VLOOKUP($B989,FoodDB!$A$2:$I$1011,4,0)</f>
        <v>0</v>
      </c>
      <c r="F989">
        <f>$C989*VLOOKUP($B989,FoodDB!$A$2:$I$1011,5,0)</f>
        <v>0</v>
      </c>
      <c r="G989">
        <f>$C989*VLOOKUP($B989,FoodDB!$A$2:$I$1011,6,0)</f>
        <v>0</v>
      </c>
      <c r="H989">
        <f>$C989*VLOOKUP($B989,FoodDB!$A$2:$I$1011,7,0)</f>
        <v>0</v>
      </c>
      <c r="I989">
        <f>$C989*VLOOKUP($B989,FoodDB!$A$2:$I$1011,8,0)</f>
        <v>0</v>
      </c>
      <c r="J989">
        <f>$C989*VLOOKUP($B989,FoodDB!$A$2:$I$1011,9,0)</f>
        <v>0</v>
      </c>
    </row>
    <row r="990" spans="1:19" x14ac:dyDescent="0.25">
      <c r="B990" s="94" t="s">
        <v>107</v>
      </c>
      <c r="C990" s="95">
        <v>0</v>
      </c>
      <c r="D990">
        <f>$C990*VLOOKUP($B990,FoodDB!$A$2:$I$1011,3,0)</f>
        <v>0</v>
      </c>
      <c r="E990">
        <f>$C990*VLOOKUP($B990,FoodDB!$A$2:$I$1011,4,0)</f>
        <v>0</v>
      </c>
      <c r="F990">
        <f>$C990*VLOOKUP($B990,FoodDB!$A$2:$I$1011,5,0)</f>
        <v>0</v>
      </c>
      <c r="G990">
        <f>$C990*VLOOKUP($B990,FoodDB!$A$2:$I$1011,6,0)</f>
        <v>0</v>
      </c>
      <c r="H990">
        <f>$C990*VLOOKUP($B990,FoodDB!$A$2:$I$1011,7,0)</f>
        <v>0</v>
      </c>
      <c r="I990">
        <f>$C990*VLOOKUP($B990,FoodDB!$A$2:$I$1011,8,0)</f>
        <v>0</v>
      </c>
      <c r="J990">
        <f>$C990*VLOOKUP($B990,FoodDB!$A$2:$I$1011,9,0)</f>
        <v>0</v>
      </c>
    </row>
    <row r="991" spans="1:19" x14ac:dyDescent="0.25">
      <c r="A991" t="s">
        <v>97</v>
      </c>
      <c r="G991">
        <f>SUM(G984:G990)</f>
        <v>0</v>
      </c>
      <c r="H991">
        <f>SUM(H984:H990)</f>
        <v>0</v>
      </c>
      <c r="I991">
        <f>SUM(I984:I990)</f>
        <v>0</v>
      </c>
      <c r="J991">
        <f>SUM(G991:I991)</f>
        <v>0</v>
      </c>
    </row>
    <row r="992" spans="1:19" x14ac:dyDescent="0.25">
      <c r="A992" t="s">
        <v>101</v>
      </c>
      <c r="B992" t="s">
        <v>102</v>
      </c>
      <c r="E992" s="98"/>
      <c r="F992" s="98"/>
      <c r="G992" s="98">
        <f>VLOOKUP($A984,LossChart!$A$3:$AB$105,14,0)</f>
        <v>844.53837475103251</v>
      </c>
      <c r="H992" s="98">
        <f>VLOOKUP($A984,LossChart!$A$3:$AB$105,15,0)</f>
        <v>84</v>
      </c>
      <c r="I992" s="98">
        <f>VLOOKUP($A984,LossChart!$A$3:$AB$105,16,0)</f>
        <v>482.47465271142238</v>
      </c>
      <c r="J992" s="98">
        <f>VLOOKUP($A984,LossChart!$A$3:$AB$105,17,0)</f>
        <v>1411.0130274624548</v>
      </c>
      <c r="K992" s="98"/>
    </row>
    <row r="993" spans="1:19" x14ac:dyDescent="0.25">
      <c r="A993" t="s">
        <v>103</v>
      </c>
      <c r="G993">
        <f>G992-G991</f>
        <v>844.53837475103251</v>
      </c>
      <c r="H993">
        <f>H992-H991</f>
        <v>84</v>
      </c>
      <c r="I993">
        <f>I992-I991</f>
        <v>482.47465271142238</v>
      </c>
      <c r="J993">
        <f>J992-J991</f>
        <v>1411.0130274624548</v>
      </c>
    </row>
    <row r="995" spans="1:19" ht="60" x14ac:dyDescent="0.25">
      <c r="A995" s="21" t="s">
        <v>63</v>
      </c>
      <c r="B995" s="21" t="s">
        <v>92</v>
      </c>
      <c r="C995" s="21" t="s">
        <v>93</v>
      </c>
      <c r="D995" s="92" t="str">
        <f>FoodDB!$C$1</f>
        <v>Fat
(g)</v>
      </c>
      <c r="E995" s="92" t="str">
        <f>FoodDB!$D$1</f>
        <v xml:space="preserve"> Carbs
(g)</v>
      </c>
      <c r="F995" s="92" t="str">
        <f>FoodDB!$E$1</f>
        <v>Protein
(g)</v>
      </c>
      <c r="G995" s="92" t="str">
        <f>FoodDB!$F$1</f>
        <v>Fat
(Cal)</v>
      </c>
      <c r="H995" s="92" t="str">
        <f>FoodDB!$G$1</f>
        <v>Carb
(Cal)</v>
      </c>
      <c r="I995" s="92" t="str">
        <f>FoodDB!$H$1</f>
        <v>Protein
(Cal)</v>
      </c>
      <c r="J995" s="92" t="str">
        <f>FoodDB!$I$1</f>
        <v>Total
Calories</v>
      </c>
      <c r="K995" s="92"/>
      <c r="L995" s="92" t="s">
        <v>109</v>
      </c>
      <c r="M995" s="92" t="s">
        <v>110</v>
      </c>
      <c r="N995" s="92" t="s">
        <v>111</v>
      </c>
      <c r="O995" s="92" t="s">
        <v>112</v>
      </c>
      <c r="P995" s="92" t="s">
        <v>117</v>
      </c>
      <c r="Q995" s="92" t="s">
        <v>118</v>
      </c>
      <c r="R995" s="92" t="s">
        <v>119</v>
      </c>
      <c r="S995" s="92" t="s">
        <v>120</v>
      </c>
    </row>
    <row r="996" spans="1:19" x14ac:dyDescent="0.25">
      <c r="A996" s="93">
        <f>A984+1</f>
        <v>43077</v>
      </c>
      <c r="B996" s="94" t="s">
        <v>107</v>
      </c>
      <c r="C996" s="95">
        <v>0</v>
      </c>
      <c r="D996">
        <f>$C996*VLOOKUP($B996,FoodDB!$A$2:$I$1011,3,0)</f>
        <v>0</v>
      </c>
      <c r="E996">
        <f>$C996*VLOOKUP($B996,FoodDB!$A$2:$I$1011,4,0)</f>
        <v>0</v>
      </c>
      <c r="F996">
        <f>$C996*VLOOKUP($B996,FoodDB!$A$2:$I$1011,5,0)</f>
        <v>0</v>
      </c>
      <c r="G996">
        <f>$C996*VLOOKUP($B996,FoodDB!$A$2:$I$1011,6,0)</f>
        <v>0</v>
      </c>
      <c r="H996">
        <f>$C996*VLOOKUP($B996,FoodDB!$A$2:$I$1011,7,0)</f>
        <v>0</v>
      </c>
      <c r="I996">
        <f>$C996*VLOOKUP($B996,FoodDB!$A$2:$I$1011,8,0)</f>
        <v>0</v>
      </c>
      <c r="J996">
        <f>$C996*VLOOKUP($B996,FoodDB!$A$2:$I$1011,9,0)</f>
        <v>0</v>
      </c>
      <c r="L996">
        <f>SUM(G996:G1002)</f>
        <v>0</v>
      </c>
      <c r="M996">
        <f>SUM(H996:H1002)</f>
        <v>0</v>
      </c>
      <c r="N996">
        <f>SUM(I996:I1002)</f>
        <v>0</v>
      </c>
      <c r="O996">
        <f>SUM(L996:N996)</f>
        <v>0</v>
      </c>
      <c r="P996" s="98">
        <f>VLOOKUP($A996,LossChart!$A$3:$AB$105,14,0)-L996</f>
        <v>844.65747716459168</v>
      </c>
      <c r="Q996" s="98">
        <f>VLOOKUP($A996,LossChart!$A$3:$AB$105,15,0)-M996</f>
        <v>88</v>
      </c>
      <c r="R996" s="98">
        <f>VLOOKUP($A996,LossChart!$A$3:$AB$105,16,0)-N996</f>
        <v>482.47465271142238</v>
      </c>
      <c r="S996" s="98">
        <f>VLOOKUP($A996,LossChart!$A$3:$AB$105,17,0)-O996</f>
        <v>1415.132129876014</v>
      </c>
    </row>
    <row r="997" spans="1:19" x14ac:dyDescent="0.25">
      <c r="B997" s="94" t="s">
        <v>107</v>
      </c>
      <c r="C997" s="95">
        <v>0</v>
      </c>
      <c r="D997">
        <f>$C997*VLOOKUP($B997,FoodDB!$A$2:$I$1011,3,0)</f>
        <v>0</v>
      </c>
      <c r="E997">
        <f>$C997*VLOOKUP($B997,FoodDB!$A$2:$I$1011,4,0)</f>
        <v>0</v>
      </c>
      <c r="F997">
        <f>$C997*VLOOKUP($B997,FoodDB!$A$2:$I$1011,5,0)</f>
        <v>0</v>
      </c>
      <c r="G997">
        <f>$C997*VLOOKUP($B997,FoodDB!$A$2:$I$1011,6,0)</f>
        <v>0</v>
      </c>
      <c r="H997">
        <f>$C997*VLOOKUP($B997,FoodDB!$A$2:$I$1011,7,0)</f>
        <v>0</v>
      </c>
      <c r="I997">
        <f>$C997*VLOOKUP($B997,FoodDB!$A$2:$I$1011,8,0)</f>
        <v>0</v>
      </c>
      <c r="J997">
        <f>$C997*VLOOKUP($B997,FoodDB!$A$2:$I$1011,9,0)</f>
        <v>0</v>
      </c>
    </row>
    <row r="998" spans="1:19" x14ac:dyDescent="0.25">
      <c r="B998" s="94" t="s">
        <v>107</v>
      </c>
      <c r="C998" s="95">
        <v>0</v>
      </c>
      <c r="D998">
        <f>$C998*VLOOKUP($B998,FoodDB!$A$2:$I$1011,3,0)</f>
        <v>0</v>
      </c>
      <c r="E998">
        <f>$C998*VLOOKUP($B998,FoodDB!$A$2:$I$1011,4,0)</f>
        <v>0</v>
      </c>
      <c r="F998">
        <f>$C998*VLOOKUP($B998,FoodDB!$A$2:$I$1011,5,0)</f>
        <v>0</v>
      </c>
      <c r="G998">
        <f>$C998*VLOOKUP($B998,FoodDB!$A$2:$I$1011,6,0)</f>
        <v>0</v>
      </c>
      <c r="H998">
        <f>$C998*VLOOKUP($B998,FoodDB!$A$2:$I$1011,7,0)</f>
        <v>0</v>
      </c>
      <c r="I998">
        <f>$C998*VLOOKUP($B998,FoodDB!$A$2:$I$1011,8,0)</f>
        <v>0</v>
      </c>
      <c r="J998">
        <f>$C998*VLOOKUP($B998,FoodDB!$A$2:$I$1011,9,0)</f>
        <v>0</v>
      </c>
    </row>
    <row r="999" spans="1:19" x14ac:dyDescent="0.25">
      <c r="B999" s="94" t="s">
        <v>107</v>
      </c>
      <c r="C999" s="95">
        <v>0</v>
      </c>
      <c r="D999">
        <f>$C999*VLOOKUP($B999,FoodDB!$A$2:$I$1011,3,0)</f>
        <v>0</v>
      </c>
      <c r="E999">
        <f>$C999*VLOOKUP($B999,FoodDB!$A$2:$I$1011,4,0)</f>
        <v>0</v>
      </c>
      <c r="F999">
        <f>$C999*VLOOKUP($B999,FoodDB!$A$2:$I$1011,5,0)</f>
        <v>0</v>
      </c>
      <c r="G999">
        <f>$C999*VLOOKUP($B999,FoodDB!$A$2:$I$1011,6,0)</f>
        <v>0</v>
      </c>
      <c r="H999">
        <f>$C999*VLOOKUP($B999,FoodDB!$A$2:$I$1011,7,0)</f>
        <v>0</v>
      </c>
      <c r="I999">
        <f>$C999*VLOOKUP($B999,FoodDB!$A$2:$I$1011,8,0)</f>
        <v>0</v>
      </c>
      <c r="J999">
        <f>$C999*VLOOKUP($B999,FoodDB!$A$2:$I$1011,9,0)</f>
        <v>0</v>
      </c>
    </row>
    <row r="1000" spans="1:19" x14ac:dyDescent="0.25">
      <c r="B1000" s="94" t="s">
        <v>107</v>
      </c>
      <c r="C1000" s="95">
        <v>0</v>
      </c>
      <c r="D1000">
        <f>$C1000*VLOOKUP($B1000,FoodDB!$A$2:$I$1011,3,0)</f>
        <v>0</v>
      </c>
      <c r="E1000">
        <f>$C1000*VLOOKUP($B1000,FoodDB!$A$2:$I$1011,4,0)</f>
        <v>0</v>
      </c>
      <c r="F1000">
        <f>$C1000*VLOOKUP($B1000,FoodDB!$A$2:$I$1011,5,0)</f>
        <v>0</v>
      </c>
      <c r="G1000">
        <f>$C1000*VLOOKUP($B1000,FoodDB!$A$2:$I$1011,6,0)</f>
        <v>0</v>
      </c>
      <c r="H1000">
        <f>$C1000*VLOOKUP($B1000,FoodDB!$A$2:$I$1011,7,0)</f>
        <v>0</v>
      </c>
      <c r="I1000">
        <f>$C1000*VLOOKUP($B1000,FoodDB!$A$2:$I$1011,8,0)</f>
        <v>0</v>
      </c>
      <c r="J1000">
        <f>$C1000*VLOOKUP($B1000,FoodDB!$A$2:$I$1011,9,0)</f>
        <v>0</v>
      </c>
    </row>
    <row r="1001" spans="1:19" x14ac:dyDescent="0.25">
      <c r="B1001" s="94" t="s">
        <v>107</v>
      </c>
      <c r="C1001" s="95">
        <v>0</v>
      </c>
      <c r="D1001">
        <f>$C1001*VLOOKUP($B1001,FoodDB!$A$2:$I$1011,3,0)</f>
        <v>0</v>
      </c>
      <c r="E1001">
        <f>$C1001*VLOOKUP($B1001,FoodDB!$A$2:$I$1011,4,0)</f>
        <v>0</v>
      </c>
      <c r="F1001">
        <f>$C1001*VLOOKUP($B1001,FoodDB!$A$2:$I$1011,5,0)</f>
        <v>0</v>
      </c>
      <c r="G1001">
        <f>$C1001*VLOOKUP($B1001,FoodDB!$A$2:$I$1011,6,0)</f>
        <v>0</v>
      </c>
      <c r="H1001">
        <f>$C1001*VLOOKUP($B1001,FoodDB!$A$2:$I$1011,7,0)</f>
        <v>0</v>
      </c>
      <c r="I1001">
        <f>$C1001*VLOOKUP($B1001,FoodDB!$A$2:$I$1011,8,0)</f>
        <v>0</v>
      </c>
      <c r="J1001">
        <f>$C1001*VLOOKUP($B1001,FoodDB!$A$2:$I$1011,9,0)</f>
        <v>0</v>
      </c>
    </row>
    <row r="1002" spans="1:19" x14ac:dyDescent="0.25">
      <c r="B1002" s="94" t="s">
        <v>107</v>
      </c>
      <c r="C1002" s="95">
        <v>0</v>
      </c>
      <c r="D1002">
        <f>$C1002*VLOOKUP($B1002,FoodDB!$A$2:$I$1011,3,0)</f>
        <v>0</v>
      </c>
      <c r="E1002">
        <f>$C1002*VLOOKUP($B1002,FoodDB!$A$2:$I$1011,4,0)</f>
        <v>0</v>
      </c>
      <c r="F1002">
        <f>$C1002*VLOOKUP($B1002,FoodDB!$A$2:$I$1011,5,0)</f>
        <v>0</v>
      </c>
      <c r="G1002">
        <f>$C1002*VLOOKUP($B1002,FoodDB!$A$2:$I$1011,6,0)</f>
        <v>0</v>
      </c>
      <c r="H1002">
        <f>$C1002*VLOOKUP($B1002,FoodDB!$A$2:$I$1011,7,0)</f>
        <v>0</v>
      </c>
      <c r="I1002">
        <f>$C1002*VLOOKUP($B1002,FoodDB!$A$2:$I$1011,8,0)</f>
        <v>0</v>
      </c>
      <c r="J1002">
        <f>$C1002*VLOOKUP($B1002,FoodDB!$A$2:$I$1011,9,0)</f>
        <v>0</v>
      </c>
    </row>
    <row r="1003" spans="1:19" x14ac:dyDescent="0.25">
      <c r="A1003" t="s">
        <v>97</v>
      </c>
      <c r="G1003">
        <f>SUM(G996:G1002)</f>
        <v>0</v>
      </c>
      <c r="H1003">
        <f>SUM(H996:H1002)</f>
        <v>0</v>
      </c>
      <c r="I1003">
        <f>SUM(I996:I1002)</f>
        <v>0</v>
      </c>
      <c r="J1003">
        <f>SUM(G1003:I1003)</f>
        <v>0</v>
      </c>
    </row>
    <row r="1004" spans="1:19" x14ac:dyDescent="0.25">
      <c r="A1004" t="s">
        <v>101</v>
      </c>
      <c r="B1004" t="s">
        <v>102</v>
      </c>
      <c r="E1004" s="98"/>
      <c r="F1004" s="98"/>
      <c r="G1004" s="98">
        <f>VLOOKUP($A996,LossChart!$A$3:$AB$105,14,0)</f>
        <v>844.65747716459168</v>
      </c>
      <c r="H1004" s="98">
        <f>VLOOKUP($A996,LossChart!$A$3:$AB$105,15,0)</f>
        <v>88</v>
      </c>
      <c r="I1004" s="98">
        <f>VLOOKUP($A996,LossChart!$A$3:$AB$105,16,0)</f>
        <v>482.47465271142238</v>
      </c>
      <c r="J1004" s="98">
        <f>VLOOKUP($A996,LossChart!$A$3:$AB$105,17,0)</f>
        <v>1415.132129876014</v>
      </c>
      <c r="K1004" s="98"/>
    </row>
    <row r="1005" spans="1:19" x14ac:dyDescent="0.25">
      <c r="A1005" t="s">
        <v>103</v>
      </c>
      <c r="G1005">
        <f>G1004-G1003</f>
        <v>844.65747716459168</v>
      </c>
      <c r="H1005">
        <f>H1004-H1003</f>
        <v>88</v>
      </c>
      <c r="I1005">
        <f>I1004-I1003</f>
        <v>482.47465271142238</v>
      </c>
      <c r="J1005">
        <f>J1004-J1003</f>
        <v>1415.132129876014</v>
      </c>
    </row>
    <row r="1007" spans="1:19" ht="60" x14ac:dyDescent="0.25">
      <c r="A1007" s="21" t="s">
        <v>63</v>
      </c>
      <c r="B1007" s="21" t="s">
        <v>92</v>
      </c>
      <c r="C1007" s="21" t="s">
        <v>93</v>
      </c>
      <c r="D1007" s="92" t="str">
        <f>FoodDB!$C$1</f>
        <v>Fat
(g)</v>
      </c>
      <c r="E1007" s="92" t="str">
        <f>FoodDB!$D$1</f>
        <v xml:space="preserve"> Carbs
(g)</v>
      </c>
      <c r="F1007" s="92" t="str">
        <f>FoodDB!$E$1</f>
        <v>Protein
(g)</v>
      </c>
      <c r="G1007" s="92" t="str">
        <f>FoodDB!$F$1</f>
        <v>Fat
(Cal)</v>
      </c>
      <c r="H1007" s="92" t="str">
        <f>FoodDB!$G$1</f>
        <v>Carb
(Cal)</v>
      </c>
      <c r="I1007" s="92" t="str">
        <f>FoodDB!$H$1</f>
        <v>Protein
(Cal)</v>
      </c>
      <c r="J1007" s="92" t="str">
        <f>FoodDB!$I$1</f>
        <v>Total
Calories</v>
      </c>
      <c r="K1007" s="92"/>
      <c r="L1007" s="92" t="s">
        <v>109</v>
      </c>
      <c r="M1007" s="92" t="s">
        <v>110</v>
      </c>
      <c r="N1007" s="92" t="s">
        <v>111</v>
      </c>
      <c r="O1007" s="92" t="s">
        <v>112</v>
      </c>
      <c r="P1007" s="92" t="s">
        <v>117</v>
      </c>
      <c r="Q1007" s="92" t="s">
        <v>118</v>
      </c>
      <c r="R1007" s="92" t="s">
        <v>119</v>
      </c>
      <c r="S1007" s="92" t="s">
        <v>120</v>
      </c>
    </row>
    <row r="1008" spans="1:19" x14ac:dyDescent="0.25">
      <c r="A1008" s="93">
        <f>A996+1</f>
        <v>43078</v>
      </c>
      <c r="B1008" s="94" t="s">
        <v>107</v>
      </c>
      <c r="C1008" s="95">
        <v>0</v>
      </c>
      <c r="D1008">
        <f>$C1008*VLOOKUP($B1008,FoodDB!$A$2:$I$1011,3,0)</f>
        <v>0</v>
      </c>
      <c r="E1008">
        <f>$C1008*VLOOKUP($B1008,FoodDB!$A$2:$I$1011,4,0)</f>
        <v>0</v>
      </c>
      <c r="F1008">
        <f>$C1008*VLOOKUP($B1008,FoodDB!$A$2:$I$1011,5,0)</f>
        <v>0</v>
      </c>
      <c r="G1008">
        <f>$C1008*VLOOKUP($B1008,FoodDB!$A$2:$I$1011,6,0)</f>
        <v>0</v>
      </c>
      <c r="H1008">
        <f>$C1008*VLOOKUP($B1008,FoodDB!$A$2:$I$1011,7,0)</f>
        <v>0</v>
      </c>
      <c r="I1008">
        <f>$C1008*VLOOKUP($B1008,FoodDB!$A$2:$I$1011,8,0)</f>
        <v>0</v>
      </c>
      <c r="J1008">
        <f>$C1008*VLOOKUP($B1008,FoodDB!$A$2:$I$1011,9,0)</f>
        <v>0</v>
      </c>
      <c r="L1008">
        <f>SUM(G1008:G1014)</f>
        <v>0</v>
      </c>
      <c r="M1008">
        <f>SUM(H1008:H1014)</f>
        <v>0</v>
      </c>
      <c r="N1008">
        <f>SUM(I1008:I1014)</f>
        <v>0</v>
      </c>
      <c r="O1008">
        <f>SUM(L1008:N1008)</f>
        <v>0</v>
      </c>
      <c r="P1008" s="98">
        <f>VLOOKUP($A1008,LossChart!$A$3:$AB$105,14,0)-L1008</f>
        <v>844.74009609963127</v>
      </c>
      <c r="Q1008" s="98">
        <f>VLOOKUP($A1008,LossChart!$A$3:$AB$105,15,0)-M1008</f>
        <v>92</v>
      </c>
      <c r="R1008" s="98">
        <f>VLOOKUP($A1008,LossChart!$A$3:$AB$105,16,0)-N1008</f>
        <v>482.47465271142238</v>
      </c>
      <c r="S1008" s="98">
        <f>VLOOKUP($A1008,LossChart!$A$3:$AB$105,17,0)-O1008</f>
        <v>1419.2147488110536</v>
      </c>
    </row>
    <row r="1009" spans="1:19" x14ac:dyDescent="0.25">
      <c r="B1009" s="94" t="s">
        <v>107</v>
      </c>
      <c r="C1009" s="95">
        <v>0</v>
      </c>
      <c r="D1009">
        <f>$C1009*VLOOKUP($B1009,FoodDB!$A$2:$I$1011,3,0)</f>
        <v>0</v>
      </c>
      <c r="E1009">
        <f>$C1009*VLOOKUP($B1009,FoodDB!$A$2:$I$1011,4,0)</f>
        <v>0</v>
      </c>
      <c r="F1009">
        <f>$C1009*VLOOKUP($B1009,FoodDB!$A$2:$I$1011,5,0)</f>
        <v>0</v>
      </c>
      <c r="G1009">
        <f>$C1009*VLOOKUP($B1009,FoodDB!$A$2:$I$1011,6,0)</f>
        <v>0</v>
      </c>
      <c r="H1009">
        <f>$C1009*VLOOKUP($B1009,FoodDB!$A$2:$I$1011,7,0)</f>
        <v>0</v>
      </c>
      <c r="I1009">
        <f>$C1009*VLOOKUP($B1009,FoodDB!$A$2:$I$1011,8,0)</f>
        <v>0</v>
      </c>
      <c r="J1009">
        <f>$C1009*VLOOKUP($B1009,FoodDB!$A$2:$I$1011,9,0)</f>
        <v>0</v>
      </c>
    </row>
    <row r="1010" spans="1:19" x14ac:dyDescent="0.25">
      <c r="B1010" s="94" t="s">
        <v>107</v>
      </c>
      <c r="C1010" s="95">
        <v>0</v>
      </c>
      <c r="D1010">
        <f>$C1010*VLOOKUP($B1010,FoodDB!$A$2:$I$1011,3,0)</f>
        <v>0</v>
      </c>
      <c r="E1010">
        <f>$C1010*VLOOKUP($B1010,FoodDB!$A$2:$I$1011,4,0)</f>
        <v>0</v>
      </c>
      <c r="F1010">
        <f>$C1010*VLOOKUP($B1010,FoodDB!$A$2:$I$1011,5,0)</f>
        <v>0</v>
      </c>
      <c r="G1010">
        <f>$C1010*VLOOKUP($B1010,FoodDB!$A$2:$I$1011,6,0)</f>
        <v>0</v>
      </c>
      <c r="H1010">
        <f>$C1010*VLOOKUP($B1010,FoodDB!$A$2:$I$1011,7,0)</f>
        <v>0</v>
      </c>
      <c r="I1010">
        <f>$C1010*VLOOKUP($B1010,FoodDB!$A$2:$I$1011,8,0)</f>
        <v>0</v>
      </c>
      <c r="J1010">
        <f>$C1010*VLOOKUP($B1010,FoodDB!$A$2:$I$1011,9,0)</f>
        <v>0</v>
      </c>
    </row>
    <row r="1011" spans="1:19" x14ac:dyDescent="0.25">
      <c r="B1011" s="94" t="s">
        <v>107</v>
      </c>
      <c r="C1011" s="95">
        <v>0</v>
      </c>
      <c r="D1011">
        <f>$C1011*VLOOKUP($B1011,FoodDB!$A$2:$I$1011,3,0)</f>
        <v>0</v>
      </c>
      <c r="E1011">
        <f>$C1011*VLOOKUP($B1011,FoodDB!$A$2:$I$1011,4,0)</f>
        <v>0</v>
      </c>
      <c r="F1011">
        <f>$C1011*VLOOKUP($B1011,FoodDB!$A$2:$I$1011,5,0)</f>
        <v>0</v>
      </c>
      <c r="G1011">
        <f>$C1011*VLOOKUP($B1011,FoodDB!$A$2:$I$1011,6,0)</f>
        <v>0</v>
      </c>
      <c r="H1011">
        <f>$C1011*VLOOKUP($B1011,FoodDB!$A$2:$I$1011,7,0)</f>
        <v>0</v>
      </c>
      <c r="I1011">
        <f>$C1011*VLOOKUP($B1011,FoodDB!$A$2:$I$1011,8,0)</f>
        <v>0</v>
      </c>
      <c r="J1011">
        <f>$C1011*VLOOKUP($B1011,FoodDB!$A$2:$I$1011,9,0)</f>
        <v>0</v>
      </c>
    </row>
    <row r="1012" spans="1:19" x14ac:dyDescent="0.25">
      <c r="B1012" s="94" t="s">
        <v>107</v>
      </c>
      <c r="C1012" s="95">
        <v>0</v>
      </c>
      <c r="D1012">
        <f>$C1012*VLOOKUP($B1012,FoodDB!$A$2:$I$1011,3,0)</f>
        <v>0</v>
      </c>
      <c r="E1012">
        <f>$C1012*VLOOKUP($B1012,FoodDB!$A$2:$I$1011,4,0)</f>
        <v>0</v>
      </c>
      <c r="F1012">
        <f>$C1012*VLOOKUP($B1012,FoodDB!$A$2:$I$1011,5,0)</f>
        <v>0</v>
      </c>
      <c r="G1012">
        <f>$C1012*VLOOKUP($B1012,FoodDB!$A$2:$I$1011,6,0)</f>
        <v>0</v>
      </c>
      <c r="H1012">
        <f>$C1012*VLOOKUP($B1012,FoodDB!$A$2:$I$1011,7,0)</f>
        <v>0</v>
      </c>
      <c r="I1012">
        <f>$C1012*VLOOKUP($B1012,FoodDB!$A$2:$I$1011,8,0)</f>
        <v>0</v>
      </c>
      <c r="J1012">
        <f>$C1012*VLOOKUP($B1012,FoodDB!$A$2:$I$1011,9,0)</f>
        <v>0</v>
      </c>
    </row>
    <row r="1013" spans="1:19" x14ac:dyDescent="0.25">
      <c r="B1013" s="94" t="s">
        <v>107</v>
      </c>
      <c r="C1013" s="95">
        <v>0</v>
      </c>
      <c r="D1013">
        <f>$C1013*VLOOKUP($B1013,FoodDB!$A$2:$I$1011,3,0)</f>
        <v>0</v>
      </c>
      <c r="E1013">
        <f>$C1013*VLOOKUP($B1013,FoodDB!$A$2:$I$1011,4,0)</f>
        <v>0</v>
      </c>
      <c r="F1013">
        <f>$C1013*VLOOKUP($B1013,FoodDB!$A$2:$I$1011,5,0)</f>
        <v>0</v>
      </c>
      <c r="G1013">
        <f>$C1013*VLOOKUP($B1013,FoodDB!$A$2:$I$1011,6,0)</f>
        <v>0</v>
      </c>
      <c r="H1013">
        <f>$C1013*VLOOKUP($B1013,FoodDB!$A$2:$I$1011,7,0)</f>
        <v>0</v>
      </c>
      <c r="I1013">
        <f>$C1013*VLOOKUP($B1013,FoodDB!$A$2:$I$1011,8,0)</f>
        <v>0</v>
      </c>
      <c r="J1013">
        <f>$C1013*VLOOKUP($B1013,FoodDB!$A$2:$I$1011,9,0)</f>
        <v>0</v>
      </c>
    </row>
    <row r="1014" spans="1:19" x14ac:dyDescent="0.25">
      <c r="B1014" s="94" t="s">
        <v>107</v>
      </c>
      <c r="C1014" s="95">
        <v>0</v>
      </c>
      <c r="D1014">
        <f>$C1014*VLOOKUP($B1014,FoodDB!$A$2:$I$1011,3,0)</f>
        <v>0</v>
      </c>
      <c r="E1014">
        <f>$C1014*VLOOKUP($B1014,FoodDB!$A$2:$I$1011,4,0)</f>
        <v>0</v>
      </c>
      <c r="F1014">
        <f>$C1014*VLOOKUP($B1014,FoodDB!$A$2:$I$1011,5,0)</f>
        <v>0</v>
      </c>
      <c r="G1014">
        <f>$C1014*VLOOKUP($B1014,FoodDB!$A$2:$I$1011,6,0)</f>
        <v>0</v>
      </c>
      <c r="H1014">
        <f>$C1014*VLOOKUP($B1014,FoodDB!$A$2:$I$1011,7,0)</f>
        <v>0</v>
      </c>
      <c r="I1014">
        <f>$C1014*VLOOKUP($B1014,FoodDB!$A$2:$I$1011,8,0)</f>
        <v>0</v>
      </c>
      <c r="J1014">
        <f>$C1014*VLOOKUP($B1014,FoodDB!$A$2:$I$1011,9,0)</f>
        <v>0</v>
      </c>
    </row>
    <row r="1015" spans="1:19" x14ac:dyDescent="0.25">
      <c r="A1015" t="s">
        <v>97</v>
      </c>
      <c r="G1015">
        <f>SUM(G1008:G1014)</f>
        <v>0</v>
      </c>
      <c r="H1015">
        <f>SUM(H1008:H1014)</f>
        <v>0</v>
      </c>
      <c r="I1015">
        <f>SUM(I1008:I1014)</f>
        <v>0</v>
      </c>
      <c r="J1015">
        <f>SUM(G1015:I1015)</f>
        <v>0</v>
      </c>
    </row>
    <row r="1016" spans="1:19" x14ac:dyDescent="0.25">
      <c r="A1016" t="s">
        <v>101</v>
      </c>
      <c r="B1016" t="s">
        <v>102</v>
      </c>
      <c r="E1016" s="98"/>
      <c r="F1016" s="98"/>
      <c r="G1016" s="98">
        <f>VLOOKUP($A1008,LossChart!$A$3:$AB$105,14,0)</f>
        <v>844.74009609963127</v>
      </c>
      <c r="H1016" s="98">
        <f>VLOOKUP($A1008,LossChart!$A$3:$AB$105,15,0)</f>
        <v>92</v>
      </c>
      <c r="I1016" s="98">
        <f>VLOOKUP($A1008,LossChart!$A$3:$AB$105,16,0)</f>
        <v>482.47465271142238</v>
      </c>
      <c r="J1016" s="98">
        <f>VLOOKUP($A1008,LossChart!$A$3:$AB$105,17,0)</f>
        <v>1419.2147488110536</v>
      </c>
      <c r="K1016" s="98"/>
    </row>
    <row r="1017" spans="1:19" x14ac:dyDescent="0.25">
      <c r="A1017" t="s">
        <v>103</v>
      </c>
      <c r="G1017">
        <f>G1016-G1015</f>
        <v>844.74009609963127</v>
      </c>
      <c r="H1017">
        <f>H1016-H1015</f>
        <v>92</v>
      </c>
      <c r="I1017">
        <f>I1016-I1015</f>
        <v>482.47465271142238</v>
      </c>
      <c r="J1017">
        <f>J1016-J1015</f>
        <v>1419.2147488110536</v>
      </c>
    </row>
    <row r="1019" spans="1:19" ht="60" x14ac:dyDescent="0.25">
      <c r="A1019" s="21" t="s">
        <v>63</v>
      </c>
      <c r="B1019" s="21" t="s">
        <v>92</v>
      </c>
      <c r="C1019" s="21" t="s">
        <v>93</v>
      </c>
      <c r="D1019" s="92" t="str">
        <f>FoodDB!$C$1</f>
        <v>Fat
(g)</v>
      </c>
      <c r="E1019" s="92" t="str">
        <f>FoodDB!$D$1</f>
        <v xml:space="preserve"> Carbs
(g)</v>
      </c>
      <c r="F1019" s="92" t="str">
        <f>FoodDB!$E$1</f>
        <v>Protein
(g)</v>
      </c>
      <c r="G1019" s="92" t="str">
        <f>FoodDB!$F$1</f>
        <v>Fat
(Cal)</v>
      </c>
      <c r="H1019" s="92" t="str">
        <f>FoodDB!$G$1</f>
        <v>Carb
(Cal)</v>
      </c>
      <c r="I1019" s="92" t="str">
        <f>FoodDB!$H$1</f>
        <v>Protein
(Cal)</v>
      </c>
      <c r="J1019" s="92" t="str">
        <f>FoodDB!$I$1</f>
        <v>Total
Calories</v>
      </c>
      <c r="K1019" s="92"/>
      <c r="L1019" s="92" t="s">
        <v>109</v>
      </c>
      <c r="M1019" s="92" t="s">
        <v>110</v>
      </c>
      <c r="N1019" s="92" t="s">
        <v>111</v>
      </c>
      <c r="O1019" s="92" t="s">
        <v>112</v>
      </c>
      <c r="P1019" s="92" t="s">
        <v>117</v>
      </c>
      <c r="Q1019" s="92" t="s">
        <v>118</v>
      </c>
      <c r="R1019" s="92" t="s">
        <v>119</v>
      </c>
      <c r="S1019" s="92" t="s">
        <v>120</v>
      </c>
    </row>
    <row r="1020" spans="1:19" x14ac:dyDescent="0.25">
      <c r="A1020" s="93">
        <f>A1008+1</f>
        <v>43079</v>
      </c>
      <c r="B1020" s="94" t="s">
        <v>107</v>
      </c>
      <c r="C1020" s="95">
        <v>0</v>
      </c>
      <c r="D1020">
        <f>$C1020*VLOOKUP($B1020,FoodDB!$A$2:$I$1011,3,0)</f>
        <v>0</v>
      </c>
      <c r="E1020">
        <f>$C1020*VLOOKUP($B1020,FoodDB!$A$2:$I$1011,4,0)</f>
        <v>0</v>
      </c>
      <c r="F1020">
        <f>$C1020*VLOOKUP($B1020,FoodDB!$A$2:$I$1011,5,0)</f>
        <v>0</v>
      </c>
      <c r="G1020">
        <f>$C1020*VLOOKUP($B1020,FoodDB!$A$2:$I$1011,6,0)</f>
        <v>0</v>
      </c>
      <c r="H1020">
        <f>$C1020*VLOOKUP($B1020,FoodDB!$A$2:$I$1011,7,0)</f>
        <v>0</v>
      </c>
      <c r="I1020">
        <f>$C1020*VLOOKUP($B1020,FoodDB!$A$2:$I$1011,8,0)</f>
        <v>0</v>
      </c>
      <c r="J1020">
        <f>$C1020*VLOOKUP($B1020,FoodDB!$A$2:$I$1011,9,0)</f>
        <v>0</v>
      </c>
      <c r="L1020">
        <f>SUM(G1020:G1026)</f>
        <v>0</v>
      </c>
      <c r="M1020">
        <f>SUM(H1020:H1026)</f>
        <v>0</v>
      </c>
      <c r="N1020">
        <f>SUM(I1020:I1026)</f>
        <v>0</v>
      </c>
      <c r="O1020">
        <f>SUM(L1020:N1020)</f>
        <v>0</v>
      </c>
      <c r="P1020" s="98">
        <f>VLOOKUP($A1020,LossChart!$A$3:$AB$105,14,0)-L1020</f>
        <v>844.78655469553132</v>
      </c>
      <c r="Q1020" s="98">
        <f>VLOOKUP($A1020,LossChart!$A$3:$AB$105,15,0)-M1020</f>
        <v>96</v>
      </c>
      <c r="R1020" s="98">
        <f>VLOOKUP($A1020,LossChart!$A$3:$AB$105,16,0)-N1020</f>
        <v>482.47465271142238</v>
      </c>
      <c r="S1020" s="98">
        <f>VLOOKUP($A1020,LossChart!$A$3:$AB$105,17,0)-O1020</f>
        <v>1423.2612074069536</v>
      </c>
    </row>
    <row r="1021" spans="1:19" x14ac:dyDescent="0.25">
      <c r="B1021" s="94" t="s">
        <v>107</v>
      </c>
      <c r="C1021" s="95">
        <v>0</v>
      </c>
      <c r="D1021">
        <f>$C1021*VLOOKUP($B1021,FoodDB!$A$2:$I$1011,3,0)</f>
        <v>0</v>
      </c>
      <c r="E1021">
        <f>$C1021*VLOOKUP($B1021,FoodDB!$A$2:$I$1011,4,0)</f>
        <v>0</v>
      </c>
      <c r="F1021">
        <f>$C1021*VLOOKUP($B1021,FoodDB!$A$2:$I$1011,5,0)</f>
        <v>0</v>
      </c>
      <c r="G1021">
        <f>$C1021*VLOOKUP($B1021,FoodDB!$A$2:$I$1011,6,0)</f>
        <v>0</v>
      </c>
      <c r="H1021">
        <f>$C1021*VLOOKUP($B1021,FoodDB!$A$2:$I$1011,7,0)</f>
        <v>0</v>
      </c>
      <c r="I1021">
        <f>$C1021*VLOOKUP($B1021,FoodDB!$A$2:$I$1011,8,0)</f>
        <v>0</v>
      </c>
      <c r="J1021">
        <f>$C1021*VLOOKUP($B1021,FoodDB!$A$2:$I$1011,9,0)</f>
        <v>0</v>
      </c>
    </row>
    <row r="1022" spans="1:19" x14ac:dyDescent="0.25">
      <c r="B1022" s="94" t="s">
        <v>107</v>
      </c>
      <c r="C1022" s="95">
        <v>0</v>
      </c>
      <c r="D1022">
        <f>$C1022*VLOOKUP($B1022,FoodDB!$A$2:$I$1011,3,0)</f>
        <v>0</v>
      </c>
      <c r="E1022">
        <f>$C1022*VLOOKUP($B1022,FoodDB!$A$2:$I$1011,4,0)</f>
        <v>0</v>
      </c>
      <c r="F1022">
        <f>$C1022*VLOOKUP($B1022,FoodDB!$A$2:$I$1011,5,0)</f>
        <v>0</v>
      </c>
      <c r="G1022">
        <f>$C1022*VLOOKUP($B1022,FoodDB!$A$2:$I$1011,6,0)</f>
        <v>0</v>
      </c>
      <c r="H1022">
        <f>$C1022*VLOOKUP($B1022,FoodDB!$A$2:$I$1011,7,0)</f>
        <v>0</v>
      </c>
      <c r="I1022">
        <f>$C1022*VLOOKUP($B1022,FoodDB!$A$2:$I$1011,8,0)</f>
        <v>0</v>
      </c>
      <c r="J1022">
        <f>$C1022*VLOOKUP($B1022,FoodDB!$A$2:$I$1011,9,0)</f>
        <v>0</v>
      </c>
    </row>
    <row r="1023" spans="1:19" x14ac:dyDescent="0.25">
      <c r="B1023" s="94" t="s">
        <v>107</v>
      </c>
      <c r="C1023" s="95">
        <v>0</v>
      </c>
      <c r="D1023">
        <f>$C1023*VLOOKUP($B1023,FoodDB!$A$2:$I$1011,3,0)</f>
        <v>0</v>
      </c>
      <c r="E1023">
        <f>$C1023*VLOOKUP($B1023,FoodDB!$A$2:$I$1011,4,0)</f>
        <v>0</v>
      </c>
      <c r="F1023">
        <f>$C1023*VLOOKUP($B1023,FoodDB!$A$2:$I$1011,5,0)</f>
        <v>0</v>
      </c>
      <c r="G1023">
        <f>$C1023*VLOOKUP($B1023,FoodDB!$A$2:$I$1011,6,0)</f>
        <v>0</v>
      </c>
      <c r="H1023">
        <f>$C1023*VLOOKUP($B1023,FoodDB!$A$2:$I$1011,7,0)</f>
        <v>0</v>
      </c>
      <c r="I1023">
        <f>$C1023*VLOOKUP($B1023,FoodDB!$A$2:$I$1011,8,0)</f>
        <v>0</v>
      </c>
      <c r="J1023">
        <f>$C1023*VLOOKUP($B1023,FoodDB!$A$2:$I$1011,9,0)</f>
        <v>0</v>
      </c>
    </row>
    <row r="1024" spans="1:19" x14ac:dyDescent="0.25">
      <c r="B1024" s="94" t="s">
        <v>107</v>
      </c>
      <c r="C1024" s="95">
        <v>0</v>
      </c>
      <c r="D1024">
        <f>$C1024*VLOOKUP($B1024,FoodDB!$A$2:$I$1011,3,0)</f>
        <v>0</v>
      </c>
      <c r="E1024">
        <f>$C1024*VLOOKUP($B1024,FoodDB!$A$2:$I$1011,4,0)</f>
        <v>0</v>
      </c>
      <c r="F1024">
        <f>$C1024*VLOOKUP($B1024,FoodDB!$A$2:$I$1011,5,0)</f>
        <v>0</v>
      </c>
      <c r="G1024">
        <f>$C1024*VLOOKUP($B1024,FoodDB!$A$2:$I$1011,6,0)</f>
        <v>0</v>
      </c>
      <c r="H1024">
        <f>$C1024*VLOOKUP($B1024,FoodDB!$A$2:$I$1011,7,0)</f>
        <v>0</v>
      </c>
      <c r="I1024">
        <f>$C1024*VLOOKUP($B1024,FoodDB!$A$2:$I$1011,8,0)</f>
        <v>0</v>
      </c>
      <c r="J1024">
        <f>$C1024*VLOOKUP($B1024,FoodDB!$A$2:$I$1011,9,0)</f>
        <v>0</v>
      </c>
    </row>
    <row r="1025" spans="1:19" x14ac:dyDescent="0.25">
      <c r="B1025" s="94" t="s">
        <v>107</v>
      </c>
      <c r="C1025" s="95">
        <v>0</v>
      </c>
      <c r="D1025">
        <f>$C1025*VLOOKUP($B1025,FoodDB!$A$2:$I$1011,3,0)</f>
        <v>0</v>
      </c>
      <c r="E1025">
        <f>$C1025*VLOOKUP($B1025,FoodDB!$A$2:$I$1011,4,0)</f>
        <v>0</v>
      </c>
      <c r="F1025">
        <f>$C1025*VLOOKUP($B1025,FoodDB!$A$2:$I$1011,5,0)</f>
        <v>0</v>
      </c>
      <c r="G1025">
        <f>$C1025*VLOOKUP($B1025,FoodDB!$A$2:$I$1011,6,0)</f>
        <v>0</v>
      </c>
      <c r="H1025">
        <f>$C1025*VLOOKUP($B1025,FoodDB!$A$2:$I$1011,7,0)</f>
        <v>0</v>
      </c>
      <c r="I1025">
        <f>$C1025*VLOOKUP($B1025,FoodDB!$A$2:$I$1011,8,0)</f>
        <v>0</v>
      </c>
      <c r="J1025">
        <f>$C1025*VLOOKUP($B1025,FoodDB!$A$2:$I$1011,9,0)</f>
        <v>0</v>
      </c>
    </row>
    <row r="1026" spans="1:19" x14ac:dyDescent="0.25">
      <c r="B1026" s="94" t="s">
        <v>107</v>
      </c>
      <c r="C1026" s="95">
        <v>0</v>
      </c>
      <c r="D1026">
        <f>$C1026*VLOOKUP($B1026,FoodDB!$A$2:$I$1011,3,0)</f>
        <v>0</v>
      </c>
      <c r="E1026">
        <f>$C1026*VLOOKUP($B1026,FoodDB!$A$2:$I$1011,4,0)</f>
        <v>0</v>
      </c>
      <c r="F1026">
        <f>$C1026*VLOOKUP($B1026,FoodDB!$A$2:$I$1011,5,0)</f>
        <v>0</v>
      </c>
      <c r="G1026">
        <f>$C1026*VLOOKUP($B1026,FoodDB!$A$2:$I$1011,6,0)</f>
        <v>0</v>
      </c>
      <c r="H1026">
        <f>$C1026*VLOOKUP($B1026,FoodDB!$A$2:$I$1011,7,0)</f>
        <v>0</v>
      </c>
      <c r="I1026">
        <f>$C1026*VLOOKUP($B1026,FoodDB!$A$2:$I$1011,8,0)</f>
        <v>0</v>
      </c>
      <c r="J1026">
        <f>$C1026*VLOOKUP($B1026,FoodDB!$A$2:$I$1011,9,0)</f>
        <v>0</v>
      </c>
    </row>
    <row r="1027" spans="1:19" x14ac:dyDescent="0.25">
      <c r="A1027" t="s">
        <v>97</v>
      </c>
      <c r="G1027">
        <f>SUM(G1020:G1026)</f>
        <v>0</v>
      </c>
      <c r="H1027">
        <f>SUM(H1020:H1026)</f>
        <v>0</v>
      </c>
      <c r="I1027">
        <f>SUM(I1020:I1026)</f>
        <v>0</v>
      </c>
      <c r="J1027">
        <f>SUM(G1027:I1027)</f>
        <v>0</v>
      </c>
    </row>
    <row r="1028" spans="1:19" x14ac:dyDescent="0.25">
      <c r="A1028" t="s">
        <v>101</v>
      </c>
      <c r="B1028" t="s">
        <v>102</v>
      </c>
      <c r="E1028" s="98"/>
      <c r="F1028" s="98"/>
      <c r="G1028" s="98">
        <f>VLOOKUP($A1020,LossChart!$A$3:$AB$105,14,0)</f>
        <v>844.78655469553132</v>
      </c>
      <c r="H1028" s="98">
        <f>VLOOKUP($A1020,LossChart!$A$3:$AB$105,15,0)</f>
        <v>96</v>
      </c>
      <c r="I1028" s="98">
        <f>VLOOKUP($A1020,LossChart!$A$3:$AB$105,16,0)</f>
        <v>482.47465271142238</v>
      </c>
      <c r="J1028" s="98">
        <f>VLOOKUP($A1020,LossChart!$A$3:$AB$105,17,0)</f>
        <v>1423.2612074069536</v>
      </c>
      <c r="K1028" s="98"/>
    </row>
    <row r="1029" spans="1:19" x14ac:dyDescent="0.25">
      <c r="A1029" t="s">
        <v>103</v>
      </c>
      <c r="G1029">
        <f>G1028-G1027</f>
        <v>844.78655469553132</v>
      </c>
      <c r="H1029">
        <f>H1028-H1027</f>
        <v>96</v>
      </c>
      <c r="I1029">
        <f>I1028-I1027</f>
        <v>482.47465271142238</v>
      </c>
      <c r="J1029">
        <f>J1028-J1027</f>
        <v>1423.2612074069536</v>
      </c>
    </row>
    <row r="1031" spans="1:19" ht="60" x14ac:dyDescent="0.25">
      <c r="A1031" s="21" t="s">
        <v>63</v>
      </c>
      <c r="B1031" s="21" t="s">
        <v>92</v>
      </c>
      <c r="C1031" s="21" t="s">
        <v>93</v>
      </c>
      <c r="D1031" s="92" t="str">
        <f>FoodDB!$C$1</f>
        <v>Fat
(g)</v>
      </c>
      <c r="E1031" s="92" t="str">
        <f>FoodDB!$D$1</f>
        <v xml:space="preserve"> Carbs
(g)</v>
      </c>
      <c r="F1031" s="92" t="str">
        <f>FoodDB!$E$1</f>
        <v>Protein
(g)</v>
      </c>
      <c r="G1031" s="92" t="str">
        <f>FoodDB!$F$1</f>
        <v>Fat
(Cal)</v>
      </c>
      <c r="H1031" s="92" t="str">
        <f>FoodDB!$G$1</f>
        <v>Carb
(Cal)</v>
      </c>
      <c r="I1031" s="92" t="str">
        <f>FoodDB!$H$1</f>
        <v>Protein
(Cal)</v>
      </c>
      <c r="J1031" s="92" t="str">
        <f>FoodDB!$I$1</f>
        <v>Total
Calories</v>
      </c>
      <c r="K1031" s="92"/>
      <c r="L1031" s="92" t="s">
        <v>109</v>
      </c>
      <c r="M1031" s="92" t="s">
        <v>110</v>
      </c>
      <c r="N1031" s="92" t="s">
        <v>111</v>
      </c>
      <c r="O1031" s="92" t="s">
        <v>112</v>
      </c>
      <c r="P1031" s="92" t="s">
        <v>117</v>
      </c>
      <c r="Q1031" s="92" t="s">
        <v>118</v>
      </c>
      <c r="R1031" s="92" t="s">
        <v>119</v>
      </c>
      <c r="S1031" s="92" t="s">
        <v>120</v>
      </c>
    </row>
    <row r="1032" spans="1:19" x14ac:dyDescent="0.25">
      <c r="A1032" s="93">
        <f>A1020+1</f>
        <v>43080</v>
      </c>
      <c r="B1032" s="94" t="s">
        <v>107</v>
      </c>
      <c r="C1032" s="95">
        <v>0</v>
      </c>
      <c r="D1032">
        <f>$C1032*VLOOKUP($B1032,FoodDB!$A$2:$I$1011,3,0)</f>
        <v>0</v>
      </c>
      <c r="E1032">
        <f>$C1032*VLOOKUP($B1032,FoodDB!$A$2:$I$1011,4,0)</f>
        <v>0</v>
      </c>
      <c r="F1032">
        <f>$C1032*VLOOKUP($B1032,FoodDB!$A$2:$I$1011,5,0)</f>
        <v>0</v>
      </c>
      <c r="G1032">
        <f>$C1032*VLOOKUP($B1032,FoodDB!$A$2:$I$1011,6,0)</f>
        <v>0</v>
      </c>
      <c r="H1032">
        <f>$C1032*VLOOKUP($B1032,FoodDB!$A$2:$I$1011,7,0)</f>
        <v>0</v>
      </c>
      <c r="I1032">
        <f>$C1032*VLOOKUP($B1032,FoodDB!$A$2:$I$1011,8,0)</f>
        <v>0</v>
      </c>
      <c r="J1032">
        <f>$C1032*VLOOKUP($B1032,FoodDB!$A$2:$I$1011,9,0)</f>
        <v>0</v>
      </c>
      <c r="L1032">
        <f>SUM(G1032:G1038)</f>
        <v>0</v>
      </c>
      <c r="M1032">
        <f>SUM(H1032:H1038)</f>
        <v>0</v>
      </c>
      <c r="N1032">
        <f>SUM(I1032:I1038)</f>
        <v>0</v>
      </c>
      <c r="O1032">
        <f>SUM(L1032:N1032)</f>
        <v>0</v>
      </c>
      <c r="P1032" s="98">
        <f>VLOOKUP($A1032,LossChart!$A$3:$AB$105,14,0)-L1032</f>
        <v>844.79717322958186</v>
      </c>
      <c r="Q1032" s="98">
        <f>VLOOKUP($A1032,LossChart!$A$3:$AB$105,15,0)-M1032</f>
        <v>100</v>
      </c>
      <c r="R1032" s="98">
        <f>VLOOKUP($A1032,LossChart!$A$3:$AB$105,16,0)-N1032</f>
        <v>482.47465271142238</v>
      </c>
      <c r="S1032" s="98">
        <f>VLOOKUP($A1032,LossChart!$A$3:$AB$105,17,0)-O1032</f>
        <v>1427.2718259410042</v>
      </c>
    </row>
    <row r="1033" spans="1:19" x14ac:dyDescent="0.25">
      <c r="B1033" s="94" t="s">
        <v>107</v>
      </c>
      <c r="C1033" s="95">
        <v>0</v>
      </c>
      <c r="D1033">
        <f>$C1033*VLOOKUP($B1033,FoodDB!$A$2:$I$1011,3,0)</f>
        <v>0</v>
      </c>
      <c r="E1033">
        <f>$C1033*VLOOKUP($B1033,FoodDB!$A$2:$I$1011,4,0)</f>
        <v>0</v>
      </c>
      <c r="F1033">
        <f>$C1033*VLOOKUP($B1033,FoodDB!$A$2:$I$1011,5,0)</f>
        <v>0</v>
      </c>
      <c r="G1033">
        <f>$C1033*VLOOKUP($B1033,FoodDB!$A$2:$I$1011,6,0)</f>
        <v>0</v>
      </c>
      <c r="H1033">
        <f>$C1033*VLOOKUP($B1033,FoodDB!$A$2:$I$1011,7,0)</f>
        <v>0</v>
      </c>
      <c r="I1033">
        <f>$C1033*VLOOKUP($B1033,FoodDB!$A$2:$I$1011,8,0)</f>
        <v>0</v>
      </c>
      <c r="J1033">
        <f>$C1033*VLOOKUP($B1033,FoodDB!$A$2:$I$1011,9,0)</f>
        <v>0</v>
      </c>
    </row>
    <row r="1034" spans="1:19" x14ac:dyDescent="0.25">
      <c r="B1034" s="94" t="s">
        <v>107</v>
      </c>
      <c r="C1034" s="95">
        <v>0</v>
      </c>
      <c r="D1034">
        <f>$C1034*VLOOKUP($B1034,FoodDB!$A$2:$I$1011,3,0)</f>
        <v>0</v>
      </c>
      <c r="E1034">
        <f>$C1034*VLOOKUP($B1034,FoodDB!$A$2:$I$1011,4,0)</f>
        <v>0</v>
      </c>
      <c r="F1034">
        <f>$C1034*VLOOKUP($B1034,FoodDB!$A$2:$I$1011,5,0)</f>
        <v>0</v>
      </c>
      <c r="G1034">
        <f>$C1034*VLOOKUP($B1034,FoodDB!$A$2:$I$1011,6,0)</f>
        <v>0</v>
      </c>
      <c r="H1034">
        <f>$C1034*VLOOKUP($B1034,FoodDB!$A$2:$I$1011,7,0)</f>
        <v>0</v>
      </c>
      <c r="I1034">
        <f>$C1034*VLOOKUP($B1034,FoodDB!$A$2:$I$1011,8,0)</f>
        <v>0</v>
      </c>
      <c r="J1034">
        <f>$C1034*VLOOKUP($B1034,FoodDB!$A$2:$I$1011,9,0)</f>
        <v>0</v>
      </c>
    </row>
    <row r="1035" spans="1:19" x14ac:dyDescent="0.25">
      <c r="B1035" s="94" t="s">
        <v>107</v>
      </c>
      <c r="C1035" s="95">
        <v>0</v>
      </c>
      <c r="D1035">
        <f>$C1035*VLOOKUP($B1035,FoodDB!$A$2:$I$1011,3,0)</f>
        <v>0</v>
      </c>
      <c r="E1035">
        <f>$C1035*VLOOKUP($B1035,FoodDB!$A$2:$I$1011,4,0)</f>
        <v>0</v>
      </c>
      <c r="F1035">
        <f>$C1035*VLOOKUP($B1035,FoodDB!$A$2:$I$1011,5,0)</f>
        <v>0</v>
      </c>
      <c r="G1035">
        <f>$C1035*VLOOKUP($B1035,FoodDB!$A$2:$I$1011,6,0)</f>
        <v>0</v>
      </c>
      <c r="H1035">
        <f>$C1035*VLOOKUP($B1035,FoodDB!$A$2:$I$1011,7,0)</f>
        <v>0</v>
      </c>
      <c r="I1035">
        <f>$C1035*VLOOKUP($B1035,FoodDB!$A$2:$I$1011,8,0)</f>
        <v>0</v>
      </c>
      <c r="J1035">
        <f>$C1035*VLOOKUP($B1035,FoodDB!$A$2:$I$1011,9,0)</f>
        <v>0</v>
      </c>
    </row>
    <row r="1036" spans="1:19" x14ac:dyDescent="0.25">
      <c r="B1036" s="94" t="s">
        <v>107</v>
      </c>
      <c r="C1036" s="95">
        <v>0</v>
      </c>
      <c r="D1036">
        <f>$C1036*VLOOKUP($B1036,FoodDB!$A$2:$I$1011,3,0)</f>
        <v>0</v>
      </c>
      <c r="E1036">
        <f>$C1036*VLOOKUP($B1036,FoodDB!$A$2:$I$1011,4,0)</f>
        <v>0</v>
      </c>
      <c r="F1036">
        <f>$C1036*VLOOKUP($B1036,FoodDB!$A$2:$I$1011,5,0)</f>
        <v>0</v>
      </c>
      <c r="G1036">
        <f>$C1036*VLOOKUP($B1036,FoodDB!$A$2:$I$1011,6,0)</f>
        <v>0</v>
      </c>
      <c r="H1036">
        <f>$C1036*VLOOKUP($B1036,FoodDB!$A$2:$I$1011,7,0)</f>
        <v>0</v>
      </c>
      <c r="I1036">
        <f>$C1036*VLOOKUP($B1036,FoodDB!$A$2:$I$1011,8,0)</f>
        <v>0</v>
      </c>
      <c r="J1036">
        <f>$C1036*VLOOKUP($B1036,FoodDB!$A$2:$I$1011,9,0)</f>
        <v>0</v>
      </c>
    </row>
    <row r="1037" spans="1:19" x14ac:dyDescent="0.25">
      <c r="B1037" s="94" t="s">
        <v>107</v>
      </c>
      <c r="C1037" s="95">
        <v>0</v>
      </c>
      <c r="D1037">
        <f>$C1037*VLOOKUP($B1037,FoodDB!$A$2:$I$1011,3,0)</f>
        <v>0</v>
      </c>
      <c r="E1037">
        <f>$C1037*VLOOKUP($B1037,FoodDB!$A$2:$I$1011,4,0)</f>
        <v>0</v>
      </c>
      <c r="F1037">
        <f>$C1037*VLOOKUP($B1037,FoodDB!$A$2:$I$1011,5,0)</f>
        <v>0</v>
      </c>
      <c r="G1037">
        <f>$C1037*VLOOKUP($B1037,FoodDB!$A$2:$I$1011,6,0)</f>
        <v>0</v>
      </c>
      <c r="H1037">
        <f>$C1037*VLOOKUP($B1037,FoodDB!$A$2:$I$1011,7,0)</f>
        <v>0</v>
      </c>
      <c r="I1037">
        <f>$C1037*VLOOKUP($B1037,FoodDB!$A$2:$I$1011,8,0)</f>
        <v>0</v>
      </c>
      <c r="J1037">
        <f>$C1037*VLOOKUP($B1037,FoodDB!$A$2:$I$1011,9,0)</f>
        <v>0</v>
      </c>
    </row>
    <row r="1038" spans="1:19" x14ac:dyDescent="0.25">
      <c r="B1038" s="94" t="s">
        <v>107</v>
      </c>
      <c r="C1038" s="95">
        <v>0</v>
      </c>
      <c r="D1038">
        <f>$C1038*VLOOKUP($B1038,FoodDB!$A$2:$I$1011,3,0)</f>
        <v>0</v>
      </c>
      <c r="E1038">
        <f>$C1038*VLOOKUP($B1038,FoodDB!$A$2:$I$1011,4,0)</f>
        <v>0</v>
      </c>
      <c r="F1038">
        <f>$C1038*VLOOKUP($B1038,FoodDB!$A$2:$I$1011,5,0)</f>
        <v>0</v>
      </c>
      <c r="G1038">
        <f>$C1038*VLOOKUP($B1038,FoodDB!$A$2:$I$1011,6,0)</f>
        <v>0</v>
      </c>
      <c r="H1038">
        <f>$C1038*VLOOKUP($B1038,FoodDB!$A$2:$I$1011,7,0)</f>
        <v>0</v>
      </c>
      <c r="I1038">
        <f>$C1038*VLOOKUP($B1038,FoodDB!$A$2:$I$1011,8,0)</f>
        <v>0</v>
      </c>
      <c r="J1038">
        <f>$C1038*VLOOKUP($B1038,FoodDB!$A$2:$I$1011,9,0)</f>
        <v>0</v>
      </c>
    </row>
    <row r="1039" spans="1:19" x14ac:dyDescent="0.25">
      <c r="A1039" t="s">
        <v>97</v>
      </c>
      <c r="G1039">
        <f>SUM(G1032:G1038)</f>
        <v>0</v>
      </c>
      <c r="H1039">
        <f>SUM(H1032:H1038)</f>
        <v>0</v>
      </c>
      <c r="I1039">
        <f>SUM(I1032:I1038)</f>
        <v>0</v>
      </c>
      <c r="J1039">
        <f>SUM(G1039:I1039)</f>
        <v>0</v>
      </c>
    </row>
    <row r="1040" spans="1:19" x14ac:dyDescent="0.25">
      <c r="A1040" t="s">
        <v>101</v>
      </c>
      <c r="B1040" t="s">
        <v>102</v>
      </c>
      <c r="E1040" s="98"/>
      <c r="F1040" s="98"/>
      <c r="G1040" s="98">
        <f>VLOOKUP($A1032,LossChart!$A$3:$AB$105,14,0)</f>
        <v>844.79717322958186</v>
      </c>
      <c r="H1040" s="98">
        <f>VLOOKUP($A1032,LossChart!$A$3:$AB$105,15,0)</f>
        <v>100</v>
      </c>
      <c r="I1040" s="98">
        <f>VLOOKUP($A1032,LossChart!$A$3:$AB$105,16,0)</f>
        <v>482.47465271142238</v>
      </c>
      <c r="J1040" s="98">
        <f>VLOOKUP($A1032,LossChart!$A$3:$AB$105,17,0)</f>
        <v>1427.2718259410042</v>
      </c>
      <c r="K1040" s="98"/>
    </row>
    <row r="1041" spans="1:19" x14ac:dyDescent="0.25">
      <c r="A1041" t="s">
        <v>103</v>
      </c>
      <c r="G1041">
        <f>G1040-G1039</f>
        <v>844.79717322958186</v>
      </c>
      <c r="H1041">
        <f>H1040-H1039</f>
        <v>100</v>
      </c>
      <c r="I1041">
        <f>I1040-I1039</f>
        <v>482.47465271142238</v>
      </c>
      <c r="J1041">
        <f>J1040-J1039</f>
        <v>1427.2718259410042</v>
      </c>
    </row>
    <row r="1043" spans="1:19" ht="60" x14ac:dyDescent="0.25">
      <c r="A1043" s="21" t="s">
        <v>63</v>
      </c>
      <c r="B1043" s="21" t="s">
        <v>92</v>
      </c>
      <c r="C1043" s="21" t="s">
        <v>93</v>
      </c>
      <c r="D1043" s="92" t="str">
        <f>FoodDB!$C$1</f>
        <v>Fat
(g)</v>
      </c>
      <c r="E1043" s="92" t="str">
        <f>FoodDB!$D$1</f>
        <v xml:space="preserve"> Carbs
(g)</v>
      </c>
      <c r="F1043" s="92" t="str">
        <f>FoodDB!$E$1</f>
        <v>Protein
(g)</v>
      </c>
      <c r="G1043" s="92" t="str">
        <f>FoodDB!$F$1</f>
        <v>Fat
(Cal)</v>
      </c>
      <c r="H1043" s="92" t="str">
        <f>FoodDB!$G$1</f>
        <v>Carb
(Cal)</v>
      </c>
      <c r="I1043" s="92" t="str">
        <f>FoodDB!$H$1</f>
        <v>Protein
(Cal)</v>
      </c>
      <c r="J1043" s="92" t="str">
        <f>FoodDB!$I$1</f>
        <v>Total
Calories</v>
      </c>
      <c r="K1043" s="92"/>
      <c r="L1043" s="92" t="s">
        <v>109</v>
      </c>
      <c r="M1043" s="92" t="s">
        <v>110</v>
      </c>
      <c r="N1043" s="92" t="s">
        <v>111</v>
      </c>
      <c r="O1043" s="92" t="s">
        <v>112</v>
      </c>
      <c r="P1043" s="92" t="s">
        <v>117</v>
      </c>
      <c r="Q1043" s="92" t="s">
        <v>118</v>
      </c>
      <c r="R1043" s="92" t="s">
        <v>119</v>
      </c>
      <c r="S1043" s="92" t="s">
        <v>120</v>
      </c>
    </row>
    <row r="1044" spans="1:19" x14ac:dyDescent="0.25">
      <c r="A1044" s="93">
        <f>A1032+1</f>
        <v>43081</v>
      </c>
      <c r="B1044" s="94" t="s">
        <v>107</v>
      </c>
      <c r="C1044" s="95">
        <v>0</v>
      </c>
      <c r="D1044">
        <f>$C1044*VLOOKUP($B1044,FoodDB!$A$2:$I$1011,3,0)</f>
        <v>0</v>
      </c>
      <c r="E1044">
        <f>$C1044*VLOOKUP($B1044,FoodDB!$A$2:$I$1011,4,0)</f>
        <v>0</v>
      </c>
      <c r="F1044">
        <f>$C1044*VLOOKUP($B1044,FoodDB!$A$2:$I$1011,5,0)</f>
        <v>0</v>
      </c>
      <c r="G1044">
        <f>$C1044*VLOOKUP($B1044,FoodDB!$A$2:$I$1011,6,0)</f>
        <v>0</v>
      </c>
      <c r="H1044">
        <f>$C1044*VLOOKUP($B1044,FoodDB!$A$2:$I$1011,7,0)</f>
        <v>0</v>
      </c>
      <c r="I1044">
        <f>$C1044*VLOOKUP($B1044,FoodDB!$A$2:$I$1011,8,0)</f>
        <v>0</v>
      </c>
      <c r="J1044">
        <f>$C1044*VLOOKUP($B1044,FoodDB!$A$2:$I$1011,9,0)</f>
        <v>0</v>
      </c>
      <c r="L1044">
        <f>SUM(G1044:G1050)</f>
        <v>0</v>
      </c>
      <c r="M1044">
        <f>SUM(H1044:H1050)</f>
        <v>0</v>
      </c>
      <c r="N1044">
        <f>SUM(I1044:I1050)</f>
        <v>0</v>
      </c>
      <c r="O1044">
        <f>SUM(L1044:N1044)</f>
        <v>0</v>
      </c>
      <c r="P1044" s="98">
        <f>VLOOKUP($A1044,LossChart!$A$3:$AB$105,14,0)-L1044</f>
        <v>844.7722691423312</v>
      </c>
      <c r="Q1044" s="98">
        <f>VLOOKUP($A1044,LossChart!$A$3:$AB$105,15,0)-M1044</f>
        <v>104</v>
      </c>
      <c r="R1044" s="98">
        <f>VLOOKUP($A1044,LossChart!$A$3:$AB$105,16,0)-N1044</f>
        <v>482.47465271142238</v>
      </c>
      <c r="S1044" s="98">
        <f>VLOOKUP($A1044,LossChart!$A$3:$AB$105,17,0)-O1044</f>
        <v>1431.2469218537535</v>
      </c>
    </row>
    <row r="1045" spans="1:19" x14ac:dyDescent="0.25">
      <c r="B1045" s="94" t="s">
        <v>107</v>
      </c>
      <c r="C1045" s="95">
        <v>0</v>
      </c>
      <c r="D1045">
        <f>$C1045*VLOOKUP($B1045,FoodDB!$A$2:$I$1011,3,0)</f>
        <v>0</v>
      </c>
      <c r="E1045">
        <f>$C1045*VLOOKUP($B1045,FoodDB!$A$2:$I$1011,4,0)</f>
        <v>0</v>
      </c>
      <c r="F1045">
        <f>$C1045*VLOOKUP($B1045,FoodDB!$A$2:$I$1011,5,0)</f>
        <v>0</v>
      </c>
      <c r="G1045">
        <f>$C1045*VLOOKUP($B1045,FoodDB!$A$2:$I$1011,6,0)</f>
        <v>0</v>
      </c>
      <c r="H1045">
        <f>$C1045*VLOOKUP($B1045,FoodDB!$A$2:$I$1011,7,0)</f>
        <v>0</v>
      </c>
      <c r="I1045">
        <f>$C1045*VLOOKUP($B1045,FoodDB!$A$2:$I$1011,8,0)</f>
        <v>0</v>
      </c>
      <c r="J1045">
        <f>$C1045*VLOOKUP($B1045,FoodDB!$A$2:$I$1011,9,0)</f>
        <v>0</v>
      </c>
    </row>
    <row r="1046" spans="1:19" x14ac:dyDescent="0.25">
      <c r="B1046" s="94" t="s">
        <v>107</v>
      </c>
      <c r="C1046" s="95">
        <v>0</v>
      </c>
      <c r="D1046">
        <f>$C1046*VLOOKUP($B1046,FoodDB!$A$2:$I$1011,3,0)</f>
        <v>0</v>
      </c>
      <c r="E1046">
        <f>$C1046*VLOOKUP($B1046,FoodDB!$A$2:$I$1011,4,0)</f>
        <v>0</v>
      </c>
      <c r="F1046">
        <f>$C1046*VLOOKUP($B1046,FoodDB!$A$2:$I$1011,5,0)</f>
        <v>0</v>
      </c>
      <c r="G1046">
        <f>$C1046*VLOOKUP($B1046,FoodDB!$A$2:$I$1011,6,0)</f>
        <v>0</v>
      </c>
      <c r="H1046">
        <f>$C1046*VLOOKUP($B1046,FoodDB!$A$2:$I$1011,7,0)</f>
        <v>0</v>
      </c>
      <c r="I1046">
        <f>$C1046*VLOOKUP($B1046,FoodDB!$A$2:$I$1011,8,0)</f>
        <v>0</v>
      </c>
      <c r="J1046">
        <f>$C1046*VLOOKUP($B1046,FoodDB!$A$2:$I$1011,9,0)</f>
        <v>0</v>
      </c>
    </row>
    <row r="1047" spans="1:19" x14ac:dyDescent="0.25">
      <c r="B1047" s="94" t="s">
        <v>107</v>
      </c>
      <c r="C1047" s="95">
        <v>0</v>
      </c>
      <c r="D1047">
        <f>$C1047*VLOOKUP($B1047,FoodDB!$A$2:$I$1011,3,0)</f>
        <v>0</v>
      </c>
      <c r="E1047">
        <f>$C1047*VLOOKUP($B1047,FoodDB!$A$2:$I$1011,4,0)</f>
        <v>0</v>
      </c>
      <c r="F1047">
        <f>$C1047*VLOOKUP($B1047,FoodDB!$A$2:$I$1011,5,0)</f>
        <v>0</v>
      </c>
      <c r="G1047">
        <f>$C1047*VLOOKUP($B1047,FoodDB!$A$2:$I$1011,6,0)</f>
        <v>0</v>
      </c>
      <c r="H1047">
        <f>$C1047*VLOOKUP($B1047,FoodDB!$A$2:$I$1011,7,0)</f>
        <v>0</v>
      </c>
      <c r="I1047">
        <f>$C1047*VLOOKUP($B1047,FoodDB!$A$2:$I$1011,8,0)</f>
        <v>0</v>
      </c>
      <c r="J1047">
        <f>$C1047*VLOOKUP($B1047,FoodDB!$A$2:$I$1011,9,0)</f>
        <v>0</v>
      </c>
    </row>
    <row r="1048" spans="1:19" x14ac:dyDescent="0.25">
      <c r="B1048" s="94" t="s">
        <v>107</v>
      </c>
      <c r="C1048" s="95">
        <v>0</v>
      </c>
      <c r="D1048">
        <f>$C1048*VLOOKUP($B1048,FoodDB!$A$2:$I$1011,3,0)</f>
        <v>0</v>
      </c>
      <c r="E1048">
        <f>$C1048*VLOOKUP($B1048,FoodDB!$A$2:$I$1011,4,0)</f>
        <v>0</v>
      </c>
      <c r="F1048">
        <f>$C1048*VLOOKUP($B1048,FoodDB!$A$2:$I$1011,5,0)</f>
        <v>0</v>
      </c>
      <c r="G1048">
        <f>$C1048*VLOOKUP($B1048,FoodDB!$A$2:$I$1011,6,0)</f>
        <v>0</v>
      </c>
      <c r="H1048">
        <f>$C1048*VLOOKUP($B1048,FoodDB!$A$2:$I$1011,7,0)</f>
        <v>0</v>
      </c>
      <c r="I1048">
        <f>$C1048*VLOOKUP($B1048,FoodDB!$A$2:$I$1011,8,0)</f>
        <v>0</v>
      </c>
      <c r="J1048">
        <f>$C1048*VLOOKUP($B1048,FoodDB!$A$2:$I$1011,9,0)</f>
        <v>0</v>
      </c>
    </row>
    <row r="1049" spans="1:19" x14ac:dyDescent="0.25">
      <c r="B1049" s="94" t="s">
        <v>107</v>
      </c>
      <c r="C1049" s="95">
        <v>0</v>
      </c>
      <c r="D1049">
        <f>$C1049*VLOOKUP($B1049,FoodDB!$A$2:$I$1011,3,0)</f>
        <v>0</v>
      </c>
      <c r="E1049">
        <f>$C1049*VLOOKUP($B1049,FoodDB!$A$2:$I$1011,4,0)</f>
        <v>0</v>
      </c>
      <c r="F1049">
        <f>$C1049*VLOOKUP($B1049,FoodDB!$A$2:$I$1011,5,0)</f>
        <v>0</v>
      </c>
      <c r="G1049">
        <f>$C1049*VLOOKUP($B1049,FoodDB!$A$2:$I$1011,6,0)</f>
        <v>0</v>
      </c>
      <c r="H1049">
        <f>$C1049*VLOOKUP($B1049,FoodDB!$A$2:$I$1011,7,0)</f>
        <v>0</v>
      </c>
      <c r="I1049">
        <f>$C1049*VLOOKUP($B1049,FoodDB!$A$2:$I$1011,8,0)</f>
        <v>0</v>
      </c>
      <c r="J1049">
        <f>$C1049*VLOOKUP($B1049,FoodDB!$A$2:$I$1011,9,0)</f>
        <v>0</v>
      </c>
    </row>
    <row r="1050" spans="1:19" x14ac:dyDescent="0.25">
      <c r="B1050" s="94" t="s">
        <v>107</v>
      </c>
      <c r="C1050" s="95">
        <v>0</v>
      </c>
      <c r="D1050">
        <f>$C1050*VLOOKUP($B1050,FoodDB!$A$2:$I$1011,3,0)</f>
        <v>0</v>
      </c>
      <c r="E1050">
        <f>$C1050*VLOOKUP($B1050,FoodDB!$A$2:$I$1011,4,0)</f>
        <v>0</v>
      </c>
      <c r="F1050">
        <f>$C1050*VLOOKUP($B1050,FoodDB!$A$2:$I$1011,5,0)</f>
        <v>0</v>
      </c>
      <c r="G1050">
        <f>$C1050*VLOOKUP($B1050,FoodDB!$A$2:$I$1011,6,0)</f>
        <v>0</v>
      </c>
      <c r="H1050">
        <f>$C1050*VLOOKUP($B1050,FoodDB!$A$2:$I$1011,7,0)</f>
        <v>0</v>
      </c>
      <c r="I1050">
        <f>$C1050*VLOOKUP($B1050,FoodDB!$A$2:$I$1011,8,0)</f>
        <v>0</v>
      </c>
      <c r="J1050">
        <f>$C1050*VLOOKUP($B1050,FoodDB!$A$2:$I$1011,9,0)</f>
        <v>0</v>
      </c>
    </row>
    <row r="1051" spans="1:19" x14ac:dyDescent="0.25">
      <c r="A1051" t="s">
        <v>97</v>
      </c>
      <c r="G1051">
        <f>SUM(G1044:G1050)</f>
        <v>0</v>
      </c>
      <c r="H1051">
        <f>SUM(H1044:H1050)</f>
        <v>0</v>
      </c>
      <c r="I1051">
        <f>SUM(I1044:I1050)</f>
        <v>0</v>
      </c>
      <c r="J1051">
        <f>SUM(G1051:I1051)</f>
        <v>0</v>
      </c>
    </row>
    <row r="1052" spans="1:19" x14ac:dyDescent="0.25">
      <c r="A1052" t="s">
        <v>101</v>
      </c>
      <c r="B1052" t="s">
        <v>102</v>
      </c>
      <c r="E1052" s="98"/>
      <c r="F1052" s="98"/>
      <c r="G1052" s="98">
        <f>VLOOKUP($A1044,LossChart!$A$3:$AB$105,14,0)</f>
        <v>844.7722691423312</v>
      </c>
      <c r="H1052" s="98">
        <f>VLOOKUP($A1044,LossChart!$A$3:$AB$105,15,0)</f>
        <v>104</v>
      </c>
      <c r="I1052" s="98">
        <f>VLOOKUP($A1044,LossChart!$A$3:$AB$105,16,0)</f>
        <v>482.47465271142238</v>
      </c>
      <c r="J1052" s="98">
        <f>VLOOKUP($A1044,LossChart!$A$3:$AB$105,17,0)</f>
        <v>1431.2469218537535</v>
      </c>
      <c r="K1052" s="98"/>
    </row>
    <row r="1053" spans="1:19" x14ac:dyDescent="0.25">
      <c r="A1053" t="s">
        <v>103</v>
      </c>
      <c r="G1053">
        <f>G1052-G1051</f>
        <v>844.7722691423312</v>
      </c>
      <c r="H1053">
        <f>H1052-H1051</f>
        <v>104</v>
      </c>
      <c r="I1053">
        <f>I1052-I1051</f>
        <v>482.47465271142238</v>
      </c>
      <c r="J1053">
        <f>J1052-J1051</f>
        <v>1431.2469218537535</v>
      </c>
    </row>
    <row r="1055" spans="1:19" ht="60" x14ac:dyDescent="0.25">
      <c r="A1055" s="21" t="s">
        <v>63</v>
      </c>
      <c r="B1055" s="21" t="s">
        <v>92</v>
      </c>
      <c r="C1055" s="21" t="s">
        <v>93</v>
      </c>
      <c r="D1055" s="92" t="str">
        <f>FoodDB!$C$1</f>
        <v>Fat
(g)</v>
      </c>
      <c r="E1055" s="92" t="str">
        <f>FoodDB!$D$1</f>
        <v xml:space="preserve"> Carbs
(g)</v>
      </c>
      <c r="F1055" s="92" t="str">
        <f>FoodDB!$E$1</f>
        <v>Protein
(g)</v>
      </c>
      <c r="G1055" s="92" t="str">
        <f>FoodDB!$F$1</f>
        <v>Fat
(Cal)</v>
      </c>
      <c r="H1055" s="92" t="str">
        <f>FoodDB!$G$1</f>
        <v>Carb
(Cal)</v>
      </c>
      <c r="I1055" s="92" t="str">
        <f>FoodDB!$H$1</f>
        <v>Protein
(Cal)</v>
      </c>
      <c r="J1055" s="92" t="str">
        <f>FoodDB!$I$1</f>
        <v>Total
Calories</v>
      </c>
      <c r="K1055" s="92"/>
      <c r="L1055" s="92" t="s">
        <v>109</v>
      </c>
      <c r="M1055" s="92" t="s">
        <v>110</v>
      </c>
      <c r="N1055" s="92" t="s">
        <v>111</v>
      </c>
      <c r="O1055" s="92" t="s">
        <v>112</v>
      </c>
      <c r="P1055" s="92" t="s">
        <v>117</v>
      </c>
      <c r="Q1055" s="92" t="s">
        <v>118</v>
      </c>
      <c r="R1055" s="92" t="s">
        <v>119</v>
      </c>
      <c r="S1055" s="92" t="s">
        <v>120</v>
      </c>
    </row>
    <row r="1056" spans="1:19" x14ac:dyDescent="0.25">
      <c r="A1056" s="93">
        <f>A1044+1</f>
        <v>43082</v>
      </c>
      <c r="B1056" s="94" t="s">
        <v>107</v>
      </c>
      <c r="C1056" s="95">
        <v>0</v>
      </c>
      <c r="D1056">
        <f>$C1056*VLOOKUP($B1056,FoodDB!$A$2:$I$1011,3,0)</f>
        <v>0</v>
      </c>
      <c r="E1056">
        <f>$C1056*VLOOKUP($B1056,FoodDB!$A$2:$I$1011,4,0)</f>
        <v>0</v>
      </c>
      <c r="F1056">
        <f>$C1056*VLOOKUP($B1056,FoodDB!$A$2:$I$1011,5,0)</f>
        <v>0</v>
      </c>
      <c r="G1056">
        <f>$C1056*VLOOKUP($B1056,FoodDB!$A$2:$I$1011,6,0)</f>
        <v>0</v>
      </c>
      <c r="H1056">
        <f>$C1056*VLOOKUP($B1056,FoodDB!$A$2:$I$1011,7,0)</f>
        <v>0</v>
      </c>
      <c r="I1056">
        <f>$C1056*VLOOKUP($B1056,FoodDB!$A$2:$I$1011,8,0)</f>
        <v>0</v>
      </c>
      <c r="J1056">
        <f>$C1056*VLOOKUP($B1056,FoodDB!$A$2:$I$1011,9,0)</f>
        <v>0</v>
      </c>
      <c r="L1056">
        <f>SUM(G1056:G1062)</f>
        <v>0</v>
      </c>
      <c r="M1056">
        <f>SUM(H1056:H1062)</f>
        <v>0</v>
      </c>
      <c r="N1056">
        <f>SUM(I1056:I1062)</f>
        <v>0</v>
      </c>
      <c r="O1056">
        <f>SUM(L1056:N1056)</f>
        <v>0</v>
      </c>
      <c r="P1056" s="98">
        <f>VLOOKUP($A1056,LossChart!$A$3:$AB$105,14,0)-L1056</f>
        <v>844.71215706270982</v>
      </c>
      <c r="Q1056" s="98">
        <f>VLOOKUP($A1056,LossChart!$A$3:$AB$105,15,0)-M1056</f>
        <v>108</v>
      </c>
      <c r="R1056" s="98">
        <f>VLOOKUP($A1056,LossChart!$A$3:$AB$105,16,0)-N1056</f>
        <v>482.47465271142238</v>
      </c>
      <c r="S1056" s="98">
        <f>VLOOKUP($A1056,LossChart!$A$3:$AB$105,17,0)-O1056</f>
        <v>1435.1868097741321</v>
      </c>
    </row>
    <row r="1057" spans="1:19" x14ac:dyDescent="0.25">
      <c r="B1057" s="94" t="s">
        <v>107</v>
      </c>
      <c r="C1057" s="95">
        <v>0</v>
      </c>
      <c r="D1057">
        <f>$C1057*VLOOKUP($B1057,FoodDB!$A$2:$I$1011,3,0)</f>
        <v>0</v>
      </c>
      <c r="E1057">
        <f>$C1057*VLOOKUP($B1057,FoodDB!$A$2:$I$1011,4,0)</f>
        <v>0</v>
      </c>
      <c r="F1057">
        <f>$C1057*VLOOKUP($B1057,FoodDB!$A$2:$I$1011,5,0)</f>
        <v>0</v>
      </c>
      <c r="G1057">
        <f>$C1057*VLOOKUP($B1057,FoodDB!$A$2:$I$1011,6,0)</f>
        <v>0</v>
      </c>
      <c r="H1057">
        <f>$C1057*VLOOKUP($B1057,FoodDB!$A$2:$I$1011,7,0)</f>
        <v>0</v>
      </c>
      <c r="I1057">
        <f>$C1057*VLOOKUP($B1057,FoodDB!$A$2:$I$1011,8,0)</f>
        <v>0</v>
      </c>
      <c r="J1057">
        <f>$C1057*VLOOKUP($B1057,FoodDB!$A$2:$I$1011,9,0)</f>
        <v>0</v>
      </c>
    </row>
    <row r="1058" spans="1:19" x14ac:dyDescent="0.25">
      <c r="B1058" s="94" t="s">
        <v>107</v>
      </c>
      <c r="C1058" s="95">
        <v>0</v>
      </c>
      <c r="D1058">
        <f>$C1058*VLOOKUP($B1058,FoodDB!$A$2:$I$1011,3,0)</f>
        <v>0</v>
      </c>
      <c r="E1058">
        <f>$C1058*VLOOKUP($B1058,FoodDB!$A$2:$I$1011,4,0)</f>
        <v>0</v>
      </c>
      <c r="F1058">
        <f>$C1058*VLOOKUP($B1058,FoodDB!$A$2:$I$1011,5,0)</f>
        <v>0</v>
      </c>
      <c r="G1058">
        <f>$C1058*VLOOKUP($B1058,FoodDB!$A$2:$I$1011,6,0)</f>
        <v>0</v>
      </c>
      <c r="H1058">
        <f>$C1058*VLOOKUP($B1058,FoodDB!$A$2:$I$1011,7,0)</f>
        <v>0</v>
      </c>
      <c r="I1058">
        <f>$C1058*VLOOKUP($B1058,FoodDB!$A$2:$I$1011,8,0)</f>
        <v>0</v>
      </c>
      <c r="J1058">
        <f>$C1058*VLOOKUP($B1058,FoodDB!$A$2:$I$1011,9,0)</f>
        <v>0</v>
      </c>
    </row>
    <row r="1059" spans="1:19" x14ac:dyDescent="0.25">
      <c r="B1059" s="94" t="s">
        <v>107</v>
      </c>
      <c r="C1059" s="95">
        <v>0</v>
      </c>
      <c r="D1059">
        <f>$C1059*VLOOKUP($B1059,FoodDB!$A$2:$I$1011,3,0)</f>
        <v>0</v>
      </c>
      <c r="E1059">
        <f>$C1059*VLOOKUP($B1059,FoodDB!$A$2:$I$1011,4,0)</f>
        <v>0</v>
      </c>
      <c r="F1059">
        <f>$C1059*VLOOKUP($B1059,FoodDB!$A$2:$I$1011,5,0)</f>
        <v>0</v>
      </c>
      <c r="G1059">
        <f>$C1059*VLOOKUP($B1059,FoodDB!$A$2:$I$1011,6,0)</f>
        <v>0</v>
      </c>
      <c r="H1059">
        <f>$C1059*VLOOKUP($B1059,FoodDB!$A$2:$I$1011,7,0)</f>
        <v>0</v>
      </c>
      <c r="I1059">
        <f>$C1059*VLOOKUP($B1059,FoodDB!$A$2:$I$1011,8,0)</f>
        <v>0</v>
      </c>
      <c r="J1059">
        <f>$C1059*VLOOKUP($B1059,FoodDB!$A$2:$I$1011,9,0)</f>
        <v>0</v>
      </c>
    </row>
    <row r="1060" spans="1:19" x14ac:dyDescent="0.25">
      <c r="B1060" s="94" t="s">
        <v>107</v>
      </c>
      <c r="C1060" s="95">
        <v>0</v>
      </c>
      <c r="D1060">
        <f>$C1060*VLOOKUP($B1060,FoodDB!$A$2:$I$1011,3,0)</f>
        <v>0</v>
      </c>
      <c r="E1060">
        <f>$C1060*VLOOKUP($B1060,FoodDB!$A$2:$I$1011,4,0)</f>
        <v>0</v>
      </c>
      <c r="F1060">
        <f>$C1060*VLOOKUP($B1060,FoodDB!$A$2:$I$1011,5,0)</f>
        <v>0</v>
      </c>
      <c r="G1060">
        <f>$C1060*VLOOKUP($B1060,FoodDB!$A$2:$I$1011,6,0)</f>
        <v>0</v>
      </c>
      <c r="H1060">
        <f>$C1060*VLOOKUP($B1060,FoodDB!$A$2:$I$1011,7,0)</f>
        <v>0</v>
      </c>
      <c r="I1060">
        <f>$C1060*VLOOKUP($B1060,FoodDB!$A$2:$I$1011,8,0)</f>
        <v>0</v>
      </c>
      <c r="J1060">
        <f>$C1060*VLOOKUP($B1060,FoodDB!$A$2:$I$1011,9,0)</f>
        <v>0</v>
      </c>
    </row>
    <row r="1061" spans="1:19" x14ac:dyDescent="0.25">
      <c r="B1061" s="94" t="s">
        <v>107</v>
      </c>
      <c r="C1061" s="95">
        <v>0</v>
      </c>
      <c r="D1061">
        <f>$C1061*VLOOKUP($B1061,FoodDB!$A$2:$I$1011,3,0)</f>
        <v>0</v>
      </c>
      <c r="E1061">
        <f>$C1061*VLOOKUP($B1061,FoodDB!$A$2:$I$1011,4,0)</f>
        <v>0</v>
      </c>
      <c r="F1061">
        <f>$C1061*VLOOKUP($B1061,FoodDB!$A$2:$I$1011,5,0)</f>
        <v>0</v>
      </c>
      <c r="G1061">
        <f>$C1061*VLOOKUP($B1061,FoodDB!$A$2:$I$1011,6,0)</f>
        <v>0</v>
      </c>
      <c r="H1061">
        <f>$C1061*VLOOKUP($B1061,FoodDB!$A$2:$I$1011,7,0)</f>
        <v>0</v>
      </c>
      <c r="I1061">
        <f>$C1061*VLOOKUP($B1061,FoodDB!$A$2:$I$1011,8,0)</f>
        <v>0</v>
      </c>
      <c r="J1061">
        <f>$C1061*VLOOKUP($B1061,FoodDB!$A$2:$I$1011,9,0)</f>
        <v>0</v>
      </c>
    </row>
    <row r="1062" spans="1:19" x14ac:dyDescent="0.25">
      <c r="B1062" s="94" t="s">
        <v>107</v>
      </c>
      <c r="C1062" s="95">
        <v>0</v>
      </c>
      <c r="D1062">
        <f>$C1062*VLOOKUP($B1062,FoodDB!$A$2:$I$1011,3,0)</f>
        <v>0</v>
      </c>
      <c r="E1062">
        <f>$C1062*VLOOKUP($B1062,FoodDB!$A$2:$I$1011,4,0)</f>
        <v>0</v>
      </c>
      <c r="F1062">
        <f>$C1062*VLOOKUP($B1062,FoodDB!$A$2:$I$1011,5,0)</f>
        <v>0</v>
      </c>
      <c r="G1062">
        <f>$C1062*VLOOKUP($B1062,FoodDB!$A$2:$I$1011,6,0)</f>
        <v>0</v>
      </c>
      <c r="H1062">
        <f>$C1062*VLOOKUP($B1062,FoodDB!$A$2:$I$1011,7,0)</f>
        <v>0</v>
      </c>
      <c r="I1062">
        <f>$C1062*VLOOKUP($B1062,FoodDB!$A$2:$I$1011,8,0)</f>
        <v>0</v>
      </c>
      <c r="J1062">
        <f>$C1062*VLOOKUP($B1062,FoodDB!$A$2:$I$1011,9,0)</f>
        <v>0</v>
      </c>
    </row>
    <row r="1063" spans="1:19" x14ac:dyDescent="0.25">
      <c r="A1063" t="s">
        <v>97</v>
      </c>
      <c r="G1063">
        <f>SUM(G1056:G1062)</f>
        <v>0</v>
      </c>
      <c r="H1063">
        <f>SUM(H1056:H1062)</f>
        <v>0</v>
      </c>
      <c r="I1063">
        <f>SUM(I1056:I1062)</f>
        <v>0</v>
      </c>
      <c r="J1063">
        <f>SUM(G1063:I1063)</f>
        <v>0</v>
      </c>
    </row>
    <row r="1064" spans="1:19" x14ac:dyDescent="0.25">
      <c r="A1064" t="s">
        <v>101</v>
      </c>
      <c r="B1064" t="s">
        <v>102</v>
      </c>
      <c r="E1064" s="98"/>
      <c r="F1064" s="98"/>
      <c r="G1064" s="98">
        <f>VLOOKUP($A1056,LossChart!$A$3:$AB$105,14,0)</f>
        <v>844.71215706270982</v>
      </c>
      <c r="H1064" s="98">
        <f>VLOOKUP($A1056,LossChart!$A$3:$AB$105,15,0)</f>
        <v>108</v>
      </c>
      <c r="I1064" s="98">
        <f>VLOOKUP($A1056,LossChart!$A$3:$AB$105,16,0)</f>
        <v>482.47465271142238</v>
      </c>
      <c r="J1064" s="98">
        <f>VLOOKUP($A1056,LossChart!$A$3:$AB$105,17,0)</f>
        <v>1435.1868097741321</v>
      </c>
      <c r="K1064" s="98"/>
    </row>
    <row r="1065" spans="1:19" x14ac:dyDescent="0.25">
      <c r="A1065" t="s">
        <v>103</v>
      </c>
      <c r="G1065">
        <f>G1064-G1063</f>
        <v>844.71215706270982</v>
      </c>
      <c r="H1065">
        <f>H1064-H1063</f>
        <v>108</v>
      </c>
      <c r="I1065">
        <f>I1064-I1063</f>
        <v>482.47465271142238</v>
      </c>
      <c r="J1065">
        <f>J1064-J1063</f>
        <v>1435.1868097741321</v>
      </c>
    </row>
    <row r="1067" spans="1:19" ht="60" x14ac:dyDescent="0.25">
      <c r="A1067" s="21" t="s">
        <v>63</v>
      </c>
      <c r="B1067" s="21" t="s">
        <v>92</v>
      </c>
      <c r="C1067" s="21" t="s">
        <v>93</v>
      </c>
      <c r="D1067" s="92" t="str">
        <f>FoodDB!$C$1</f>
        <v>Fat
(g)</v>
      </c>
      <c r="E1067" s="92" t="str">
        <f>FoodDB!$D$1</f>
        <v xml:space="preserve"> Carbs
(g)</v>
      </c>
      <c r="F1067" s="92" t="str">
        <f>FoodDB!$E$1</f>
        <v>Protein
(g)</v>
      </c>
      <c r="G1067" s="92" t="str">
        <f>FoodDB!$F$1</f>
        <v>Fat
(Cal)</v>
      </c>
      <c r="H1067" s="92" t="str">
        <f>FoodDB!$G$1</f>
        <v>Carb
(Cal)</v>
      </c>
      <c r="I1067" s="92" t="str">
        <f>FoodDB!$H$1</f>
        <v>Protein
(Cal)</v>
      </c>
      <c r="J1067" s="92" t="str">
        <f>FoodDB!$I$1</f>
        <v>Total
Calories</v>
      </c>
      <c r="K1067" s="92"/>
      <c r="L1067" s="92" t="s">
        <v>109</v>
      </c>
      <c r="M1067" s="92" t="s">
        <v>110</v>
      </c>
      <c r="N1067" s="92" t="s">
        <v>111</v>
      </c>
      <c r="O1067" s="92" t="s">
        <v>112</v>
      </c>
      <c r="P1067" s="92" t="s">
        <v>117</v>
      </c>
      <c r="Q1067" s="92" t="s">
        <v>118</v>
      </c>
      <c r="R1067" s="92" t="s">
        <v>119</v>
      </c>
      <c r="S1067" s="92" t="s">
        <v>120</v>
      </c>
    </row>
    <row r="1068" spans="1:19" x14ac:dyDescent="0.25">
      <c r="A1068" s="93">
        <f>A1056+1</f>
        <v>43083</v>
      </c>
      <c r="B1068" s="94" t="s">
        <v>107</v>
      </c>
      <c r="C1068" s="95">
        <v>0</v>
      </c>
      <c r="D1068">
        <f>$C1068*VLOOKUP($B1068,FoodDB!$A$2:$I$1011,3,0)</f>
        <v>0</v>
      </c>
      <c r="E1068">
        <f>$C1068*VLOOKUP($B1068,FoodDB!$A$2:$I$1011,4,0)</f>
        <v>0</v>
      </c>
      <c r="F1068">
        <f>$C1068*VLOOKUP($B1068,FoodDB!$A$2:$I$1011,5,0)</f>
        <v>0</v>
      </c>
      <c r="G1068">
        <f>$C1068*VLOOKUP($B1068,FoodDB!$A$2:$I$1011,6,0)</f>
        <v>0</v>
      </c>
      <c r="H1068">
        <f>$C1068*VLOOKUP($B1068,FoodDB!$A$2:$I$1011,7,0)</f>
        <v>0</v>
      </c>
      <c r="I1068">
        <f>$C1068*VLOOKUP($B1068,FoodDB!$A$2:$I$1011,8,0)</f>
        <v>0</v>
      </c>
      <c r="J1068">
        <f>$C1068*VLOOKUP($B1068,FoodDB!$A$2:$I$1011,9,0)</f>
        <v>0</v>
      </c>
      <c r="L1068">
        <f>SUM(G1068:G1074)</f>
        <v>0</v>
      </c>
      <c r="M1068">
        <f>SUM(H1068:H1074)</f>
        <v>0</v>
      </c>
      <c r="N1068">
        <f>SUM(I1068:I1074)</f>
        <v>0</v>
      </c>
      <c r="O1068">
        <f>SUM(L1068:N1068)</f>
        <v>0</v>
      </c>
      <c r="P1068" s="98">
        <f>VLOOKUP($A1068,LossChart!$A$3:$AB$105,14,0)-L1068</f>
        <v>844.61714883293712</v>
      </c>
      <c r="Q1068" s="98">
        <f>VLOOKUP($A1068,LossChart!$A$3:$AB$105,15,0)-M1068</f>
        <v>112</v>
      </c>
      <c r="R1068" s="98">
        <f>VLOOKUP($A1068,LossChart!$A$3:$AB$105,16,0)-N1068</f>
        <v>482.47465271142238</v>
      </c>
      <c r="S1068" s="98">
        <f>VLOOKUP($A1068,LossChart!$A$3:$AB$105,17,0)-O1068</f>
        <v>1439.0918015443594</v>
      </c>
    </row>
    <row r="1069" spans="1:19" x14ac:dyDescent="0.25">
      <c r="B1069" s="94" t="s">
        <v>107</v>
      </c>
      <c r="C1069" s="95">
        <v>0</v>
      </c>
      <c r="D1069">
        <f>$C1069*VLOOKUP($B1069,FoodDB!$A$2:$I$1011,3,0)</f>
        <v>0</v>
      </c>
      <c r="E1069">
        <f>$C1069*VLOOKUP($B1069,FoodDB!$A$2:$I$1011,4,0)</f>
        <v>0</v>
      </c>
      <c r="F1069">
        <f>$C1069*VLOOKUP($B1069,FoodDB!$A$2:$I$1011,5,0)</f>
        <v>0</v>
      </c>
      <c r="G1069">
        <f>$C1069*VLOOKUP($B1069,FoodDB!$A$2:$I$1011,6,0)</f>
        <v>0</v>
      </c>
      <c r="H1069">
        <f>$C1069*VLOOKUP($B1069,FoodDB!$A$2:$I$1011,7,0)</f>
        <v>0</v>
      </c>
      <c r="I1069">
        <f>$C1069*VLOOKUP($B1069,FoodDB!$A$2:$I$1011,8,0)</f>
        <v>0</v>
      </c>
      <c r="J1069">
        <f>$C1069*VLOOKUP($B1069,FoodDB!$A$2:$I$1011,9,0)</f>
        <v>0</v>
      </c>
    </row>
    <row r="1070" spans="1:19" x14ac:dyDescent="0.25">
      <c r="B1070" s="94" t="s">
        <v>107</v>
      </c>
      <c r="C1070" s="95">
        <v>0</v>
      </c>
      <c r="D1070">
        <f>$C1070*VLOOKUP($B1070,FoodDB!$A$2:$I$1011,3,0)</f>
        <v>0</v>
      </c>
      <c r="E1070">
        <f>$C1070*VLOOKUP($B1070,FoodDB!$A$2:$I$1011,4,0)</f>
        <v>0</v>
      </c>
      <c r="F1070">
        <f>$C1070*VLOOKUP($B1070,FoodDB!$A$2:$I$1011,5,0)</f>
        <v>0</v>
      </c>
      <c r="G1070">
        <f>$C1070*VLOOKUP($B1070,FoodDB!$A$2:$I$1011,6,0)</f>
        <v>0</v>
      </c>
      <c r="H1070">
        <f>$C1070*VLOOKUP($B1070,FoodDB!$A$2:$I$1011,7,0)</f>
        <v>0</v>
      </c>
      <c r="I1070">
        <f>$C1070*VLOOKUP($B1070,FoodDB!$A$2:$I$1011,8,0)</f>
        <v>0</v>
      </c>
      <c r="J1070">
        <f>$C1070*VLOOKUP($B1070,FoodDB!$A$2:$I$1011,9,0)</f>
        <v>0</v>
      </c>
    </row>
    <row r="1071" spans="1:19" x14ac:dyDescent="0.25">
      <c r="B1071" s="94" t="s">
        <v>107</v>
      </c>
      <c r="C1071" s="95">
        <v>0</v>
      </c>
      <c r="D1071">
        <f>$C1071*VLOOKUP($B1071,FoodDB!$A$2:$I$1011,3,0)</f>
        <v>0</v>
      </c>
      <c r="E1071">
        <f>$C1071*VLOOKUP($B1071,FoodDB!$A$2:$I$1011,4,0)</f>
        <v>0</v>
      </c>
      <c r="F1071">
        <f>$C1071*VLOOKUP($B1071,FoodDB!$A$2:$I$1011,5,0)</f>
        <v>0</v>
      </c>
      <c r="G1071">
        <f>$C1071*VLOOKUP($B1071,FoodDB!$A$2:$I$1011,6,0)</f>
        <v>0</v>
      </c>
      <c r="H1071">
        <f>$C1071*VLOOKUP($B1071,FoodDB!$A$2:$I$1011,7,0)</f>
        <v>0</v>
      </c>
      <c r="I1071">
        <f>$C1071*VLOOKUP($B1071,FoodDB!$A$2:$I$1011,8,0)</f>
        <v>0</v>
      </c>
      <c r="J1071">
        <f>$C1071*VLOOKUP($B1071,FoodDB!$A$2:$I$1011,9,0)</f>
        <v>0</v>
      </c>
    </row>
    <row r="1072" spans="1:19" x14ac:dyDescent="0.25">
      <c r="B1072" s="94" t="s">
        <v>107</v>
      </c>
      <c r="C1072" s="95">
        <v>0</v>
      </c>
      <c r="D1072">
        <f>$C1072*VLOOKUP($B1072,FoodDB!$A$2:$I$1011,3,0)</f>
        <v>0</v>
      </c>
      <c r="E1072">
        <f>$C1072*VLOOKUP($B1072,FoodDB!$A$2:$I$1011,4,0)</f>
        <v>0</v>
      </c>
      <c r="F1072">
        <f>$C1072*VLOOKUP($B1072,FoodDB!$A$2:$I$1011,5,0)</f>
        <v>0</v>
      </c>
      <c r="G1072">
        <f>$C1072*VLOOKUP($B1072,FoodDB!$A$2:$I$1011,6,0)</f>
        <v>0</v>
      </c>
      <c r="H1072">
        <f>$C1072*VLOOKUP($B1072,FoodDB!$A$2:$I$1011,7,0)</f>
        <v>0</v>
      </c>
      <c r="I1072">
        <f>$C1072*VLOOKUP($B1072,FoodDB!$A$2:$I$1011,8,0)</f>
        <v>0</v>
      </c>
      <c r="J1072">
        <f>$C1072*VLOOKUP($B1072,FoodDB!$A$2:$I$1011,9,0)</f>
        <v>0</v>
      </c>
    </row>
    <row r="1073" spans="1:19" x14ac:dyDescent="0.25">
      <c r="B1073" s="94" t="s">
        <v>107</v>
      </c>
      <c r="C1073" s="95">
        <v>0</v>
      </c>
      <c r="D1073">
        <f>$C1073*VLOOKUP($B1073,FoodDB!$A$2:$I$1011,3,0)</f>
        <v>0</v>
      </c>
      <c r="E1073">
        <f>$C1073*VLOOKUP($B1073,FoodDB!$A$2:$I$1011,4,0)</f>
        <v>0</v>
      </c>
      <c r="F1073">
        <f>$C1073*VLOOKUP($B1073,FoodDB!$A$2:$I$1011,5,0)</f>
        <v>0</v>
      </c>
      <c r="G1073">
        <f>$C1073*VLOOKUP($B1073,FoodDB!$A$2:$I$1011,6,0)</f>
        <v>0</v>
      </c>
      <c r="H1073">
        <f>$C1073*VLOOKUP($B1073,FoodDB!$A$2:$I$1011,7,0)</f>
        <v>0</v>
      </c>
      <c r="I1073">
        <f>$C1073*VLOOKUP($B1073,FoodDB!$A$2:$I$1011,8,0)</f>
        <v>0</v>
      </c>
      <c r="J1073">
        <f>$C1073*VLOOKUP($B1073,FoodDB!$A$2:$I$1011,9,0)</f>
        <v>0</v>
      </c>
    </row>
    <row r="1074" spans="1:19" x14ac:dyDescent="0.25">
      <c r="B1074" s="94" t="s">
        <v>107</v>
      </c>
      <c r="C1074" s="95">
        <v>0</v>
      </c>
      <c r="D1074">
        <f>$C1074*VLOOKUP($B1074,FoodDB!$A$2:$I$1011,3,0)</f>
        <v>0</v>
      </c>
      <c r="E1074">
        <f>$C1074*VLOOKUP($B1074,FoodDB!$A$2:$I$1011,4,0)</f>
        <v>0</v>
      </c>
      <c r="F1074">
        <f>$C1074*VLOOKUP($B1074,FoodDB!$A$2:$I$1011,5,0)</f>
        <v>0</v>
      </c>
      <c r="G1074">
        <f>$C1074*VLOOKUP($B1074,FoodDB!$A$2:$I$1011,6,0)</f>
        <v>0</v>
      </c>
      <c r="H1074">
        <f>$C1074*VLOOKUP($B1074,FoodDB!$A$2:$I$1011,7,0)</f>
        <v>0</v>
      </c>
      <c r="I1074">
        <f>$C1074*VLOOKUP($B1074,FoodDB!$A$2:$I$1011,8,0)</f>
        <v>0</v>
      </c>
      <c r="J1074">
        <f>$C1074*VLOOKUP($B1074,FoodDB!$A$2:$I$1011,9,0)</f>
        <v>0</v>
      </c>
    </row>
    <row r="1075" spans="1:19" x14ac:dyDescent="0.25">
      <c r="A1075" t="s">
        <v>97</v>
      </c>
      <c r="G1075">
        <f>SUM(G1068:G1074)</f>
        <v>0</v>
      </c>
      <c r="H1075">
        <f>SUM(H1068:H1074)</f>
        <v>0</v>
      </c>
      <c r="I1075">
        <f>SUM(I1068:I1074)</f>
        <v>0</v>
      </c>
      <c r="J1075">
        <f>SUM(G1075:I1075)</f>
        <v>0</v>
      </c>
    </row>
    <row r="1076" spans="1:19" x14ac:dyDescent="0.25">
      <c r="A1076" t="s">
        <v>101</v>
      </c>
      <c r="B1076" t="s">
        <v>102</v>
      </c>
      <c r="E1076" s="98"/>
      <c r="F1076" s="98"/>
      <c r="G1076" s="98">
        <f>VLOOKUP($A1068,LossChart!$A$3:$AB$105,14,0)</f>
        <v>844.61714883293712</v>
      </c>
      <c r="H1076" s="98">
        <f>VLOOKUP($A1068,LossChart!$A$3:$AB$105,15,0)</f>
        <v>112</v>
      </c>
      <c r="I1076" s="98">
        <f>VLOOKUP($A1068,LossChart!$A$3:$AB$105,16,0)</f>
        <v>482.47465271142238</v>
      </c>
      <c r="J1076" s="98">
        <f>VLOOKUP($A1068,LossChart!$A$3:$AB$105,17,0)</f>
        <v>1439.0918015443594</v>
      </c>
      <c r="K1076" s="98"/>
    </row>
    <row r="1077" spans="1:19" x14ac:dyDescent="0.25">
      <c r="A1077" t="s">
        <v>103</v>
      </c>
      <c r="G1077">
        <f>G1076-G1075</f>
        <v>844.61714883293712</v>
      </c>
      <c r="H1077">
        <f>H1076-H1075</f>
        <v>112</v>
      </c>
      <c r="I1077">
        <f>I1076-I1075</f>
        <v>482.47465271142238</v>
      </c>
      <c r="J1077">
        <f>J1076-J1075</f>
        <v>1439.0918015443594</v>
      </c>
    </row>
    <row r="1079" spans="1:19" ht="60" x14ac:dyDescent="0.25">
      <c r="A1079" s="21" t="s">
        <v>63</v>
      </c>
      <c r="B1079" s="21" t="s">
        <v>92</v>
      </c>
      <c r="C1079" s="21" t="s">
        <v>93</v>
      </c>
      <c r="D1079" s="92" t="str">
        <f>FoodDB!$C$1</f>
        <v>Fat
(g)</v>
      </c>
      <c r="E1079" s="92" t="str">
        <f>FoodDB!$D$1</f>
        <v xml:space="preserve"> Carbs
(g)</v>
      </c>
      <c r="F1079" s="92" t="str">
        <f>FoodDB!$E$1</f>
        <v>Protein
(g)</v>
      </c>
      <c r="G1079" s="92" t="str">
        <f>FoodDB!$F$1</f>
        <v>Fat
(Cal)</v>
      </c>
      <c r="H1079" s="92" t="str">
        <f>FoodDB!$G$1</f>
        <v>Carb
(Cal)</v>
      </c>
      <c r="I1079" s="92" t="str">
        <f>FoodDB!$H$1</f>
        <v>Protein
(Cal)</v>
      </c>
      <c r="J1079" s="92" t="str">
        <f>FoodDB!$I$1</f>
        <v>Total
Calories</v>
      </c>
      <c r="K1079" s="92"/>
      <c r="L1079" s="92" t="s">
        <v>109</v>
      </c>
      <c r="M1079" s="92" t="s">
        <v>110</v>
      </c>
      <c r="N1079" s="92" t="s">
        <v>111</v>
      </c>
      <c r="O1079" s="92" t="s">
        <v>112</v>
      </c>
      <c r="P1079" s="92" t="s">
        <v>117</v>
      </c>
      <c r="Q1079" s="92" t="s">
        <v>118</v>
      </c>
      <c r="R1079" s="92" t="s">
        <v>119</v>
      </c>
      <c r="S1079" s="92" t="s">
        <v>120</v>
      </c>
    </row>
    <row r="1080" spans="1:19" x14ac:dyDescent="0.25">
      <c r="A1080" s="93">
        <f>A1068+1</f>
        <v>43084</v>
      </c>
      <c r="B1080" s="94" t="s">
        <v>107</v>
      </c>
      <c r="C1080" s="95">
        <v>0</v>
      </c>
      <c r="D1080">
        <f>$C1080*VLOOKUP($B1080,FoodDB!$A$2:$I$1011,3,0)</f>
        <v>0</v>
      </c>
      <c r="E1080">
        <f>$C1080*VLOOKUP($B1080,FoodDB!$A$2:$I$1011,4,0)</f>
        <v>0</v>
      </c>
      <c r="F1080">
        <f>$C1080*VLOOKUP($B1080,FoodDB!$A$2:$I$1011,5,0)</f>
        <v>0</v>
      </c>
      <c r="G1080">
        <f>$C1080*VLOOKUP($B1080,FoodDB!$A$2:$I$1011,6,0)</f>
        <v>0</v>
      </c>
      <c r="H1080">
        <f>$C1080*VLOOKUP($B1080,FoodDB!$A$2:$I$1011,7,0)</f>
        <v>0</v>
      </c>
      <c r="I1080">
        <f>$C1080*VLOOKUP($B1080,FoodDB!$A$2:$I$1011,8,0)</f>
        <v>0</v>
      </c>
      <c r="J1080">
        <f>$C1080*VLOOKUP($B1080,FoodDB!$A$2:$I$1011,9,0)</f>
        <v>0</v>
      </c>
      <c r="L1080">
        <f>SUM(G1080:G1086)</f>
        <v>0</v>
      </c>
      <c r="M1080">
        <f>SUM(H1080:H1086)</f>
        <v>0</v>
      </c>
      <c r="N1080">
        <f>SUM(I1080:I1086)</f>
        <v>0</v>
      </c>
      <c r="O1080">
        <f>SUM(L1080:N1080)</f>
        <v>0</v>
      </c>
      <c r="P1080" s="98">
        <f>VLOOKUP($A1080,LossChart!$A$3:$AB$105,14,0)-L1080</f>
        <v>844.48755353319962</v>
      </c>
      <c r="Q1080" s="98">
        <f>VLOOKUP($A1080,LossChart!$A$3:$AB$105,15,0)-M1080</f>
        <v>116</v>
      </c>
      <c r="R1080" s="98">
        <f>VLOOKUP($A1080,LossChart!$A$3:$AB$105,16,0)-N1080</f>
        <v>482.47465271142238</v>
      </c>
      <c r="S1080" s="98">
        <f>VLOOKUP($A1080,LossChart!$A$3:$AB$105,17,0)-O1080</f>
        <v>1442.9622062446219</v>
      </c>
    </row>
    <row r="1081" spans="1:19" x14ac:dyDescent="0.25">
      <c r="B1081" s="94" t="s">
        <v>107</v>
      </c>
      <c r="C1081" s="95">
        <v>0</v>
      </c>
      <c r="D1081">
        <f>$C1081*VLOOKUP($B1081,FoodDB!$A$2:$I$1011,3,0)</f>
        <v>0</v>
      </c>
      <c r="E1081">
        <f>$C1081*VLOOKUP($B1081,FoodDB!$A$2:$I$1011,4,0)</f>
        <v>0</v>
      </c>
      <c r="F1081">
        <f>$C1081*VLOOKUP($B1081,FoodDB!$A$2:$I$1011,5,0)</f>
        <v>0</v>
      </c>
      <c r="G1081">
        <f>$C1081*VLOOKUP($B1081,FoodDB!$A$2:$I$1011,6,0)</f>
        <v>0</v>
      </c>
      <c r="H1081">
        <f>$C1081*VLOOKUP($B1081,FoodDB!$A$2:$I$1011,7,0)</f>
        <v>0</v>
      </c>
      <c r="I1081">
        <f>$C1081*VLOOKUP($B1081,FoodDB!$A$2:$I$1011,8,0)</f>
        <v>0</v>
      </c>
      <c r="J1081">
        <f>$C1081*VLOOKUP($B1081,FoodDB!$A$2:$I$1011,9,0)</f>
        <v>0</v>
      </c>
    </row>
    <row r="1082" spans="1:19" x14ac:dyDescent="0.25">
      <c r="B1082" s="94" t="s">
        <v>107</v>
      </c>
      <c r="C1082" s="95">
        <v>0</v>
      </c>
      <c r="D1082">
        <f>$C1082*VLOOKUP($B1082,FoodDB!$A$2:$I$1011,3,0)</f>
        <v>0</v>
      </c>
      <c r="E1082">
        <f>$C1082*VLOOKUP($B1082,FoodDB!$A$2:$I$1011,4,0)</f>
        <v>0</v>
      </c>
      <c r="F1082">
        <f>$C1082*VLOOKUP($B1082,FoodDB!$A$2:$I$1011,5,0)</f>
        <v>0</v>
      </c>
      <c r="G1082">
        <f>$C1082*VLOOKUP($B1082,FoodDB!$A$2:$I$1011,6,0)</f>
        <v>0</v>
      </c>
      <c r="H1082">
        <f>$C1082*VLOOKUP($B1082,FoodDB!$A$2:$I$1011,7,0)</f>
        <v>0</v>
      </c>
      <c r="I1082">
        <f>$C1082*VLOOKUP($B1082,FoodDB!$A$2:$I$1011,8,0)</f>
        <v>0</v>
      </c>
      <c r="J1082">
        <f>$C1082*VLOOKUP($B1082,FoodDB!$A$2:$I$1011,9,0)</f>
        <v>0</v>
      </c>
    </row>
    <row r="1083" spans="1:19" x14ac:dyDescent="0.25">
      <c r="B1083" s="94" t="s">
        <v>107</v>
      </c>
      <c r="C1083" s="95">
        <v>0</v>
      </c>
      <c r="D1083">
        <f>$C1083*VLOOKUP($B1083,FoodDB!$A$2:$I$1011,3,0)</f>
        <v>0</v>
      </c>
      <c r="E1083">
        <f>$C1083*VLOOKUP($B1083,FoodDB!$A$2:$I$1011,4,0)</f>
        <v>0</v>
      </c>
      <c r="F1083">
        <f>$C1083*VLOOKUP($B1083,FoodDB!$A$2:$I$1011,5,0)</f>
        <v>0</v>
      </c>
      <c r="G1083">
        <f>$C1083*VLOOKUP($B1083,FoodDB!$A$2:$I$1011,6,0)</f>
        <v>0</v>
      </c>
      <c r="H1083">
        <f>$C1083*VLOOKUP($B1083,FoodDB!$A$2:$I$1011,7,0)</f>
        <v>0</v>
      </c>
      <c r="I1083">
        <f>$C1083*VLOOKUP($B1083,FoodDB!$A$2:$I$1011,8,0)</f>
        <v>0</v>
      </c>
      <c r="J1083">
        <f>$C1083*VLOOKUP($B1083,FoodDB!$A$2:$I$1011,9,0)</f>
        <v>0</v>
      </c>
    </row>
    <row r="1084" spans="1:19" x14ac:dyDescent="0.25">
      <c r="B1084" s="94" t="s">
        <v>107</v>
      </c>
      <c r="C1084" s="95">
        <v>0</v>
      </c>
      <c r="D1084">
        <f>$C1084*VLOOKUP($B1084,FoodDB!$A$2:$I$1011,3,0)</f>
        <v>0</v>
      </c>
      <c r="E1084">
        <f>$C1084*VLOOKUP($B1084,FoodDB!$A$2:$I$1011,4,0)</f>
        <v>0</v>
      </c>
      <c r="F1084">
        <f>$C1084*VLOOKUP($B1084,FoodDB!$A$2:$I$1011,5,0)</f>
        <v>0</v>
      </c>
      <c r="G1084">
        <f>$C1084*VLOOKUP($B1084,FoodDB!$A$2:$I$1011,6,0)</f>
        <v>0</v>
      </c>
      <c r="H1084">
        <f>$C1084*VLOOKUP($B1084,FoodDB!$A$2:$I$1011,7,0)</f>
        <v>0</v>
      </c>
      <c r="I1084">
        <f>$C1084*VLOOKUP($B1084,FoodDB!$A$2:$I$1011,8,0)</f>
        <v>0</v>
      </c>
      <c r="J1084">
        <f>$C1084*VLOOKUP($B1084,FoodDB!$A$2:$I$1011,9,0)</f>
        <v>0</v>
      </c>
    </row>
    <row r="1085" spans="1:19" x14ac:dyDescent="0.25">
      <c r="B1085" s="94" t="s">
        <v>107</v>
      </c>
      <c r="C1085" s="95">
        <v>0</v>
      </c>
      <c r="D1085">
        <f>$C1085*VLOOKUP($B1085,FoodDB!$A$2:$I$1011,3,0)</f>
        <v>0</v>
      </c>
      <c r="E1085">
        <f>$C1085*VLOOKUP($B1085,FoodDB!$A$2:$I$1011,4,0)</f>
        <v>0</v>
      </c>
      <c r="F1085">
        <f>$C1085*VLOOKUP($B1085,FoodDB!$A$2:$I$1011,5,0)</f>
        <v>0</v>
      </c>
      <c r="G1085">
        <f>$C1085*VLOOKUP($B1085,FoodDB!$A$2:$I$1011,6,0)</f>
        <v>0</v>
      </c>
      <c r="H1085">
        <f>$C1085*VLOOKUP($B1085,FoodDB!$A$2:$I$1011,7,0)</f>
        <v>0</v>
      </c>
      <c r="I1085">
        <f>$C1085*VLOOKUP($B1085,FoodDB!$A$2:$I$1011,8,0)</f>
        <v>0</v>
      </c>
      <c r="J1085">
        <f>$C1085*VLOOKUP($B1085,FoodDB!$A$2:$I$1011,9,0)</f>
        <v>0</v>
      </c>
    </row>
    <row r="1086" spans="1:19" x14ac:dyDescent="0.25">
      <c r="B1086" s="94" t="s">
        <v>107</v>
      </c>
      <c r="C1086" s="95">
        <v>0</v>
      </c>
      <c r="D1086">
        <f>$C1086*VLOOKUP($B1086,FoodDB!$A$2:$I$1011,3,0)</f>
        <v>0</v>
      </c>
      <c r="E1086">
        <f>$C1086*VLOOKUP($B1086,FoodDB!$A$2:$I$1011,4,0)</f>
        <v>0</v>
      </c>
      <c r="F1086">
        <f>$C1086*VLOOKUP($B1086,FoodDB!$A$2:$I$1011,5,0)</f>
        <v>0</v>
      </c>
      <c r="G1086">
        <f>$C1086*VLOOKUP($B1086,FoodDB!$A$2:$I$1011,6,0)</f>
        <v>0</v>
      </c>
      <c r="H1086">
        <f>$C1086*VLOOKUP($B1086,FoodDB!$A$2:$I$1011,7,0)</f>
        <v>0</v>
      </c>
      <c r="I1086">
        <f>$C1086*VLOOKUP($B1086,FoodDB!$A$2:$I$1011,8,0)</f>
        <v>0</v>
      </c>
      <c r="J1086">
        <f>$C1086*VLOOKUP($B1086,FoodDB!$A$2:$I$1011,9,0)</f>
        <v>0</v>
      </c>
    </row>
    <row r="1087" spans="1:19" x14ac:dyDescent="0.25">
      <c r="A1087" t="s">
        <v>97</v>
      </c>
      <c r="G1087">
        <f>SUM(G1080:G1086)</f>
        <v>0</v>
      </c>
      <c r="H1087">
        <f>SUM(H1080:H1086)</f>
        <v>0</v>
      </c>
      <c r="I1087">
        <f>SUM(I1080:I1086)</f>
        <v>0</v>
      </c>
      <c r="J1087">
        <f>SUM(G1087:I1087)</f>
        <v>0</v>
      </c>
    </row>
    <row r="1088" spans="1:19" x14ac:dyDescent="0.25">
      <c r="A1088" t="s">
        <v>101</v>
      </c>
      <c r="B1088" t="s">
        <v>102</v>
      </c>
      <c r="E1088" s="98"/>
      <c r="F1088" s="98"/>
      <c r="G1088" s="98">
        <f>VLOOKUP($A1080,LossChart!$A$3:$AB$105,14,0)</f>
        <v>844.48755353319962</v>
      </c>
      <c r="H1088" s="98">
        <f>VLOOKUP($A1080,LossChart!$A$3:$AB$105,15,0)</f>
        <v>116</v>
      </c>
      <c r="I1088" s="98">
        <f>VLOOKUP($A1080,LossChart!$A$3:$AB$105,16,0)</f>
        <v>482.47465271142238</v>
      </c>
      <c r="J1088" s="98">
        <f>VLOOKUP($A1080,LossChart!$A$3:$AB$105,17,0)</f>
        <v>1442.9622062446219</v>
      </c>
      <c r="K1088" s="98"/>
    </row>
    <row r="1089" spans="1:19" x14ac:dyDescent="0.25">
      <c r="A1089" t="s">
        <v>103</v>
      </c>
      <c r="G1089">
        <f>G1088-G1087</f>
        <v>844.48755353319962</v>
      </c>
      <c r="H1089">
        <f>H1088-H1087</f>
        <v>116</v>
      </c>
      <c r="I1089">
        <f>I1088-I1087</f>
        <v>482.47465271142238</v>
      </c>
      <c r="J1089">
        <f>J1088-J1087</f>
        <v>1442.9622062446219</v>
      </c>
    </row>
    <row r="1091" spans="1:19" ht="60" x14ac:dyDescent="0.25">
      <c r="A1091" s="21" t="s">
        <v>63</v>
      </c>
      <c r="B1091" s="21" t="s">
        <v>92</v>
      </c>
      <c r="C1091" s="21" t="s">
        <v>93</v>
      </c>
      <c r="D1091" s="92" t="str">
        <f>FoodDB!$C$1</f>
        <v>Fat
(g)</v>
      </c>
      <c r="E1091" s="92" t="str">
        <f>FoodDB!$D$1</f>
        <v xml:space="preserve"> Carbs
(g)</v>
      </c>
      <c r="F1091" s="92" t="str">
        <f>FoodDB!$E$1</f>
        <v>Protein
(g)</v>
      </c>
      <c r="G1091" s="92" t="str">
        <f>FoodDB!$F$1</f>
        <v>Fat
(Cal)</v>
      </c>
      <c r="H1091" s="92" t="str">
        <f>FoodDB!$G$1</f>
        <v>Carb
(Cal)</v>
      </c>
      <c r="I1091" s="92" t="str">
        <f>FoodDB!$H$1</f>
        <v>Protein
(Cal)</v>
      </c>
      <c r="J1091" s="92" t="str">
        <f>FoodDB!$I$1</f>
        <v>Total
Calories</v>
      </c>
      <c r="K1091" s="92"/>
      <c r="L1091" s="92" t="s">
        <v>109</v>
      </c>
      <c r="M1091" s="92" t="s">
        <v>110</v>
      </c>
      <c r="N1091" s="92" t="s">
        <v>111</v>
      </c>
      <c r="O1091" s="92" t="s">
        <v>112</v>
      </c>
      <c r="P1091" s="92" t="s">
        <v>117</v>
      </c>
      <c r="Q1091" s="92" t="s">
        <v>118</v>
      </c>
      <c r="R1091" s="92" t="s">
        <v>119</v>
      </c>
      <c r="S1091" s="92" t="s">
        <v>120</v>
      </c>
    </row>
    <row r="1092" spans="1:19" x14ac:dyDescent="0.25">
      <c r="A1092" s="93">
        <f>A1080+1</f>
        <v>43085</v>
      </c>
      <c r="B1092" s="94" t="s">
        <v>107</v>
      </c>
      <c r="C1092" s="95">
        <v>0</v>
      </c>
      <c r="D1092">
        <f>$C1092*VLOOKUP($B1092,FoodDB!$A$2:$I$1011,3,0)</f>
        <v>0</v>
      </c>
      <c r="E1092">
        <f>$C1092*VLOOKUP($B1092,FoodDB!$A$2:$I$1011,4,0)</f>
        <v>0</v>
      </c>
      <c r="F1092">
        <f>$C1092*VLOOKUP($B1092,FoodDB!$A$2:$I$1011,5,0)</f>
        <v>0</v>
      </c>
      <c r="G1092">
        <f>$C1092*VLOOKUP($B1092,FoodDB!$A$2:$I$1011,6,0)</f>
        <v>0</v>
      </c>
      <c r="H1092">
        <f>$C1092*VLOOKUP($B1092,FoodDB!$A$2:$I$1011,7,0)</f>
        <v>0</v>
      </c>
      <c r="I1092">
        <f>$C1092*VLOOKUP($B1092,FoodDB!$A$2:$I$1011,8,0)</f>
        <v>0</v>
      </c>
      <c r="J1092">
        <f>$C1092*VLOOKUP($B1092,FoodDB!$A$2:$I$1011,9,0)</f>
        <v>0</v>
      </c>
      <c r="L1092">
        <f>SUM(G1092:G1098)</f>
        <v>0</v>
      </c>
      <c r="M1092">
        <f>SUM(H1092:H1098)</f>
        <v>0</v>
      </c>
      <c r="N1092">
        <f>SUM(I1092:I1098)</f>
        <v>0</v>
      </c>
      <c r="O1092">
        <f>SUM(L1092:N1092)</f>
        <v>0</v>
      </c>
      <c r="P1092" s="98">
        <f>VLOOKUP($A1092,LossChart!$A$3:$AB$105,14,0)-L1092</f>
        <v>848.32367750611638</v>
      </c>
      <c r="Q1092" s="98">
        <f>VLOOKUP($A1092,LossChart!$A$3:$AB$105,15,0)-M1092</f>
        <v>116</v>
      </c>
      <c r="R1092" s="98">
        <f>VLOOKUP($A1092,LossChart!$A$3:$AB$105,16,0)-N1092</f>
        <v>482.47465271142238</v>
      </c>
      <c r="S1092" s="98">
        <f>VLOOKUP($A1092,LossChart!$A$3:$AB$105,17,0)-O1092</f>
        <v>1446.7983302175387</v>
      </c>
    </row>
    <row r="1093" spans="1:19" x14ac:dyDescent="0.25">
      <c r="B1093" s="94" t="s">
        <v>107</v>
      </c>
      <c r="C1093" s="95">
        <v>0</v>
      </c>
      <c r="D1093">
        <f>$C1093*VLOOKUP($B1093,FoodDB!$A$2:$I$1011,3,0)</f>
        <v>0</v>
      </c>
      <c r="E1093">
        <f>$C1093*VLOOKUP($B1093,FoodDB!$A$2:$I$1011,4,0)</f>
        <v>0</v>
      </c>
      <c r="F1093">
        <f>$C1093*VLOOKUP($B1093,FoodDB!$A$2:$I$1011,5,0)</f>
        <v>0</v>
      </c>
      <c r="G1093">
        <f>$C1093*VLOOKUP($B1093,FoodDB!$A$2:$I$1011,6,0)</f>
        <v>0</v>
      </c>
      <c r="H1093">
        <f>$C1093*VLOOKUP($B1093,FoodDB!$A$2:$I$1011,7,0)</f>
        <v>0</v>
      </c>
      <c r="I1093">
        <f>$C1093*VLOOKUP($B1093,FoodDB!$A$2:$I$1011,8,0)</f>
        <v>0</v>
      </c>
      <c r="J1093">
        <f>$C1093*VLOOKUP($B1093,FoodDB!$A$2:$I$1011,9,0)</f>
        <v>0</v>
      </c>
    </row>
    <row r="1094" spans="1:19" x14ac:dyDescent="0.25">
      <c r="B1094" s="94" t="s">
        <v>107</v>
      </c>
      <c r="C1094" s="95">
        <v>0</v>
      </c>
      <c r="D1094">
        <f>$C1094*VLOOKUP($B1094,FoodDB!$A$2:$I$1011,3,0)</f>
        <v>0</v>
      </c>
      <c r="E1094">
        <f>$C1094*VLOOKUP($B1094,FoodDB!$A$2:$I$1011,4,0)</f>
        <v>0</v>
      </c>
      <c r="F1094">
        <f>$C1094*VLOOKUP($B1094,FoodDB!$A$2:$I$1011,5,0)</f>
        <v>0</v>
      </c>
      <c r="G1094">
        <f>$C1094*VLOOKUP($B1094,FoodDB!$A$2:$I$1011,6,0)</f>
        <v>0</v>
      </c>
      <c r="H1094">
        <f>$C1094*VLOOKUP($B1094,FoodDB!$A$2:$I$1011,7,0)</f>
        <v>0</v>
      </c>
      <c r="I1094">
        <f>$C1094*VLOOKUP($B1094,FoodDB!$A$2:$I$1011,8,0)</f>
        <v>0</v>
      </c>
      <c r="J1094">
        <f>$C1094*VLOOKUP($B1094,FoodDB!$A$2:$I$1011,9,0)</f>
        <v>0</v>
      </c>
    </row>
    <row r="1095" spans="1:19" x14ac:dyDescent="0.25">
      <c r="B1095" s="94" t="s">
        <v>107</v>
      </c>
      <c r="C1095" s="95">
        <v>0</v>
      </c>
      <c r="D1095">
        <f>$C1095*VLOOKUP($B1095,FoodDB!$A$2:$I$1011,3,0)</f>
        <v>0</v>
      </c>
      <c r="E1095">
        <f>$C1095*VLOOKUP($B1095,FoodDB!$A$2:$I$1011,4,0)</f>
        <v>0</v>
      </c>
      <c r="F1095">
        <f>$C1095*VLOOKUP($B1095,FoodDB!$A$2:$I$1011,5,0)</f>
        <v>0</v>
      </c>
      <c r="G1095">
        <f>$C1095*VLOOKUP($B1095,FoodDB!$A$2:$I$1011,6,0)</f>
        <v>0</v>
      </c>
      <c r="H1095">
        <f>$C1095*VLOOKUP($B1095,FoodDB!$A$2:$I$1011,7,0)</f>
        <v>0</v>
      </c>
      <c r="I1095">
        <f>$C1095*VLOOKUP($B1095,FoodDB!$A$2:$I$1011,8,0)</f>
        <v>0</v>
      </c>
      <c r="J1095">
        <f>$C1095*VLOOKUP($B1095,FoodDB!$A$2:$I$1011,9,0)</f>
        <v>0</v>
      </c>
    </row>
    <row r="1096" spans="1:19" x14ac:dyDescent="0.25">
      <c r="B1096" s="94" t="s">
        <v>107</v>
      </c>
      <c r="C1096" s="95">
        <v>0</v>
      </c>
      <c r="D1096">
        <f>$C1096*VLOOKUP($B1096,FoodDB!$A$2:$I$1011,3,0)</f>
        <v>0</v>
      </c>
      <c r="E1096">
        <f>$C1096*VLOOKUP($B1096,FoodDB!$A$2:$I$1011,4,0)</f>
        <v>0</v>
      </c>
      <c r="F1096">
        <f>$C1096*VLOOKUP($B1096,FoodDB!$A$2:$I$1011,5,0)</f>
        <v>0</v>
      </c>
      <c r="G1096">
        <f>$C1096*VLOOKUP($B1096,FoodDB!$A$2:$I$1011,6,0)</f>
        <v>0</v>
      </c>
      <c r="H1096">
        <f>$C1096*VLOOKUP($B1096,FoodDB!$A$2:$I$1011,7,0)</f>
        <v>0</v>
      </c>
      <c r="I1096">
        <f>$C1096*VLOOKUP($B1096,FoodDB!$A$2:$I$1011,8,0)</f>
        <v>0</v>
      </c>
      <c r="J1096">
        <f>$C1096*VLOOKUP($B1096,FoodDB!$A$2:$I$1011,9,0)</f>
        <v>0</v>
      </c>
    </row>
    <row r="1097" spans="1:19" x14ac:dyDescent="0.25">
      <c r="B1097" s="94" t="s">
        <v>107</v>
      </c>
      <c r="C1097" s="95">
        <v>0</v>
      </c>
      <c r="D1097">
        <f>$C1097*VLOOKUP($B1097,FoodDB!$A$2:$I$1011,3,0)</f>
        <v>0</v>
      </c>
      <c r="E1097">
        <f>$C1097*VLOOKUP($B1097,FoodDB!$A$2:$I$1011,4,0)</f>
        <v>0</v>
      </c>
      <c r="F1097">
        <f>$C1097*VLOOKUP($B1097,FoodDB!$A$2:$I$1011,5,0)</f>
        <v>0</v>
      </c>
      <c r="G1097">
        <f>$C1097*VLOOKUP($B1097,FoodDB!$A$2:$I$1011,6,0)</f>
        <v>0</v>
      </c>
      <c r="H1097">
        <f>$C1097*VLOOKUP($B1097,FoodDB!$A$2:$I$1011,7,0)</f>
        <v>0</v>
      </c>
      <c r="I1097">
        <f>$C1097*VLOOKUP($B1097,FoodDB!$A$2:$I$1011,8,0)</f>
        <v>0</v>
      </c>
      <c r="J1097">
        <f>$C1097*VLOOKUP($B1097,FoodDB!$A$2:$I$1011,9,0)</f>
        <v>0</v>
      </c>
    </row>
    <row r="1098" spans="1:19" x14ac:dyDescent="0.25">
      <c r="B1098" s="94" t="s">
        <v>107</v>
      </c>
      <c r="C1098" s="95">
        <v>0</v>
      </c>
      <c r="D1098">
        <f>$C1098*VLOOKUP($B1098,FoodDB!$A$2:$I$1011,3,0)</f>
        <v>0</v>
      </c>
      <c r="E1098">
        <f>$C1098*VLOOKUP($B1098,FoodDB!$A$2:$I$1011,4,0)</f>
        <v>0</v>
      </c>
      <c r="F1098">
        <f>$C1098*VLOOKUP($B1098,FoodDB!$A$2:$I$1011,5,0)</f>
        <v>0</v>
      </c>
      <c r="G1098">
        <f>$C1098*VLOOKUP($B1098,FoodDB!$A$2:$I$1011,6,0)</f>
        <v>0</v>
      </c>
      <c r="H1098">
        <f>$C1098*VLOOKUP($B1098,FoodDB!$A$2:$I$1011,7,0)</f>
        <v>0</v>
      </c>
      <c r="I1098">
        <f>$C1098*VLOOKUP($B1098,FoodDB!$A$2:$I$1011,8,0)</f>
        <v>0</v>
      </c>
      <c r="J1098">
        <f>$C1098*VLOOKUP($B1098,FoodDB!$A$2:$I$1011,9,0)</f>
        <v>0</v>
      </c>
    </row>
    <row r="1099" spans="1:19" x14ac:dyDescent="0.25">
      <c r="A1099" t="s">
        <v>97</v>
      </c>
      <c r="G1099">
        <f>SUM(G1092:G1098)</f>
        <v>0</v>
      </c>
      <c r="H1099">
        <f>SUM(H1092:H1098)</f>
        <v>0</v>
      </c>
      <c r="I1099">
        <f>SUM(I1092:I1098)</f>
        <v>0</v>
      </c>
      <c r="J1099">
        <f>SUM(G1099:I1099)</f>
        <v>0</v>
      </c>
    </row>
    <row r="1100" spans="1:19" x14ac:dyDescent="0.25">
      <c r="A1100" t="s">
        <v>101</v>
      </c>
      <c r="B1100" t="s">
        <v>102</v>
      </c>
      <c r="E1100" s="98"/>
      <c r="F1100" s="98"/>
      <c r="G1100" s="98">
        <f>VLOOKUP($A1092,LossChart!$A$3:$AB$105,14,0)</f>
        <v>848.32367750611638</v>
      </c>
      <c r="H1100" s="98">
        <f>VLOOKUP($A1092,LossChart!$A$3:$AB$105,15,0)</f>
        <v>116</v>
      </c>
      <c r="I1100" s="98">
        <f>VLOOKUP($A1092,LossChart!$A$3:$AB$105,16,0)</f>
        <v>482.47465271142238</v>
      </c>
      <c r="J1100" s="98">
        <f>VLOOKUP($A1092,LossChart!$A$3:$AB$105,17,0)</f>
        <v>1446.7983302175387</v>
      </c>
      <c r="K1100" s="98"/>
    </row>
    <row r="1101" spans="1:19" x14ac:dyDescent="0.25">
      <c r="A1101" t="s">
        <v>103</v>
      </c>
      <c r="G1101">
        <f>G1100-G1099</f>
        <v>848.32367750611638</v>
      </c>
      <c r="H1101">
        <f>H1100-H1099</f>
        <v>116</v>
      </c>
      <c r="I1101">
        <f>I1100-I1099</f>
        <v>482.47465271142238</v>
      </c>
      <c r="J1101">
        <f>J1100-J1099</f>
        <v>1446.7983302175387</v>
      </c>
    </row>
    <row r="1103" spans="1:19" ht="60" x14ac:dyDescent="0.25">
      <c r="A1103" s="21" t="s">
        <v>63</v>
      </c>
      <c r="B1103" s="21" t="s">
        <v>92</v>
      </c>
      <c r="C1103" s="21" t="s">
        <v>93</v>
      </c>
      <c r="D1103" s="92" t="str">
        <f>FoodDB!$C$1</f>
        <v>Fat
(g)</v>
      </c>
      <c r="E1103" s="92" t="str">
        <f>FoodDB!$D$1</f>
        <v xml:space="preserve"> Carbs
(g)</v>
      </c>
      <c r="F1103" s="92" t="str">
        <f>FoodDB!$E$1</f>
        <v>Protein
(g)</v>
      </c>
      <c r="G1103" s="92" t="str">
        <f>FoodDB!$F$1</f>
        <v>Fat
(Cal)</v>
      </c>
      <c r="H1103" s="92" t="str">
        <f>FoodDB!$G$1</f>
        <v>Carb
(Cal)</v>
      </c>
      <c r="I1103" s="92" t="str">
        <f>FoodDB!$H$1</f>
        <v>Protein
(Cal)</v>
      </c>
      <c r="J1103" s="92" t="str">
        <f>FoodDB!$I$1</f>
        <v>Total
Calories</v>
      </c>
      <c r="K1103" s="92"/>
      <c r="L1103" s="92" t="s">
        <v>109</v>
      </c>
      <c r="M1103" s="92" t="s">
        <v>110</v>
      </c>
      <c r="N1103" s="92" t="s">
        <v>111</v>
      </c>
      <c r="O1103" s="92" t="s">
        <v>112</v>
      </c>
      <c r="P1103" s="92" t="s">
        <v>117</v>
      </c>
      <c r="Q1103" s="92" t="s">
        <v>118</v>
      </c>
      <c r="R1103" s="92" t="s">
        <v>119</v>
      </c>
      <c r="S1103" s="92" t="s">
        <v>120</v>
      </c>
    </row>
    <row r="1104" spans="1:19" x14ac:dyDescent="0.25">
      <c r="A1104" s="93">
        <f>A1092+1</f>
        <v>43086</v>
      </c>
      <c r="B1104" s="94" t="s">
        <v>107</v>
      </c>
      <c r="C1104" s="95">
        <v>0</v>
      </c>
      <c r="D1104">
        <f>$C1104*VLOOKUP($B1104,FoodDB!$A$2:$I$1011,3,0)</f>
        <v>0</v>
      </c>
      <c r="E1104">
        <f>$C1104*VLOOKUP($B1104,FoodDB!$A$2:$I$1011,4,0)</f>
        <v>0</v>
      </c>
      <c r="F1104">
        <f>$C1104*VLOOKUP($B1104,FoodDB!$A$2:$I$1011,5,0)</f>
        <v>0</v>
      </c>
      <c r="G1104">
        <f>$C1104*VLOOKUP($B1104,FoodDB!$A$2:$I$1011,6,0)</f>
        <v>0</v>
      </c>
      <c r="H1104">
        <f>$C1104*VLOOKUP($B1104,FoodDB!$A$2:$I$1011,7,0)</f>
        <v>0</v>
      </c>
      <c r="I1104">
        <f>$C1104*VLOOKUP($B1104,FoodDB!$A$2:$I$1011,8,0)</f>
        <v>0</v>
      </c>
      <c r="J1104">
        <f>$C1104*VLOOKUP($B1104,FoodDB!$A$2:$I$1011,9,0)</f>
        <v>0</v>
      </c>
      <c r="L1104">
        <f>SUM(G1104:G1110)</f>
        <v>0</v>
      </c>
      <c r="M1104">
        <f>SUM(H1104:H1110)</f>
        <v>0</v>
      </c>
      <c r="N1104">
        <f>SUM(I1104:I1110)</f>
        <v>0</v>
      </c>
      <c r="O1104">
        <f>SUM(L1104:N1104)</f>
        <v>0</v>
      </c>
      <c r="P1104" s="98">
        <f>VLOOKUP($A1104,LossChart!$A$3:$AB$105,14,0)-L1104</f>
        <v>852.12582438098775</v>
      </c>
      <c r="Q1104" s="98">
        <f>VLOOKUP($A1104,LossChart!$A$3:$AB$105,15,0)-M1104</f>
        <v>116</v>
      </c>
      <c r="R1104" s="98">
        <f>VLOOKUP($A1104,LossChart!$A$3:$AB$105,16,0)-N1104</f>
        <v>482.47465271142238</v>
      </c>
      <c r="S1104" s="98">
        <f>VLOOKUP($A1104,LossChart!$A$3:$AB$105,17,0)-O1104</f>
        <v>1450.6004770924101</v>
      </c>
    </row>
    <row r="1105" spans="1:19" x14ac:dyDescent="0.25">
      <c r="B1105" s="94" t="s">
        <v>107</v>
      </c>
      <c r="C1105" s="95">
        <v>0</v>
      </c>
      <c r="D1105">
        <f>$C1105*VLOOKUP($B1105,FoodDB!$A$2:$I$1011,3,0)</f>
        <v>0</v>
      </c>
      <c r="E1105">
        <f>$C1105*VLOOKUP($B1105,FoodDB!$A$2:$I$1011,4,0)</f>
        <v>0</v>
      </c>
      <c r="F1105">
        <f>$C1105*VLOOKUP($B1105,FoodDB!$A$2:$I$1011,5,0)</f>
        <v>0</v>
      </c>
      <c r="G1105">
        <f>$C1105*VLOOKUP($B1105,FoodDB!$A$2:$I$1011,6,0)</f>
        <v>0</v>
      </c>
      <c r="H1105">
        <f>$C1105*VLOOKUP($B1105,FoodDB!$A$2:$I$1011,7,0)</f>
        <v>0</v>
      </c>
      <c r="I1105">
        <f>$C1105*VLOOKUP($B1105,FoodDB!$A$2:$I$1011,8,0)</f>
        <v>0</v>
      </c>
      <c r="J1105">
        <f>$C1105*VLOOKUP($B1105,FoodDB!$A$2:$I$1011,9,0)</f>
        <v>0</v>
      </c>
    </row>
    <row r="1106" spans="1:19" x14ac:dyDescent="0.25">
      <c r="B1106" s="94" t="s">
        <v>107</v>
      </c>
      <c r="C1106" s="95">
        <v>0</v>
      </c>
      <c r="D1106">
        <f>$C1106*VLOOKUP($B1106,FoodDB!$A$2:$I$1011,3,0)</f>
        <v>0</v>
      </c>
      <c r="E1106">
        <f>$C1106*VLOOKUP($B1106,FoodDB!$A$2:$I$1011,4,0)</f>
        <v>0</v>
      </c>
      <c r="F1106">
        <f>$C1106*VLOOKUP($B1106,FoodDB!$A$2:$I$1011,5,0)</f>
        <v>0</v>
      </c>
      <c r="G1106">
        <f>$C1106*VLOOKUP($B1106,FoodDB!$A$2:$I$1011,6,0)</f>
        <v>0</v>
      </c>
      <c r="H1106">
        <f>$C1106*VLOOKUP($B1106,FoodDB!$A$2:$I$1011,7,0)</f>
        <v>0</v>
      </c>
      <c r="I1106">
        <f>$C1106*VLOOKUP($B1106,FoodDB!$A$2:$I$1011,8,0)</f>
        <v>0</v>
      </c>
      <c r="J1106">
        <f>$C1106*VLOOKUP($B1106,FoodDB!$A$2:$I$1011,9,0)</f>
        <v>0</v>
      </c>
    </row>
    <row r="1107" spans="1:19" x14ac:dyDescent="0.25">
      <c r="B1107" s="94" t="s">
        <v>107</v>
      </c>
      <c r="C1107" s="95">
        <v>0</v>
      </c>
      <c r="D1107">
        <f>$C1107*VLOOKUP($B1107,FoodDB!$A$2:$I$1011,3,0)</f>
        <v>0</v>
      </c>
      <c r="E1107">
        <f>$C1107*VLOOKUP($B1107,FoodDB!$A$2:$I$1011,4,0)</f>
        <v>0</v>
      </c>
      <c r="F1107">
        <f>$C1107*VLOOKUP($B1107,FoodDB!$A$2:$I$1011,5,0)</f>
        <v>0</v>
      </c>
      <c r="G1107">
        <f>$C1107*VLOOKUP($B1107,FoodDB!$A$2:$I$1011,6,0)</f>
        <v>0</v>
      </c>
      <c r="H1107">
        <f>$C1107*VLOOKUP($B1107,FoodDB!$A$2:$I$1011,7,0)</f>
        <v>0</v>
      </c>
      <c r="I1107">
        <f>$C1107*VLOOKUP($B1107,FoodDB!$A$2:$I$1011,8,0)</f>
        <v>0</v>
      </c>
      <c r="J1107">
        <f>$C1107*VLOOKUP($B1107,FoodDB!$A$2:$I$1011,9,0)</f>
        <v>0</v>
      </c>
    </row>
    <row r="1108" spans="1:19" x14ac:dyDescent="0.25">
      <c r="B1108" s="94" t="s">
        <v>107</v>
      </c>
      <c r="C1108" s="95">
        <v>0</v>
      </c>
      <c r="D1108">
        <f>$C1108*VLOOKUP($B1108,FoodDB!$A$2:$I$1011,3,0)</f>
        <v>0</v>
      </c>
      <c r="E1108">
        <f>$C1108*VLOOKUP($B1108,FoodDB!$A$2:$I$1011,4,0)</f>
        <v>0</v>
      </c>
      <c r="F1108">
        <f>$C1108*VLOOKUP($B1108,FoodDB!$A$2:$I$1011,5,0)</f>
        <v>0</v>
      </c>
      <c r="G1108">
        <f>$C1108*VLOOKUP($B1108,FoodDB!$A$2:$I$1011,6,0)</f>
        <v>0</v>
      </c>
      <c r="H1108">
        <f>$C1108*VLOOKUP($B1108,FoodDB!$A$2:$I$1011,7,0)</f>
        <v>0</v>
      </c>
      <c r="I1108">
        <f>$C1108*VLOOKUP($B1108,FoodDB!$A$2:$I$1011,8,0)</f>
        <v>0</v>
      </c>
      <c r="J1108">
        <f>$C1108*VLOOKUP($B1108,FoodDB!$A$2:$I$1011,9,0)</f>
        <v>0</v>
      </c>
    </row>
    <row r="1109" spans="1:19" x14ac:dyDescent="0.25">
      <c r="B1109" s="94" t="s">
        <v>107</v>
      </c>
      <c r="C1109" s="95">
        <v>0</v>
      </c>
      <c r="D1109">
        <f>$C1109*VLOOKUP($B1109,FoodDB!$A$2:$I$1011,3,0)</f>
        <v>0</v>
      </c>
      <c r="E1109">
        <f>$C1109*VLOOKUP($B1109,FoodDB!$A$2:$I$1011,4,0)</f>
        <v>0</v>
      </c>
      <c r="F1109">
        <f>$C1109*VLOOKUP($B1109,FoodDB!$A$2:$I$1011,5,0)</f>
        <v>0</v>
      </c>
      <c r="G1109">
        <f>$C1109*VLOOKUP($B1109,FoodDB!$A$2:$I$1011,6,0)</f>
        <v>0</v>
      </c>
      <c r="H1109">
        <f>$C1109*VLOOKUP($B1109,FoodDB!$A$2:$I$1011,7,0)</f>
        <v>0</v>
      </c>
      <c r="I1109">
        <f>$C1109*VLOOKUP($B1109,FoodDB!$A$2:$I$1011,8,0)</f>
        <v>0</v>
      </c>
      <c r="J1109">
        <f>$C1109*VLOOKUP($B1109,FoodDB!$A$2:$I$1011,9,0)</f>
        <v>0</v>
      </c>
    </row>
    <row r="1110" spans="1:19" x14ac:dyDescent="0.25">
      <c r="B1110" s="94" t="s">
        <v>107</v>
      </c>
      <c r="C1110" s="95">
        <v>0</v>
      </c>
      <c r="D1110">
        <f>$C1110*VLOOKUP($B1110,FoodDB!$A$2:$I$1011,3,0)</f>
        <v>0</v>
      </c>
      <c r="E1110">
        <f>$C1110*VLOOKUP($B1110,FoodDB!$A$2:$I$1011,4,0)</f>
        <v>0</v>
      </c>
      <c r="F1110">
        <f>$C1110*VLOOKUP($B1110,FoodDB!$A$2:$I$1011,5,0)</f>
        <v>0</v>
      </c>
      <c r="G1110">
        <f>$C1110*VLOOKUP($B1110,FoodDB!$A$2:$I$1011,6,0)</f>
        <v>0</v>
      </c>
      <c r="H1110">
        <f>$C1110*VLOOKUP($B1110,FoodDB!$A$2:$I$1011,7,0)</f>
        <v>0</v>
      </c>
      <c r="I1110">
        <f>$C1110*VLOOKUP($B1110,FoodDB!$A$2:$I$1011,8,0)</f>
        <v>0</v>
      </c>
      <c r="J1110">
        <f>$C1110*VLOOKUP($B1110,FoodDB!$A$2:$I$1011,9,0)</f>
        <v>0</v>
      </c>
    </row>
    <row r="1111" spans="1:19" x14ac:dyDescent="0.25">
      <c r="A1111" t="s">
        <v>97</v>
      </c>
      <c r="G1111">
        <f>SUM(G1104:G1110)</f>
        <v>0</v>
      </c>
      <c r="H1111">
        <f>SUM(H1104:H1110)</f>
        <v>0</v>
      </c>
      <c r="I1111">
        <f>SUM(I1104:I1110)</f>
        <v>0</v>
      </c>
      <c r="J1111">
        <f>SUM(G1111:I1111)</f>
        <v>0</v>
      </c>
    </row>
    <row r="1112" spans="1:19" x14ac:dyDescent="0.25">
      <c r="A1112" t="s">
        <v>101</v>
      </c>
      <c r="B1112" t="s">
        <v>102</v>
      </c>
      <c r="E1112" s="98"/>
      <c r="F1112" s="98"/>
      <c r="G1112" s="98">
        <f>VLOOKUP($A1104,LossChart!$A$3:$AB$105,14,0)</f>
        <v>852.12582438098775</v>
      </c>
      <c r="H1112" s="98">
        <f>VLOOKUP($A1104,LossChart!$A$3:$AB$105,15,0)</f>
        <v>116</v>
      </c>
      <c r="I1112" s="98">
        <f>VLOOKUP($A1104,LossChart!$A$3:$AB$105,16,0)</f>
        <v>482.47465271142238</v>
      </c>
      <c r="J1112" s="98">
        <f>VLOOKUP($A1104,LossChart!$A$3:$AB$105,17,0)</f>
        <v>1450.6004770924101</v>
      </c>
      <c r="K1112" s="98"/>
    </row>
    <row r="1113" spans="1:19" x14ac:dyDescent="0.25">
      <c r="A1113" t="s">
        <v>103</v>
      </c>
      <c r="G1113">
        <f>G1112-G1111</f>
        <v>852.12582438098775</v>
      </c>
      <c r="H1113">
        <f>H1112-H1111</f>
        <v>116</v>
      </c>
      <c r="I1113">
        <f>I1112-I1111</f>
        <v>482.47465271142238</v>
      </c>
      <c r="J1113">
        <f>J1112-J1111</f>
        <v>1450.6004770924101</v>
      </c>
    </row>
    <row r="1115" spans="1:19" ht="60" x14ac:dyDescent="0.25">
      <c r="A1115" s="21" t="s">
        <v>63</v>
      </c>
      <c r="B1115" s="21" t="s">
        <v>92</v>
      </c>
      <c r="C1115" s="21" t="s">
        <v>93</v>
      </c>
      <c r="D1115" s="92" t="str">
        <f>FoodDB!$C$1</f>
        <v>Fat
(g)</v>
      </c>
      <c r="E1115" s="92" t="str">
        <f>FoodDB!$D$1</f>
        <v xml:space="preserve"> Carbs
(g)</v>
      </c>
      <c r="F1115" s="92" t="str">
        <f>FoodDB!$E$1</f>
        <v>Protein
(g)</v>
      </c>
      <c r="G1115" s="92" t="str">
        <f>FoodDB!$F$1</f>
        <v>Fat
(Cal)</v>
      </c>
      <c r="H1115" s="92" t="str">
        <f>FoodDB!$G$1</f>
        <v>Carb
(Cal)</v>
      </c>
      <c r="I1115" s="92" t="str">
        <f>FoodDB!$H$1</f>
        <v>Protein
(Cal)</v>
      </c>
      <c r="J1115" s="92" t="str">
        <f>FoodDB!$I$1</f>
        <v>Total
Calories</v>
      </c>
      <c r="K1115" s="92"/>
      <c r="L1115" s="92" t="s">
        <v>109</v>
      </c>
      <c r="M1115" s="92" t="s">
        <v>110</v>
      </c>
      <c r="N1115" s="92" t="s">
        <v>111</v>
      </c>
      <c r="O1115" s="92" t="s">
        <v>112</v>
      </c>
      <c r="P1115" s="92" t="s">
        <v>117</v>
      </c>
      <c r="Q1115" s="92" t="s">
        <v>118</v>
      </c>
      <c r="R1115" s="92" t="s">
        <v>119</v>
      </c>
      <c r="S1115" s="92" t="s">
        <v>120</v>
      </c>
    </row>
    <row r="1116" spans="1:19" x14ac:dyDescent="0.25">
      <c r="A1116" s="93">
        <f>A1104+1</f>
        <v>43087</v>
      </c>
      <c r="B1116" s="94" t="s">
        <v>107</v>
      </c>
      <c r="C1116" s="95">
        <v>0</v>
      </c>
      <c r="D1116">
        <f>$C1116*VLOOKUP($B1116,FoodDB!$A$2:$I$1011,3,0)</f>
        <v>0</v>
      </c>
      <c r="E1116">
        <f>$C1116*VLOOKUP($B1116,FoodDB!$A$2:$I$1011,4,0)</f>
        <v>0</v>
      </c>
      <c r="F1116">
        <f>$C1116*VLOOKUP($B1116,FoodDB!$A$2:$I$1011,5,0)</f>
        <v>0</v>
      </c>
      <c r="G1116">
        <f>$C1116*VLOOKUP($B1116,FoodDB!$A$2:$I$1011,6,0)</f>
        <v>0</v>
      </c>
      <c r="H1116">
        <f>$C1116*VLOOKUP($B1116,FoodDB!$A$2:$I$1011,7,0)</f>
        <v>0</v>
      </c>
      <c r="I1116">
        <f>$C1116*VLOOKUP($B1116,FoodDB!$A$2:$I$1011,8,0)</f>
        <v>0</v>
      </c>
      <c r="J1116">
        <f>$C1116*VLOOKUP($B1116,FoodDB!$A$2:$I$1011,9,0)</f>
        <v>0</v>
      </c>
      <c r="L1116">
        <f>SUM(G1116:G1122)</f>
        <v>0</v>
      </c>
      <c r="M1116">
        <f>SUM(H1116:H1122)</f>
        <v>0</v>
      </c>
      <c r="N1116">
        <f>SUM(I1116:I1122)</f>
        <v>0</v>
      </c>
      <c r="O1116">
        <f>SUM(L1116:N1116)</f>
        <v>0</v>
      </c>
      <c r="P1116" s="98">
        <f>VLOOKUP($A1116,LossChart!$A$3:$AB$105,14,0)-L1116</f>
        <v>855.89429509782462</v>
      </c>
      <c r="Q1116" s="98">
        <f>VLOOKUP($A1116,LossChart!$A$3:$AB$105,15,0)-M1116</f>
        <v>116</v>
      </c>
      <c r="R1116" s="98">
        <f>VLOOKUP($A1116,LossChart!$A$3:$AB$105,16,0)-N1116</f>
        <v>482.47465271142238</v>
      </c>
      <c r="S1116" s="98">
        <f>VLOOKUP($A1116,LossChart!$A$3:$AB$105,17,0)-O1116</f>
        <v>1454.3689478092469</v>
      </c>
    </row>
    <row r="1117" spans="1:19" x14ac:dyDescent="0.25">
      <c r="B1117" s="94" t="s">
        <v>107</v>
      </c>
      <c r="C1117" s="95">
        <v>0</v>
      </c>
      <c r="D1117">
        <f>$C1117*VLOOKUP($B1117,FoodDB!$A$2:$I$1011,3,0)</f>
        <v>0</v>
      </c>
      <c r="E1117">
        <f>$C1117*VLOOKUP($B1117,FoodDB!$A$2:$I$1011,4,0)</f>
        <v>0</v>
      </c>
      <c r="F1117">
        <f>$C1117*VLOOKUP($B1117,FoodDB!$A$2:$I$1011,5,0)</f>
        <v>0</v>
      </c>
      <c r="G1117">
        <f>$C1117*VLOOKUP($B1117,FoodDB!$A$2:$I$1011,6,0)</f>
        <v>0</v>
      </c>
      <c r="H1117">
        <f>$C1117*VLOOKUP($B1117,FoodDB!$A$2:$I$1011,7,0)</f>
        <v>0</v>
      </c>
      <c r="I1117">
        <f>$C1117*VLOOKUP($B1117,FoodDB!$A$2:$I$1011,8,0)</f>
        <v>0</v>
      </c>
      <c r="J1117">
        <f>$C1117*VLOOKUP($B1117,FoodDB!$A$2:$I$1011,9,0)</f>
        <v>0</v>
      </c>
    </row>
    <row r="1118" spans="1:19" x14ac:dyDescent="0.25">
      <c r="B1118" s="94" t="s">
        <v>107</v>
      </c>
      <c r="C1118" s="95">
        <v>0</v>
      </c>
      <c r="D1118">
        <f>$C1118*VLOOKUP($B1118,FoodDB!$A$2:$I$1011,3,0)</f>
        <v>0</v>
      </c>
      <c r="E1118">
        <f>$C1118*VLOOKUP($B1118,FoodDB!$A$2:$I$1011,4,0)</f>
        <v>0</v>
      </c>
      <c r="F1118">
        <f>$C1118*VLOOKUP($B1118,FoodDB!$A$2:$I$1011,5,0)</f>
        <v>0</v>
      </c>
      <c r="G1118">
        <f>$C1118*VLOOKUP($B1118,FoodDB!$A$2:$I$1011,6,0)</f>
        <v>0</v>
      </c>
      <c r="H1118">
        <f>$C1118*VLOOKUP($B1118,FoodDB!$A$2:$I$1011,7,0)</f>
        <v>0</v>
      </c>
      <c r="I1118">
        <f>$C1118*VLOOKUP($B1118,FoodDB!$A$2:$I$1011,8,0)</f>
        <v>0</v>
      </c>
      <c r="J1118">
        <f>$C1118*VLOOKUP($B1118,FoodDB!$A$2:$I$1011,9,0)</f>
        <v>0</v>
      </c>
    </row>
    <row r="1119" spans="1:19" x14ac:dyDescent="0.25">
      <c r="B1119" s="94" t="s">
        <v>107</v>
      </c>
      <c r="C1119" s="95">
        <v>0</v>
      </c>
      <c r="D1119">
        <f>$C1119*VLOOKUP($B1119,FoodDB!$A$2:$I$1011,3,0)</f>
        <v>0</v>
      </c>
      <c r="E1119">
        <f>$C1119*VLOOKUP($B1119,FoodDB!$A$2:$I$1011,4,0)</f>
        <v>0</v>
      </c>
      <c r="F1119">
        <f>$C1119*VLOOKUP($B1119,FoodDB!$A$2:$I$1011,5,0)</f>
        <v>0</v>
      </c>
      <c r="G1119">
        <f>$C1119*VLOOKUP($B1119,FoodDB!$A$2:$I$1011,6,0)</f>
        <v>0</v>
      </c>
      <c r="H1119">
        <f>$C1119*VLOOKUP($B1119,FoodDB!$A$2:$I$1011,7,0)</f>
        <v>0</v>
      </c>
      <c r="I1119">
        <f>$C1119*VLOOKUP($B1119,FoodDB!$A$2:$I$1011,8,0)</f>
        <v>0</v>
      </c>
      <c r="J1119">
        <f>$C1119*VLOOKUP($B1119,FoodDB!$A$2:$I$1011,9,0)</f>
        <v>0</v>
      </c>
    </row>
    <row r="1120" spans="1:19" x14ac:dyDescent="0.25">
      <c r="B1120" s="94" t="s">
        <v>107</v>
      </c>
      <c r="C1120" s="95">
        <v>0</v>
      </c>
      <c r="D1120">
        <f>$C1120*VLOOKUP($B1120,FoodDB!$A$2:$I$1011,3,0)</f>
        <v>0</v>
      </c>
      <c r="E1120">
        <f>$C1120*VLOOKUP($B1120,FoodDB!$A$2:$I$1011,4,0)</f>
        <v>0</v>
      </c>
      <c r="F1120">
        <f>$C1120*VLOOKUP($B1120,FoodDB!$A$2:$I$1011,5,0)</f>
        <v>0</v>
      </c>
      <c r="G1120">
        <f>$C1120*VLOOKUP($B1120,FoodDB!$A$2:$I$1011,6,0)</f>
        <v>0</v>
      </c>
      <c r="H1120">
        <f>$C1120*VLOOKUP($B1120,FoodDB!$A$2:$I$1011,7,0)</f>
        <v>0</v>
      </c>
      <c r="I1120">
        <f>$C1120*VLOOKUP($B1120,FoodDB!$A$2:$I$1011,8,0)</f>
        <v>0</v>
      </c>
      <c r="J1120">
        <f>$C1120*VLOOKUP($B1120,FoodDB!$A$2:$I$1011,9,0)</f>
        <v>0</v>
      </c>
    </row>
    <row r="1121" spans="1:19" x14ac:dyDescent="0.25">
      <c r="B1121" s="94" t="s">
        <v>107</v>
      </c>
      <c r="C1121" s="95">
        <v>0</v>
      </c>
      <c r="D1121">
        <f>$C1121*VLOOKUP($B1121,FoodDB!$A$2:$I$1011,3,0)</f>
        <v>0</v>
      </c>
      <c r="E1121">
        <f>$C1121*VLOOKUP($B1121,FoodDB!$A$2:$I$1011,4,0)</f>
        <v>0</v>
      </c>
      <c r="F1121">
        <f>$C1121*VLOOKUP($B1121,FoodDB!$A$2:$I$1011,5,0)</f>
        <v>0</v>
      </c>
      <c r="G1121">
        <f>$C1121*VLOOKUP($B1121,FoodDB!$A$2:$I$1011,6,0)</f>
        <v>0</v>
      </c>
      <c r="H1121">
        <f>$C1121*VLOOKUP($B1121,FoodDB!$A$2:$I$1011,7,0)</f>
        <v>0</v>
      </c>
      <c r="I1121">
        <f>$C1121*VLOOKUP($B1121,FoodDB!$A$2:$I$1011,8,0)</f>
        <v>0</v>
      </c>
      <c r="J1121">
        <f>$C1121*VLOOKUP($B1121,FoodDB!$A$2:$I$1011,9,0)</f>
        <v>0</v>
      </c>
    </row>
    <row r="1122" spans="1:19" x14ac:dyDescent="0.25">
      <c r="B1122" s="94" t="s">
        <v>107</v>
      </c>
      <c r="C1122" s="95">
        <v>0</v>
      </c>
      <c r="D1122">
        <f>$C1122*VLOOKUP($B1122,FoodDB!$A$2:$I$1011,3,0)</f>
        <v>0</v>
      </c>
      <c r="E1122">
        <f>$C1122*VLOOKUP($B1122,FoodDB!$A$2:$I$1011,4,0)</f>
        <v>0</v>
      </c>
      <c r="F1122">
        <f>$C1122*VLOOKUP($B1122,FoodDB!$A$2:$I$1011,5,0)</f>
        <v>0</v>
      </c>
      <c r="G1122">
        <f>$C1122*VLOOKUP($B1122,FoodDB!$A$2:$I$1011,6,0)</f>
        <v>0</v>
      </c>
      <c r="H1122">
        <f>$C1122*VLOOKUP($B1122,FoodDB!$A$2:$I$1011,7,0)</f>
        <v>0</v>
      </c>
      <c r="I1122">
        <f>$C1122*VLOOKUP($B1122,FoodDB!$A$2:$I$1011,8,0)</f>
        <v>0</v>
      </c>
      <c r="J1122">
        <f>$C1122*VLOOKUP($B1122,FoodDB!$A$2:$I$1011,9,0)</f>
        <v>0</v>
      </c>
    </row>
    <row r="1123" spans="1:19" x14ac:dyDescent="0.25">
      <c r="A1123" t="s">
        <v>97</v>
      </c>
      <c r="G1123">
        <f>SUM(G1116:G1122)</f>
        <v>0</v>
      </c>
      <c r="H1123">
        <f>SUM(H1116:H1122)</f>
        <v>0</v>
      </c>
      <c r="I1123">
        <f>SUM(I1116:I1122)</f>
        <v>0</v>
      </c>
      <c r="J1123">
        <f>SUM(G1123:I1123)</f>
        <v>0</v>
      </c>
    </row>
    <row r="1124" spans="1:19" x14ac:dyDescent="0.25">
      <c r="A1124" t="s">
        <v>101</v>
      </c>
      <c r="B1124" t="s">
        <v>102</v>
      </c>
      <c r="E1124" s="98"/>
      <c r="F1124" s="98"/>
      <c r="G1124" s="98">
        <f>VLOOKUP($A1116,LossChart!$A$3:$AB$105,14,0)</f>
        <v>855.89429509782462</v>
      </c>
      <c r="H1124" s="98">
        <f>VLOOKUP($A1116,LossChart!$A$3:$AB$105,15,0)</f>
        <v>116</v>
      </c>
      <c r="I1124" s="98">
        <f>VLOOKUP($A1116,LossChart!$A$3:$AB$105,16,0)</f>
        <v>482.47465271142238</v>
      </c>
      <c r="J1124" s="98">
        <f>VLOOKUP($A1116,LossChart!$A$3:$AB$105,17,0)</f>
        <v>1454.3689478092469</v>
      </c>
      <c r="K1124" s="98"/>
    </row>
    <row r="1125" spans="1:19" x14ac:dyDescent="0.25">
      <c r="A1125" t="s">
        <v>103</v>
      </c>
      <c r="G1125">
        <f>G1124-G1123</f>
        <v>855.89429509782462</v>
      </c>
      <c r="H1125">
        <f>H1124-H1123</f>
        <v>116</v>
      </c>
      <c r="I1125">
        <f>I1124-I1123</f>
        <v>482.47465271142238</v>
      </c>
      <c r="J1125">
        <f>J1124-J1123</f>
        <v>1454.3689478092469</v>
      </c>
    </row>
    <row r="1127" spans="1:19" ht="60" x14ac:dyDescent="0.25">
      <c r="A1127" s="21" t="s">
        <v>63</v>
      </c>
      <c r="B1127" s="21" t="s">
        <v>92</v>
      </c>
      <c r="C1127" s="21" t="s">
        <v>93</v>
      </c>
      <c r="D1127" s="92" t="str">
        <f>FoodDB!$C$1</f>
        <v>Fat
(g)</v>
      </c>
      <c r="E1127" s="92" t="str">
        <f>FoodDB!$D$1</f>
        <v xml:space="preserve"> Carbs
(g)</v>
      </c>
      <c r="F1127" s="92" t="str">
        <f>FoodDB!$E$1</f>
        <v>Protein
(g)</v>
      </c>
      <c r="G1127" s="92" t="str">
        <f>FoodDB!$F$1</f>
        <v>Fat
(Cal)</v>
      </c>
      <c r="H1127" s="92" t="str">
        <f>FoodDB!$G$1</f>
        <v>Carb
(Cal)</v>
      </c>
      <c r="I1127" s="92" t="str">
        <f>FoodDB!$H$1</f>
        <v>Protein
(Cal)</v>
      </c>
      <c r="J1127" s="92" t="str">
        <f>FoodDB!$I$1</f>
        <v>Total
Calories</v>
      </c>
      <c r="K1127" s="92"/>
      <c r="L1127" s="92" t="s">
        <v>109</v>
      </c>
      <c r="M1127" s="92" t="s">
        <v>110</v>
      </c>
      <c r="N1127" s="92" t="s">
        <v>111</v>
      </c>
      <c r="O1127" s="92" t="s">
        <v>112</v>
      </c>
      <c r="P1127" s="92" t="s">
        <v>117</v>
      </c>
      <c r="Q1127" s="92" t="s">
        <v>118</v>
      </c>
      <c r="R1127" s="92" t="s">
        <v>119</v>
      </c>
      <c r="S1127" s="92" t="s">
        <v>120</v>
      </c>
    </row>
    <row r="1128" spans="1:19" x14ac:dyDescent="0.25">
      <c r="A1128" s="93">
        <f>A1116+1</f>
        <v>43088</v>
      </c>
      <c r="B1128" s="94" t="s">
        <v>107</v>
      </c>
      <c r="C1128" s="95">
        <v>0</v>
      </c>
      <c r="D1128">
        <f>$C1128*VLOOKUP($B1128,FoodDB!$A$2:$I$1011,3,0)</f>
        <v>0</v>
      </c>
      <c r="E1128">
        <f>$C1128*VLOOKUP($B1128,FoodDB!$A$2:$I$1011,4,0)</f>
        <v>0</v>
      </c>
      <c r="F1128">
        <f>$C1128*VLOOKUP($B1128,FoodDB!$A$2:$I$1011,5,0)</f>
        <v>0</v>
      </c>
      <c r="G1128">
        <f>$C1128*VLOOKUP($B1128,FoodDB!$A$2:$I$1011,6,0)</f>
        <v>0</v>
      </c>
      <c r="H1128">
        <f>$C1128*VLOOKUP($B1128,FoodDB!$A$2:$I$1011,7,0)</f>
        <v>0</v>
      </c>
      <c r="I1128">
        <f>$C1128*VLOOKUP($B1128,FoodDB!$A$2:$I$1011,8,0)</f>
        <v>0</v>
      </c>
      <c r="J1128">
        <f>$C1128*VLOOKUP($B1128,FoodDB!$A$2:$I$1011,9,0)</f>
        <v>0</v>
      </c>
      <c r="L1128">
        <f>SUM(G1128:G1134)</f>
        <v>0</v>
      </c>
      <c r="M1128">
        <f>SUM(H1128:H1134)</f>
        <v>0</v>
      </c>
      <c r="N1128">
        <f>SUM(I1128:I1134)</f>
        <v>0</v>
      </c>
      <c r="O1128">
        <f>SUM(L1128:N1128)</f>
        <v>0</v>
      </c>
      <c r="P1128" s="98">
        <f>VLOOKUP($A1128,LossChart!$A$3:$AB$105,14,0)-L1128</f>
        <v>859.6293879311695</v>
      </c>
      <c r="Q1128" s="98">
        <f>VLOOKUP($A1128,LossChart!$A$3:$AB$105,15,0)-M1128</f>
        <v>116</v>
      </c>
      <c r="R1128" s="98">
        <f>VLOOKUP($A1128,LossChart!$A$3:$AB$105,16,0)-N1128</f>
        <v>482.47465271142238</v>
      </c>
      <c r="S1128" s="98">
        <f>VLOOKUP($A1128,LossChart!$A$3:$AB$105,17,0)-O1128</f>
        <v>1458.1040406425918</v>
      </c>
    </row>
    <row r="1129" spans="1:19" x14ac:dyDescent="0.25">
      <c r="B1129" s="94" t="s">
        <v>107</v>
      </c>
      <c r="C1129" s="95">
        <v>0</v>
      </c>
      <c r="D1129">
        <f>$C1129*VLOOKUP($B1129,FoodDB!$A$2:$I$1011,3,0)</f>
        <v>0</v>
      </c>
      <c r="E1129">
        <f>$C1129*VLOOKUP($B1129,FoodDB!$A$2:$I$1011,4,0)</f>
        <v>0</v>
      </c>
      <c r="F1129">
        <f>$C1129*VLOOKUP($B1129,FoodDB!$A$2:$I$1011,5,0)</f>
        <v>0</v>
      </c>
      <c r="G1129">
        <f>$C1129*VLOOKUP($B1129,FoodDB!$A$2:$I$1011,6,0)</f>
        <v>0</v>
      </c>
      <c r="H1129">
        <f>$C1129*VLOOKUP($B1129,FoodDB!$A$2:$I$1011,7,0)</f>
        <v>0</v>
      </c>
      <c r="I1129">
        <f>$C1129*VLOOKUP($B1129,FoodDB!$A$2:$I$1011,8,0)</f>
        <v>0</v>
      </c>
      <c r="J1129">
        <f>$C1129*VLOOKUP($B1129,FoodDB!$A$2:$I$1011,9,0)</f>
        <v>0</v>
      </c>
    </row>
    <row r="1130" spans="1:19" x14ac:dyDescent="0.25">
      <c r="B1130" s="94" t="s">
        <v>107</v>
      </c>
      <c r="C1130" s="95">
        <v>0</v>
      </c>
      <c r="D1130">
        <f>$C1130*VLOOKUP($B1130,FoodDB!$A$2:$I$1011,3,0)</f>
        <v>0</v>
      </c>
      <c r="E1130">
        <f>$C1130*VLOOKUP($B1130,FoodDB!$A$2:$I$1011,4,0)</f>
        <v>0</v>
      </c>
      <c r="F1130">
        <f>$C1130*VLOOKUP($B1130,FoodDB!$A$2:$I$1011,5,0)</f>
        <v>0</v>
      </c>
      <c r="G1130">
        <f>$C1130*VLOOKUP($B1130,FoodDB!$A$2:$I$1011,6,0)</f>
        <v>0</v>
      </c>
      <c r="H1130">
        <f>$C1130*VLOOKUP($B1130,FoodDB!$A$2:$I$1011,7,0)</f>
        <v>0</v>
      </c>
      <c r="I1130">
        <f>$C1130*VLOOKUP($B1130,FoodDB!$A$2:$I$1011,8,0)</f>
        <v>0</v>
      </c>
      <c r="J1130">
        <f>$C1130*VLOOKUP($B1130,FoodDB!$A$2:$I$1011,9,0)</f>
        <v>0</v>
      </c>
    </row>
    <row r="1131" spans="1:19" x14ac:dyDescent="0.25">
      <c r="B1131" s="94" t="s">
        <v>107</v>
      </c>
      <c r="C1131" s="95">
        <v>0</v>
      </c>
      <c r="D1131">
        <f>$C1131*VLOOKUP($B1131,FoodDB!$A$2:$I$1011,3,0)</f>
        <v>0</v>
      </c>
      <c r="E1131">
        <f>$C1131*VLOOKUP($B1131,FoodDB!$A$2:$I$1011,4,0)</f>
        <v>0</v>
      </c>
      <c r="F1131">
        <f>$C1131*VLOOKUP($B1131,FoodDB!$A$2:$I$1011,5,0)</f>
        <v>0</v>
      </c>
      <c r="G1131">
        <f>$C1131*VLOOKUP($B1131,FoodDB!$A$2:$I$1011,6,0)</f>
        <v>0</v>
      </c>
      <c r="H1131">
        <f>$C1131*VLOOKUP($B1131,FoodDB!$A$2:$I$1011,7,0)</f>
        <v>0</v>
      </c>
      <c r="I1131">
        <f>$C1131*VLOOKUP($B1131,FoodDB!$A$2:$I$1011,8,0)</f>
        <v>0</v>
      </c>
      <c r="J1131">
        <f>$C1131*VLOOKUP($B1131,FoodDB!$A$2:$I$1011,9,0)</f>
        <v>0</v>
      </c>
    </row>
    <row r="1132" spans="1:19" x14ac:dyDescent="0.25">
      <c r="B1132" s="94" t="s">
        <v>107</v>
      </c>
      <c r="C1132" s="95">
        <v>0</v>
      </c>
      <c r="D1132">
        <f>$C1132*VLOOKUP($B1132,FoodDB!$A$2:$I$1011,3,0)</f>
        <v>0</v>
      </c>
      <c r="E1132">
        <f>$C1132*VLOOKUP($B1132,FoodDB!$A$2:$I$1011,4,0)</f>
        <v>0</v>
      </c>
      <c r="F1132">
        <f>$C1132*VLOOKUP($B1132,FoodDB!$A$2:$I$1011,5,0)</f>
        <v>0</v>
      </c>
      <c r="G1132">
        <f>$C1132*VLOOKUP($B1132,FoodDB!$A$2:$I$1011,6,0)</f>
        <v>0</v>
      </c>
      <c r="H1132">
        <f>$C1132*VLOOKUP($B1132,FoodDB!$A$2:$I$1011,7,0)</f>
        <v>0</v>
      </c>
      <c r="I1132">
        <f>$C1132*VLOOKUP($B1132,FoodDB!$A$2:$I$1011,8,0)</f>
        <v>0</v>
      </c>
      <c r="J1132">
        <f>$C1132*VLOOKUP($B1132,FoodDB!$A$2:$I$1011,9,0)</f>
        <v>0</v>
      </c>
    </row>
    <row r="1133" spans="1:19" x14ac:dyDescent="0.25">
      <c r="B1133" s="94" t="s">
        <v>107</v>
      </c>
      <c r="C1133" s="95">
        <v>0</v>
      </c>
      <c r="D1133">
        <f>$C1133*VLOOKUP($B1133,FoodDB!$A$2:$I$1011,3,0)</f>
        <v>0</v>
      </c>
      <c r="E1133">
        <f>$C1133*VLOOKUP($B1133,FoodDB!$A$2:$I$1011,4,0)</f>
        <v>0</v>
      </c>
      <c r="F1133">
        <f>$C1133*VLOOKUP($B1133,FoodDB!$A$2:$I$1011,5,0)</f>
        <v>0</v>
      </c>
      <c r="G1133">
        <f>$C1133*VLOOKUP($B1133,FoodDB!$A$2:$I$1011,6,0)</f>
        <v>0</v>
      </c>
      <c r="H1133">
        <f>$C1133*VLOOKUP($B1133,FoodDB!$A$2:$I$1011,7,0)</f>
        <v>0</v>
      </c>
      <c r="I1133">
        <f>$C1133*VLOOKUP($B1133,FoodDB!$A$2:$I$1011,8,0)</f>
        <v>0</v>
      </c>
      <c r="J1133">
        <f>$C1133*VLOOKUP($B1133,FoodDB!$A$2:$I$1011,9,0)</f>
        <v>0</v>
      </c>
    </row>
    <row r="1134" spans="1:19" x14ac:dyDescent="0.25">
      <c r="B1134" s="94" t="s">
        <v>107</v>
      </c>
      <c r="C1134" s="95">
        <v>0</v>
      </c>
      <c r="D1134">
        <f>$C1134*VLOOKUP($B1134,FoodDB!$A$2:$I$1011,3,0)</f>
        <v>0</v>
      </c>
      <c r="E1134">
        <f>$C1134*VLOOKUP($B1134,FoodDB!$A$2:$I$1011,4,0)</f>
        <v>0</v>
      </c>
      <c r="F1134">
        <f>$C1134*VLOOKUP($B1134,FoodDB!$A$2:$I$1011,5,0)</f>
        <v>0</v>
      </c>
      <c r="G1134">
        <f>$C1134*VLOOKUP($B1134,FoodDB!$A$2:$I$1011,6,0)</f>
        <v>0</v>
      </c>
      <c r="H1134">
        <f>$C1134*VLOOKUP($B1134,FoodDB!$A$2:$I$1011,7,0)</f>
        <v>0</v>
      </c>
      <c r="I1134">
        <f>$C1134*VLOOKUP($B1134,FoodDB!$A$2:$I$1011,8,0)</f>
        <v>0</v>
      </c>
      <c r="J1134">
        <f>$C1134*VLOOKUP($B1134,FoodDB!$A$2:$I$1011,9,0)</f>
        <v>0</v>
      </c>
    </row>
    <row r="1135" spans="1:19" x14ac:dyDescent="0.25">
      <c r="A1135" t="s">
        <v>97</v>
      </c>
      <c r="G1135">
        <f>SUM(G1128:G1134)</f>
        <v>0</v>
      </c>
      <c r="H1135">
        <f>SUM(H1128:H1134)</f>
        <v>0</v>
      </c>
      <c r="I1135">
        <f>SUM(I1128:I1134)</f>
        <v>0</v>
      </c>
      <c r="J1135">
        <f>SUM(G1135:I1135)</f>
        <v>0</v>
      </c>
    </row>
    <row r="1136" spans="1:19" x14ac:dyDescent="0.25">
      <c r="A1136" t="s">
        <v>101</v>
      </c>
      <c r="B1136" t="s">
        <v>102</v>
      </c>
      <c r="E1136" s="98"/>
      <c r="F1136" s="98"/>
      <c r="G1136" s="98">
        <f>VLOOKUP($A1128,LossChart!$A$3:$AB$105,14,0)</f>
        <v>859.6293879311695</v>
      </c>
      <c r="H1136" s="98">
        <f>VLOOKUP($A1128,LossChart!$A$3:$AB$105,15,0)</f>
        <v>116</v>
      </c>
      <c r="I1136" s="98">
        <f>VLOOKUP($A1128,LossChart!$A$3:$AB$105,16,0)</f>
        <v>482.47465271142238</v>
      </c>
      <c r="J1136" s="98">
        <f>VLOOKUP($A1128,LossChart!$A$3:$AB$105,17,0)</f>
        <v>1458.1040406425918</v>
      </c>
      <c r="K1136" s="98"/>
    </row>
    <row r="1137" spans="1:19" x14ac:dyDescent="0.25">
      <c r="A1137" t="s">
        <v>103</v>
      </c>
      <c r="G1137">
        <f>G1136-G1135</f>
        <v>859.6293879311695</v>
      </c>
      <c r="H1137">
        <f>H1136-H1135</f>
        <v>116</v>
      </c>
      <c r="I1137">
        <f>I1136-I1135</f>
        <v>482.47465271142238</v>
      </c>
      <c r="J1137">
        <f>J1136-J1135</f>
        <v>1458.1040406425918</v>
      </c>
    </row>
    <row r="1139" spans="1:19" ht="60" x14ac:dyDescent="0.25">
      <c r="A1139" s="21" t="s">
        <v>63</v>
      </c>
      <c r="B1139" s="21" t="s">
        <v>92</v>
      </c>
      <c r="C1139" s="21" t="s">
        <v>93</v>
      </c>
      <c r="D1139" s="92" t="str">
        <f>FoodDB!$C$1</f>
        <v>Fat
(g)</v>
      </c>
      <c r="E1139" s="92" t="str">
        <f>FoodDB!$D$1</f>
        <v xml:space="preserve"> Carbs
(g)</v>
      </c>
      <c r="F1139" s="92" t="str">
        <f>FoodDB!$E$1</f>
        <v>Protein
(g)</v>
      </c>
      <c r="G1139" s="92" t="str">
        <f>FoodDB!$F$1</f>
        <v>Fat
(Cal)</v>
      </c>
      <c r="H1139" s="92" t="str">
        <f>FoodDB!$G$1</f>
        <v>Carb
(Cal)</v>
      </c>
      <c r="I1139" s="92" t="str">
        <f>FoodDB!$H$1</f>
        <v>Protein
(Cal)</v>
      </c>
      <c r="J1139" s="92" t="str">
        <f>FoodDB!$I$1</f>
        <v>Total
Calories</v>
      </c>
      <c r="K1139" s="92"/>
      <c r="L1139" s="92" t="s">
        <v>109</v>
      </c>
      <c r="M1139" s="92" t="s">
        <v>110</v>
      </c>
      <c r="N1139" s="92" t="s">
        <v>111</v>
      </c>
      <c r="O1139" s="92" t="s">
        <v>112</v>
      </c>
      <c r="P1139" s="92" t="s">
        <v>117</v>
      </c>
      <c r="Q1139" s="92" t="s">
        <v>118</v>
      </c>
      <c r="R1139" s="92" t="s">
        <v>119</v>
      </c>
      <c r="S1139" s="92" t="s">
        <v>120</v>
      </c>
    </row>
    <row r="1140" spans="1:19" x14ac:dyDescent="0.25">
      <c r="A1140" s="93">
        <f>A1128+1</f>
        <v>43089</v>
      </c>
      <c r="B1140" s="94" t="s">
        <v>107</v>
      </c>
      <c r="C1140" s="95">
        <v>0</v>
      </c>
      <c r="D1140">
        <f>$C1140*VLOOKUP($B1140,FoodDB!$A$2:$I$1011,3,0)</f>
        <v>0</v>
      </c>
      <c r="E1140">
        <f>$C1140*VLOOKUP($B1140,FoodDB!$A$2:$I$1011,4,0)</f>
        <v>0</v>
      </c>
      <c r="F1140">
        <f>$C1140*VLOOKUP($B1140,FoodDB!$A$2:$I$1011,5,0)</f>
        <v>0</v>
      </c>
      <c r="G1140">
        <f>$C1140*VLOOKUP($B1140,FoodDB!$A$2:$I$1011,6,0)</f>
        <v>0</v>
      </c>
      <c r="H1140">
        <f>$C1140*VLOOKUP($B1140,FoodDB!$A$2:$I$1011,7,0)</f>
        <v>0</v>
      </c>
      <c r="I1140">
        <f>$C1140*VLOOKUP($B1140,FoodDB!$A$2:$I$1011,8,0)</f>
        <v>0</v>
      </c>
      <c r="J1140">
        <f>$C1140*VLOOKUP($B1140,FoodDB!$A$2:$I$1011,9,0)</f>
        <v>0</v>
      </c>
      <c r="L1140">
        <f>SUM(G1140:G1146)</f>
        <v>0</v>
      </c>
      <c r="M1140">
        <f>SUM(H1140:H1146)</f>
        <v>0</v>
      </c>
      <c r="N1140">
        <f>SUM(I1140:I1146)</f>
        <v>0</v>
      </c>
      <c r="O1140">
        <f>SUM(L1140:N1140)</f>
        <v>0</v>
      </c>
      <c r="P1140" s="98">
        <f>VLOOKUP($A1140,LossChart!$A$3:$AB$105,14,0)-L1140</f>
        <v>863.33139851370515</v>
      </c>
      <c r="Q1140" s="98">
        <f>VLOOKUP($A1140,LossChart!$A$3:$AB$105,15,0)-M1140</f>
        <v>116</v>
      </c>
      <c r="R1140" s="98">
        <f>VLOOKUP($A1140,LossChart!$A$3:$AB$105,16,0)-N1140</f>
        <v>482.47465271142238</v>
      </c>
      <c r="S1140" s="98">
        <f>VLOOKUP($A1140,LossChart!$A$3:$AB$105,17,0)-O1140</f>
        <v>1461.8060512251275</v>
      </c>
    </row>
    <row r="1141" spans="1:19" x14ac:dyDescent="0.25">
      <c r="B1141" s="94" t="s">
        <v>107</v>
      </c>
      <c r="C1141" s="95">
        <v>0</v>
      </c>
      <c r="D1141">
        <f>$C1141*VLOOKUP($B1141,FoodDB!$A$2:$I$1011,3,0)</f>
        <v>0</v>
      </c>
      <c r="E1141">
        <f>$C1141*VLOOKUP($B1141,FoodDB!$A$2:$I$1011,4,0)</f>
        <v>0</v>
      </c>
      <c r="F1141">
        <f>$C1141*VLOOKUP($B1141,FoodDB!$A$2:$I$1011,5,0)</f>
        <v>0</v>
      </c>
      <c r="G1141">
        <f>$C1141*VLOOKUP($B1141,FoodDB!$A$2:$I$1011,6,0)</f>
        <v>0</v>
      </c>
      <c r="H1141">
        <f>$C1141*VLOOKUP($B1141,FoodDB!$A$2:$I$1011,7,0)</f>
        <v>0</v>
      </c>
      <c r="I1141">
        <f>$C1141*VLOOKUP($B1141,FoodDB!$A$2:$I$1011,8,0)</f>
        <v>0</v>
      </c>
      <c r="J1141">
        <f>$C1141*VLOOKUP($B1141,FoodDB!$A$2:$I$1011,9,0)</f>
        <v>0</v>
      </c>
    </row>
    <row r="1142" spans="1:19" x14ac:dyDescent="0.25">
      <c r="B1142" s="94" t="s">
        <v>107</v>
      </c>
      <c r="C1142" s="95">
        <v>0</v>
      </c>
      <c r="D1142">
        <f>$C1142*VLOOKUP($B1142,FoodDB!$A$2:$I$1011,3,0)</f>
        <v>0</v>
      </c>
      <c r="E1142">
        <f>$C1142*VLOOKUP($B1142,FoodDB!$A$2:$I$1011,4,0)</f>
        <v>0</v>
      </c>
      <c r="F1142">
        <f>$C1142*VLOOKUP($B1142,FoodDB!$A$2:$I$1011,5,0)</f>
        <v>0</v>
      </c>
      <c r="G1142">
        <f>$C1142*VLOOKUP($B1142,FoodDB!$A$2:$I$1011,6,0)</f>
        <v>0</v>
      </c>
      <c r="H1142">
        <f>$C1142*VLOOKUP($B1142,FoodDB!$A$2:$I$1011,7,0)</f>
        <v>0</v>
      </c>
      <c r="I1142">
        <f>$C1142*VLOOKUP($B1142,FoodDB!$A$2:$I$1011,8,0)</f>
        <v>0</v>
      </c>
      <c r="J1142">
        <f>$C1142*VLOOKUP($B1142,FoodDB!$A$2:$I$1011,9,0)</f>
        <v>0</v>
      </c>
    </row>
    <row r="1143" spans="1:19" x14ac:dyDescent="0.25">
      <c r="B1143" s="94" t="s">
        <v>107</v>
      </c>
      <c r="C1143" s="95">
        <v>0</v>
      </c>
      <c r="D1143">
        <f>$C1143*VLOOKUP($B1143,FoodDB!$A$2:$I$1011,3,0)</f>
        <v>0</v>
      </c>
      <c r="E1143">
        <f>$C1143*VLOOKUP($B1143,FoodDB!$A$2:$I$1011,4,0)</f>
        <v>0</v>
      </c>
      <c r="F1143">
        <f>$C1143*VLOOKUP($B1143,FoodDB!$A$2:$I$1011,5,0)</f>
        <v>0</v>
      </c>
      <c r="G1143">
        <f>$C1143*VLOOKUP($B1143,FoodDB!$A$2:$I$1011,6,0)</f>
        <v>0</v>
      </c>
      <c r="H1143">
        <f>$C1143*VLOOKUP($B1143,FoodDB!$A$2:$I$1011,7,0)</f>
        <v>0</v>
      </c>
      <c r="I1143">
        <f>$C1143*VLOOKUP($B1143,FoodDB!$A$2:$I$1011,8,0)</f>
        <v>0</v>
      </c>
      <c r="J1143">
        <f>$C1143*VLOOKUP($B1143,FoodDB!$A$2:$I$1011,9,0)</f>
        <v>0</v>
      </c>
    </row>
    <row r="1144" spans="1:19" x14ac:dyDescent="0.25">
      <c r="B1144" s="94" t="s">
        <v>107</v>
      </c>
      <c r="C1144" s="95">
        <v>0</v>
      </c>
      <c r="D1144">
        <f>$C1144*VLOOKUP($B1144,FoodDB!$A$2:$I$1011,3,0)</f>
        <v>0</v>
      </c>
      <c r="E1144">
        <f>$C1144*VLOOKUP($B1144,FoodDB!$A$2:$I$1011,4,0)</f>
        <v>0</v>
      </c>
      <c r="F1144">
        <f>$C1144*VLOOKUP($B1144,FoodDB!$A$2:$I$1011,5,0)</f>
        <v>0</v>
      </c>
      <c r="G1144">
        <f>$C1144*VLOOKUP($B1144,FoodDB!$A$2:$I$1011,6,0)</f>
        <v>0</v>
      </c>
      <c r="H1144">
        <f>$C1144*VLOOKUP($B1144,FoodDB!$A$2:$I$1011,7,0)</f>
        <v>0</v>
      </c>
      <c r="I1144">
        <f>$C1144*VLOOKUP($B1144,FoodDB!$A$2:$I$1011,8,0)</f>
        <v>0</v>
      </c>
      <c r="J1144">
        <f>$C1144*VLOOKUP($B1144,FoodDB!$A$2:$I$1011,9,0)</f>
        <v>0</v>
      </c>
    </row>
    <row r="1145" spans="1:19" x14ac:dyDescent="0.25">
      <c r="B1145" s="94" t="s">
        <v>107</v>
      </c>
      <c r="C1145" s="95">
        <v>0</v>
      </c>
      <c r="D1145">
        <f>$C1145*VLOOKUP($B1145,FoodDB!$A$2:$I$1011,3,0)</f>
        <v>0</v>
      </c>
      <c r="E1145">
        <f>$C1145*VLOOKUP($B1145,FoodDB!$A$2:$I$1011,4,0)</f>
        <v>0</v>
      </c>
      <c r="F1145">
        <f>$C1145*VLOOKUP($B1145,FoodDB!$A$2:$I$1011,5,0)</f>
        <v>0</v>
      </c>
      <c r="G1145">
        <f>$C1145*VLOOKUP($B1145,FoodDB!$A$2:$I$1011,6,0)</f>
        <v>0</v>
      </c>
      <c r="H1145">
        <f>$C1145*VLOOKUP($B1145,FoodDB!$A$2:$I$1011,7,0)</f>
        <v>0</v>
      </c>
      <c r="I1145">
        <f>$C1145*VLOOKUP($B1145,FoodDB!$A$2:$I$1011,8,0)</f>
        <v>0</v>
      </c>
      <c r="J1145">
        <f>$C1145*VLOOKUP($B1145,FoodDB!$A$2:$I$1011,9,0)</f>
        <v>0</v>
      </c>
    </row>
    <row r="1146" spans="1:19" x14ac:dyDescent="0.25">
      <c r="B1146" s="94" t="s">
        <v>107</v>
      </c>
      <c r="C1146" s="95">
        <v>0</v>
      </c>
      <c r="D1146">
        <f>$C1146*VLOOKUP($B1146,FoodDB!$A$2:$I$1011,3,0)</f>
        <v>0</v>
      </c>
      <c r="E1146">
        <f>$C1146*VLOOKUP($B1146,FoodDB!$A$2:$I$1011,4,0)</f>
        <v>0</v>
      </c>
      <c r="F1146">
        <f>$C1146*VLOOKUP($B1146,FoodDB!$A$2:$I$1011,5,0)</f>
        <v>0</v>
      </c>
      <c r="G1146">
        <f>$C1146*VLOOKUP($B1146,FoodDB!$A$2:$I$1011,6,0)</f>
        <v>0</v>
      </c>
      <c r="H1146">
        <f>$C1146*VLOOKUP($B1146,FoodDB!$A$2:$I$1011,7,0)</f>
        <v>0</v>
      </c>
      <c r="I1146">
        <f>$C1146*VLOOKUP($B1146,FoodDB!$A$2:$I$1011,8,0)</f>
        <v>0</v>
      </c>
      <c r="J1146">
        <f>$C1146*VLOOKUP($B1146,FoodDB!$A$2:$I$1011,9,0)</f>
        <v>0</v>
      </c>
    </row>
    <row r="1147" spans="1:19" x14ac:dyDescent="0.25">
      <c r="A1147" t="s">
        <v>97</v>
      </c>
      <c r="G1147">
        <f>SUM(G1140:G1146)</f>
        <v>0</v>
      </c>
      <c r="H1147">
        <f>SUM(H1140:H1146)</f>
        <v>0</v>
      </c>
      <c r="I1147">
        <f>SUM(I1140:I1146)</f>
        <v>0</v>
      </c>
      <c r="J1147">
        <f>SUM(G1147:I1147)</f>
        <v>0</v>
      </c>
    </row>
    <row r="1148" spans="1:19" x14ac:dyDescent="0.25">
      <c r="A1148" t="s">
        <v>101</v>
      </c>
      <c r="B1148" t="s">
        <v>102</v>
      </c>
      <c r="E1148" s="98"/>
      <c r="F1148" s="98"/>
      <c r="G1148" s="98">
        <f>VLOOKUP($A1140,LossChart!$A$3:$AB$105,14,0)</f>
        <v>863.33139851370515</v>
      </c>
      <c r="H1148" s="98">
        <f>VLOOKUP($A1140,LossChart!$A$3:$AB$105,15,0)</f>
        <v>116</v>
      </c>
      <c r="I1148" s="98">
        <f>VLOOKUP($A1140,LossChart!$A$3:$AB$105,16,0)</f>
        <v>482.47465271142238</v>
      </c>
      <c r="J1148" s="98">
        <f>VLOOKUP($A1140,LossChart!$A$3:$AB$105,17,0)</f>
        <v>1461.8060512251275</v>
      </c>
      <c r="K1148" s="98"/>
    </row>
    <row r="1149" spans="1:19" x14ac:dyDescent="0.25">
      <c r="A1149" t="s">
        <v>103</v>
      </c>
      <c r="G1149">
        <f>G1148-G1147</f>
        <v>863.33139851370515</v>
      </c>
      <c r="H1149">
        <f>H1148-H1147</f>
        <v>116</v>
      </c>
      <c r="I1149">
        <f>I1148-I1147</f>
        <v>482.47465271142238</v>
      </c>
      <c r="J1149">
        <f>J1148-J1147</f>
        <v>1461.8060512251275</v>
      </c>
    </row>
    <row r="1151" spans="1:19" ht="60" x14ac:dyDescent="0.25">
      <c r="A1151" s="21" t="s">
        <v>63</v>
      </c>
      <c r="B1151" s="21" t="s">
        <v>92</v>
      </c>
      <c r="C1151" s="21" t="s">
        <v>93</v>
      </c>
      <c r="D1151" s="92" t="str">
        <f>FoodDB!$C$1</f>
        <v>Fat
(g)</v>
      </c>
      <c r="E1151" s="92" t="str">
        <f>FoodDB!$D$1</f>
        <v xml:space="preserve"> Carbs
(g)</v>
      </c>
      <c r="F1151" s="92" t="str">
        <f>FoodDB!$E$1</f>
        <v>Protein
(g)</v>
      </c>
      <c r="G1151" s="92" t="str">
        <f>FoodDB!$F$1</f>
        <v>Fat
(Cal)</v>
      </c>
      <c r="H1151" s="92" t="str">
        <f>FoodDB!$G$1</f>
        <v>Carb
(Cal)</v>
      </c>
      <c r="I1151" s="92" t="str">
        <f>FoodDB!$H$1</f>
        <v>Protein
(Cal)</v>
      </c>
      <c r="J1151" s="92" t="str">
        <f>FoodDB!$I$1</f>
        <v>Total
Calories</v>
      </c>
      <c r="K1151" s="92"/>
      <c r="L1151" s="92" t="s">
        <v>109</v>
      </c>
      <c r="M1151" s="92" t="s">
        <v>110</v>
      </c>
      <c r="N1151" s="92" t="s">
        <v>111</v>
      </c>
      <c r="O1151" s="92" t="s">
        <v>112</v>
      </c>
      <c r="P1151" s="92" t="s">
        <v>117</v>
      </c>
      <c r="Q1151" s="92" t="s">
        <v>118</v>
      </c>
      <c r="R1151" s="92" t="s">
        <v>119</v>
      </c>
      <c r="S1151" s="92" t="s">
        <v>120</v>
      </c>
    </row>
    <row r="1152" spans="1:19" x14ac:dyDescent="0.25">
      <c r="A1152" s="93">
        <f>A1140+1</f>
        <v>43090</v>
      </c>
      <c r="B1152" s="94" t="s">
        <v>107</v>
      </c>
      <c r="C1152" s="95">
        <v>0</v>
      </c>
      <c r="D1152">
        <f>$C1152*VLOOKUP($B1152,FoodDB!$A$2:$I$1011,3,0)</f>
        <v>0</v>
      </c>
      <c r="E1152">
        <f>$C1152*VLOOKUP($B1152,FoodDB!$A$2:$I$1011,4,0)</f>
        <v>0</v>
      </c>
      <c r="F1152">
        <f>$C1152*VLOOKUP($B1152,FoodDB!$A$2:$I$1011,5,0)</f>
        <v>0</v>
      </c>
      <c r="G1152">
        <f>$C1152*VLOOKUP($B1152,FoodDB!$A$2:$I$1011,6,0)</f>
        <v>0</v>
      </c>
      <c r="H1152">
        <f>$C1152*VLOOKUP($B1152,FoodDB!$A$2:$I$1011,7,0)</f>
        <v>0</v>
      </c>
      <c r="I1152">
        <f>$C1152*VLOOKUP($B1152,FoodDB!$A$2:$I$1011,8,0)</f>
        <v>0</v>
      </c>
      <c r="J1152">
        <f>$C1152*VLOOKUP($B1152,FoodDB!$A$2:$I$1011,9,0)</f>
        <v>0</v>
      </c>
      <c r="L1152">
        <f>SUM(G1152:G1158)</f>
        <v>0</v>
      </c>
      <c r="M1152">
        <f>SUM(H1152:H1158)</f>
        <v>0</v>
      </c>
      <c r="N1152">
        <f>SUM(I1152:I1158)</f>
        <v>0</v>
      </c>
      <c r="O1152">
        <f>SUM(L1152:N1152)</f>
        <v>0</v>
      </c>
      <c r="P1152" s="98">
        <f>VLOOKUP($A1152,LossChart!$A$3:$AB$105,14,0)-L1152</f>
        <v>867.00061985965181</v>
      </c>
      <c r="Q1152" s="98">
        <f>VLOOKUP($A1152,LossChart!$A$3:$AB$105,15,0)-M1152</f>
        <v>116</v>
      </c>
      <c r="R1152" s="98">
        <f>VLOOKUP($A1152,LossChart!$A$3:$AB$105,16,0)-N1152</f>
        <v>482.47465271142238</v>
      </c>
      <c r="S1152" s="98">
        <f>VLOOKUP($A1152,LossChart!$A$3:$AB$105,17,0)-O1152</f>
        <v>1465.4752725710741</v>
      </c>
    </row>
    <row r="1153" spans="1:19" x14ac:dyDescent="0.25">
      <c r="B1153" s="94" t="s">
        <v>107</v>
      </c>
      <c r="C1153" s="95">
        <v>0</v>
      </c>
      <c r="D1153">
        <f>$C1153*VLOOKUP($B1153,FoodDB!$A$2:$I$1011,3,0)</f>
        <v>0</v>
      </c>
      <c r="E1153">
        <f>$C1153*VLOOKUP($B1153,FoodDB!$A$2:$I$1011,4,0)</f>
        <v>0</v>
      </c>
      <c r="F1153">
        <f>$C1153*VLOOKUP($B1153,FoodDB!$A$2:$I$1011,5,0)</f>
        <v>0</v>
      </c>
      <c r="G1153">
        <f>$C1153*VLOOKUP($B1153,FoodDB!$A$2:$I$1011,6,0)</f>
        <v>0</v>
      </c>
      <c r="H1153">
        <f>$C1153*VLOOKUP($B1153,FoodDB!$A$2:$I$1011,7,0)</f>
        <v>0</v>
      </c>
      <c r="I1153">
        <f>$C1153*VLOOKUP($B1153,FoodDB!$A$2:$I$1011,8,0)</f>
        <v>0</v>
      </c>
      <c r="J1153">
        <f>$C1153*VLOOKUP($B1153,FoodDB!$A$2:$I$1011,9,0)</f>
        <v>0</v>
      </c>
    </row>
    <row r="1154" spans="1:19" x14ac:dyDescent="0.25">
      <c r="B1154" s="94" t="s">
        <v>107</v>
      </c>
      <c r="C1154" s="95">
        <v>0</v>
      </c>
      <c r="D1154">
        <f>$C1154*VLOOKUP($B1154,FoodDB!$A$2:$I$1011,3,0)</f>
        <v>0</v>
      </c>
      <c r="E1154">
        <f>$C1154*VLOOKUP($B1154,FoodDB!$A$2:$I$1011,4,0)</f>
        <v>0</v>
      </c>
      <c r="F1154">
        <f>$C1154*VLOOKUP($B1154,FoodDB!$A$2:$I$1011,5,0)</f>
        <v>0</v>
      </c>
      <c r="G1154">
        <f>$C1154*VLOOKUP($B1154,FoodDB!$A$2:$I$1011,6,0)</f>
        <v>0</v>
      </c>
      <c r="H1154">
        <f>$C1154*VLOOKUP($B1154,FoodDB!$A$2:$I$1011,7,0)</f>
        <v>0</v>
      </c>
      <c r="I1154">
        <f>$C1154*VLOOKUP($B1154,FoodDB!$A$2:$I$1011,8,0)</f>
        <v>0</v>
      </c>
      <c r="J1154">
        <f>$C1154*VLOOKUP($B1154,FoodDB!$A$2:$I$1011,9,0)</f>
        <v>0</v>
      </c>
    </row>
    <row r="1155" spans="1:19" x14ac:dyDescent="0.25">
      <c r="B1155" s="94" t="s">
        <v>107</v>
      </c>
      <c r="C1155" s="95">
        <v>0</v>
      </c>
      <c r="D1155">
        <f>$C1155*VLOOKUP($B1155,FoodDB!$A$2:$I$1011,3,0)</f>
        <v>0</v>
      </c>
      <c r="E1155">
        <f>$C1155*VLOOKUP($B1155,FoodDB!$A$2:$I$1011,4,0)</f>
        <v>0</v>
      </c>
      <c r="F1155">
        <f>$C1155*VLOOKUP($B1155,FoodDB!$A$2:$I$1011,5,0)</f>
        <v>0</v>
      </c>
      <c r="G1155">
        <f>$C1155*VLOOKUP($B1155,FoodDB!$A$2:$I$1011,6,0)</f>
        <v>0</v>
      </c>
      <c r="H1155">
        <f>$C1155*VLOOKUP($B1155,FoodDB!$A$2:$I$1011,7,0)</f>
        <v>0</v>
      </c>
      <c r="I1155">
        <f>$C1155*VLOOKUP($B1155,FoodDB!$A$2:$I$1011,8,0)</f>
        <v>0</v>
      </c>
      <c r="J1155">
        <f>$C1155*VLOOKUP($B1155,FoodDB!$A$2:$I$1011,9,0)</f>
        <v>0</v>
      </c>
    </row>
    <row r="1156" spans="1:19" x14ac:dyDescent="0.25">
      <c r="B1156" s="94" t="s">
        <v>107</v>
      </c>
      <c r="C1156" s="95">
        <v>0</v>
      </c>
      <c r="D1156">
        <f>$C1156*VLOOKUP($B1156,FoodDB!$A$2:$I$1011,3,0)</f>
        <v>0</v>
      </c>
      <c r="E1156">
        <f>$C1156*VLOOKUP($B1156,FoodDB!$A$2:$I$1011,4,0)</f>
        <v>0</v>
      </c>
      <c r="F1156">
        <f>$C1156*VLOOKUP($B1156,FoodDB!$A$2:$I$1011,5,0)</f>
        <v>0</v>
      </c>
      <c r="G1156">
        <f>$C1156*VLOOKUP($B1156,FoodDB!$A$2:$I$1011,6,0)</f>
        <v>0</v>
      </c>
      <c r="H1156">
        <f>$C1156*VLOOKUP($B1156,FoodDB!$A$2:$I$1011,7,0)</f>
        <v>0</v>
      </c>
      <c r="I1156">
        <f>$C1156*VLOOKUP($B1156,FoodDB!$A$2:$I$1011,8,0)</f>
        <v>0</v>
      </c>
      <c r="J1156">
        <f>$C1156*VLOOKUP($B1156,FoodDB!$A$2:$I$1011,9,0)</f>
        <v>0</v>
      </c>
    </row>
    <row r="1157" spans="1:19" x14ac:dyDescent="0.25">
      <c r="B1157" s="94" t="s">
        <v>107</v>
      </c>
      <c r="C1157" s="95">
        <v>0</v>
      </c>
      <c r="D1157">
        <f>$C1157*VLOOKUP($B1157,FoodDB!$A$2:$I$1011,3,0)</f>
        <v>0</v>
      </c>
      <c r="E1157">
        <f>$C1157*VLOOKUP($B1157,FoodDB!$A$2:$I$1011,4,0)</f>
        <v>0</v>
      </c>
      <c r="F1157">
        <f>$C1157*VLOOKUP($B1157,FoodDB!$A$2:$I$1011,5,0)</f>
        <v>0</v>
      </c>
      <c r="G1157">
        <f>$C1157*VLOOKUP($B1157,FoodDB!$A$2:$I$1011,6,0)</f>
        <v>0</v>
      </c>
      <c r="H1157">
        <f>$C1157*VLOOKUP($B1157,FoodDB!$A$2:$I$1011,7,0)</f>
        <v>0</v>
      </c>
      <c r="I1157">
        <f>$C1157*VLOOKUP($B1157,FoodDB!$A$2:$I$1011,8,0)</f>
        <v>0</v>
      </c>
      <c r="J1157">
        <f>$C1157*VLOOKUP($B1157,FoodDB!$A$2:$I$1011,9,0)</f>
        <v>0</v>
      </c>
    </row>
    <row r="1158" spans="1:19" x14ac:dyDescent="0.25">
      <c r="B1158" s="94" t="s">
        <v>107</v>
      </c>
      <c r="C1158" s="95">
        <v>0</v>
      </c>
      <c r="D1158">
        <f>$C1158*VLOOKUP($B1158,FoodDB!$A$2:$I$1011,3,0)</f>
        <v>0</v>
      </c>
      <c r="E1158">
        <f>$C1158*VLOOKUP($B1158,FoodDB!$A$2:$I$1011,4,0)</f>
        <v>0</v>
      </c>
      <c r="F1158">
        <f>$C1158*VLOOKUP($B1158,FoodDB!$A$2:$I$1011,5,0)</f>
        <v>0</v>
      </c>
      <c r="G1158">
        <f>$C1158*VLOOKUP($B1158,FoodDB!$A$2:$I$1011,6,0)</f>
        <v>0</v>
      </c>
      <c r="H1158">
        <f>$C1158*VLOOKUP($B1158,FoodDB!$A$2:$I$1011,7,0)</f>
        <v>0</v>
      </c>
      <c r="I1158">
        <f>$C1158*VLOOKUP($B1158,FoodDB!$A$2:$I$1011,8,0)</f>
        <v>0</v>
      </c>
      <c r="J1158">
        <f>$C1158*VLOOKUP($B1158,FoodDB!$A$2:$I$1011,9,0)</f>
        <v>0</v>
      </c>
    </row>
    <row r="1159" spans="1:19" x14ac:dyDescent="0.25">
      <c r="A1159" t="s">
        <v>97</v>
      </c>
      <c r="G1159">
        <f>SUM(G1152:G1158)</f>
        <v>0</v>
      </c>
      <c r="H1159">
        <f>SUM(H1152:H1158)</f>
        <v>0</v>
      </c>
      <c r="I1159">
        <f>SUM(I1152:I1158)</f>
        <v>0</v>
      </c>
      <c r="J1159">
        <f>SUM(G1159:I1159)</f>
        <v>0</v>
      </c>
    </row>
    <row r="1160" spans="1:19" x14ac:dyDescent="0.25">
      <c r="A1160" t="s">
        <v>101</v>
      </c>
      <c r="B1160" t="s">
        <v>102</v>
      </c>
      <c r="E1160" s="98"/>
      <c r="F1160" s="98"/>
      <c r="G1160" s="98">
        <f>VLOOKUP($A1152,LossChart!$A$3:$AB$105,14,0)</f>
        <v>867.00061985965181</v>
      </c>
      <c r="H1160" s="98">
        <f>VLOOKUP($A1152,LossChart!$A$3:$AB$105,15,0)</f>
        <v>116</v>
      </c>
      <c r="I1160" s="98">
        <f>VLOOKUP($A1152,LossChart!$A$3:$AB$105,16,0)</f>
        <v>482.47465271142238</v>
      </c>
      <c r="J1160" s="98">
        <f>VLOOKUP($A1152,LossChart!$A$3:$AB$105,17,0)</f>
        <v>1465.4752725710741</v>
      </c>
      <c r="K1160" s="98"/>
    </row>
    <row r="1161" spans="1:19" x14ac:dyDescent="0.25">
      <c r="A1161" t="s">
        <v>103</v>
      </c>
      <c r="G1161">
        <f>G1160-G1159</f>
        <v>867.00061985965181</v>
      </c>
      <c r="H1161">
        <f>H1160-H1159</f>
        <v>116</v>
      </c>
      <c r="I1161">
        <f>I1160-I1159</f>
        <v>482.47465271142238</v>
      </c>
      <c r="J1161">
        <f>J1160-J1159</f>
        <v>1465.4752725710741</v>
      </c>
    </row>
    <row r="1163" spans="1:19" ht="60" x14ac:dyDescent="0.25">
      <c r="A1163" s="21" t="s">
        <v>63</v>
      </c>
      <c r="B1163" s="21" t="s">
        <v>92</v>
      </c>
      <c r="C1163" s="21" t="s">
        <v>93</v>
      </c>
      <c r="D1163" s="92" t="str">
        <f>FoodDB!$C$1</f>
        <v>Fat
(g)</v>
      </c>
      <c r="E1163" s="92" t="str">
        <f>FoodDB!$D$1</f>
        <v xml:space="preserve"> Carbs
(g)</v>
      </c>
      <c r="F1163" s="92" t="str">
        <f>FoodDB!$E$1</f>
        <v>Protein
(g)</v>
      </c>
      <c r="G1163" s="92" t="str">
        <f>FoodDB!$F$1</f>
        <v>Fat
(Cal)</v>
      </c>
      <c r="H1163" s="92" t="str">
        <f>FoodDB!$G$1</f>
        <v>Carb
(Cal)</v>
      </c>
      <c r="I1163" s="92" t="str">
        <f>FoodDB!$H$1</f>
        <v>Protein
(Cal)</v>
      </c>
      <c r="J1163" s="92" t="str">
        <f>FoodDB!$I$1</f>
        <v>Total
Calories</v>
      </c>
      <c r="K1163" s="92"/>
      <c r="L1163" s="92" t="s">
        <v>109</v>
      </c>
      <c r="M1163" s="92" t="s">
        <v>110</v>
      </c>
      <c r="N1163" s="92" t="s">
        <v>111</v>
      </c>
      <c r="O1163" s="92" t="s">
        <v>112</v>
      </c>
      <c r="P1163" s="92" t="s">
        <v>117</v>
      </c>
      <c r="Q1163" s="92" t="s">
        <v>118</v>
      </c>
      <c r="R1163" s="92" t="s">
        <v>119</v>
      </c>
      <c r="S1163" s="92" t="s">
        <v>120</v>
      </c>
    </row>
    <row r="1164" spans="1:19" x14ac:dyDescent="0.25">
      <c r="A1164" s="93">
        <f>A1152+1</f>
        <v>43091</v>
      </c>
      <c r="B1164" s="94" t="s">
        <v>107</v>
      </c>
      <c r="C1164" s="95">
        <v>0</v>
      </c>
      <c r="D1164">
        <f>$C1164*VLOOKUP($B1164,FoodDB!$A$2:$I$1011,3,0)</f>
        <v>0</v>
      </c>
      <c r="E1164">
        <f>$C1164*VLOOKUP($B1164,FoodDB!$A$2:$I$1011,4,0)</f>
        <v>0</v>
      </c>
      <c r="F1164">
        <f>$C1164*VLOOKUP($B1164,FoodDB!$A$2:$I$1011,5,0)</f>
        <v>0</v>
      </c>
      <c r="G1164">
        <f>$C1164*VLOOKUP($B1164,FoodDB!$A$2:$I$1011,6,0)</f>
        <v>0</v>
      </c>
      <c r="H1164">
        <f>$C1164*VLOOKUP($B1164,FoodDB!$A$2:$I$1011,7,0)</f>
        <v>0</v>
      </c>
      <c r="I1164">
        <f>$C1164*VLOOKUP($B1164,FoodDB!$A$2:$I$1011,8,0)</f>
        <v>0</v>
      </c>
      <c r="J1164">
        <f>$C1164*VLOOKUP($B1164,FoodDB!$A$2:$I$1011,9,0)</f>
        <v>0</v>
      </c>
      <c r="L1164">
        <f>SUM(G1164:G1170)</f>
        <v>0</v>
      </c>
      <c r="M1164">
        <f>SUM(H1164:H1170)</f>
        <v>0</v>
      </c>
      <c r="N1164">
        <f>SUM(I1164:I1170)</f>
        <v>0</v>
      </c>
      <c r="O1164">
        <f>SUM(L1164:N1164)</f>
        <v>0</v>
      </c>
      <c r="P1164" s="98">
        <f>VLOOKUP($A1164,LossChart!$A$3:$AB$105,14,0)-L1164</f>
        <v>870.63734238796337</v>
      </c>
      <c r="Q1164" s="98">
        <f>VLOOKUP($A1164,LossChart!$A$3:$AB$105,15,0)-M1164</f>
        <v>116</v>
      </c>
      <c r="R1164" s="98">
        <f>VLOOKUP($A1164,LossChart!$A$3:$AB$105,16,0)-N1164</f>
        <v>482.47465271142238</v>
      </c>
      <c r="S1164" s="98">
        <f>VLOOKUP($A1164,LossChart!$A$3:$AB$105,17,0)-O1164</f>
        <v>1469.1119950993857</v>
      </c>
    </row>
    <row r="1165" spans="1:19" x14ac:dyDescent="0.25">
      <c r="B1165" s="94" t="s">
        <v>107</v>
      </c>
      <c r="C1165" s="95">
        <v>0</v>
      </c>
      <c r="D1165">
        <f>$C1165*VLOOKUP($B1165,FoodDB!$A$2:$I$1011,3,0)</f>
        <v>0</v>
      </c>
      <c r="E1165">
        <f>$C1165*VLOOKUP($B1165,FoodDB!$A$2:$I$1011,4,0)</f>
        <v>0</v>
      </c>
      <c r="F1165">
        <f>$C1165*VLOOKUP($B1165,FoodDB!$A$2:$I$1011,5,0)</f>
        <v>0</v>
      </c>
      <c r="G1165">
        <f>$C1165*VLOOKUP($B1165,FoodDB!$A$2:$I$1011,6,0)</f>
        <v>0</v>
      </c>
      <c r="H1165">
        <f>$C1165*VLOOKUP($B1165,FoodDB!$A$2:$I$1011,7,0)</f>
        <v>0</v>
      </c>
      <c r="I1165">
        <f>$C1165*VLOOKUP($B1165,FoodDB!$A$2:$I$1011,8,0)</f>
        <v>0</v>
      </c>
      <c r="J1165">
        <f>$C1165*VLOOKUP($B1165,FoodDB!$A$2:$I$1011,9,0)</f>
        <v>0</v>
      </c>
    </row>
    <row r="1166" spans="1:19" x14ac:dyDescent="0.25">
      <c r="B1166" s="94" t="s">
        <v>107</v>
      </c>
      <c r="C1166" s="95">
        <v>0</v>
      </c>
      <c r="D1166">
        <f>$C1166*VLOOKUP($B1166,FoodDB!$A$2:$I$1011,3,0)</f>
        <v>0</v>
      </c>
      <c r="E1166">
        <f>$C1166*VLOOKUP($B1166,FoodDB!$A$2:$I$1011,4,0)</f>
        <v>0</v>
      </c>
      <c r="F1166">
        <f>$C1166*VLOOKUP($B1166,FoodDB!$A$2:$I$1011,5,0)</f>
        <v>0</v>
      </c>
      <c r="G1166">
        <f>$C1166*VLOOKUP($B1166,FoodDB!$A$2:$I$1011,6,0)</f>
        <v>0</v>
      </c>
      <c r="H1166">
        <f>$C1166*VLOOKUP($B1166,FoodDB!$A$2:$I$1011,7,0)</f>
        <v>0</v>
      </c>
      <c r="I1166">
        <f>$C1166*VLOOKUP($B1166,FoodDB!$A$2:$I$1011,8,0)</f>
        <v>0</v>
      </c>
      <c r="J1166">
        <f>$C1166*VLOOKUP($B1166,FoodDB!$A$2:$I$1011,9,0)</f>
        <v>0</v>
      </c>
    </row>
    <row r="1167" spans="1:19" x14ac:dyDescent="0.25">
      <c r="B1167" s="94" t="s">
        <v>107</v>
      </c>
      <c r="C1167" s="95">
        <v>0</v>
      </c>
      <c r="D1167">
        <f>$C1167*VLOOKUP($B1167,FoodDB!$A$2:$I$1011,3,0)</f>
        <v>0</v>
      </c>
      <c r="E1167">
        <f>$C1167*VLOOKUP($B1167,FoodDB!$A$2:$I$1011,4,0)</f>
        <v>0</v>
      </c>
      <c r="F1167">
        <f>$C1167*VLOOKUP($B1167,FoodDB!$A$2:$I$1011,5,0)</f>
        <v>0</v>
      </c>
      <c r="G1167">
        <f>$C1167*VLOOKUP($B1167,FoodDB!$A$2:$I$1011,6,0)</f>
        <v>0</v>
      </c>
      <c r="H1167">
        <f>$C1167*VLOOKUP($B1167,FoodDB!$A$2:$I$1011,7,0)</f>
        <v>0</v>
      </c>
      <c r="I1167">
        <f>$C1167*VLOOKUP($B1167,FoodDB!$A$2:$I$1011,8,0)</f>
        <v>0</v>
      </c>
      <c r="J1167">
        <f>$C1167*VLOOKUP($B1167,FoodDB!$A$2:$I$1011,9,0)</f>
        <v>0</v>
      </c>
    </row>
    <row r="1168" spans="1:19" x14ac:dyDescent="0.25">
      <c r="B1168" s="94" t="s">
        <v>107</v>
      </c>
      <c r="C1168" s="95">
        <v>0</v>
      </c>
      <c r="D1168">
        <f>$C1168*VLOOKUP($B1168,FoodDB!$A$2:$I$1011,3,0)</f>
        <v>0</v>
      </c>
      <c r="E1168">
        <f>$C1168*VLOOKUP($B1168,FoodDB!$A$2:$I$1011,4,0)</f>
        <v>0</v>
      </c>
      <c r="F1168">
        <f>$C1168*VLOOKUP($B1168,FoodDB!$A$2:$I$1011,5,0)</f>
        <v>0</v>
      </c>
      <c r="G1168">
        <f>$C1168*VLOOKUP($B1168,FoodDB!$A$2:$I$1011,6,0)</f>
        <v>0</v>
      </c>
      <c r="H1168">
        <f>$C1168*VLOOKUP($B1168,FoodDB!$A$2:$I$1011,7,0)</f>
        <v>0</v>
      </c>
      <c r="I1168">
        <f>$C1168*VLOOKUP($B1168,FoodDB!$A$2:$I$1011,8,0)</f>
        <v>0</v>
      </c>
      <c r="J1168">
        <f>$C1168*VLOOKUP($B1168,FoodDB!$A$2:$I$1011,9,0)</f>
        <v>0</v>
      </c>
    </row>
    <row r="1169" spans="1:19" x14ac:dyDescent="0.25">
      <c r="B1169" s="94" t="s">
        <v>107</v>
      </c>
      <c r="C1169" s="95">
        <v>0</v>
      </c>
      <c r="D1169">
        <f>$C1169*VLOOKUP($B1169,FoodDB!$A$2:$I$1011,3,0)</f>
        <v>0</v>
      </c>
      <c r="E1169">
        <f>$C1169*VLOOKUP($B1169,FoodDB!$A$2:$I$1011,4,0)</f>
        <v>0</v>
      </c>
      <c r="F1169">
        <f>$C1169*VLOOKUP($B1169,FoodDB!$A$2:$I$1011,5,0)</f>
        <v>0</v>
      </c>
      <c r="G1169">
        <f>$C1169*VLOOKUP($B1169,FoodDB!$A$2:$I$1011,6,0)</f>
        <v>0</v>
      </c>
      <c r="H1169">
        <f>$C1169*VLOOKUP($B1169,FoodDB!$A$2:$I$1011,7,0)</f>
        <v>0</v>
      </c>
      <c r="I1169">
        <f>$C1169*VLOOKUP($B1169,FoodDB!$A$2:$I$1011,8,0)</f>
        <v>0</v>
      </c>
      <c r="J1169">
        <f>$C1169*VLOOKUP($B1169,FoodDB!$A$2:$I$1011,9,0)</f>
        <v>0</v>
      </c>
    </row>
    <row r="1170" spans="1:19" x14ac:dyDescent="0.25">
      <c r="B1170" s="94" t="s">
        <v>107</v>
      </c>
      <c r="C1170" s="95">
        <v>0</v>
      </c>
      <c r="D1170">
        <f>$C1170*VLOOKUP($B1170,FoodDB!$A$2:$I$1011,3,0)</f>
        <v>0</v>
      </c>
      <c r="E1170">
        <f>$C1170*VLOOKUP($B1170,FoodDB!$A$2:$I$1011,4,0)</f>
        <v>0</v>
      </c>
      <c r="F1170">
        <f>$C1170*VLOOKUP($B1170,FoodDB!$A$2:$I$1011,5,0)</f>
        <v>0</v>
      </c>
      <c r="G1170">
        <f>$C1170*VLOOKUP($B1170,FoodDB!$A$2:$I$1011,6,0)</f>
        <v>0</v>
      </c>
      <c r="H1170">
        <f>$C1170*VLOOKUP($B1170,FoodDB!$A$2:$I$1011,7,0)</f>
        <v>0</v>
      </c>
      <c r="I1170">
        <f>$C1170*VLOOKUP($B1170,FoodDB!$A$2:$I$1011,8,0)</f>
        <v>0</v>
      </c>
      <c r="J1170">
        <f>$C1170*VLOOKUP($B1170,FoodDB!$A$2:$I$1011,9,0)</f>
        <v>0</v>
      </c>
    </row>
    <row r="1171" spans="1:19" x14ac:dyDescent="0.25">
      <c r="A1171" t="s">
        <v>97</v>
      </c>
      <c r="G1171">
        <f>SUM(G1164:G1170)</f>
        <v>0</v>
      </c>
      <c r="H1171">
        <f>SUM(H1164:H1170)</f>
        <v>0</v>
      </c>
      <c r="I1171">
        <f>SUM(I1164:I1170)</f>
        <v>0</v>
      </c>
      <c r="J1171">
        <f>SUM(G1171:I1171)</f>
        <v>0</v>
      </c>
    </row>
    <row r="1172" spans="1:19" x14ac:dyDescent="0.25">
      <c r="A1172" t="s">
        <v>101</v>
      </c>
      <c r="B1172" t="s">
        <v>102</v>
      </c>
      <c r="E1172" s="98"/>
      <c r="F1172" s="98"/>
      <c r="G1172" s="98">
        <f>VLOOKUP($A1164,LossChart!$A$3:$AB$105,14,0)</f>
        <v>870.63734238796337</v>
      </c>
      <c r="H1172" s="98">
        <f>VLOOKUP($A1164,LossChart!$A$3:$AB$105,15,0)</f>
        <v>116</v>
      </c>
      <c r="I1172" s="98">
        <f>VLOOKUP($A1164,LossChart!$A$3:$AB$105,16,0)</f>
        <v>482.47465271142238</v>
      </c>
      <c r="J1172" s="98">
        <f>VLOOKUP($A1164,LossChart!$A$3:$AB$105,17,0)</f>
        <v>1469.1119950993857</v>
      </c>
      <c r="K1172" s="98"/>
    </row>
    <row r="1173" spans="1:19" x14ac:dyDescent="0.25">
      <c r="A1173" t="s">
        <v>103</v>
      </c>
      <c r="G1173">
        <f>G1172-G1171</f>
        <v>870.63734238796337</v>
      </c>
      <c r="H1173">
        <f>H1172-H1171</f>
        <v>116</v>
      </c>
      <c r="I1173">
        <f>I1172-I1171</f>
        <v>482.47465271142238</v>
      </c>
      <c r="J1173">
        <f>J1172-J1171</f>
        <v>1469.1119950993857</v>
      </c>
    </row>
    <row r="1175" spans="1:19" ht="60" x14ac:dyDescent="0.25">
      <c r="A1175" s="21" t="s">
        <v>63</v>
      </c>
      <c r="B1175" s="21" t="s">
        <v>92</v>
      </c>
      <c r="C1175" s="21" t="s">
        <v>93</v>
      </c>
      <c r="D1175" s="92" t="str">
        <f>FoodDB!$C$1</f>
        <v>Fat
(g)</v>
      </c>
      <c r="E1175" s="92" t="str">
        <f>FoodDB!$D$1</f>
        <v xml:space="preserve"> Carbs
(g)</v>
      </c>
      <c r="F1175" s="92" t="str">
        <f>FoodDB!$E$1</f>
        <v>Protein
(g)</v>
      </c>
      <c r="G1175" s="92" t="str">
        <f>FoodDB!$F$1</f>
        <v>Fat
(Cal)</v>
      </c>
      <c r="H1175" s="92" t="str">
        <f>FoodDB!$G$1</f>
        <v>Carb
(Cal)</v>
      </c>
      <c r="I1175" s="92" t="str">
        <f>FoodDB!$H$1</f>
        <v>Protein
(Cal)</v>
      </c>
      <c r="J1175" s="92" t="str">
        <f>FoodDB!$I$1</f>
        <v>Total
Calories</v>
      </c>
      <c r="K1175" s="92"/>
      <c r="L1175" s="92" t="s">
        <v>109</v>
      </c>
      <c r="M1175" s="92" t="s">
        <v>110</v>
      </c>
      <c r="N1175" s="92" t="s">
        <v>111</v>
      </c>
      <c r="O1175" s="92" t="s">
        <v>112</v>
      </c>
      <c r="P1175" s="92" t="s">
        <v>117</v>
      </c>
      <c r="Q1175" s="92" t="s">
        <v>118</v>
      </c>
      <c r="R1175" s="92" t="s">
        <v>119</v>
      </c>
      <c r="S1175" s="92" t="s">
        <v>120</v>
      </c>
    </row>
    <row r="1176" spans="1:19" x14ac:dyDescent="0.25">
      <c r="A1176" s="93">
        <f>A1164+1</f>
        <v>43092</v>
      </c>
      <c r="B1176" s="94" t="s">
        <v>107</v>
      </c>
      <c r="C1176" s="95">
        <v>0</v>
      </c>
      <c r="D1176">
        <f>$C1176*VLOOKUP($B1176,FoodDB!$A$2:$I$1011,3,0)</f>
        <v>0</v>
      </c>
      <c r="E1176">
        <f>$C1176*VLOOKUP($B1176,FoodDB!$A$2:$I$1011,4,0)</f>
        <v>0</v>
      </c>
      <c r="F1176">
        <f>$C1176*VLOOKUP($B1176,FoodDB!$A$2:$I$1011,5,0)</f>
        <v>0</v>
      </c>
      <c r="G1176">
        <f>$C1176*VLOOKUP($B1176,FoodDB!$A$2:$I$1011,6,0)</f>
        <v>0</v>
      </c>
      <c r="H1176">
        <f>$C1176*VLOOKUP($B1176,FoodDB!$A$2:$I$1011,7,0)</f>
        <v>0</v>
      </c>
      <c r="I1176">
        <f>$C1176*VLOOKUP($B1176,FoodDB!$A$2:$I$1011,8,0)</f>
        <v>0</v>
      </c>
      <c r="J1176">
        <f>$C1176*VLOOKUP($B1176,FoodDB!$A$2:$I$1011,9,0)</f>
        <v>0</v>
      </c>
      <c r="L1176">
        <f>SUM(G1176:G1182)</f>
        <v>0</v>
      </c>
      <c r="M1176">
        <f>SUM(H1176:H1182)</f>
        <v>0</v>
      </c>
      <c r="N1176">
        <f>SUM(I1176:I1182)</f>
        <v>0</v>
      </c>
      <c r="O1176">
        <f>SUM(L1176:N1176)</f>
        <v>0</v>
      </c>
      <c r="P1176" s="98">
        <f>VLOOKUP($A1176,LossChart!$A$3:$AB$105,14,0)-L1176</f>
        <v>874.24185394530991</v>
      </c>
      <c r="Q1176" s="98">
        <f>VLOOKUP($A1176,LossChart!$A$3:$AB$105,15,0)-M1176</f>
        <v>116</v>
      </c>
      <c r="R1176" s="98">
        <f>VLOOKUP($A1176,LossChart!$A$3:$AB$105,16,0)-N1176</f>
        <v>482.47465271142238</v>
      </c>
      <c r="S1176" s="98">
        <f>VLOOKUP($A1176,LossChart!$A$3:$AB$105,17,0)-O1176</f>
        <v>1472.7165066567322</v>
      </c>
    </row>
    <row r="1177" spans="1:19" x14ac:dyDescent="0.25">
      <c r="B1177" s="94" t="s">
        <v>107</v>
      </c>
      <c r="C1177" s="95">
        <v>0</v>
      </c>
      <c r="D1177">
        <f>$C1177*VLOOKUP($B1177,FoodDB!$A$2:$I$1011,3,0)</f>
        <v>0</v>
      </c>
      <c r="E1177">
        <f>$C1177*VLOOKUP($B1177,FoodDB!$A$2:$I$1011,4,0)</f>
        <v>0</v>
      </c>
      <c r="F1177">
        <f>$C1177*VLOOKUP($B1177,FoodDB!$A$2:$I$1011,5,0)</f>
        <v>0</v>
      </c>
      <c r="G1177">
        <f>$C1177*VLOOKUP($B1177,FoodDB!$A$2:$I$1011,6,0)</f>
        <v>0</v>
      </c>
      <c r="H1177">
        <f>$C1177*VLOOKUP($B1177,FoodDB!$A$2:$I$1011,7,0)</f>
        <v>0</v>
      </c>
      <c r="I1177">
        <f>$C1177*VLOOKUP($B1177,FoodDB!$A$2:$I$1011,8,0)</f>
        <v>0</v>
      </c>
      <c r="J1177">
        <f>$C1177*VLOOKUP($B1177,FoodDB!$A$2:$I$1011,9,0)</f>
        <v>0</v>
      </c>
    </row>
    <row r="1178" spans="1:19" x14ac:dyDescent="0.25">
      <c r="B1178" s="94" t="s">
        <v>107</v>
      </c>
      <c r="C1178" s="95">
        <v>0</v>
      </c>
      <c r="D1178">
        <f>$C1178*VLOOKUP($B1178,FoodDB!$A$2:$I$1011,3,0)</f>
        <v>0</v>
      </c>
      <c r="E1178">
        <f>$C1178*VLOOKUP($B1178,FoodDB!$A$2:$I$1011,4,0)</f>
        <v>0</v>
      </c>
      <c r="F1178">
        <f>$C1178*VLOOKUP($B1178,FoodDB!$A$2:$I$1011,5,0)</f>
        <v>0</v>
      </c>
      <c r="G1178">
        <f>$C1178*VLOOKUP($B1178,FoodDB!$A$2:$I$1011,6,0)</f>
        <v>0</v>
      </c>
      <c r="H1178">
        <f>$C1178*VLOOKUP($B1178,FoodDB!$A$2:$I$1011,7,0)</f>
        <v>0</v>
      </c>
      <c r="I1178">
        <f>$C1178*VLOOKUP($B1178,FoodDB!$A$2:$I$1011,8,0)</f>
        <v>0</v>
      </c>
      <c r="J1178">
        <f>$C1178*VLOOKUP($B1178,FoodDB!$A$2:$I$1011,9,0)</f>
        <v>0</v>
      </c>
    </row>
    <row r="1179" spans="1:19" x14ac:dyDescent="0.25">
      <c r="B1179" s="94" t="s">
        <v>107</v>
      </c>
      <c r="C1179" s="95">
        <v>0</v>
      </c>
      <c r="D1179">
        <f>$C1179*VLOOKUP($B1179,FoodDB!$A$2:$I$1011,3,0)</f>
        <v>0</v>
      </c>
      <c r="E1179">
        <f>$C1179*VLOOKUP($B1179,FoodDB!$A$2:$I$1011,4,0)</f>
        <v>0</v>
      </c>
      <c r="F1179">
        <f>$C1179*VLOOKUP($B1179,FoodDB!$A$2:$I$1011,5,0)</f>
        <v>0</v>
      </c>
      <c r="G1179">
        <f>$C1179*VLOOKUP($B1179,FoodDB!$A$2:$I$1011,6,0)</f>
        <v>0</v>
      </c>
      <c r="H1179">
        <f>$C1179*VLOOKUP($B1179,FoodDB!$A$2:$I$1011,7,0)</f>
        <v>0</v>
      </c>
      <c r="I1179">
        <f>$C1179*VLOOKUP($B1179,FoodDB!$A$2:$I$1011,8,0)</f>
        <v>0</v>
      </c>
      <c r="J1179">
        <f>$C1179*VLOOKUP($B1179,FoodDB!$A$2:$I$1011,9,0)</f>
        <v>0</v>
      </c>
    </row>
    <row r="1180" spans="1:19" x14ac:dyDescent="0.25">
      <c r="B1180" s="94" t="s">
        <v>107</v>
      </c>
      <c r="C1180" s="95">
        <v>0</v>
      </c>
      <c r="D1180">
        <f>$C1180*VLOOKUP($B1180,FoodDB!$A$2:$I$1011,3,0)</f>
        <v>0</v>
      </c>
      <c r="E1180">
        <f>$C1180*VLOOKUP($B1180,FoodDB!$A$2:$I$1011,4,0)</f>
        <v>0</v>
      </c>
      <c r="F1180">
        <f>$C1180*VLOOKUP($B1180,FoodDB!$A$2:$I$1011,5,0)</f>
        <v>0</v>
      </c>
      <c r="G1180">
        <f>$C1180*VLOOKUP($B1180,FoodDB!$A$2:$I$1011,6,0)</f>
        <v>0</v>
      </c>
      <c r="H1180">
        <f>$C1180*VLOOKUP($B1180,FoodDB!$A$2:$I$1011,7,0)</f>
        <v>0</v>
      </c>
      <c r="I1180">
        <f>$C1180*VLOOKUP($B1180,FoodDB!$A$2:$I$1011,8,0)</f>
        <v>0</v>
      </c>
      <c r="J1180">
        <f>$C1180*VLOOKUP($B1180,FoodDB!$A$2:$I$1011,9,0)</f>
        <v>0</v>
      </c>
    </row>
    <row r="1181" spans="1:19" x14ac:dyDescent="0.25">
      <c r="B1181" s="94" t="s">
        <v>107</v>
      </c>
      <c r="C1181" s="95">
        <v>0</v>
      </c>
      <c r="D1181">
        <f>$C1181*VLOOKUP($B1181,FoodDB!$A$2:$I$1011,3,0)</f>
        <v>0</v>
      </c>
      <c r="E1181">
        <f>$C1181*VLOOKUP($B1181,FoodDB!$A$2:$I$1011,4,0)</f>
        <v>0</v>
      </c>
      <c r="F1181">
        <f>$C1181*VLOOKUP($B1181,FoodDB!$A$2:$I$1011,5,0)</f>
        <v>0</v>
      </c>
      <c r="G1181">
        <f>$C1181*VLOOKUP($B1181,FoodDB!$A$2:$I$1011,6,0)</f>
        <v>0</v>
      </c>
      <c r="H1181">
        <f>$C1181*VLOOKUP($B1181,FoodDB!$A$2:$I$1011,7,0)</f>
        <v>0</v>
      </c>
      <c r="I1181">
        <f>$C1181*VLOOKUP($B1181,FoodDB!$A$2:$I$1011,8,0)</f>
        <v>0</v>
      </c>
      <c r="J1181">
        <f>$C1181*VLOOKUP($B1181,FoodDB!$A$2:$I$1011,9,0)</f>
        <v>0</v>
      </c>
    </row>
    <row r="1182" spans="1:19" x14ac:dyDescent="0.25">
      <c r="B1182" s="94" t="s">
        <v>107</v>
      </c>
      <c r="C1182" s="95">
        <v>0</v>
      </c>
      <c r="D1182">
        <f>$C1182*VLOOKUP($B1182,FoodDB!$A$2:$I$1011,3,0)</f>
        <v>0</v>
      </c>
      <c r="E1182">
        <f>$C1182*VLOOKUP($B1182,FoodDB!$A$2:$I$1011,4,0)</f>
        <v>0</v>
      </c>
      <c r="F1182">
        <f>$C1182*VLOOKUP($B1182,FoodDB!$A$2:$I$1011,5,0)</f>
        <v>0</v>
      </c>
      <c r="G1182">
        <f>$C1182*VLOOKUP($B1182,FoodDB!$A$2:$I$1011,6,0)</f>
        <v>0</v>
      </c>
      <c r="H1182">
        <f>$C1182*VLOOKUP($B1182,FoodDB!$A$2:$I$1011,7,0)</f>
        <v>0</v>
      </c>
      <c r="I1182">
        <f>$C1182*VLOOKUP($B1182,FoodDB!$A$2:$I$1011,8,0)</f>
        <v>0</v>
      </c>
      <c r="J1182">
        <f>$C1182*VLOOKUP($B1182,FoodDB!$A$2:$I$1011,9,0)</f>
        <v>0</v>
      </c>
    </row>
    <row r="1183" spans="1:19" x14ac:dyDescent="0.25">
      <c r="A1183" t="s">
        <v>97</v>
      </c>
      <c r="G1183">
        <f>SUM(G1176:G1182)</f>
        <v>0</v>
      </c>
      <c r="H1183">
        <f>SUM(H1176:H1182)</f>
        <v>0</v>
      </c>
      <c r="I1183">
        <f>SUM(I1176:I1182)</f>
        <v>0</v>
      </c>
      <c r="J1183">
        <f>SUM(G1183:I1183)</f>
        <v>0</v>
      </c>
    </row>
    <row r="1184" spans="1:19" x14ac:dyDescent="0.25">
      <c r="A1184" t="s">
        <v>101</v>
      </c>
      <c r="B1184" t="s">
        <v>102</v>
      </c>
      <c r="E1184" s="98"/>
      <c r="F1184" s="98"/>
      <c r="G1184" s="98">
        <f>VLOOKUP($A1176,LossChart!$A$3:$AB$105,14,0)</f>
        <v>874.24185394530991</v>
      </c>
      <c r="H1184" s="98">
        <f>VLOOKUP($A1176,LossChart!$A$3:$AB$105,15,0)</f>
        <v>116</v>
      </c>
      <c r="I1184" s="98">
        <f>VLOOKUP($A1176,LossChart!$A$3:$AB$105,16,0)</f>
        <v>482.47465271142238</v>
      </c>
      <c r="J1184" s="98">
        <f>VLOOKUP($A1176,LossChart!$A$3:$AB$105,17,0)</f>
        <v>1472.7165066567322</v>
      </c>
      <c r="K1184" s="98"/>
    </row>
    <row r="1185" spans="1:19" x14ac:dyDescent="0.25">
      <c r="A1185" t="s">
        <v>103</v>
      </c>
      <c r="G1185">
        <f>G1184-G1183</f>
        <v>874.24185394530991</v>
      </c>
      <c r="H1185">
        <f>H1184-H1183</f>
        <v>116</v>
      </c>
      <c r="I1185">
        <f>I1184-I1183</f>
        <v>482.47465271142238</v>
      </c>
      <c r="J1185">
        <f>J1184-J1183</f>
        <v>1472.7165066567322</v>
      </c>
    </row>
    <row r="1187" spans="1:19" ht="60" x14ac:dyDescent="0.25">
      <c r="A1187" s="21" t="s">
        <v>63</v>
      </c>
      <c r="B1187" s="21" t="s">
        <v>92</v>
      </c>
      <c r="C1187" s="21" t="s">
        <v>93</v>
      </c>
      <c r="D1187" s="92" t="str">
        <f>FoodDB!$C$1</f>
        <v>Fat
(g)</v>
      </c>
      <c r="E1187" s="92" t="str">
        <f>FoodDB!$D$1</f>
        <v xml:space="preserve"> Carbs
(g)</v>
      </c>
      <c r="F1187" s="92" t="str">
        <f>FoodDB!$E$1</f>
        <v>Protein
(g)</v>
      </c>
      <c r="G1187" s="92" t="str">
        <f>FoodDB!$F$1</f>
        <v>Fat
(Cal)</v>
      </c>
      <c r="H1187" s="92" t="str">
        <f>FoodDB!$G$1</f>
        <v>Carb
(Cal)</v>
      </c>
      <c r="I1187" s="92" t="str">
        <f>FoodDB!$H$1</f>
        <v>Protein
(Cal)</v>
      </c>
      <c r="J1187" s="92" t="str">
        <f>FoodDB!$I$1</f>
        <v>Total
Calories</v>
      </c>
      <c r="K1187" s="92"/>
      <c r="L1187" s="92" t="s">
        <v>109</v>
      </c>
      <c r="M1187" s="92" t="s">
        <v>110</v>
      </c>
      <c r="N1187" s="92" t="s">
        <v>111</v>
      </c>
      <c r="O1187" s="92" t="s">
        <v>112</v>
      </c>
      <c r="P1187" s="92" t="s">
        <v>117</v>
      </c>
      <c r="Q1187" s="92" t="s">
        <v>118</v>
      </c>
      <c r="R1187" s="92" t="s">
        <v>119</v>
      </c>
      <c r="S1187" s="92" t="s">
        <v>120</v>
      </c>
    </row>
    <row r="1188" spans="1:19" x14ac:dyDescent="0.25">
      <c r="A1188" s="93">
        <f>A1176+1</f>
        <v>43093</v>
      </c>
      <c r="B1188" s="94" t="s">
        <v>107</v>
      </c>
      <c r="C1188" s="95">
        <v>0</v>
      </c>
      <c r="D1188">
        <f>$C1188*VLOOKUP($B1188,FoodDB!$A$2:$I$1011,3,0)</f>
        <v>0</v>
      </c>
      <c r="E1188">
        <f>$C1188*VLOOKUP($B1188,FoodDB!$A$2:$I$1011,4,0)</f>
        <v>0</v>
      </c>
      <c r="F1188">
        <f>$C1188*VLOOKUP($B1188,FoodDB!$A$2:$I$1011,5,0)</f>
        <v>0</v>
      </c>
      <c r="G1188">
        <f>$C1188*VLOOKUP($B1188,FoodDB!$A$2:$I$1011,6,0)</f>
        <v>0</v>
      </c>
      <c r="H1188">
        <f>$C1188*VLOOKUP($B1188,FoodDB!$A$2:$I$1011,7,0)</f>
        <v>0</v>
      </c>
      <c r="I1188">
        <f>$C1188*VLOOKUP($B1188,FoodDB!$A$2:$I$1011,8,0)</f>
        <v>0</v>
      </c>
      <c r="J1188">
        <f>$C1188*VLOOKUP($B1188,FoodDB!$A$2:$I$1011,9,0)</f>
        <v>0</v>
      </c>
      <c r="L1188">
        <f>SUM(G1188:G1194)</f>
        <v>0</v>
      </c>
      <c r="M1188">
        <f>SUM(H1188:H1194)</f>
        <v>0</v>
      </c>
      <c r="N1188">
        <f>SUM(I1188:I1194)</f>
        <v>0</v>
      </c>
      <c r="O1188">
        <f>SUM(L1188:N1188)</f>
        <v>0</v>
      </c>
      <c r="P1188" s="98">
        <f>VLOOKUP($A1188,LossChart!$A$3:$AB$105,14,0)-L1188</f>
        <v>877.81443982886231</v>
      </c>
      <c r="Q1188" s="98">
        <f>VLOOKUP($A1188,LossChart!$A$3:$AB$105,15,0)-M1188</f>
        <v>116</v>
      </c>
      <c r="R1188" s="98">
        <f>VLOOKUP($A1188,LossChart!$A$3:$AB$105,16,0)-N1188</f>
        <v>482.47465271142238</v>
      </c>
      <c r="S1188" s="98">
        <f>VLOOKUP($A1188,LossChart!$A$3:$AB$105,17,0)-O1188</f>
        <v>1476.2890925402846</v>
      </c>
    </row>
    <row r="1189" spans="1:19" x14ac:dyDescent="0.25">
      <c r="B1189" s="94" t="s">
        <v>107</v>
      </c>
      <c r="C1189" s="95">
        <v>0</v>
      </c>
      <c r="D1189">
        <f>$C1189*VLOOKUP($B1189,FoodDB!$A$2:$I$1011,3,0)</f>
        <v>0</v>
      </c>
      <c r="E1189">
        <f>$C1189*VLOOKUP($B1189,FoodDB!$A$2:$I$1011,4,0)</f>
        <v>0</v>
      </c>
      <c r="F1189">
        <f>$C1189*VLOOKUP($B1189,FoodDB!$A$2:$I$1011,5,0)</f>
        <v>0</v>
      </c>
      <c r="G1189">
        <f>$C1189*VLOOKUP($B1189,FoodDB!$A$2:$I$1011,6,0)</f>
        <v>0</v>
      </c>
      <c r="H1189">
        <f>$C1189*VLOOKUP($B1189,FoodDB!$A$2:$I$1011,7,0)</f>
        <v>0</v>
      </c>
      <c r="I1189">
        <f>$C1189*VLOOKUP($B1189,FoodDB!$A$2:$I$1011,8,0)</f>
        <v>0</v>
      </c>
      <c r="J1189">
        <f>$C1189*VLOOKUP($B1189,FoodDB!$A$2:$I$1011,9,0)</f>
        <v>0</v>
      </c>
    </row>
    <row r="1190" spans="1:19" x14ac:dyDescent="0.25">
      <c r="B1190" s="94" t="s">
        <v>107</v>
      </c>
      <c r="C1190" s="95">
        <v>0</v>
      </c>
      <c r="D1190">
        <f>$C1190*VLOOKUP($B1190,FoodDB!$A$2:$I$1011,3,0)</f>
        <v>0</v>
      </c>
      <c r="E1190">
        <f>$C1190*VLOOKUP($B1190,FoodDB!$A$2:$I$1011,4,0)</f>
        <v>0</v>
      </c>
      <c r="F1190">
        <f>$C1190*VLOOKUP($B1190,FoodDB!$A$2:$I$1011,5,0)</f>
        <v>0</v>
      </c>
      <c r="G1190">
        <f>$C1190*VLOOKUP($B1190,FoodDB!$A$2:$I$1011,6,0)</f>
        <v>0</v>
      </c>
      <c r="H1190">
        <f>$C1190*VLOOKUP($B1190,FoodDB!$A$2:$I$1011,7,0)</f>
        <v>0</v>
      </c>
      <c r="I1190">
        <f>$C1190*VLOOKUP($B1190,FoodDB!$A$2:$I$1011,8,0)</f>
        <v>0</v>
      </c>
      <c r="J1190">
        <f>$C1190*VLOOKUP($B1190,FoodDB!$A$2:$I$1011,9,0)</f>
        <v>0</v>
      </c>
    </row>
    <row r="1191" spans="1:19" x14ac:dyDescent="0.25">
      <c r="B1191" s="94" t="s">
        <v>107</v>
      </c>
      <c r="C1191" s="95">
        <v>0</v>
      </c>
      <c r="D1191">
        <f>$C1191*VLOOKUP($B1191,FoodDB!$A$2:$I$1011,3,0)</f>
        <v>0</v>
      </c>
      <c r="E1191">
        <f>$C1191*VLOOKUP($B1191,FoodDB!$A$2:$I$1011,4,0)</f>
        <v>0</v>
      </c>
      <c r="F1191">
        <f>$C1191*VLOOKUP($B1191,FoodDB!$A$2:$I$1011,5,0)</f>
        <v>0</v>
      </c>
      <c r="G1191">
        <f>$C1191*VLOOKUP($B1191,FoodDB!$A$2:$I$1011,6,0)</f>
        <v>0</v>
      </c>
      <c r="H1191">
        <f>$C1191*VLOOKUP($B1191,FoodDB!$A$2:$I$1011,7,0)</f>
        <v>0</v>
      </c>
      <c r="I1191">
        <f>$C1191*VLOOKUP($B1191,FoodDB!$A$2:$I$1011,8,0)</f>
        <v>0</v>
      </c>
      <c r="J1191">
        <f>$C1191*VLOOKUP($B1191,FoodDB!$A$2:$I$1011,9,0)</f>
        <v>0</v>
      </c>
    </row>
    <row r="1192" spans="1:19" x14ac:dyDescent="0.25">
      <c r="B1192" s="94" t="s">
        <v>107</v>
      </c>
      <c r="C1192" s="95">
        <v>0</v>
      </c>
      <c r="D1192">
        <f>$C1192*VLOOKUP($B1192,FoodDB!$A$2:$I$1011,3,0)</f>
        <v>0</v>
      </c>
      <c r="E1192">
        <f>$C1192*VLOOKUP($B1192,FoodDB!$A$2:$I$1011,4,0)</f>
        <v>0</v>
      </c>
      <c r="F1192">
        <f>$C1192*VLOOKUP($B1192,FoodDB!$A$2:$I$1011,5,0)</f>
        <v>0</v>
      </c>
      <c r="G1192">
        <f>$C1192*VLOOKUP($B1192,FoodDB!$A$2:$I$1011,6,0)</f>
        <v>0</v>
      </c>
      <c r="H1192">
        <f>$C1192*VLOOKUP($B1192,FoodDB!$A$2:$I$1011,7,0)</f>
        <v>0</v>
      </c>
      <c r="I1192">
        <f>$C1192*VLOOKUP($B1192,FoodDB!$A$2:$I$1011,8,0)</f>
        <v>0</v>
      </c>
      <c r="J1192">
        <f>$C1192*VLOOKUP($B1192,FoodDB!$A$2:$I$1011,9,0)</f>
        <v>0</v>
      </c>
    </row>
    <row r="1193" spans="1:19" x14ac:dyDescent="0.25">
      <c r="B1193" s="94" t="s">
        <v>107</v>
      </c>
      <c r="C1193" s="95">
        <v>0</v>
      </c>
      <c r="D1193">
        <f>$C1193*VLOOKUP($B1193,FoodDB!$A$2:$I$1011,3,0)</f>
        <v>0</v>
      </c>
      <c r="E1193">
        <f>$C1193*VLOOKUP($B1193,FoodDB!$A$2:$I$1011,4,0)</f>
        <v>0</v>
      </c>
      <c r="F1193">
        <f>$C1193*VLOOKUP($B1193,FoodDB!$A$2:$I$1011,5,0)</f>
        <v>0</v>
      </c>
      <c r="G1193">
        <f>$C1193*VLOOKUP($B1193,FoodDB!$A$2:$I$1011,6,0)</f>
        <v>0</v>
      </c>
      <c r="H1193">
        <f>$C1193*VLOOKUP($B1193,FoodDB!$A$2:$I$1011,7,0)</f>
        <v>0</v>
      </c>
      <c r="I1193">
        <f>$C1193*VLOOKUP($B1193,FoodDB!$A$2:$I$1011,8,0)</f>
        <v>0</v>
      </c>
      <c r="J1193">
        <f>$C1193*VLOOKUP($B1193,FoodDB!$A$2:$I$1011,9,0)</f>
        <v>0</v>
      </c>
    </row>
    <row r="1194" spans="1:19" x14ac:dyDescent="0.25">
      <c r="B1194" s="94" t="s">
        <v>107</v>
      </c>
      <c r="C1194" s="95">
        <v>0</v>
      </c>
      <c r="D1194">
        <f>$C1194*VLOOKUP($B1194,FoodDB!$A$2:$I$1011,3,0)</f>
        <v>0</v>
      </c>
      <c r="E1194">
        <f>$C1194*VLOOKUP($B1194,FoodDB!$A$2:$I$1011,4,0)</f>
        <v>0</v>
      </c>
      <c r="F1194">
        <f>$C1194*VLOOKUP($B1194,FoodDB!$A$2:$I$1011,5,0)</f>
        <v>0</v>
      </c>
      <c r="G1194">
        <f>$C1194*VLOOKUP($B1194,FoodDB!$A$2:$I$1011,6,0)</f>
        <v>0</v>
      </c>
      <c r="H1194">
        <f>$C1194*VLOOKUP($B1194,FoodDB!$A$2:$I$1011,7,0)</f>
        <v>0</v>
      </c>
      <c r="I1194">
        <f>$C1194*VLOOKUP($B1194,FoodDB!$A$2:$I$1011,8,0)</f>
        <v>0</v>
      </c>
      <c r="J1194">
        <f>$C1194*VLOOKUP($B1194,FoodDB!$A$2:$I$1011,9,0)</f>
        <v>0</v>
      </c>
    </row>
    <row r="1195" spans="1:19" x14ac:dyDescent="0.25">
      <c r="A1195" t="s">
        <v>97</v>
      </c>
      <c r="G1195">
        <f>SUM(G1188:G1194)</f>
        <v>0</v>
      </c>
      <c r="H1195">
        <f>SUM(H1188:H1194)</f>
        <v>0</v>
      </c>
      <c r="I1195">
        <f>SUM(I1188:I1194)</f>
        <v>0</v>
      </c>
      <c r="J1195">
        <f>SUM(G1195:I1195)</f>
        <v>0</v>
      </c>
    </row>
    <row r="1196" spans="1:19" x14ac:dyDescent="0.25">
      <c r="A1196" t="s">
        <v>101</v>
      </c>
      <c r="B1196" t="s">
        <v>102</v>
      </c>
      <c r="E1196" s="98"/>
      <c r="F1196" s="98"/>
      <c r="G1196" s="98">
        <f>VLOOKUP($A1188,LossChart!$A$3:$AB$105,14,0)</f>
        <v>877.81443982886231</v>
      </c>
      <c r="H1196" s="98">
        <f>VLOOKUP($A1188,LossChart!$A$3:$AB$105,15,0)</f>
        <v>116</v>
      </c>
      <c r="I1196" s="98">
        <f>VLOOKUP($A1188,LossChart!$A$3:$AB$105,16,0)</f>
        <v>482.47465271142238</v>
      </c>
      <c r="J1196" s="98">
        <f>VLOOKUP($A1188,LossChart!$A$3:$AB$105,17,0)</f>
        <v>1476.2890925402846</v>
      </c>
      <c r="K1196" s="98"/>
    </row>
    <row r="1197" spans="1:19" x14ac:dyDescent="0.25">
      <c r="A1197" t="s">
        <v>103</v>
      </c>
      <c r="G1197">
        <f>G1196-G1195</f>
        <v>877.81443982886231</v>
      </c>
      <c r="H1197">
        <f>H1196-H1195</f>
        <v>116</v>
      </c>
      <c r="I1197">
        <f>I1196-I1195</f>
        <v>482.47465271142238</v>
      </c>
      <c r="J1197">
        <f>J1196-J1195</f>
        <v>1476.2890925402846</v>
      </c>
    </row>
    <row r="1199" spans="1:19" ht="60" x14ac:dyDescent="0.25">
      <c r="A1199" s="21" t="s">
        <v>63</v>
      </c>
      <c r="B1199" s="21" t="s">
        <v>92</v>
      </c>
      <c r="C1199" s="21" t="s">
        <v>93</v>
      </c>
      <c r="D1199" s="92" t="str">
        <f>FoodDB!$C$1</f>
        <v>Fat
(g)</v>
      </c>
      <c r="E1199" s="92" t="str">
        <f>FoodDB!$D$1</f>
        <v xml:space="preserve"> Carbs
(g)</v>
      </c>
      <c r="F1199" s="92" t="str">
        <f>FoodDB!$E$1</f>
        <v>Protein
(g)</v>
      </c>
      <c r="G1199" s="92" t="str">
        <f>FoodDB!$F$1</f>
        <v>Fat
(Cal)</v>
      </c>
      <c r="H1199" s="92" t="str">
        <f>FoodDB!$G$1</f>
        <v>Carb
(Cal)</v>
      </c>
      <c r="I1199" s="92" t="str">
        <f>FoodDB!$H$1</f>
        <v>Protein
(Cal)</v>
      </c>
      <c r="J1199" s="92" t="str">
        <f>FoodDB!$I$1</f>
        <v>Total
Calories</v>
      </c>
      <c r="K1199" s="92"/>
      <c r="L1199" s="92" t="s">
        <v>109</v>
      </c>
      <c r="M1199" s="92" t="s">
        <v>110</v>
      </c>
      <c r="N1199" s="92" t="s">
        <v>111</v>
      </c>
      <c r="O1199" s="92" t="s">
        <v>112</v>
      </c>
      <c r="P1199" s="92" t="s">
        <v>117</v>
      </c>
      <c r="Q1199" s="92" t="s">
        <v>118</v>
      </c>
      <c r="R1199" s="92" t="s">
        <v>119</v>
      </c>
      <c r="S1199" s="92" t="s">
        <v>120</v>
      </c>
    </row>
    <row r="1200" spans="1:19" x14ac:dyDescent="0.25">
      <c r="A1200" s="93">
        <f>A1188+1</f>
        <v>43094</v>
      </c>
      <c r="B1200" s="94" t="s">
        <v>107</v>
      </c>
      <c r="C1200" s="95">
        <v>0</v>
      </c>
      <c r="D1200">
        <f>$C1200*VLOOKUP($B1200,FoodDB!$A$2:$I$1011,3,0)</f>
        <v>0</v>
      </c>
      <c r="E1200">
        <f>$C1200*VLOOKUP($B1200,FoodDB!$A$2:$I$1011,4,0)</f>
        <v>0</v>
      </c>
      <c r="F1200">
        <f>$C1200*VLOOKUP($B1200,FoodDB!$A$2:$I$1011,5,0)</f>
        <v>0</v>
      </c>
      <c r="G1200">
        <f>$C1200*VLOOKUP($B1200,FoodDB!$A$2:$I$1011,6,0)</f>
        <v>0</v>
      </c>
      <c r="H1200">
        <f>$C1200*VLOOKUP($B1200,FoodDB!$A$2:$I$1011,7,0)</f>
        <v>0</v>
      </c>
      <c r="I1200">
        <f>$C1200*VLOOKUP($B1200,FoodDB!$A$2:$I$1011,8,0)</f>
        <v>0</v>
      </c>
      <c r="J1200">
        <f>$C1200*VLOOKUP($B1200,FoodDB!$A$2:$I$1011,9,0)</f>
        <v>0</v>
      </c>
      <c r="L1200">
        <f>SUM(G1200:G1206)</f>
        <v>0</v>
      </c>
      <c r="M1200">
        <f>SUM(H1200:H1206)</f>
        <v>0</v>
      </c>
      <c r="N1200">
        <f>SUM(I1200:I1206)</f>
        <v>0</v>
      </c>
      <c r="O1200">
        <f>SUM(L1200:N1200)</f>
        <v>0</v>
      </c>
      <c r="P1200" s="98">
        <f>VLOOKUP($A1200,LossChart!$A$3:$AB$105,14,0)-L1200</f>
        <v>881.35538280887522</v>
      </c>
      <c r="Q1200" s="98">
        <f>VLOOKUP($A1200,LossChart!$A$3:$AB$105,15,0)-M1200</f>
        <v>116</v>
      </c>
      <c r="R1200" s="98">
        <f>VLOOKUP($A1200,LossChart!$A$3:$AB$105,16,0)-N1200</f>
        <v>482.47465271142238</v>
      </c>
      <c r="S1200" s="98">
        <f>VLOOKUP($A1200,LossChart!$A$3:$AB$105,17,0)-O1200</f>
        <v>1479.8300355202975</v>
      </c>
    </row>
    <row r="1201" spans="1:19" x14ac:dyDescent="0.25">
      <c r="B1201" s="94" t="s">
        <v>107</v>
      </c>
      <c r="C1201" s="95">
        <v>0</v>
      </c>
      <c r="D1201">
        <f>$C1201*VLOOKUP($B1201,FoodDB!$A$2:$I$1011,3,0)</f>
        <v>0</v>
      </c>
      <c r="E1201">
        <f>$C1201*VLOOKUP($B1201,FoodDB!$A$2:$I$1011,4,0)</f>
        <v>0</v>
      </c>
      <c r="F1201">
        <f>$C1201*VLOOKUP($B1201,FoodDB!$A$2:$I$1011,5,0)</f>
        <v>0</v>
      </c>
      <c r="G1201">
        <f>$C1201*VLOOKUP($B1201,FoodDB!$A$2:$I$1011,6,0)</f>
        <v>0</v>
      </c>
      <c r="H1201">
        <f>$C1201*VLOOKUP($B1201,FoodDB!$A$2:$I$1011,7,0)</f>
        <v>0</v>
      </c>
      <c r="I1201">
        <f>$C1201*VLOOKUP($B1201,FoodDB!$A$2:$I$1011,8,0)</f>
        <v>0</v>
      </c>
      <c r="J1201">
        <f>$C1201*VLOOKUP($B1201,FoodDB!$A$2:$I$1011,9,0)</f>
        <v>0</v>
      </c>
    </row>
    <row r="1202" spans="1:19" x14ac:dyDescent="0.25">
      <c r="B1202" s="94" t="s">
        <v>107</v>
      </c>
      <c r="C1202" s="95">
        <v>0</v>
      </c>
      <c r="D1202">
        <f>$C1202*VLOOKUP($B1202,FoodDB!$A$2:$I$1011,3,0)</f>
        <v>0</v>
      </c>
      <c r="E1202">
        <f>$C1202*VLOOKUP($B1202,FoodDB!$A$2:$I$1011,4,0)</f>
        <v>0</v>
      </c>
      <c r="F1202">
        <f>$C1202*VLOOKUP($B1202,FoodDB!$A$2:$I$1011,5,0)</f>
        <v>0</v>
      </c>
      <c r="G1202">
        <f>$C1202*VLOOKUP($B1202,FoodDB!$A$2:$I$1011,6,0)</f>
        <v>0</v>
      </c>
      <c r="H1202">
        <f>$C1202*VLOOKUP($B1202,FoodDB!$A$2:$I$1011,7,0)</f>
        <v>0</v>
      </c>
      <c r="I1202">
        <f>$C1202*VLOOKUP($B1202,FoodDB!$A$2:$I$1011,8,0)</f>
        <v>0</v>
      </c>
      <c r="J1202">
        <f>$C1202*VLOOKUP($B1202,FoodDB!$A$2:$I$1011,9,0)</f>
        <v>0</v>
      </c>
    </row>
    <row r="1203" spans="1:19" x14ac:dyDescent="0.25">
      <c r="B1203" s="94" t="s">
        <v>107</v>
      </c>
      <c r="C1203" s="95">
        <v>0</v>
      </c>
      <c r="D1203">
        <f>$C1203*VLOOKUP($B1203,FoodDB!$A$2:$I$1011,3,0)</f>
        <v>0</v>
      </c>
      <c r="E1203">
        <f>$C1203*VLOOKUP($B1203,FoodDB!$A$2:$I$1011,4,0)</f>
        <v>0</v>
      </c>
      <c r="F1203">
        <f>$C1203*VLOOKUP($B1203,FoodDB!$A$2:$I$1011,5,0)</f>
        <v>0</v>
      </c>
      <c r="G1203">
        <f>$C1203*VLOOKUP($B1203,FoodDB!$A$2:$I$1011,6,0)</f>
        <v>0</v>
      </c>
      <c r="H1203">
        <f>$C1203*VLOOKUP($B1203,FoodDB!$A$2:$I$1011,7,0)</f>
        <v>0</v>
      </c>
      <c r="I1203">
        <f>$C1203*VLOOKUP($B1203,FoodDB!$A$2:$I$1011,8,0)</f>
        <v>0</v>
      </c>
      <c r="J1203">
        <f>$C1203*VLOOKUP($B1203,FoodDB!$A$2:$I$1011,9,0)</f>
        <v>0</v>
      </c>
    </row>
    <row r="1204" spans="1:19" x14ac:dyDescent="0.25">
      <c r="B1204" s="94" t="s">
        <v>107</v>
      </c>
      <c r="C1204" s="95">
        <v>0</v>
      </c>
      <c r="D1204">
        <f>$C1204*VLOOKUP($B1204,FoodDB!$A$2:$I$1011,3,0)</f>
        <v>0</v>
      </c>
      <c r="E1204">
        <f>$C1204*VLOOKUP($B1204,FoodDB!$A$2:$I$1011,4,0)</f>
        <v>0</v>
      </c>
      <c r="F1204">
        <f>$C1204*VLOOKUP($B1204,FoodDB!$A$2:$I$1011,5,0)</f>
        <v>0</v>
      </c>
      <c r="G1204">
        <f>$C1204*VLOOKUP($B1204,FoodDB!$A$2:$I$1011,6,0)</f>
        <v>0</v>
      </c>
      <c r="H1204">
        <f>$C1204*VLOOKUP($B1204,FoodDB!$A$2:$I$1011,7,0)</f>
        <v>0</v>
      </c>
      <c r="I1204">
        <f>$C1204*VLOOKUP($B1204,FoodDB!$A$2:$I$1011,8,0)</f>
        <v>0</v>
      </c>
      <c r="J1204">
        <f>$C1204*VLOOKUP($B1204,FoodDB!$A$2:$I$1011,9,0)</f>
        <v>0</v>
      </c>
    </row>
    <row r="1205" spans="1:19" x14ac:dyDescent="0.25">
      <c r="B1205" s="94" t="s">
        <v>107</v>
      </c>
      <c r="C1205" s="95">
        <v>0</v>
      </c>
      <c r="D1205">
        <f>$C1205*VLOOKUP($B1205,FoodDB!$A$2:$I$1011,3,0)</f>
        <v>0</v>
      </c>
      <c r="E1205">
        <f>$C1205*VLOOKUP($B1205,FoodDB!$A$2:$I$1011,4,0)</f>
        <v>0</v>
      </c>
      <c r="F1205">
        <f>$C1205*VLOOKUP($B1205,FoodDB!$A$2:$I$1011,5,0)</f>
        <v>0</v>
      </c>
      <c r="G1205">
        <f>$C1205*VLOOKUP($B1205,FoodDB!$A$2:$I$1011,6,0)</f>
        <v>0</v>
      </c>
      <c r="H1205">
        <f>$C1205*VLOOKUP($B1205,FoodDB!$A$2:$I$1011,7,0)</f>
        <v>0</v>
      </c>
      <c r="I1205">
        <f>$C1205*VLOOKUP($B1205,FoodDB!$A$2:$I$1011,8,0)</f>
        <v>0</v>
      </c>
      <c r="J1205">
        <f>$C1205*VLOOKUP($B1205,FoodDB!$A$2:$I$1011,9,0)</f>
        <v>0</v>
      </c>
    </row>
    <row r="1206" spans="1:19" x14ac:dyDescent="0.25">
      <c r="B1206" s="94" t="s">
        <v>107</v>
      </c>
      <c r="C1206" s="95">
        <v>0</v>
      </c>
      <c r="D1206">
        <f>$C1206*VLOOKUP($B1206,FoodDB!$A$2:$I$1011,3,0)</f>
        <v>0</v>
      </c>
      <c r="E1206">
        <f>$C1206*VLOOKUP($B1206,FoodDB!$A$2:$I$1011,4,0)</f>
        <v>0</v>
      </c>
      <c r="F1206">
        <f>$C1206*VLOOKUP($B1206,FoodDB!$A$2:$I$1011,5,0)</f>
        <v>0</v>
      </c>
      <c r="G1206">
        <f>$C1206*VLOOKUP($B1206,FoodDB!$A$2:$I$1011,6,0)</f>
        <v>0</v>
      </c>
      <c r="H1206">
        <f>$C1206*VLOOKUP($B1206,FoodDB!$A$2:$I$1011,7,0)</f>
        <v>0</v>
      </c>
      <c r="I1206">
        <f>$C1206*VLOOKUP($B1206,FoodDB!$A$2:$I$1011,8,0)</f>
        <v>0</v>
      </c>
      <c r="J1206">
        <f>$C1206*VLOOKUP($B1206,FoodDB!$A$2:$I$1011,9,0)</f>
        <v>0</v>
      </c>
    </row>
    <row r="1207" spans="1:19" x14ac:dyDescent="0.25">
      <c r="A1207" t="s">
        <v>97</v>
      </c>
      <c r="G1207">
        <f>SUM(G1200:G1206)</f>
        <v>0</v>
      </c>
      <c r="H1207">
        <f>SUM(H1200:H1206)</f>
        <v>0</v>
      </c>
      <c r="I1207">
        <f>SUM(I1200:I1206)</f>
        <v>0</v>
      </c>
      <c r="J1207">
        <f>SUM(G1207:I1207)</f>
        <v>0</v>
      </c>
    </row>
    <row r="1208" spans="1:19" x14ac:dyDescent="0.25">
      <c r="A1208" t="s">
        <v>101</v>
      </c>
      <c r="B1208" t="s">
        <v>102</v>
      </c>
      <c r="E1208" s="98"/>
      <c r="F1208" s="98"/>
      <c r="G1208" s="98">
        <f>VLOOKUP($A1200,LossChart!$A$3:$AB$105,14,0)</f>
        <v>881.35538280887522</v>
      </c>
      <c r="H1208" s="98">
        <f>VLOOKUP($A1200,LossChart!$A$3:$AB$105,15,0)</f>
        <v>116</v>
      </c>
      <c r="I1208" s="98">
        <f>VLOOKUP($A1200,LossChart!$A$3:$AB$105,16,0)</f>
        <v>482.47465271142238</v>
      </c>
      <c r="J1208" s="98">
        <f>VLOOKUP($A1200,LossChart!$A$3:$AB$105,17,0)</f>
        <v>1479.8300355202975</v>
      </c>
      <c r="K1208" s="98"/>
    </row>
    <row r="1209" spans="1:19" x14ac:dyDescent="0.25">
      <c r="A1209" t="s">
        <v>103</v>
      </c>
      <c r="G1209">
        <f>G1208-G1207</f>
        <v>881.35538280887522</v>
      </c>
      <c r="H1209">
        <f>H1208-H1207</f>
        <v>116</v>
      </c>
      <c r="I1209">
        <f>I1208-I1207</f>
        <v>482.47465271142238</v>
      </c>
      <c r="J1209">
        <f>J1208-J1207</f>
        <v>1479.8300355202975</v>
      </c>
    </row>
    <row r="1211" spans="1:19" ht="60" x14ac:dyDescent="0.25">
      <c r="A1211" s="21" t="s">
        <v>63</v>
      </c>
      <c r="B1211" s="21" t="s">
        <v>92</v>
      </c>
      <c r="C1211" s="21" t="s">
        <v>93</v>
      </c>
      <c r="D1211" s="92" t="str">
        <f>FoodDB!$C$1</f>
        <v>Fat
(g)</v>
      </c>
      <c r="E1211" s="92" t="str">
        <f>FoodDB!$D$1</f>
        <v xml:space="preserve"> Carbs
(g)</v>
      </c>
      <c r="F1211" s="92" t="str">
        <f>FoodDB!$E$1</f>
        <v>Protein
(g)</v>
      </c>
      <c r="G1211" s="92" t="str">
        <f>FoodDB!$F$1</f>
        <v>Fat
(Cal)</v>
      </c>
      <c r="H1211" s="92" t="str">
        <f>FoodDB!$G$1</f>
        <v>Carb
(Cal)</v>
      </c>
      <c r="I1211" s="92" t="str">
        <f>FoodDB!$H$1</f>
        <v>Protein
(Cal)</v>
      </c>
      <c r="J1211" s="92" t="str">
        <f>FoodDB!$I$1</f>
        <v>Total
Calories</v>
      </c>
      <c r="K1211" s="92"/>
      <c r="L1211" s="92" t="s">
        <v>109</v>
      </c>
      <c r="M1211" s="92" t="s">
        <v>110</v>
      </c>
      <c r="N1211" s="92" t="s">
        <v>111</v>
      </c>
      <c r="O1211" s="92" t="s">
        <v>112</v>
      </c>
      <c r="P1211" s="92" t="s">
        <v>117</v>
      </c>
      <c r="Q1211" s="92" t="s">
        <v>118</v>
      </c>
      <c r="R1211" s="92" t="s">
        <v>119</v>
      </c>
      <c r="S1211" s="92" t="s">
        <v>120</v>
      </c>
    </row>
    <row r="1212" spans="1:19" x14ac:dyDescent="0.25">
      <c r="A1212" s="93">
        <f>A1200+1</f>
        <v>43095</v>
      </c>
      <c r="B1212" s="94" t="s">
        <v>107</v>
      </c>
      <c r="C1212" s="95">
        <v>0</v>
      </c>
      <c r="D1212">
        <f>$C1212*VLOOKUP($B1212,FoodDB!$A$2:$I$1011,3,0)</f>
        <v>0</v>
      </c>
      <c r="E1212">
        <f>$C1212*VLOOKUP($B1212,FoodDB!$A$2:$I$1011,4,0)</f>
        <v>0</v>
      </c>
      <c r="F1212">
        <f>$C1212*VLOOKUP($B1212,FoodDB!$A$2:$I$1011,5,0)</f>
        <v>0</v>
      </c>
      <c r="G1212">
        <f>$C1212*VLOOKUP($B1212,FoodDB!$A$2:$I$1011,6,0)</f>
        <v>0</v>
      </c>
      <c r="H1212">
        <f>$C1212*VLOOKUP($B1212,FoodDB!$A$2:$I$1011,7,0)</f>
        <v>0</v>
      </c>
      <c r="I1212">
        <f>$C1212*VLOOKUP($B1212,FoodDB!$A$2:$I$1011,8,0)</f>
        <v>0</v>
      </c>
      <c r="J1212">
        <f>$C1212*VLOOKUP($B1212,FoodDB!$A$2:$I$1011,9,0)</f>
        <v>0</v>
      </c>
      <c r="L1212">
        <f>SUM(G1212:G1218)</f>
        <v>0</v>
      </c>
      <c r="M1212">
        <f>SUM(H1212:H1218)</f>
        <v>0</v>
      </c>
      <c r="N1212">
        <f>SUM(I1212:I1218)</f>
        <v>0</v>
      </c>
      <c r="O1212">
        <f>SUM(L1212:N1212)</f>
        <v>0</v>
      </c>
      <c r="P1212" s="98">
        <f>VLOOKUP($A1212,LossChart!$A$3:$AB$999,14,0)-L1212</f>
        <v>884.86496315106501</v>
      </c>
      <c r="Q1212" s="98">
        <f>VLOOKUP($A1212,LossChart!$A$3:$AB$999,15,0)-M1212</f>
        <v>116</v>
      </c>
      <c r="R1212" s="98">
        <f>VLOOKUP($A1212,LossChart!$A$3:$AB$999,16,0)-N1212</f>
        <v>482.47465271142238</v>
      </c>
      <c r="S1212" s="98">
        <f>VLOOKUP($A1212,LossChart!$A$3:$AB$999,17,0)-O1212</f>
        <v>1483.3396158624873</v>
      </c>
    </row>
    <row r="1213" spans="1:19" x14ac:dyDescent="0.25">
      <c r="B1213" s="94" t="s">
        <v>107</v>
      </c>
      <c r="C1213" s="95">
        <v>0</v>
      </c>
      <c r="D1213">
        <f>$C1213*VLOOKUP($B1213,FoodDB!$A$2:$I$1011,3,0)</f>
        <v>0</v>
      </c>
      <c r="E1213">
        <f>$C1213*VLOOKUP($B1213,FoodDB!$A$2:$I$1011,4,0)</f>
        <v>0</v>
      </c>
      <c r="F1213">
        <f>$C1213*VLOOKUP($B1213,FoodDB!$A$2:$I$1011,5,0)</f>
        <v>0</v>
      </c>
      <c r="G1213">
        <f>$C1213*VLOOKUP($B1213,FoodDB!$A$2:$I$1011,6,0)</f>
        <v>0</v>
      </c>
      <c r="H1213">
        <f>$C1213*VLOOKUP($B1213,FoodDB!$A$2:$I$1011,7,0)</f>
        <v>0</v>
      </c>
      <c r="I1213">
        <f>$C1213*VLOOKUP($B1213,FoodDB!$A$2:$I$1011,8,0)</f>
        <v>0</v>
      </c>
      <c r="J1213">
        <f>$C1213*VLOOKUP($B1213,FoodDB!$A$2:$I$1011,9,0)</f>
        <v>0</v>
      </c>
    </row>
    <row r="1214" spans="1:19" x14ac:dyDescent="0.25">
      <c r="B1214" s="94" t="s">
        <v>107</v>
      </c>
      <c r="C1214" s="95">
        <v>0</v>
      </c>
      <c r="D1214">
        <f>$C1214*VLOOKUP($B1214,FoodDB!$A$2:$I$1011,3,0)</f>
        <v>0</v>
      </c>
      <c r="E1214">
        <f>$C1214*VLOOKUP($B1214,FoodDB!$A$2:$I$1011,4,0)</f>
        <v>0</v>
      </c>
      <c r="F1214">
        <f>$C1214*VLOOKUP($B1214,FoodDB!$A$2:$I$1011,5,0)</f>
        <v>0</v>
      </c>
      <c r="G1214">
        <f>$C1214*VLOOKUP($B1214,FoodDB!$A$2:$I$1011,6,0)</f>
        <v>0</v>
      </c>
      <c r="H1214">
        <f>$C1214*VLOOKUP($B1214,FoodDB!$A$2:$I$1011,7,0)</f>
        <v>0</v>
      </c>
      <c r="I1214">
        <f>$C1214*VLOOKUP($B1214,FoodDB!$A$2:$I$1011,8,0)</f>
        <v>0</v>
      </c>
      <c r="J1214">
        <f>$C1214*VLOOKUP($B1214,FoodDB!$A$2:$I$1011,9,0)</f>
        <v>0</v>
      </c>
    </row>
    <row r="1215" spans="1:19" x14ac:dyDescent="0.25">
      <c r="B1215" s="94" t="s">
        <v>107</v>
      </c>
      <c r="C1215" s="95">
        <v>0</v>
      </c>
      <c r="D1215">
        <f>$C1215*VLOOKUP($B1215,FoodDB!$A$2:$I$1011,3,0)</f>
        <v>0</v>
      </c>
      <c r="E1215">
        <f>$C1215*VLOOKUP($B1215,FoodDB!$A$2:$I$1011,4,0)</f>
        <v>0</v>
      </c>
      <c r="F1215">
        <f>$C1215*VLOOKUP($B1215,FoodDB!$A$2:$I$1011,5,0)</f>
        <v>0</v>
      </c>
      <c r="G1215">
        <f>$C1215*VLOOKUP($B1215,FoodDB!$A$2:$I$1011,6,0)</f>
        <v>0</v>
      </c>
      <c r="H1215">
        <f>$C1215*VLOOKUP($B1215,FoodDB!$A$2:$I$1011,7,0)</f>
        <v>0</v>
      </c>
      <c r="I1215">
        <f>$C1215*VLOOKUP($B1215,FoodDB!$A$2:$I$1011,8,0)</f>
        <v>0</v>
      </c>
      <c r="J1215">
        <f>$C1215*VLOOKUP($B1215,FoodDB!$A$2:$I$1011,9,0)</f>
        <v>0</v>
      </c>
    </row>
    <row r="1216" spans="1:19" x14ac:dyDescent="0.25">
      <c r="B1216" s="94" t="s">
        <v>107</v>
      </c>
      <c r="C1216" s="95">
        <v>0</v>
      </c>
      <c r="D1216">
        <f>$C1216*VLOOKUP($B1216,FoodDB!$A$2:$I$1011,3,0)</f>
        <v>0</v>
      </c>
      <c r="E1216">
        <f>$C1216*VLOOKUP($B1216,FoodDB!$A$2:$I$1011,4,0)</f>
        <v>0</v>
      </c>
      <c r="F1216">
        <f>$C1216*VLOOKUP($B1216,FoodDB!$A$2:$I$1011,5,0)</f>
        <v>0</v>
      </c>
      <c r="G1216">
        <f>$C1216*VLOOKUP($B1216,FoodDB!$A$2:$I$1011,6,0)</f>
        <v>0</v>
      </c>
      <c r="H1216">
        <f>$C1216*VLOOKUP($B1216,FoodDB!$A$2:$I$1011,7,0)</f>
        <v>0</v>
      </c>
      <c r="I1216">
        <f>$C1216*VLOOKUP($B1216,FoodDB!$A$2:$I$1011,8,0)</f>
        <v>0</v>
      </c>
      <c r="J1216">
        <f>$C1216*VLOOKUP($B1216,FoodDB!$A$2:$I$1011,9,0)</f>
        <v>0</v>
      </c>
    </row>
    <row r="1217" spans="1:19" x14ac:dyDescent="0.25">
      <c r="B1217" s="94" t="s">
        <v>107</v>
      </c>
      <c r="C1217" s="95">
        <v>0</v>
      </c>
      <c r="D1217">
        <f>$C1217*VLOOKUP($B1217,FoodDB!$A$2:$I$1011,3,0)</f>
        <v>0</v>
      </c>
      <c r="E1217">
        <f>$C1217*VLOOKUP($B1217,FoodDB!$A$2:$I$1011,4,0)</f>
        <v>0</v>
      </c>
      <c r="F1217">
        <f>$C1217*VLOOKUP($B1217,FoodDB!$A$2:$I$1011,5,0)</f>
        <v>0</v>
      </c>
      <c r="G1217">
        <f>$C1217*VLOOKUP($B1217,FoodDB!$A$2:$I$1011,6,0)</f>
        <v>0</v>
      </c>
      <c r="H1217">
        <f>$C1217*VLOOKUP($B1217,FoodDB!$A$2:$I$1011,7,0)</f>
        <v>0</v>
      </c>
      <c r="I1217">
        <f>$C1217*VLOOKUP($B1217,FoodDB!$A$2:$I$1011,8,0)</f>
        <v>0</v>
      </c>
      <c r="J1217">
        <f>$C1217*VLOOKUP($B1217,FoodDB!$A$2:$I$1011,9,0)</f>
        <v>0</v>
      </c>
    </row>
    <row r="1218" spans="1:19" x14ac:dyDescent="0.25">
      <c r="B1218" s="94" t="s">
        <v>107</v>
      </c>
      <c r="C1218" s="95">
        <v>0</v>
      </c>
      <c r="D1218">
        <f>$C1218*VLOOKUP($B1218,FoodDB!$A$2:$I$1011,3,0)</f>
        <v>0</v>
      </c>
      <c r="E1218">
        <f>$C1218*VLOOKUP($B1218,FoodDB!$A$2:$I$1011,4,0)</f>
        <v>0</v>
      </c>
      <c r="F1218">
        <f>$C1218*VLOOKUP($B1218,FoodDB!$A$2:$I$1011,5,0)</f>
        <v>0</v>
      </c>
      <c r="G1218">
        <f>$C1218*VLOOKUP($B1218,FoodDB!$A$2:$I$1011,6,0)</f>
        <v>0</v>
      </c>
      <c r="H1218">
        <f>$C1218*VLOOKUP($B1218,FoodDB!$A$2:$I$1011,7,0)</f>
        <v>0</v>
      </c>
      <c r="I1218">
        <f>$C1218*VLOOKUP($B1218,FoodDB!$A$2:$I$1011,8,0)</f>
        <v>0</v>
      </c>
      <c r="J1218">
        <f>$C1218*VLOOKUP($B1218,FoodDB!$A$2:$I$1011,9,0)</f>
        <v>0</v>
      </c>
    </row>
    <row r="1219" spans="1:19" x14ac:dyDescent="0.25">
      <c r="A1219" t="s">
        <v>97</v>
      </c>
      <c r="G1219">
        <f>SUM(G1212:G1218)</f>
        <v>0</v>
      </c>
      <c r="H1219">
        <f>SUM(H1212:H1218)</f>
        <v>0</v>
      </c>
      <c r="I1219">
        <f>SUM(I1212:I1218)</f>
        <v>0</v>
      </c>
      <c r="J1219">
        <f>SUM(G1219:I1219)</f>
        <v>0</v>
      </c>
    </row>
    <row r="1220" spans="1:19" x14ac:dyDescent="0.25">
      <c r="A1220" t="s">
        <v>101</v>
      </c>
      <c r="B1220" t="s">
        <v>102</v>
      </c>
      <c r="E1220" s="98"/>
      <c r="F1220" s="98"/>
      <c r="G1220" s="98" t="e">
        <f>VLOOKUP($A1212,LossChart!$A$3:$AB$105,14,0)</f>
        <v>#N/A</v>
      </c>
      <c r="H1220" s="98" t="e">
        <f>VLOOKUP($A1212,LossChart!$A$3:$AB$105,15,0)</f>
        <v>#N/A</v>
      </c>
      <c r="I1220" s="98" t="e">
        <f>VLOOKUP($A1212,LossChart!$A$3:$AB$105,16,0)</f>
        <v>#N/A</v>
      </c>
      <c r="J1220" s="98" t="e">
        <f>VLOOKUP($A1212,LossChart!$A$3:$AB$105,17,0)</f>
        <v>#N/A</v>
      </c>
      <c r="K1220" s="98"/>
    </row>
    <row r="1221" spans="1:19" x14ac:dyDescent="0.25">
      <c r="A1221" t="s">
        <v>103</v>
      </c>
      <c r="G1221" t="e">
        <f>G1220-G1219</f>
        <v>#N/A</v>
      </c>
      <c r="H1221" t="e">
        <f>H1220-H1219</f>
        <v>#N/A</v>
      </c>
      <c r="I1221" t="e">
        <f>I1220-I1219</f>
        <v>#N/A</v>
      </c>
      <c r="J1221" t="e">
        <f>J1220-J1219</f>
        <v>#N/A</v>
      </c>
    </row>
    <row r="1223" spans="1:19" ht="60" x14ac:dyDescent="0.25">
      <c r="A1223" s="21" t="s">
        <v>63</v>
      </c>
      <c r="B1223" s="21" t="s">
        <v>92</v>
      </c>
      <c r="C1223" s="21" t="s">
        <v>93</v>
      </c>
      <c r="D1223" s="92" t="str">
        <f>FoodDB!$C$1</f>
        <v>Fat
(g)</v>
      </c>
      <c r="E1223" s="92" t="str">
        <f>FoodDB!$D$1</f>
        <v xml:space="preserve"> Carbs
(g)</v>
      </c>
      <c r="F1223" s="92" t="str">
        <f>FoodDB!$E$1</f>
        <v>Protein
(g)</v>
      </c>
      <c r="G1223" s="92" t="str">
        <f>FoodDB!$F$1</f>
        <v>Fat
(Cal)</v>
      </c>
      <c r="H1223" s="92" t="str">
        <f>FoodDB!$G$1</f>
        <v>Carb
(Cal)</v>
      </c>
      <c r="I1223" s="92" t="str">
        <f>FoodDB!$H$1</f>
        <v>Protein
(Cal)</v>
      </c>
      <c r="J1223" s="92" t="str">
        <f>FoodDB!$I$1</f>
        <v>Total
Calories</v>
      </c>
      <c r="K1223" s="92"/>
      <c r="L1223" s="92" t="s">
        <v>109</v>
      </c>
      <c r="M1223" s="92" t="s">
        <v>110</v>
      </c>
      <c r="N1223" s="92" t="s">
        <v>111</v>
      </c>
      <c r="O1223" s="92" t="s">
        <v>112</v>
      </c>
      <c r="P1223" s="92" t="s">
        <v>117</v>
      </c>
      <c r="Q1223" s="92" t="s">
        <v>118</v>
      </c>
      <c r="R1223" s="92" t="s">
        <v>119</v>
      </c>
      <c r="S1223" s="92" t="s">
        <v>120</v>
      </c>
    </row>
    <row r="1224" spans="1:19" x14ac:dyDescent="0.25">
      <c r="A1224" s="93">
        <f>A1212+1</f>
        <v>43096</v>
      </c>
      <c r="B1224" s="94" t="s">
        <v>107</v>
      </c>
      <c r="C1224" s="95">
        <v>0</v>
      </c>
      <c r="D1224">
        <f>$C1224*VLOOKUP($B1224,FoodDB!$A$2:$I$1011,3,0)</f>
        <v>0</v>
      </c>
      <c r="E1224">
        <f>$C1224*VLOOKUP($B1224,FoodDB!$A$2:$I$1011,4,0)</f>
        <v>0</v>
      </c>
      <c r="F1224">
        <f>$C1224*VLOOKUP($B1224,FoodDB!$A$2:$I$1011,5,0)</f>
        <v>0</v>
      </c>
      <c r="G1224">
        <f>$C1224*VLOOKUP($B1224,FoodDB!$A$2:$I$1011,6,0)</f>
        <v>0</v>
      </c>
      <c r="H1224">
        <f>$C1224*VLOOKUP($B1224,FoodDB!$A$2:$I$1011,7,0)</f>
        <v>0</v>
      </c>
      <c r="I1224">
        <f>$C1224*VLOOKUP($B1224,FoodDB!$A$2:$I$1011,8,0)</f>
        <v>0</v>
      </c>
      <c r="J1224">
        <f>$C1224*VLOOKUP($B1224,FoodDB!$A$2:$I$1011,9,0)</f>
        <v>0</v>
      </c>
      <c r="L1224">
        <f>SUM(G1224:G1230)</f>
        <v>0</v>
      </c>
      <c r="M1224">
        <f>SUM(H1224:H1230)</f>
        <v>0</v>
      </c>
      <c r="N1224">
        <f>SUM(I1224:I1230)</f>
        <v>0</v>
      </c>
      <c r="O1224">
        <f>SUM(L1224:N1224)</f>
        <v>0</v>
      </c>
      <c r="P1224" s="98">
        <f>VLOOKUP($A1224,LossChart!$A$3:$AB$999,14,0)-L1224</f>
        <v>888.34345863879548</v>
      </c>
      <c r="Q1224" s="98">
        <f>VLOOKUP($A1224,LossChart!$A$3:$AB$999,15,0)-M1224</f>
        <v>116</v>
      </c>
      <c r="R1224" s="98">
        <f>VLOOKUP($A1224,LossChart!$A$3:$AB$999,16,0)-N1224</f>
        <v>482.47465271142238</v>
      </c>
      <c r="S1224" s="98">
        <f>VLOOKUP($A1224,LossChart!$A$3:$AB$999,17,0)-O1224</f>
        <v>1486.8181113502178</v>
      </c>
    </row>
    <row r="1225" spans="1:19" x14ac:dyDescent="0.25">
      <c r="B1225" s="94" t="s">
        <v>107</v>
      </c>
      <c r="C1225" s="95">
        <v>0</v>
      </c>
      <c r="D1225">
        <f>$C1225*VLOOKUP($B1225,FoodDB!$A$2:$I$1011,3,0)</f>
        <v>0</v>
      </c>
      <c r="E1225">
        <f>$C1225*VLOOKUP($B1225,FoodDB!$A$2:$I$1011,4,0)</f>
        <v>0</v>
      </c>
      <c r="F1225">
        <f>$C1225*VLOOKUP($B1225,FoodDB!$A$2:$I$1011,5,0)</f>
        <v>0</v>
      </c>
      <c r="G1225">
        <f>$C1225*VLOOKUP($B1225,FoodDB!$A$2:$I$1011,6,0)</f>
        <v>0</v>
      </c>
      <c r="H1225">
        <f>$C1225*VLOOKUP($B1225,FoodDB!$A$2:$I$1011,7,0)</f>
        <v>0</v>
      </c>
      <c r="I1225">
        <f>$C1225*VLOOKUP($B1225,FoodDB!$A$2:$I$1011,8,0)</f>
        <v>0</v>
      </c>
      <c r="J1225">
        <f>$C1225*VLOOKUP($B1225,FoodDB!$A$2:$I$1011,9,0)</f>
        <v>0</v>
      </c>
    </row>
    <row r="1226" spans="1:19" x14ac:dyDescent="0.25">
      <c r="B1226" s="94" t="s">
        <v>107</v>
      </c>
      <c r="C1226" s="95">
        <v>0</v>
      </c>
      <c r="D1226">
        <f>$C1226*VLOOKUP($B1226,FoodDB!$A$2:$I$1011,3,0)</f>
        <v>0</v>
      </c>
      <c r="E1226">
        <f>$C1226*VLOOKUP($B1226,FoodDB!$A$2:$I$1011,4,0)</f>
        <v>0</v>
      </c>
      <c r="F1226">
        <f>$C1226*VLOOKUP($B1226,FoodDB!$A$2:$I$1011,5,0)</f>
        <v>0</v>
      </c>
      <c r="G1226">
        <f>$C1226*VLOOKUP($B1226,FoodDB!$A$2:$I$1011,6,0)</f>
        <v>0</v>
      </c>
      <c r="H1226">
        <f>$C1226*VLOOKUP($B1226,FoodDB!$A$2:$I$1011,7,0)</f>
        <v>0</v>
      </c>
      <c r="I1226">
        <f>$C1226*VLOOKUP($B1226,FoodDB!$A$2:$I$1011,8,0)</f>
        <v>0</v>
      </c>
      <c r="J1226">
        <f>$C1226*VLOOKUP($B1226,FoodDB!$A$2:$I$1011,9,0)</f>
        <v>0</v>
      </c>
    </row>
    <row r="1227" spans="1:19" x14ac:dyDescent="0.25">
      <c r="B1227" s="94" t="s">
        <v>107</v>
      </c>
      <c r="C1227" s="95">
        <v>0</v>
      </c>
      <c r="D1227">
        <f>$C1227*VLOOKUP($B1227,FoodDB!$A$2:$I$1011,3,0)</f>
        <v>0</v>
      </c>
      <c r="E1227">
        <f>$C1227*VLOOKUP($B1227,FoodDB!$A$2:$I$1011,4,0)</f>
        <v>0</v>
      </c>
      <c r="F1227">
        <f>$C1227*VLOOKUP($B1227,FoodDB!$A$2:$I$1011,5,0)</f>
        <v>0</v>
      </c>
      <c r="G1227">
        <f>$C1227*VLOOKUP($B1227,FoodDB!$A$2:$I$1011,6,0)</f>
        <v>0</v>
      </c>
      <c r="H1227">
        <f>$C1227*VLOOKUP($B1227,FoodDB!$A$2:$I$1011,7,0)</f>
        <v>0</v>
      </c>
      <c r="I1227">
        <f>$C1227*VLOOKUP($B1227,FoodDB!$A$2:$I$1011,8,0)</f>
        <v>0</v>
      </c>
      <c r="J1227">
        <f>$C1227*VLOOKUP($B1227,FoodDB!$A$2:$I$1011,9,0)</f>
        <v>0</v>
      </c>
    </row>
    <row r="1228" spans="1:19" x14ac:dyDescent="0.25">
      <c r="B1228" s="94" t="s">
        <v>107</v>
      </c>
      <c r="C1228" s="95">
        <v>0</v>
      </c>
      <c r="D1228">
        <f>$C1228*VLOOKUP($B1228,FoodDB!$A$2:$I$1011,3,0)</f>
        <v>0</v>
      </c>
      <c r="E1228">
        <f>$C1228*VLOOKUP($B1228,FoodDB!$A$2:$I$1011,4,0)</f>
        <v>0</v>
      </c>
      <c r="F1228">
        <f>$C1228*VLOOKUP($B1228,FoodDB!$A$2:$I$1011,5,0)</f>
        <v>0</v>
      </c>
      <c r="G1228">
        <f>$C1228*VLOOKUP($B1228,FoodDB!$A$2:$I$1011,6,0)</f>
        <v>0</v>
      </c>
      <c r="H1228">
        <f>$C1228*VLOOKUP($B1228,FoodDB!$A$2:$I$1011,7,0)</f>
        <v>0</v>
      </c>
      <c r="I1228">
        <f>$C1228*VLOOKUP($B1228,FoodDB!$A$2:$I$1011,8,0)</f>
        <v>0</v>
      </c>
      <c r="J1228">
        <f>$C1228*VLOOKUP($B1228,FoodDB!$A$2:$I$1011,9,0)</f>
        <v>0</v>
      </c>
    </row>
    <row r="1229" spans="1:19" x14ac:dyDescent="0.25">
      <c r="B1229" s="94" t="s">
        <v>107</v>
      </c>
      <c r="C1229" s="95">
        <v>0</v>
      </c>
      <c r="D1229">
        <f>$C1229*VLOOKUP($B1229,FoodDB!$A$2:$I$1011,3,0)</f>
        <v>0</v>
      </c>
      <c r="E1229">
        <f>$C1229*VLOOKUP($B1229,FoodDB!$A$2:$I$1011,4,0)</f>
        <v>0</v>
      </c>
      <c r="F1229">
        <f>$C1229*VLOOKUP($B1229,FoodDB!$A$2:$I$1011,5,0)</f>
        <v>0</v>
      </c>
      <c r="G1229">
        <f>$C1229*VLOOKUP($B1229,FoodDB!$A$2:$I$1011,6,0)</f>
        <v>0</v>
      </c>
      <c r="H1229">
        <f>$C1229*VLOOKUP($B1229,FoodDB!$A$2:$I$1011,7,0)</f>
        <v>0</v>
      </c>
      <c r="I1229">
        <f>$C1229*VLOOKUP($B1229,FoodDB!$A$2:$I$1011,8,0)</f>
        <v>0</v>
      </c>
      <c r="J1229">
        <f>$C1229*VLOOKUP($B1229,FoodDB!$A$2:$I$1011,9,0)</f>
        <v>0</v>
      </c>
    </row>
    <row r="1230" spans="1:19" x14ac:dyDescent="0.25">
      <c r="B1230" s="94" t="s">
        <v>107</v>
      </c>
      <c r="C1230" s="95">
        <v>0</v>
      </c>
      <c r="D1230">
        <f>$C1230*VLOOKUP($B1230,FoodDB!$A$2:$I$1011,3,0)</f>
        <v>0</v>
      </c>
      <c r="E1230">
        <f>$C1230*VLOOKUP($B1230,FoodDB!$A$2:$I$1011,4,0)</f>
        <v>0</v>
      </c>
      <c r="F1230">
        <f>$C1230*VLOOKUP($B1230,FoodDB!$A$2:$I$1011,5,0)</f>
        <v>0</v>
      </c>
      <c r="G1230">
        <f>$C1230*VLOOKUP($B1230,FoodDB!$A$2:$I$1011,6,0)</f>
        <v>0</v>
      </c>
      <c r="H1230">
        <f>$C1230*VLOOKUP($B1230,FoodDB!$A$2:$I$1011,7,0)</f>
        <v>0</v>
      </c>
      <c r="I1230">
        <f>$C1230*VLOOKUP($B1230,FoodDB!$A$2:$I$1011,8,0)</f>
        <v>0</v>
      </c>
      <c r="J1230">
        <f>$C1230*VLOOKUP($B1230,FoodDB!$A$2:$I$1011,9,0)</f>
        <v>0</v>
      </c>
    </row>
    <row r="1231" spans="1:19" x14ac:dyDescent="0.25">
      <c r="A1231" t="s">
        <v>97</v>
      </c>
      <c r="G1231">
        <f>SUM(G1224:G1230)</f>
        <v>0</v>
      </c>
      <c r="H1231">
        <f>SUM(H1224:H1230)</f>
        <v>0</v>
      </c>
      <c r="I1231">
        <f>SUM(I1224:I1230)</f>
        <v>0</v>
      </c>
      <c r="J1231">
        <f>SUM(G1231:I1231)</f>
        <v>0</v>
      </c>
    </row>
    <row r="1232" spans="1:19" x14ac:dyDescent="0.25">
      <c r="A1232" t="s">
        <v>101</v>
      </c>
      <c r="B1232" t="s">
        <v>102</v>
      </c>
      <c r="E1232" s="98"/>
      <c r="F1232" s="98"/>
      <c r="G1232" s="98" t="e">
        <f>VLOOKUP($A1224,LossChart!$A$3:$AB$105,14,0)</f>
        <v>#N/A</v>
      </c>
      <c r="H1232" s="98" t="e">
        <f>VLOOKUP($A1224,LossChart!$A$3:$AB$105,15,0)</f>
        <v>#N/A</v>
      </c>
      <c r="I1232" s="98" t="e">
        <f>VLOOKUP($A1224,LossChart!$A$3:$AB$105,16,0)</f>
        <v>#N/A</v>
      </c>
      <c r="J1232" s="98" t="e">
        <f>VLOOKUP($A1224,LossChart!$A$3:$AB$105,17,0)</f>
        <v>#N/A</v>
      </c>
      <c r="K1232" s="98"/>
    </row>
    <row r="1233" spans="1:19" x14ac:dyDescent="0.25">
      <c r="A1233" t="s">
        <v>103</v>
      </c>
      <c r="G1233" t="e">
        <f>G1232-G1231</f>
        <v>#N/A</v>
      </c>
      <c r="H1233" t="e">
        <f>H1232-H1231</f>
        <v>#N/A</v>
      </c>
      <c r="I1233" t="e">
        <f>I1232-I1231</f>
        <v>#N/A</v>
      </c>
      <c r="J1233" t="e">
        <f>J1232-J1231</f>
        <v>#N/A</v>
      </c>
    </row>
    <row r="1235" spans="1:19" ht="60" x14ac:dyDescent="0.25">
      <c r="A1235" s="21" t="s">
        <v>63</v>
      </c>
      <c r="B1235" s="21" t="s">
        <v>92</v>
      </c>
      <c r="C1235" s="21" t="s">
        <v>93</v>
      </c>
      <c r="D1235" s="92" t="str">
        <f>FoodDB!$C$1</f>
        <v>Fat
(g)</v>
      </c>
      <c r="E1235" s="92" t="str">
        <f>FoodDB!$D$1</f>
        <v xml:space="preserve"> Carbs
(g)</v>
      </c>
      <c r="F1235" s="92" t="str">
        <f>FoodDB!$E$1</f>
        <v>Protein
(g)</v>
      </c>
      <c r="G1235" s="92" t="str">
        <f>FoodDB!$F$1</f>
        <v>Fat
(Cal)</v>
      </c>
      <c r="H1235" s="92" t="str">
        <f>FoodDB!$G$1</f>
        <v>Carb
(Cal)</v>
      </c>
      <c r="I1235" s="92" t="str">
        <f>FoodDB!$H$1</f>
        <v>Protein
(Cal)</v>
      </c>
      <c r="J1235" s="92" t="str">
        <f>FoodDB!$I$1</f>
        <v>Total
Calories</v>
      </c>
      <c r="K1235" s="92"/>
      <c r="L1235" s="92" t="s">
        <v>109</v>
      </c>
      <c r="M1235" s="92" t="s">
        <v>110</v>
      </c>
      <c r="N1235" s="92" t="s">
        <v>111</v>
      </c>
      <c r="O1235" s="92" t="s">
        <v>112</v>
      </c>
      <c r="P1235" s="92" t="s">
        <v>117</v>
      </c>
      <c r="Q1235" s="92" t="s">
        <v>118</v>
      </c>
      <c r="R1235" s="92" t="s">
        <v>119</v>
      </c>
      <c r="S1235" s="92" t="s">
        <v>120</v>
      </c>
    </row>
    <row r="1236" spans="1:19" x14ac:dyDescent="0.25">
      <c r="A1236" s="93">
        <f>A1224+1</f>
        <v>43097</v>
      </c>
      <c r="B1236" s="94" t="s">
        <v>107</v>
      </c>
      <c r="C1236" s="95">
        <v>0</v>
      </c>
      <c r="D1236">
        <f>$C1236*VLOOKUP($B1236,FoodDB!$A$2:$I$1011,3,0)</f>
        <v>0</v>
      </c>
      <c r="E1236">
        <f>$C1236*VLOOKUP($B1236,FoodDB!$A$2:$I$1011,4,0)</f>
        <v>0</v>
      </c>
      <c r="F1236">
        <f>$C1236*VLOOKUP($B1236,FoodDB!$A$2:$I$1011,5,0)</f>
        <v>0</v>
      </c>
      <c r="G1236">
        <f>$C1236*VLOOKUP($B1236,FoodDB!$A$2:$I$1011,6,0)</f>
        <v>0</v>
      </c>
      <c r="H1236">
        <f>$C1236*VLOOKUP($B1236,FoodDB!$A$2:$I$1011,7,0)</f>
        <v>0</v>
      </c>
      <c r="I1236">
        <f>$C1236*VLOOKUP($B1236,FoodDB!$A$2:$I$1011,8,0)</f>
        <v>0</v>
      </c>
      <c r="J1236">
        <f>$C1236*VLOOKUP($B1236,FoodDB!$A$2:$I$1011,9,0)</f>
        <v>0</v>
      </c>
      <c r="L1236">
        <f>SUM(G1236:G1242)</f>
        <v>0</v>
      </c>
      <c r="M1236">
        <f>SUM(H1236:H1242)</f>
        <v>0</v>
      </c>
      <c r="N1236">
        <f>SUM(I1236:I1242)</f>
        <v>0</v>
      </c>
      <c r="O1236">
        <f>SUM(L1236:N1236)</f>
        <v>0</v>
      </c>
      <c r="P1236" s="98">
        <f>VLOOKUP($A1236,LossChart!$A$3:$AB$999,14,0)-L1236</f>
        <v>891.79114459506286</v>
      </c>
      <c r="Q1236" s="98">
        <f>VLOOKUP($A1236,LossChart!$A$3:$AB$999,15,0)-M1236</f>
        <v>116</v>
      </c>
      <c r="R1236" s="98">
        <f>VLOOKUP($A1236,LossChart!$A$3:$AB$999,16,0)-N1236</f>
        <v>482.47465271142238</v>
      </c>
      <c r="S1236" s="98">
        <f>VLOOKUP($A1236,LossChart!$A$3:$AB$999,17,0)-O1236</f>
        <v>1490.2657973064852</v>
      </c>
    </row>
    <row r="1237" spans="1:19" x14ac:dyDescent="0.25">
      <c r="B1237" s="94" t="s">
        <v>107</v>
      </c>
      <c r="C1237" s="95">
        <v>0</v>
      </c>
      <c r="D1237">
        <f>$C1237*VLOOKUP($B1237,FoodDB!$A$2:$I$1011,3,0)</f>
        <v>0</v>
      </c>
      <c r="E1237">
        <f>$C1237*VLOOKUP($B1237,FoodDB!$A$2:$I$1011,4,0)</f>
        <v>0</v>
      </c>
      <c r="F1237">
        <f>$C1237*VLOOKUP($B1237,FoodDB!$A$2:$I$1011,5,0)</f>
        <v>0</v>
      </c>
      <c r="G1237">
        <f>$C1237*VLOOKUP($B1237,FoodDB!$A$2:$I$1011,6,0)</f>
        <v>0</v>
      </c>
      <c r="H1237">
        <f>$C1237*VLOOKUP($B1237,FoodDB!$A$2:$I$1011,7,0)</f>
        <v>0</v>
      </c>
      <c r="I1237">
        <f>$C1237*VLOOKUP($B1237,FoodDB!$A$2:$I$1011,8,0)</f>
        <v>0</v>
      </c>
      <c r="J1237">
        <f>$C1237*VLOOKUP($B1237,FoodDB!$A$2:$I$1011,9,0)</f>
        <v>0</v>
      </c>
    </row>
    <row r="1238" spans="1:19" x14ac:dyDescent="0.25">
      <c r="B1238" s="94" t="s">
        <v>107</v>
      </c>
      <c r="C1238" s="95">
        <v>0</v>
      </c>
      <c r="D1238">
        <f>$C1238*VLOOKUP($B1238,FoodDB!$A$2:$I$1011,3,0)</f>
        <v>0</v>
      </c>
      <c r="E1238">
        <f>$C1238*VLOOKUP($B1238,FoodDB!$A$2:$I$1011,4,0)</f>
        <v>0</v>
      </c>
      <c r="F1238">
        <f>$C1238*VLOOKUP($B1238,FoodDB!$A$2:$I$1011,5,0)</f>
        <v>0</v>
      </c>
      <c r="G1238">
        <f>$C1238*VLOOKUP($B1238,FoodDB!$A$2:$I$1011,6,0)</f>
        <v>0</v>
      </c>
      <c r="H1238">
        <f>$C1238*VLOOKUP($B1238,FoodDB!$A$2:$I$1011,7,0)</f>
        <v>0</v>
      </c>
      <c r="I1238">
        <f>$C1238*VLOOKUP($B1238,FoodDB!$A$2:$I$1011,8,0)</f>
        <v>0</v>
      </c>
      <c r="J1238">
        <f>$C1238*VLOOKUP($B1238,FoodDB!$A$2:$I$1011,9,0)</f>
        <v>0</v>
      </c>
    </row>
    <row r="1239" spans="1:19" x14ac:dyDescent="0.25">
      <c r="B1239" s="94" t="s">
        <v>107</v>
      </c>
      <c r="C1239" s="95">
        <v>0</v>
      </c>
      <c r="D1239">
        <f>$C1239*VLOOKUP($B1239,FoodDB!$A$2:$I$1011,3,0)</f>
        <v>0</v>
      </c>
      <c r="E1239">
        <f>$C1239*VLOOKUP($B1239,FoodDB!$A$2:$I$1011,4,0)</f>
        <v>0</v>
      </c>
      <c r="F1239">
        <f>$C1239*VLOOKUP($B1239,FoodDB!$A$2:$I$1011,5,0)</f>
        <v>0</v>
      </c>
      <c r="G1239">
        <f>$C1239*VLOOKUP($B1239,FoodDB!$A$2:$I$1011,6,0)</f>
        <v>0</v>
      </c>
      <c r="H1239">
        <f>$C1239*VLOOKUP($B1239,FoodDB!$A$2:$I$1011,7,0)</f>
        <v>0</v>
      </c>
      <c r="I1239">
        <f>$C1239*VLOOKUP($B1239,FoodDB!$A$2:$I$1011,8,0)</f>
        <v>0</v>
      </c>
      <c r="J1239">
        <f>$C1239*VLOOKUP($B1239,FoodDB!$A$2:$I$1011,9,0)</f>
        <v>0</v>
      </c>
    </row>
    <row r="1240" spans="1:19" x14ac:dyDescent="0.25">
      <c r="B1240" s="94" t="s">
        <v>107</v>
      </c>
      <c r="C1240" s="95">
        <v>0</v>
      </c>
      <c r="D1240">
        <f>$C1240*VLOOKUP($B1240,FoodDB!$A$2:$I$1011,3,0)</f>
        <v>0</v>
      </c>
      <c r="E1240">
        <f>$C1240*VLOOKUP($B1240,FoodDB!$A$2:$I$1011,4,0)</f>
        <v>0</v>
      </c>
      <c r="F1240">
        <f>$C1240*VLOOKUP($B1240,FoodDB!$A$2:$I$1011,5,0)</f>
        <v>0</v>
      </c>
      <c r="G1240">
        <f>$C1240*VLOOKUP($B1240,FoodDB!$A$2:$I$1011,6,0)</f>
        <v>0</v>
      </c>
      <c r="H1240">
        <f>$C1240*VLOOKUP($B1240,FoodDB!$A$2:$I$1011,7,0)</f>
        <v>0</v>
      </c>
      <c r="I1240">
        <f>$C1240*VLOOKUP($B1240,FoodDB!$A$2:$I$1011,8,0)</f>
        <v>0</v>
      </c>
      <c r="J1240">
        <f>$C1240*VLOOKUP($B1240,FoodDB!$A$2:$I$1011,9,0)</f>
        <v>0</v>
      </c>
    </row>
    <row r="1241" spans="1:19" x14ac:dyDescent="0.25">
      <c r="B1241" s="94" t="s">
        <v>107</v>
      </c>
      <c r="C1241" s="95">
        <v>0</v>
      </c>
      <c r="D1241">
        <f>$C1241*VLOOKUP($B1241,FoodDB!$A$2:$I$1011,3,0)</f>
        <v>0</v>
      </c>
      <c r="E1241">
        <f>$C1241*VLOOKUP($B1241,FoodDB!$A$2:$I$1011,4,0)</f>
        <v>0</v>
      </c>
      <c r="F1241">
        <f>$C1241*VLOOKUP($B1241,FoodDB!$A$2:$I$1011,5,0)</f>
        <v>0</v>
      </c>
      <c r="G1241">
        <f>$C1241*VLOOKUP($B1241,FoodDB!$A$2:$I$1011,6,0)</f>
        <v>0</v>
      </c>
      <c r="H1241">
        <f>$C1241*VLOOKUP($B1241,FoodDB!$A$2:$I$1011,7,0)</f>
        <v>0</v>
      </c>
      <c r="I1241">
        <f>$C1241*VLOOKUP($B1241,FoodDB!$A$2:$I$1011,8,0)</f>
        <v>0</v>
      </c>
      <c r="J1241">
        <f>$C1241*VLOOKUP($B1241,FoodDB!$A$2:$I$1011,9,0)</f>
        <v>0</v>
      </c>
    </row>
    <row r="1242" spans="1:19" x14ac:dyDescent="0.25">
      <c r="B1242" s="94" t="s">
        <v>107</v>
      </c>
      <c r="C1242" s="95">
        <v>0</v>
      </c>
      <c r="D1242">
        <f>$C1242*VLOOKUP($B1242,FoodDB!$A$2:$I$1011,3,0)</f>
        <v>0</v>
      </c>
      <c r="E1242">
        <f>$C1242*VLOOKUP($B1242,FoodDB!$A$2:$I$1011,4,0)</f>
        <v>0</v>
      </c>
      <c r="F1242">
        <f>$C1242*VLOOKUP($B1242,FoodDB!$A$2:$I$1011,5,0)</f>
        <v>0</v>
      </c>
      <c r="G1242">
        <f>$C1242*VLOOKUP($B1242,FoodDB!$A$2:$I$1011,6,0)</f>
        <v>0</v>
      </c>
      <c r="H1242">
        <f>$C1242*VLOOKUP($B1242,FoodDB!$A$2:$I$1011,7,0)</f>
        <v>0</v>
      </c>
      <c r="I1242">
        <f>$C1242*VLOOKUP($B1242,FoodDB!$A$2:$I$1011,8,0)</f>
        <v>0</v>
      </c>
      <c r="J1242">
        <f>$C1242*VLOOKUP($B1242,FoodDB!$A$2:$I$1011,9,0)</f>
        <v>0</v>
      </c>
    </row>
    <row r="1243" spans="1:19" x14ac:dyDescent="0.25">
      <c r="A1243" t="s">
        <v>97</v>
      </c>
      <c r="G1243">
        <f>SUM(G1236:G1242)</f>
        <v>0</v>
      </c>
      <c r="H1243">
        <f>SUM(H1236:H1242)</f>
        <v>0</v>
      </c>
      <c r="I1243">
        <f>SUM(I1236:I1242)</f>
        <v>0</v>
      </c>
      <c r="J1243">
        <f>SUM(G1243:I1243)</f>
        <v>0</v>
      </c>
    </row>
    <row r="1244" spans="1:19" x14ac:dyDescent="0.25">
      <c r="A1244" t="s">
        <v>101</v>
      </c>
      <c r="B1244" t="s">
        <v>102</v>
      </c>
      <c r="E1244" s="98"/>
      <c r="F1244" s="98"/>
      <c r="G1244" s="98" t="e">
        <f>VLOOKUP($A1236,LossChart!$A$3:$AB$105,14,0)</f>
        <v>#N/A</v>
      </c>
      <c r="H1244" s="98" t="e">
        <f>VLOOKUP($A1236,LossChart!$A$3:$AB$105,15,0)</f>
        <v>#N/A</v>
      </c>
      <c r="I1244" s="98" t="e">
        <f>VLOOKUP($A1236,LossChart!$A$3:$AB$105,16,0)</f>
        <v>#N/A</v>
      </c>
      <c r="J1244" s="98" t="e">
        <f>VLOOKUP($A1236,LossChart!$A$3:$AB$105,17,0)</f>
        <v>#N/A</v>
      </c>
      <c r="K1244" s="98"/>
    </row>
    <row r="1245" spans="1:19" x14ac:dyDescent="0.25">
      <c r="A1245" t="s">
        <v>103</v>
      </c>
      <c r="G1245" t="e">
        <f>G1244-G1243</f>
        <v>#N/A</v>
      </c>
      <c r="H1245" t="e">
        <f>H1244-H1243</f>
        <v>#N/A</v>
      </c>
      <c r="I1245" t="e">
        <f>I1244-I1243</f>
        <v>#N/A</v>
      </c>
      <c r="J1245" t="e">
        <f>J1244-J1243</f>
        <v>#N/A</v>
      </c>
    </row>
    <row r="1247" spans="1:19" ht="60" x14ac:dyDescent="0.25">
      <c r="A1247" s="21" t="s">
        <v>63</v>
      </c>
      <c r="B1247" s="21" t="s">
        <v>92</v>
      </c>
      <c r="C1247" s="21" t="s">
        <v>93</v>
      </c>
      <c r="D1247" s="92" t="str">
        <f>FoodDB!$C$1</f>
        <v>Fat
(g)</v>
      </c>
      <c r="E1247" s="92" t="str">
        <f>FoodDB!$D$1</f>
        <v xml:space="preserve"> Carbs
(g)</v>
      </c>
      <c r="F1247" s="92" t="str">
        <f>FoodDB!$E$1</f>
        <v>Protein
(g)</v>
      </c>
      <c r="G1247" s="92" t="str">
        <f>FoodDB!$F$1</f>
        <v>Fat
(Cal)</v>
      </c>
      <c r="H1247" s="92" t="str">
        <f>FoodDB!$G$1</f>
        <v>Carb
(Cal)</v>
      </c>
      <c r="I1247" s="92" t="str">
        <f>FoodDB!$H$1</f>
        <v>Protein
(Cal)</v>
      </c>
      <c r="J1247" s="92" t="str">
        <f>FoodDB!$I$1</f>
        <v>Total
Calories</v>
      </c>
      <c r="K1247" s="92"/>
      <c r="L1247" s="92" t="s">
        <v>109</v>
      </c>
      <c r="M1247" s="92" t="s">
        <v>110</v>
      </c>
      <c r="N1247" s="92" t="s">
        <v>111</v>
      </c>
      <c r="O1247" s="92" t="s">
        <v>112</v>
      </c>
      <c r="P1247" s="92" t="s">
        <v>117</v>
      </c>
      <c r="Q1247" s="92" t="s">
        <v>118</v>
      </c>
      <c r="R1247" s="92" t="s">
        <v>119</v>
      </c>
      <c r="S1247" s="92" t="s">
        <v>120</v>
      </c>
    </row>
    <row r="1248" spans="1:19" x14ac:dyDescent="0.25">
      <c r="A1248" s="93">
        <f>A1236+1</f>
        <v>43098</v>
      </c>
      <c r="B1248" s="94" t="s">
        <v>107</v>
      </c>
      <c r="C1248" s="95">
        <v>0</v>
      </c>
      <c r="D1248">
        <f>$C1248*VLOOKUP($B1248,FoodDB!$A$2:$I$1011,3,0)</f>
        <v>0</v>
      </c>
      <c r="E1248">
        <f>$C1248*VLOOKUP($B1248,FoodDB!$A$2:$I$1011,4,0)</f>
        <v>0</v>
      </c>
      <c r="F1248">
        <f>$C1248*VLOOKUP($B1248,FoodDB!$A$2:$I$1011,5,0)</f>
        <v>0</v>
      </c>
      <c r="G1248">
        <f>$C1248*VLOOKUP($B1248,FoodDB!$A$2:$I$1011,6,0)</f>
        <v>0</v>
      </c>
      <c r="H1248">
        <f>$C1248*VLOOKUP($B1248,FoodDB!$A$2:$I$1011,7,0)</f>
        <v>0</v>
      </c>
      <c r="I1248">
        <f>$C1248*VLOOKUP($B1248,FoodDB!$A$2:$I$1011,8,0)</f>
        <v>0</v>
      </c>
      <c r="J1248">
        <f>$C1248*VLOOKUP($B1248,FoodDB!$A$2:$I$1011,9,0)</f>
        <v>0</v>
      </c>
      <c r="L1248">
        <f>SUM(G1248:G1254)</f>
        <v>0</v>
      </c>
      <c r="M1248">
        <f>SUM(H1248:H1254)</f>
        <v>0</v>
      </c>
      <c r="N1248">
        <f>SUM(I1248:I1254)</f>
        <v>0</v>
      </c>
      <c r="O1248">
        <f>SUM(L1248:N1248)</f>
        <v>0</v>
      </c>
      <c r="P1248" s="98">
        <f>VLOOKUP($A1248,LossChart!$A$3:$AB$999,14,0)-L1248</f>
        <v>895.20829390428912</v>
      </c>
      <c r="Q1248" s="98">
        <f>VLOOKUP($A1248,LossChart!$A$3:$AB$999,15,0)-M1248</f>
        <v>116</v>
      </c>
      <c r="R1248" s="98">
        <f>VLOOKUP($A1248,LossChart!$A$3:$AB$999,16,0)-N1248</f>
        <v>482.47465271142238</v>
      </c>
      <c r="S1248" s="98">
        <f>VLOOKUP($A1248,LossChart!$A$3:$AB$999,17,0)-O1248</f>
        <v>1493.6829466157114</v>
      </c>
    </row>
    <row r="1249" spans="1:19" x14ac:dyDescent="0.25">
      <c r="B1249" s="94" t="s">
        <v>107</v>
      </c>
      <c r="C1249" s="95">
        <v>0</v>
      </c>
      <c r="D1249">
        <f>$C1249*VLOOKUP($B1249,FoodDB!$A$2:$I$1011,3,0)</f>
        <v>0</v>
      </c>
      <c r="E1249">
        <f>$C1249*VLOOKUP($B1249,FoodDB!$A$2:$I$1011,4,0)</f>
        <v>0</v>
      </c>
      <c r="F1249">
        <f>$C1249*VLOOKUP($B1249,FoodDB!$A$2:$I$1011,5,0)</f>
        <v>0</v>
      </c>
      <c r="G1249">
        <f>$C1249*VLOOKUP($B1249,FoodDB!$A$2:$I$1011,6,0)</f>
        <v>0</v>
      </c>
      <c r="H1249">
        <f>$C1249*VLOOKUP($B1249,FoodDB!$A$2:$I$1011,7,0)</f>
        <v>0</v>
      </c>
      <c r="I1249">
        <f>$C1249*VLOOKUP($B1249,FoodDB!$A$2:$I$1011,8,0)</f>
        <v>0</v>
      </c>
      <c r="J1249">
        <f>$C1249*VLOOKUP($B1249,FoodDB!$A$2:$I$1011,9,0)</f>
        <v>0</v>
      </c>
    </row>
    <row r="1250" spans="1:19" x14ac:dyDescent="0.25">
      <c r="B1250" s="94" t="s">
        <v>107</v>
      </c>
      <c r="C1250" s="95">
        <v>0</v>
      </c>
      <c r="D1250">
        <f>$C1250*VLOOKUP($B1250,FoodDB!$A$2:$I$1011,3,0)</f>
        <v>0</v>
      </c>
      <c r="E1250">
        <f>$C1250*VLOOKUP($B1250,FoodDB!$A$2:$I$1011,4,0)</f>
        <v>0</v>
      </c>
      <c r="F1250">
        <f>$C1250*VLOOKUP($B1250,FoodDB!$A$2:$I$1011,5,0)</f>
        <v>0</v>
      </c>
      <c r="G1250">
        <f>$C1250*VLOOKUP($B1250,FoodDB!$A$2:$I$1011,6,0)</f>
        <v>0</v>
      </c>
      <c r="H1250">
        <f>$C1250*VLOOKUP($B1250,FoodDB!$A$2:$I$1011,7,0)</f>
        <v>0</v>
      </c>
      <c r="I1250">
        <f>$C1250*VLOOKUP($B1250,FoodDB!$A$2:$I$1011,8,0)</f>
        <v>0</v>
      </c>
      <c r="J1250">
        <f>$C1250*VLOOKUP($B1250,FoodDB!$A$2:$I$1011,9,0)</f>
        <v>0</v>
      </c>
    </row>
    <row r="1251" spans="1:19" x14ac:dyDescent="0.25">
      <c r="B1251" s="94" t="s">
        <v>107</v>
      </c>
      <c r="C1251" s="95">
        <v>0</v>
      </c>
      <c r="D1251">
        <f>$C1251*VLOOKUP($B1251,FoodDB!$A$2:$I$1011,3,0)</f>
        <v>0</v>
      </c>
      <c r="E1251">
        <f>$C1251*VLOOKUP($B1251,FoodDB!$A$2:$I$1011,4,0)</f>
        <v>0</v>
      </c>
      <c r="F1251">
        <f>$C1251*VLOOKUP($B1251,FoodDB!$A$2:$I$1011,5,0)</f>
        <v>0</v>
      </c>
      <c r="G1251">
        <f>$C1251*VLOOKUP($B1251,FoodDB!$A$2:$I$1011,6,0)</f>
        <v>0</v>
      </c>
      <c r="H1251">
        <f>$C1251*VLOOKUP($B1251,FoodDB!$A$2:$I$1011,7,0)</f>
        <v>0</v>
      </c>
      <c r="I1251">
        <f>$C1251*VLOOKUP($B1251,FoodDB!$A$2:$I$1011,8,0)</f>
        <v>0</v>
      </c>
      <c r="J1251">
        <f>$C1251*VLOOKUP($B1251,FoodDB!$A$2:$I$1011,9,0)</f>
        <v>0</v>
      </c>
    </row>
    <row r="1252" spans="1:19" x14ac:dyDescent="0.25">
      <c r="B1252" s="94" t="s">
        <v>107</v>
      </c>
      <c r="C1252" s="95">
        <v>0</v>
      </c>
      <c r="D1252">
        <f>$C1252*VLOOKUP($B1252,FoodDB!$A$2:$I$1011,3,0)</f>
        <v>0</v>
      </c>
      <c r="E1252">
        <f>$C1252*VLOOKUP($B1252,FoodDB!$A$2:$I$1011,4,0)</f>
        <v>0</v>
      </c>
      <c r="F1252">
        <f>$C1252*VLOOKUP($B1252,FoodDB!$A$2:$I$1011,5,0)</f>
        <v>0</v>
      </c>
      <c r="G1252">
        <f>$C1252*VLOOKUP($B1252,FoodDB!$A$2:$I$1011,6,0)</f>
        <v>0</v>
      </c>
      <c r="H1252">
        <f>$C1252*VLOOKUP($B1252,FoodDB!$A$2:$I$1011,7,0)</f>
        <v>0</v>
      </c>
      <c r="I1252">
        <f>$C1252*VLOOKUP($B1252,FoodDB!$A$2:$I$1011,8,0)</f>
        <v>0</v>
      </c>
      <c r="J1252">
        <f>$C1252*VLOOKUP($B1252,FoodDB!$A$2:$I$1011,9,0)</f>
        <v>0</v>
      </c>
    </row>
    <row r="1253" spans="1:19" x14ac:dyDescent="0.25">
      <c r="B1253" s="94" t="s">
        <v>107</v>
      </c>
      <c r="C1253" s="95">
        <v>0</v>
      </c>
      <c r="D1253">
        <f>$C1253*VLOOKUP($B1253,FoodDB!$A$2:$I$1011,3,0)</f>
        <v>0</v>
      </c>
      <c r="E1253">
        <f>$C1253*VLOOKUP($B1253,FoodDB!$A$2:$I$1011,4,0)</f>
        <v>0</v>
      </c>
      <c r="F1253">
        <f>$C1253*VLOOKUP($B1253,FoodDB!$A$2:$I$1011,5,0)</f>
        <v>0</v>
      </c>
      <c r="G1253">
        <f>$C1253*VLOOKUP($B1253,FoodDB!$A$2:$I$1011,6,0)</f>
        <v>0</v>
      </c>
      <c r="H1253">
        <f>$C1253*VLOOKUP($B1253,FoodDB!$A$2:$I$1011,7,0)</f>
        <v>0</v>
      </c>
      <c r="I1253">
        <f>$C1253*VLOOKUP($B1253,FoodDB!$A$2:$I$1011,8,0)</f>
        <v>0</v>
      </c>
      <c r="J1253">
        <f>$C1253*VLOOKUP($B1253,FoodDB!$A$2:$I$1011,9,0)</f>
        <v>0</v>
      </c>
    </row>
    <row r="1254" spans="1:19" x14ac:dyDescent="0.25">
      <c r="B1254" s="94" t="s">
        <v>107</v>
      </c>
      <c r="C1254" s="95">
        <v>0</v>
      </c>
      <c r="D1254">
        <f>$C1254*VLOOKUP($B1254,FoodDB!$A$2:$I$1011,3,0)</f>
        <v>0</v>
      </c>
      <c r="E1254">
        <f>$C1254*VLOOKUP($B1254,FoodDB!$A$2:$I$1011,4,0)</f>
        <v>0</v>
      </c>
      <c r="F1254">
        <f>$C1254*VLOOKUP($B1254,FoodDB!$A$2:$I$1011,5,0)</f>
        <v>0</v>
      </c>
      <c r="G1254">
        <f>$C1254*VLOOKUP($B1254,FoodDB!$A$2:$I$1011,6,0)</f>
        <v>0</v>
      </c>
      <c r="H1254">
        <f>$C1254*VLOOKUP($B1254,FoodDB!$A$2:$I$1011,7,0)</f>
        <v>0</v>
      </c>
      <c r="I1254">
        <f>$C1254*VLOOKUP($B1254,FoodDB!$A$2:$I$1011,8,0)</f>
        <v>0</v>
      </c>
      <c r="J1254">
        <f>$C1254*VLOOKUP($B1254,FoodDB!$A$2:$I$1011,9,0)</f>
        <v>0</v>
      </c>
    </row>
    <row r="1255" spans="1:19" x14ac:dyDescent="0.25">
      <c r="A1255" t="s">
        <v>97</v>
      </c>
      <c r="G1255">
        <f>SUM(G1248:G1254)</f>
        <v>0</v>
      </c>
      <c r="H1255">
        <f>SUM(H1248:H1254)</f>
        <v>0</v>
      </c>
      <c r="I1255">
        <f>SUM(I1248:I1254)</f>
        <v>0</v>
      </c>
      <c r="J1255">
        <f>SUM(G1255:I1255)</f>
        <v>0</v>
      </c>
    </row>
    <row r="1256" spans="1:19" x14ac:dyDescent="0.25">
      <c r="A1256" t="s">
        <v>101</v>
      </c>
      <c r="B1256" t="s">
        <v>102</v>
      </c>
      <c r="E1256" s="98"/>
      <c r="F1256" s="98"/>
      <c r="G1256" s="98" t="e">
        <f>VLOOKUP($A1248,LossChart!$A$3:$AB$105,14,0)</f>
        <v>#N/A</v>
      </c>
      <c r="H1256" s="98" t="e">
        <f>VLOOKUP($A1248,LossChart!$A$3:$AB$105,15,0)</f>
        <v>#N/A</v>
      </c>
      <c r="I1256" s="98" t="e">
        <f>VLOOKUP($A1248,LossChart!$A$3:$AB$105,16,0)</f>
        <v>#N/A</v>
      </c>
      <c r="J1256" s="98" t="e">
        <f>VLOOKUP($A1248,LossChart!$A$3:$AB$105,17,0)</f>
        <v>#N/A</v>
      </c>
      <c r="K1256" s="98"/>
    </row>
    <row r="1257" spans="1:19" x14ac:dyDescent="0.25">
      <c r="A1257" t="s">
        <v>103</v>
      </c>
      <c r="G1257" t="e">
        <f>G1256-G1255</f>
        <v>#N/A</v>
      </c>
      <c r="H1257" t="e">
        <f>H1256-H1255</f>
        <v>#N/A</v>
      </c>
      <c r="I1257" t="e">
        <f>I1256-I1255</f>
        <v>#N/A</v>
      </c>
      <c r="J1257" t="e">
        <f>J1256-J1255</f>
        <v>#N/A</v>
      </c>
    </row>
    <row r="1259" spans="1:19" ht="60" x14ac:dyDescent="0.25">
      <c r="A1259" s="21" t="s">
        <v>63</v>
      </c>
      <c r="B1259" s="21" t="s">
        <v>92</v>
      </c>
      <c r="C1259" s="21" t="s">
        <v>93</v>
      </c>
      <c r="D1259" s="92" t="str">
        <f>FoodDB!$C$1</f>
        <v>Fat
(g)</v>
      </c>
      <c r="E1259" s="92" t="str">
        <f>FoodDB!$D$1</f>
        <v xml:space="preserve"> Carbs
(g)</v>
      </c>
      <c r="F1259" s="92" t="str">
        <f>FoodDB!$E$1</f>
        <v>Protein
(g)</v>
      </c>
      <c r="G1259" s="92" t="str">
        <f>FoodDB!$F$1</f>
        <v>Fat
(Cal)</v>
      </c>
      <c r="H1259" s="92" t="str">
        <f>FoodDB!$G$1</f>
        <v>Carb
(Cal)</v>
      </c>
      <c r="I1259" s="92" t="str">
        <f>FoodDB!$H$1</f>
        <v>Protein
(Cal)</v>
      </c>
      <c r="J1259" s="92" t="str">
        <f>FoodDB!$I$1</f>
        <v>Total
Calories</v>
      </c>
      <c r="K1259" s="92"/>
      <c r="L1259" s="92" t="s">
        <v>109</v>
      </c>
      <c r="M1259" s="92" t="s">
        <v>110</v>
      </c>
      <c r="N1259" s="92" t="s">
        <v>111</v>
      </c>
      <c r="O1259" s="92" t="s">
        <v>112</v>
      </c>
      <c r="P1259" s="92" t="s">
        <v>117</v>
      </c>
      <c r="Q1259" s="92" t="s">
        <v>118</v>
      </c>
      <c r="R1259" s="92" t="s">
        <v>119</v>
      </c>
      <c r="S1259" s="92" t="s">
        <v>120</v>
      </c>
    </row>
    <row r="1260" spans="1:19" x14ac:dyDescent="0.25">
      <c r="A1260" s="93">
        <f>A1248+1</f>
        <v>43099</v>
      </c>
      <c r="B1260" s="94" t="s">
        <v>107</v>
      </c>
      <c r="C1260" s="95">
        <v>0</v>
      </c>
      <c r="D1260">
        <f>$C1260*VLOOKUP($B1260,FoodDB!$A$2:$I$1011,3,0)</f>
        <v>0</v>
      </c>
      <c r="E1260">
        <f>$C1260*VLOOKUP($B1260,FoodDB!$A$2:$I$1011,4,0)</f>
        <v>0</v>
      </c>
      <c r="F1260">
        <f>$C1260*VLOOKUP($B1260,FoodDB!$A$2:$I$1011,5,0)</f>
        <v>0</v>
      </c>
      <c r="G1260">
        <f>$C1260*VLOOKUP($B1260,FoodDB!$A$2:$I$1011,6,0)</f>
        <v>0</v>
      </c>
      <c r="H1260">
        <f>$C1260*VLOOKUP($B1260,FoodDB!$A$2:$I$1011,7,0)</f>
        <v>0</v>
      </c>
      <c r="I1260">
        <f>$C1260*VLOOKUP($B1260,FoodDB!$A$2:$I$1011,8,0)</f>
        <v>0</v>
      </c>
      <c r="J1260">
        <f>$C1260*VLOOKUP($B1260,FoodDB!$A$2:$I$1011,9,0)</f>
        <v>0</v>
      </c>
      <c r="L1260">
        <f>SUM(G1260:G1266)</f>
        <v>0</v>
      </c>
      <c r="M1260">
        <f>SUM(H1260:H1266)</f>
        <v>0</v>
      </c>
      <c r="N1260">
        <f>SUM(I1260:I1266)</f>
        <v>0</v>
      </c>
      <c r="O1260">
        <f>SUM(L1260:N1260)</f>
        <v>0</v>
      </c>
      <c r="P1260" s="98">
        <f>VLOOKUP($A1260,LossChart!$A$3:$AB$999,14,0)-L1260</f>
        <v>898.59517703391953</v>
      </c>
      <c r="Q1260" s="98">
        <f>VLOOKUP($A1260,LossChart!$A$3:$AB$999,15,0)-M1260</f>
        <v>116</v>
      </c>
      <c r="R1260" s="98">
        <f>VLOOKUP($A1260,LossChart!$A$3:$AB$999,16,0)-N1260</f>
        <v>482.47465271142238</v>
      </c>
      <c r="S1260" s="98">
        <f>VLOOKUP($A1260,LossChart!$A$3:$AB$999,17,0)-O1260</f>
        <v>1497.0698297453418</v>
      </c>
    </row>
    <row r="1261" spans="1:19" x14ac:dyDescent="0.25">
      <c r="B1261" s="94" t="s">
        <v>107</v>
      </c>
      <c r="C1261" s="95">
        <v>0</v>
      </c>
      <c r="D1261">
        <f>$C1261*VLOOKUP($B1261,FoodDB!$A$2:$I$1011,3,0)</f>
        <v>0</v>
      </c>
      <c r="E1261">
        <f>$C1261*VLOOKUP($B1261,FoodDB!$A$2:$I$1011,4,0)</f>
        <v>0</v>
      </c>
      <c r="F1261">
        <f>$C1261*VLOOKUP($B1261,FoodDB!$A$2:$I$1011,5,0)</f>
        <v>0</v>
      </c>
      <c r="G1261">
        <f>$C1261*VLOOKUP($B1261,FoodDB!$A$2:$I$1011,6,0)</f>
        <v>0</v>
      </c>
      <c r="H1261">
        <f>$C1261*VLOOKUP($B1261,FoodDB!$A$2:$I$1011,7,0)</f>
        <v>0</v>
      </c>
      <c r="I1261">
        <f>$C1261*VLOOKUP($B1261,FoodDB!$A$2:$I$1011,8,0)</f>
        <v>0</v>
      </c>
      <c r="J1261">
        <f>$C1261*VLOOKUP($B1261,FoodDB!$A$2:$I$1011,9,0)</f>
        <v>0</v>
      </c>
    </row>
    <row r="1262" spans="1:19" x14ac:dyDescent="0.25">
      <c r="B1262" s="94" t="s">
        <v>107</v>
      </c>
      <c r="C1262" s="95">
        <v>0</v>
      </c>
      <c r="D1262">
        <f>$C1262*VLOOKUP($B1262,FoodDB!$A$2:$I$1011,3,0)</f>
        <v>0</v>
      </c>
      <c r="E1262">
        <f>$C1262*VLOOKUP($B1262,FoodDB!$A$2:$I$1011,4,0)</f>
        <v>0</v>
      </c>
      <c r="F1262">
        <f>$C1262*VLOOKUP($B1262,FoodDB!$A$2:$I$1011,5,0)</f>
        <v>0</v>
      </c>
      <c r="G1262">
        <f>$C1262*VLOOKUP($B1262,FoodDB!$A$2:$I$1011,6,0)</f>
        <v>0</v>
      </c>
      <c r="H1262">
        <f>$C1262*VLOOKUP($B1262,FoodDB!$A$2:$I$1011,7,0)</f>
        <v>0</v>
      </c>
      <c r="I1262">
        <f>$C1262*VLOOKUP($B1262,FoodDB!$A$2:$I$1011,8,0)</f>
        <v>0</v>
      </c>
      <c r="J1262">
        <f>$C1262*VLOOKUP($B1262,FoodDB!$A$2:$I$1011,9,0)</f>
        <v>0</v>
      </c>
    </row>
    <row r="1263" spans="1:19" x14ac:dyDescent="0.25">
      <c r="B1263" s="94" t="s">
        <v>107</v>
      </c>
      <c r="C1263" s="95">
        <v>0</v>
      </c>
      <c r="D1263">
        <f>$C1263*VLOOKUP($B1263,FoodDB!$A$2:$I$1011,3,0)</f>
        <v>0</v>
      </c>
      <c r="E1263">
        <f>$C1263*VLOOKUP($B1263,FoodDB!$A$2:$I$1011,4,0)</f>
        <v>0</v>
      </c>
      <c r="F1263">
        <f>$C1263*VLOOKUP($B1263,FoodDB!$A$2:$I$1011,5,0)</f>
        <v>0</v>
      </c>
      <c r="G1263">
        <f>$C1263*VLOOKUP($B1263,FoodDB!$A$2:$I$1011,6,0)</f>
        <v>0</v>
      </c>
      <c r="H1263">
        <f>$C1263*VLOOKUP($B1263,FoodDB!$A$2:$I$1011,7,0)</f>
        <v>0</v>
      </c>
      <c r="I1263">
        <f>$C1263*VLOOKUP($B1263,FoodDB!$A$2:$I$1011,8,0)</f>
        <v>0</v>
      </c>
      <c r="J1263">
        <f>$C1263*VLOOKUP($B1263,FoodDB!$A$2:$I$1011,9,0)</f>
        <v>0</v>
      </c>
    </row>
    <row r="1264" spans="1:19" x14ac:dyDescent="0.25">
      <c r="B1264" s="94" t="s">
        <v>107</v>
      </c>
      <c r="C1264" s="95">
        <v>0</v>
      </c>
      <c r="D1264">
        <f>$C1264*VLOOKUP($B1264,FoodDB!$A$2:$I$1011,3,0)</f>
        <v>0</v>
      </c>
      <c r="E1264">
        <f>$C1264*VLOOKUP($B1264,FoodDB!$A$2:$I$1011,4,0)</f>
        <v>0</v>
      </c>
      <c r="F1264">
        <f>$C1264*VLOOKUP($B1264,FoodDB!$A$2:$I$1011,5,0)</f>
        <v>0</v>
      </c>
      <c r="G1264">
        <f>$C1264*VLOOKUP($B1264,FoodDB!$A$2:$I$1011,6,0)</f>
        <v>0</v>
      </c>
      <c r="H1264">
        <f>$C1264*VLOOKUP($B1264,FoodDB!$A$2:$I$1011,7,0)</f>
        <v>0</v>
      </c>
      <c r="I1264">
        <f>$C1264*VLOOKUP($B1264,FoodDB!$A$2:$I$1011,8,0)</f>
        <v>0</v>
      </c>
      <c r="J1264">
        <f>$C1264*VLOOKUP($B1264,FoodDB!$A$2:$I$1011,9,0)</f>
        <v>0</v>
      </c>
    </row>
    <row r="1265" spans="1:19" x14ac:dyDescent="0.25">
      <c r="B1265" s="94" t="s">
        <v>107</v>
      </c>
      <c r="C1265" s="95">
        <v>0</v>
      </c>
      <c r="D1265">
        <f>$C1265*VLOOKUP($B1265,FoodDB!$A$2:$I$1011,3,0)</f>
        <v>0</v>
      </c>
      <c r="E1265">
        <f>$C1265*VLOOKUP($B1265,FoodDB!$A$2:$I$1011,4,0)</f>
        <v>0</v>
      </c>
      <c r="F1265">
        <f>$C1265*VLOOKUP($B1265,FoodDB!$A$2:$I$1011,5,0)</f>
        <v>0</v>
      </c>
      <c r="G1265">
        <f>$C1265*VLOOKUP($B1265,FoodDB!$A$2:$I$1011,6,0)</f>
        <v>0</v>
      </c>
      <c r="H1265">
        <f>$C1265*VLOOKUP($B1265,FoodDB!$A$2:$I$1011,7,0)</f>
        <v>0</v>
      </c>
      <c r="I1265">
        <f>$C1265*VLOOKUP($B1265,FoodDB!$A$2:$I$1011,8,0)</f>
        <v>0</v>
      </c>
      <c r="J1265">
        <f>$C1265*VLOOKUP($B1265,FoodDB!$A$2:$I$1011,9,0)</f>
        <v>0</v>
      </c>
    </row>
    <row r="1266" spans="1:19" x14ac:dyDescent="0.25">
      <c r="B1266" s="94" t="s">
        <v>107</v>
      </c>
      <c r="C1266" s="95">
        <v>0</v>
      </c>
      <c r="D1266">
        <f>$C1266*VLOOKUP($B1266,FoodDB!$A$2:$I$1011,3,0)</f>
        <v>0</v>
      </c>
      <c r="E1266">
        <f>$C1266*VLOOKUP($B1266,FoodDB!$A$2:$I$1011,4,0)</f>
        <v>0</v>
      </c>
      <c r="F1266">
        <f>$C1266*VLOOKUP($B1266,FoodDB!$A$2:$I$1011,5,0)</f>
        <v>0</v>
      </c>
      <c r="G1266">
        <f>$C1266*VLOOKUP($B1266,FoodDB!$A$2:$I$1011,6,0)</f>
        <v>0</v>
      </c>
      <c r="H1266">
        <f>$C1266*VLOOKUP($B1266,FoodDB!$A$2:$I$1011,7,0)</f>
        <v>0</v>
      </c>
      <c r="I1266">
        <f>$C1266*VLOOKUP($B1266,FoodDB!$A$2:$I$1011,8,0)</f>
        <v>0</v>
      </c>
      <c r="J1266">
        <f>$C1266*VLOOKUP($B1266,FoodDB!$A$2:$I$1011,9,0)</f>
        <v>0</v>
      </c>
    </row>
    <row r="1267" spans="1:19" x14ac:dyDescent="0.25">
      <c r="A1267" t="s">
        <v>97</v>
      </c>
      <c r="G1267">
        <f>SUM(G1260:G1266)</f>
        <v>0</v>
      </c>
      <c r="H1267">
        <f>SUM(H1260:H1266)</f>
        <v>0</v>
      </c>
      <c r="I1267">
        <f>SUM(I1260:I1266)</f>
        <v>0</v>
      </c>
      <c r="J1267">
        <f>SUM(G1267:I1267)</f>
        <v>0</v>
      </c>
    </row>
    <row r="1268" spans="1:19" x14ac:dyDescent="0.25">
      <c r="A1268" t="s">
        <v>101</v>
      </c>
      <c r="B1268" t="s">
        <v>102</v>
      </c>
      <c r="E1268" s="98"/>
      <c r="F1268" s="98"/>
      <c r="G1268" s="98" t="e">
        <f>VLOOKUP($A1260,LossChart!$A$3:$AB$105,14,0)</f>
        <v>#N/A</v>
      </c>
      <c r="H1268" s="98" t="e">
        <f>VLOOKUP($A1260,LossChart!$A$3:$AB$105,15,0)</f>
        <v>#N/A</v>
      </c>
      <c r="I1268" s="98" t="e">
        <f>VLOOKUP($A1260,LossChart!$A$3:$AB$105,16,0)</f>
        <v>#N/A</v>
      </c>
      <c r="J1268" s="98" t="e">
        <f>VLOOKUP($A1260,LossChart!$A$3:$AB$105,17,0)</f>
        <v>#N/A</v>
      </c>
      <c r="K1268" s="98"/>
    </row>
    <row r="1269" spans="1:19" x14ac:dyDescent="0.25">
      <c r="A1269" t="s">
        <v>103</v>
      </c>
      <c r="G1269" t="e">
        <f>G1268-G1267</f>
        <v>#N/A</v>
      </c>
      <c r="H1269" t="e">
        <f>H1268-H1267</f>
        <v>#N/A</v>
      </c>
      <c r="I1269" t="e">
        <f>I1268-I1267</f>
        <v>#N/A</v>
      </c>
      <c r="J1269" t="e">
        <f>J1268-J1267</f>
        <v>#N/A</v>
      </c>
    </row>
    <row r="1271" spans="1:19" ht="60" x14ac:dyDescent="0.25">
      <c r="A1271" s="21" t="s">
        <v>63</v>
      </c>
      <c r="B1271" s="21" t="s">
        <v>92</v>
      </c>
      <c r="C1271" s="21" t="s">
        <v>93</v>
      </c>
      <c r="D1271" s="92" t="str">
        <f>FoodDB!$C$1</f>
        <v>Fat
(g)</v>
      </c>
      <c r="E1271" s="92" t="str">
        <f>FoodDB!$D$1</f>
        <v xml:space="preserve"> Carbs
(g)</v>
      </c>
      <c r="F1271" s="92" t="str">
        <f>FoodDB!$E$1</f>
        <v>Protein
(g)</v>
      </c>
      <c r="G1271" s="92" t="str">
        <f>FoodDB!$F$1</f>
        <v>Fat
(Cal)</v>
      </c>
      <c r="H1271" s="92" t="str">
        <f>FoodDB!$G$1</f>
        <v>Carb
(Cal)</v>
      </c>
      <c r="I1271" s="92" t="str">
        <f>FoodDB!$H$1</f>
        <v>Protein
(Cal)</v>
      </c>
      <c r="J1271" s="92" t="str">
        <f>FoodDB!$I$1</f>
        <v>Total
Calories</v>
      </c>
      <c r="K1271" s="92"/>
      <c r="L1271" s="92" t="s">
        <v>109</v>
      </c>
      <c r="M1271" s="92" t="s">
        <v>110</v>
      </c>
      <c r="N1271" s="92" t="s">
        <v>111</v>
      </c>
      <c r="O1271" s="92" t="s">
        <v>112</v>
      </c>
      <c r="P1271" s="92" t="s">
        <v>117</v>
      </c>
      <c r="Q1271" s="92" t="s">
        <v>118</v>
      </c>
      <c r="R1271" s="92" t="s">
        <v>119</v>
      </c>
      <c r="S1271" s="92" t="s">
        <v>120</v>
      </c>
    </row>
    <row r="1272" spans="1:19" x14ac:dyDescent="0.25">
      <c r="A1272" s="93">
        <f>A1260+1</f>
        <v>43100</v>
      </c>
      <c r="B1272" s="94" t="s">
        <v>107</v>
      </c>
      <c r="C1272" s="95">
        <v>0</v>
      </c>
      <c r="D1272">
        <f>$C1272*VLOOKUP($B1272,FoodDB!$A$2:$I$1011,3,0)</f>
        <v>0</v>
      </c>
      <c r="E1272">
        <f>$C1272*VLOOKUP($B1272,FoodDB!$A$2:$I$1011,4,0)</f>
        <v>0</v>
      </c>
      <c r="F1272">
        <f>$C1272*VLOOKUP($B1272,FoodDB!$A$2:$I$1011,5,0)</f>
        <v>0</v>
      </c>
      <c r="G1272">
        <f>$C1272*VLOOKUP($B1272,FoodDB!$A$2:$I$1011,6,0)</f>
        <v>0</v>
      </c>
      <c r="H1272">
        <f>$C1272*VLOOKUP($B1272,FoodDB!$A$2:$I$1011,7,0)</f>
        <v>0</v>
      </c>
      <c r="I1272">
        <f>$C1272*VLOOKUP($B1272,FoodDB!$A$2:$I$1011,8,0)</f>
        <v>0</v>
      </c>
      <c r="J1272">
        <f>$C1272*VLOOKUP($B1272,FoodDB!$A$2:$I$1011,9,0)</f>
        <v>0</v>
      </c>
      <c r="L1272">
        <f>SUM(G1272:G1278)</f>
        <v>0</v>
      </c>
      <c r="M1272">
        <f>SUM(H1272:H1278)</f>
        <v>0</v>
      </c>
      <c r="N1272">
        <f>SUM(I1272:I1278)</f>
        <v>0</v>
      </c>
      <c r="O1272">
        <f>SUM(L1272:N1272)</f>
        <v>0</v>
      </c>
      <c r="P1272" s="98">
        <f>VLOOKUP($A1272,LossChart!$A$3:$AB$999,14,0)-L1272</f>
        <v>901.95206205583031</v>
      </c>
      <c r="Q1272" s="98">
        <f>VLOOKUP($A1272,LossChart!$A$3:$AB$999,15,0)-M1272</f>
        <v>116</v>
      </c>
      <c r="R1272" s="98">
        <f>VLOOKUP($A1272,LossChart!$A$3:$AB$999,16,0)-N1272</f>
        <v>482.47465271142238</v>
      </c>
      <c r="S1272" s="98">
        <f>VLOOKUP($A1272,LossChart!$A$3:$AB$999,17,0)-O1272</f>
        <v>1500.4267147672526</v>
      </c>
    </row>
    <row r="1273" spans="1:19" x14ac:dyDescent="0.25">
      <c r="B1273" s="94" t="s">
        <v>107</v>
      </c>
      <c r="C1273" s="95">
        <v>0</v>
      </c>
      <c r="D1273">
        <f>$C1273*VLOOKUP($B1273,FoodDB!$A$2:$I$1011,3,0)</f>
        <v>0</v>
      </c>
      <c r="E1273">
        <f>$C1273*VLOOKUP($B1273,FoodDB!$A$2:$I$1011,4,0)</f>
        <v>0</v>
      </c>
      <c r="F1273">
        <f>$C1273*VLOOKUP($B1273,FoodDB!$A$2:$I$1011,5,0)</f>
        <v>0</v>
      </c>
      <c r="G1273">
        <f>$C1273*VLOOKUP($B1273,FoodDB!$A$2:$I$1011,6,0)</f>
        <v>0</v>
      </c>
      <c r="H1273">
        <f>$C1273*VLOOKUP($B1273,FoodDB!$A$2:$I$1011,7,0)</f>
        <v>0</v>
      </c>
      <c r="I1273">
        <f>$C1273*VLOOKUP($B1273,FoodDB!$A$2:$I$1011,8,0)</f>
        <v>0</v>
      </c>
      <c r="J1273">
        <f>$C1273*VLOOKUP($B1273,FoodDB!$A$2:$I$1011,9,0)</f>
        <v>0</v>
      </c>
    </row>
    <row r="1274" spans="1:19" x14ac:dyDescent="0.25">
      <c r="B1274" s="94" t="s">
        <v>107</v>
      </c>
      <c r="C1274" s="95">
        <v>0</v>
      </c>
      <c r="D1274">
        <f>$C1274*VLOOKUP($B1274,FoodDB!$A$2:$I$1011,3,0)</f>
        <v>0</v>
      </c>
      <c r="E1274">
        <f>$C1274*VLOOKUP($B1274,FoodDB!$A$2:$I$1011,4,0)</f>
        <v>0</v>
      </c>
      <c r="F1274">
        <f>$C1274*VLOOKUP($B1274,FoodDB!$A$2:$I$1011,5,0)</f>
        <v>0</v>
      </c>
      <c r="G1274">
        <f>$C1274*VLOOKUP($B1274,FoodDB!$A$2:$I$1011,6,0)</f>
        <v>0</v>
      </c>
      <c r="H1274">
        <f>$C1274*VLOOKUP($B1274,FoodDB!$A$2:$I$1011,7,0)</f>
        <v>0</v>
      </c>
      <c r="I1274">
        <f>$C1274*VLOOKUP($B1274,FoodDB!$A$2:$I$1011,8,0)</f>
        <v>0</v>
      </c>
      <c r="J1274">
        <f>$C1274*VLOOKUP($B1274,FoodDB!$A$2:$I$1011,9,0)</f>
        <v>0</v>
      </c>
    </row>
    <row r="1275" spans="1:19" x14ac:dyDescent="0.25">
      <c r="B1275" s="94" t="s">
        <v>107</v>
      </c>
      <c r="C1275" s="95">
        <v>0</v>
      </c>
      <c r="D1275">
        <f>$C1275*VLOOKUP($B1275,FoodDB!$A$2:$I$1011,3,0)</f>
        <v>0</v>
      </c>
      <c r="E1275">
        <f>$C1275*VLOOKUP($B1275,FoodDB!$A$2:$I$1011,4,0)</f>
        <v>0</v>
      </c>
      <c r="F1275">
        <f>$C1275*VLOOKUP($B1275,FoodDB!$A$2:$I$1011,5,0)</f>
        <v>0</v>
      </c>
      <c r="G1275">
        <f>$C1275*VLOOKUP($B1275,FoodDB!$A$2:$I$1011,6,0)</f>
        <v>0</v>
      </c>
      <c r="H1275">
        <f>$C1275*VLOOKUP($B1275,FoodDB!$A$2:$I$1011,7,0)</f>
        <v>0</v>
      </c>
      <c r="I1275">
        <f>$C1275*VLOOKUP($B1275,FoodDB!$A$2:$I$1011,8,0)</f>
        <v>0</v>
      </c>
      <c r="J1275">
        <f>$C1275*VLOOKUP($B1275,FoodDB!$A$2:$I$1011,9,0)</f>
        <v>0</v>
      </c>
    </row>
    <row r="1276" spans="1:19" x14ac:dyDescent="0.25">
      <c r="B1276" s="94" t="s">
        <v>107</v>
      </c>
      <c r="C1276" s="95">
        <v>0</v>
      </c>
      <c r="D1276">
        <f>$C1276*VLOOKUP($B1276,FoodDB!$A$2:$I$1011,3,0)</f>
        <v>0</v>
      </c>
      <c r="E1276">
        <f>$C1276*VLOOKUP($B1276,FoodDB!$A$2:$I$1011,4,0)</f>
        <v>0</v>
      </c>
      <c r="F1276">
        <f>$C1276*VLOOKUP($B1276,FoodDB!$A$2:$I$1011,5,0)</f>
        <v>0</v>
      </c>
      <c r="G1276">
        <f>$C1276*VLOOKUP($B1276,FoodDB!$A$2:$I$1011,6,0)</f>
        <v>0</v>
      </c>
      <c r="H1276">
        <f>$C1276*VLOOKUP($B1276,FoodDB!$A$2:$I$1011,7,0)</f>
        <v>0</v>
      </c>
      <c r="I1276">
        <f>$C1276*VLOOKUP($B1276,FoodDB!$A$2:$I$1011,8,0)</f>
        <v>0</v>
      </c>
      <c r="J1276">
        <f>$C1276*VLOOKUP($B1276,FoodDB!$A$2:$I$1011,9,0)</f>
        <v>0</v>
      </c>
    </row>
    <row r="1277" spans="1:19" x14ac:dyDescent="0.25">
      <c r="B1277" s="94" t="s">
        <v>107</v>
      </c>
      <c r="C1277" s="95">
        <v>0</v>
      </c>
      <c r="D1277">
        <f>$C1277*VLOOKUP($B1277,FoodDB!$A$2:$I$1011,3,0)</f>
        <v>0</v>
      </c>
      <c r="E1277">
        <f>$C1277*VLOOKUP($B1277,FoodDB!$A$2:$I$1011,4,0)</f>
        <v>0</v>
      </c>
      <c r="F1277">
        <f>$C1277*VLOOKUP($B1277,FoodDB!$A$2:$I$1011,5,0)</f>
        <v>0</v>
      </c>
      <c r="G1277">
        <f>$C1277*VLOOKUP($B1277,FoodDB!$A$2:$I$1011,6,0)</f>
        <v>0</v>
      </c>
      <c r="H1277">
        <f>$C1277*VLOOKUP($B1277,FoodDB!$A$2:$I$1011,7,0)</f>
        <v>0</v>
      </c>
      <c r="I1277">
        <f>$C1277*VLOOKUP($B1277,FoodDB!$A$2:$I$1011,8,0)</f>
        <v>0</v>
      </c>
      <c r="J1277">
        <f>$C1277*VLOOKUP($B1277,FoodDB!$A$2:$I$1011,9,0)</f>
        <v>0</v>
      </c>
    </row>
    <row r="1278" spans="1:19" x14ac:dyDescent="0.25">
      <c r="B1278" s="94" t="s">
        <v>107</v>
      </c>
      <c r="C1278" s="95">
        <v>0</v>
      </c>
      <c r="D1278">
        <f>$C1278*VLOOKUP($B1278,FoodDB!$A$2:$I$1011,3,0)</f>
        <v>0</v>
      </c>
      <c r="E1278">
        <f>$C1278*VLOOKUP($B1278,FoodDB!$A$2:$I$1011,4,0)</f>
        <v>0</v>
      </c>
      <c r="F1278">
        <f>$C1278*VLOOKUP($B1278,FoodDB!$A$2:$I$1011,5,0)</f>
        <v>0</v>
      </c>
      <c r="G1278">
        <f>$C1278*VLOOKUP($B1278,FoodDB!$A$2:$I$1011,6,0)</f>
        <v>0</v>
      </c>
      <c r="H1278">
        <f>$C1278*VLOOKUP($B1278,FoodDB!$A$2:$I$1011,7,0)</f>
        <v>0</v>
      </c>
      <c r="I1278">
        <f>$C1278*VLOOKUP($B1278,FoodDB!$A$2:$I$1011,8,0)</f>
        <v>0</v>
      </c>
      <c r="J1278">
        <f>$C1278*VLOOKUP($B1278,FoodDB!$A$2:$I$1011,9,0)</f>
        <v>0</v>
      </c>
    </row>
    <row r="1279" spans="1:19" x14ac:dyDescent="0.25">
      <c r="A1279" t="s">
        <v>97</v>
      </c>
      <c r="G1279">
        <f>SUM(G1272:G1278)</f>
        <v>0</v>
      </c>
      <c r="H1279">
        <f>SUM(H1272:H1278)</f>
        <v>0</v>
      </c>
      <c r="I1279">
        <f>SUM(I1272:I1278)</f>
        <v>0</v>
      </c>
      <c r="J1279">
        <f>SUM(G1279:I1279)</f>
        <v>0</v>
      </c>
    </row>
    <row r="1280" spans="1:19" x14ac:dyDescent="0.25">
      <c r="A1280" t="s">
        <v>101</v>
      </c>
      <c r="B1280" t="s">
        <v>102</v>
      </c>
      <c r="E1280" s="98"/>
      <c r="F1280" s="98"/>
      <c r="G1280" s="98" t="e">
        <f>VLOOKUP($A1272,LossChart!$A$3:$AB$105,14,0)</f>
        <v>#N/A</v>
      </c>
      <c r="H1280" s="98" t="e">
        <f>VLOOKUP($A1272,LossChart!$A$3:$AB$105,15,0)</f>
        <v>#N/A</v>
      </c>
      <c r="I1280" s="98" t="e">
        <f>VLOOKUP($A1272,LossChart!$A$3:$AB$105,16,0)</f>
        <v>#N/A</v>
      </c>
      <c r="J1280" s="98" t="e">
        <f>VLOOKUP($A1272,LossChart!$A$3:$AB$105,17,0)</f>
        <v>#N/A</v>
      </c>
      <c r="K1280" s="98"/>
    </row>
    <row r="1281" spans="1:19" x14ac:dyDescent="0.25">
      <c r="A1281" t="s">
        <v>103</v>
      </c>
      <c r="G1281" t="e">
        <f>G1280-G1279</f>
        <v>#N/A</v>
      </c>
      <c r="H1281" t="e">
        <f>H1280-H1279</f>
        <v>#N/A</v>
      </c>
      <c r="I1281" t="e">
        <f>I1280-I1279</f>
        <v>#N/A</v>
      </c>
      <c r="J1281" t="e">
        <f>J1280-J1279</f>
        <v>#N/A</v>
      </c>
    </row>
    <row r="1283" spans="1:19" ht="60" x14ac:dyDescent="0.25">
      <c r="A1283" s="21" t="s">
        <v>63</v>
      </c>
      <c r="B1283" s="21" t="s">
        <v>92</v>
      </c>
      <c r="C1283" s="21" t="s">
        <v>93</v>
      </c>
      <c r="D1283" s="92" t="str">
        <f>FoodDB!$C$1</f>
        <v>Fat
(g)</v>
      </c>
      <c r="E1283" s="92" t="str">
        <f>FoodDB!$D$1</f>
        <v xml:space="preserve"> Carbs
(g)</v>
      </c>
      <c r="F1283" s="92" t="str">
        <f>FoodDB!$E$1</f>
        <v>Protein
(g)</v>
      </c>
      <c r="G1283" s="92" t="str">
        <f>FoodDB!$F$1</f>
        <v>Fat
(Cal)</v>
      </c>
      <c r="H1283" s="92" t="str">
        <f>FoodDB!$G$1</f>
        <v>Carb
(Cal)</v>
      </c>
      <c r="I1283" s="92" t="str">
        <f>FoodDB!$H$1</f>
        <v>Protein
(Cal)</v>
      </c>
      <c r="J1283" s="92" t="str">
        <f>FoodDB!$I$1</f>
        <v>Total
Calories</v>
      </c>
      <c r="K1283" s="92"/>
      <c r="L1283" s="92" t="s">
        <v>109</v>
      </c>
      <c r="M1283" s="92" t="s">
        <v>110</v>
      </c>
      <c r="N1283" s="92" t="s">
        <v>111</v>
      </c>
      <c r="O1283" s="92" t="s">
        <v>112</v>
      </c>
      <c r="P1283" s="92" t="s">
        <v>117</v>
      </c>
      <c r="Q1283" s="92" t="s">
        <v>118</v>
      </c>
      <c r="R1283" s="92" t="s">
        <v>119</v>
      </c>
      <c r="S1283" s="92" t="s">
        <v>120</v>
      </c>
    </row>
    <row r="1284" spans="1:19" x14ac:dyDescent="0.25">
      <c r="A1284" s="93">
        <f>A1272+1</f>
        <v>43101</v>
      </c>
      <c r="B1284" s="94" t="s">
        <v>107</v>
      </c>
      <c r="C1284" s="95">
        <v>0</v>
      </c>
      <c r="D1284">
        <f>$C1284*VLOOKUP($B1284,FoodDB!$A$2:$I$1011,3,0)</f>
        <v>0</v>
      </c>
      <c r="E1284">
        <f>$C1284*VLOOKUP($B1284,FoodDB!$A$2:$I$1011,4,0)</f>
        <v>0</v>
      </c>
      <c r="F1284">
        <f>$C1284*VLOOKUP($B1284,FoodDB!$A$2:$I$1011,5,0)</f>
        <v>0</v>
      </c>
      <c r="G1284">
        <f>$C1284*VLOOKUP($B1284,FoodDB!$A$2:$I$1011,6,0)</f>
        <v>0</v>
      </c>
      <c r="H1284">
        <f>$C1284*VLOOKUP($B1284,FoodDB!$A$2:$I$1011,7,0)</f>
        <v>0</v>
      </c>
      <c r="I1284">
        <f>$C1284*VLOOKUP($B1284,FoodDB!$A$2:$I$1011,8,0)</f>
        <v>0</v>
      </c>
      <c r="J1284">
        <f>$C1284*VLOOKUP($B1284,FoodDB!$A$2:$I$1011,9,0)</f>
        <v>0</v>
      </c>
      <c r="L1284">
        <f>SUM(G1284:G1290)</f>
        <v>0</v>
      </c>
      <c r="M1284">
        <f>SUM(H1284:H1290)</f>
        <v>0</v>
      </c>
      <c r="N1284">
        <f>SUM(I1284:I1290)</f>
        <v>0</v>
      </c>
      <c r="O1284">
        <f>SUM(L1284:N1284)</f>
        <v>0</v>
      </c>
      <c r="P1284" s="98" t="e">
        <f>VLOOKUP($A1284,LossChart!$A$3:$AB$999,14,0)-L1284</f>
        <v>#N/A</v>
      </c>
      <c r="Q1284" s="98" t="e">
        <f>VLOOKUP($A1284,LossChart!$A$3:$AB$999,15,0)-M1284</f>
        <v>#N/A</v>
      </c>
      <c r="R1284" s="98" t="e">
        <f>VLOOKUP($A1284,LossChart!$A$3:$AB$999,16,0)-N1284</f>
        <v>#N/A</v>
      </c>
      <c r="S1284" s="98" t="e">
        <f>VLOOKUP($A1284,LossChart!$A$3:$AB$999,17,0)-O1284</f>
        <v>#N/A</v>
      </c>
    </row>
    <row r="1285" spans="1:19" x14ac:dyDescent="0.25">
      <c r="B1285" s="94" t="s">
        <v>107</v>
      </c>
      <c r="C1285" s="95">
        <v>0</v>
      </c>
      <c r="D1285">
        <f>$C1285*VLOOKUP($B1285,FoodDB!$A$2:$I$1011,3,0)</f>
        <v>0</v>
      </c>
      <c r="E1285">
        <f>$C1285*VLOOKUP($B1285,FoodDB!$A$2:$I$1011,4,0)</f>
        <v>0</v>
      </c>
      <c r="F1285">
        <f>$C1285*VLOOKUP($B1285,FoodDB!$A$2:$I$1011,5,0)</f>
        <v>0</v>
      </c>
      <c r="G1285">
        <f>$C1285*VLOOKUP($B1285,FoodDB!$A$2:$I$1011,6,0)</f>
        <v>0</v>
      </c>
      <c r="H1285">
        <f>$C1285*VLOOKUP($B1285,FoodDB!$A$2:$I$1011,7,0)</f>
        <v>0</v>
      </c>
      <c r="I1285">
        <f>$C1285*VLOOKUP($B1285,FoodDB!$A$2:$I$1011,8,0)</f>
        <v>0</v>
      </c>
      <c r="J1285">
        <f>$C1285*VLOOKUP($B1285,FoodDB!$A$2:$I$1011,9,0)</f>
        <v>0</v>
      </c>
    </row>
    <row r="1286" spans="1:19" x14ac:dyDescent="0.25">
      <c r="B1286" s="94" t="s">
        <v>107</v>
      </c>
      <c r="C1286" s="95">
        <v>0</v>
      </c>
      <c r="D1286">
        <f>$C1286*VLOOKUP($B1286,FoodDB!$A$2:$I$1011,3,0)</f>
        <v>0</v>
      </c>
      <c r="E1286">
        <f>$C1286*VLOOKUP($B1286,FoodDB!$A$2:$I$1011,4,0)</f>
        <v>0</v>
      </c>
      <c r="F1286">
        <f>$C1286*VLOOKUP($B1286,FoodDB!$A$2:$I$1011,5,0)</f>
        <v>0</v>
      </c>
      <c r="G1286">
        <f>$C1286*VLOOKUP($B1286,FoodDB!$A$2:$I$1011,6,0)</f>
        <v>0</v>
      </c>
      <c r="H1286">
        <f>$C1286*VLOOKUP($B1286,FoodDB!$A$2:$I$1011,7,0)</f>
        <v>0</v>
      </c>
      <c r="I1286">
        <f>$C1286*VLOOKUP($B1286,FoodDB!$A$2:$I$1011,8,0)</f>
        <v>0</v>
      </c>
      <c r="J1286">
        <f>$C1286*VLOOKUP($B1286,FoodDB!$A$2:$I$1011,9,0)</f>
        <v>0</v>
      </c>
    </row>
    <row r="1287" spans="1:19" x14ac:dyDescent="0.25">
      <c r="B1287" s="94" t="s">
        <v>107</v>
      </c>
      <c r="C1287" s="95">
        <v>0</v>
      </c>
      <c r="D1287">
        <f>$C1287*VLOOKUP($B1287,FoodDB!$A$2:$I$1011,3,0)</f>
        <v>0</v>
      </c>
      <c r="E1287">
        <f>$C1287*VLOOKUP($B1287,FoodDB!$A$2:$I$1011,4,0)</f>
        <v>0</v>
      </c>
      <c r="F1287">
        <f>$C1287*VLOOKUP($B1287,FoodDB!$A$2:$I$1011,5,0)</f>
        <v>0</v>
      </c>
      <c r="G1287">
        <f>$C1287*VLOOKUP($B1287,FoodDB!$A$2:$I$1011,6,0)</f>
        <v>0</v>
      </c>
      <c r="H1287">
        <f>$C1287*VLOOKUP($B1287,FoodDB!$A$2:$I$1011,7,0)</f>
        <v>0</v>
      </c>
      <c r="I1287">
        <f>$C1287*VLOOKUP($B1287,FoodDB!$A$2:$I$1011,8,0)</f>
        <v>0</v>
      </c>
      <c r="J1287">
        <f>$C1287*VLOOKUP($B1287,FoodDB!$A$2:$I$1011,9,0)</f>
        <v>0</v>
      </c>
    </row>
    <row r="1288" spans="1:19" x14ac:dyDescent="0.25">
      <c r="B1288" s="94" t="s">
        <v>107</v>
      </c>
      <c r="C1288" s="95">
        <v>0</v>
      </c>
      <c r="D1288">
        <f>$C1288*VLOOKUP($B1288,FoodDB!$A$2:$I$1011,3,0)</f>
        <v>0</v>
      </c>
      <c r="E1288">
        <f>$C1288*VLOOKUP($B1288,FoodDB!$A$2:$I$1011,4,0)</f>
        <v>0</v>
      </c>
      <c r="F1288">
        <f>$C1288*VLOOKUP($B1288,FoodDB!$A$2:$I$1011,5,0)</f>
        <v>0</v>
      </c>
      <c r="G1288">
        <f>$C1288*VLOOKUP($B1288,FoodDB!$A$2:$I$1011,6,0)</f>
        <v>0</v>
      </c>
      <c r="H1288">
        <f>$C1288*VLOOKUP($B1288,FoodDB!$A$2:$I$1011,7,0)</f>
        <v>0</v>
      </c>
      <c r="I1288">
        <f>$C1288*VLOOKUP($B1288,FoodDB!$A$2:$I$1011,8,0)</f>
        <v>0</v>
      </c>
      <c r="J1288">
        <f>$C1288*VLOOKUP($B1288,FoodDB!$A$2:$I$1011,9,0)</f>
        <v>0</v>
      </c>
    </row>
    <row r="1289" spans="1:19" x14ac:dyDescent="0.25">
      <c r="B1289" s="94" t="s">
        <v>107</v>
      </c>
      <c r="C1289" s="95">
        <v>0</v>
      </c>
      <c r="D1289">
        <f>$C1289*VLOOKUP($B1289,FoodDB!$A$2:$I$1011,3,0)</f>
        <v>0</v>
      </c>
      <c r="E1289">
        <f>$C1289*VLOOKUP($B1289,FoodDB!$A$2:$I$1011,4,0)</f>
        <v>0</v>
      </c>
      <c r="F1289">
        <f>$C1289*VLOOKUP($B1289,FoodDB!$A$2:$I$1011,5,0)</f>
        <v>0</v>
      </c>
      <c r="G1289">
        <f>$C1289*VLOOKUP($B1289,FoodDB!$A$2:$I$1011,6,0)</f>
        <v>0</v>
      </c>
      <c r="H1289">
        <f>$C1289*VLOOKUP($B1289,FoodDB!$A$2:$I$1011,7,0)</f>
        <v>0</v>
      </c>
      <c r="I1289">
        <f>$C1289*VLOOKUP($B1289,FoodDB!$A$2:$I$1011,8,0)</f>
        <v>0</v>
      </c>
      <c r="J1289">
        <f>$C1289*VLOOKUP($B1289,FoodDB!$A$2:$I$1011,9,0)</f>
        <v>0</v>
      </c>
    </row>
    <row r="1290" spans="1:19" x14ac:dyDescent="0.25">
      <c r="B1290" s="94" t="s">
        <v>107</v>
      </c>
      <c r="C1290" s="95">
        <v>0</v>
      </c>
      <c r="D1290">
        <f>$C1290*VLOOKUP($B1290,FoodDB!$A$2:$I$1011,3,0)</f>
        <v>0</v>
      </c>
      <c r="E1290">
        <f>$C1290*VLOOKUP($B1290,FoodDB!$A$2:$I$1011,4,0)</f>
        <v>0</v>
      </c>
      <c r="F1290">
        <f>$C1290*VLOOKUP($B1290,FoodDB!$A$2:$I$1011,5,0)</f>
        <v>0</v>
      </c>
      <c r="G1290">
        <f>$C1290*VLOOKUP($B1290,FoodDB!$A$2:$I$1011,6,0)</f>
        <v>0</v>
      </c>
      <c r="H1290">
        <f>$C1290*VLOOKUP($B1290,FoodDB!$A$2:$I$1011,7,0)</f>
        <v>0</v>
      </c>
      <c r="I1290">
        <f>$C1290*VLOOKUP($B1290,FoodDB!$A$2:$I$1011,8,0)</f>
        <v>0</v>
      </c>
      <c r="J1290">
        <f>$C1290*VLOOKUP($B1290,FoodDB!$A$2:$I$1011,9,0)</f>
        <v>0</v>
      </c>
    </row>
    <row r="1291" spans="1:19" x14ac:dyDescent="0.25">
      <c r="A1291" t="s">
        <v>97</v>
      </c>
      <c r="G1291">
        <f>SUM(G1284:G1290)</f>
        <v>0</v>
      </c>
      <c r="H1291">
        <f>SUM(H1284:H1290)</f>
        <v>0</v>
      </c>
      <c r="I1291">
        <f>SUM(I1284:I1290)</f>
        <v>0</v>
      </c>
      <c r="J1291">
        <f>SUM(G1291:I1291)</f>
        <v>0</v>
      </c>
    </row>
    <row r="1292" spans="1:19" x14ac:dyDescent="0.25">
      <c r="A1292" t="s">
        <v>101</v>
      </c>
      <c r="B1292" t="s">
        <v>102</v>
      </c>
      <c r="E1292" s="98"/>
      <c r="F1292" s="98"/>
      <c r="G1292" s="98" t="e">
        <f>VLOOKUP($A1284,LossChart!$A$3:$AB$105,14,0)</f>
        <v>#N/A</v>
      </c>
      <c r="H1292" s="98" t="e">
        <f>VLOOKUP($A1284,LossChart!$A$3:$AB$105,15,0)</f>
        <v>#N/A</v>
      </c>
      <c r="I1292" s="98" t="e">
        <f>VLOOKUP($A1284,LossChart!$A$3:$AB$105,16,0)</f>
        <v>#N/A</v>
      </c>
      <c r="J1292" s="98" t="e">
        <f>VLOOKUP($A1284,LossChart!$A$3:$AB$105,17,0)</f>
        <v>#N/A</v>
      </c>
      <c r="K1292" s="98"/>
    </row>
    <row r="1293" spans="1:19" x14ac:dyDescent="0.25">
      <c r="A1293" t="s">
        <v>103</v>
      </c>
      <c r="G1293" t="e">
        <f>G1292-G1291</f>
        <v>#N/A</v>
      </c>
      <c r="H1293" t="e">
        <f>H1292-H1291</f>
        <v>#N/A</v>
      </c>
      <c r="I1293" t="e">
        <f>I1292-I1291</f>
        <v>#N/A</v>
      </c>
      <c r="J1293" t="e">
        <f>J1292-J1291</f>
        <v>#N/A</v>
      </c>
    </row>
  </sheetData>
  <pageMargins left="0.7" right="0.7" top="0.75" bottom="0.75" header="0.51180555555555496" footer="0.51180555555555496"/>
  <pageSetup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ErrorMessage="1">
          <x14:formula1>
            <xm:f>FoodDB!$A$2:$A$41</xm:f>
          </x14:formula1>
          <x14:formula2>
            <xm:f>0</xm:f>
          </x14:formula2>
          <xm:sqref>B2:B5 B9:B10 B14:B16 B20:B23 B29:B33 B39:B43 B49:B55 B61:B67 B73:B79 B85:B91 B97:B103 B109:B115 B121:B127 B130:B136 B142:B148 B154:B161 B167:B174 B180:B186 B192:B198 B1284:B1290 B216:B222 B228:B234 B240:B246 B252:B258 B264:B270 B276:B282 B288:B294 B300:B306 B312:B318 B324:B330 B336:B342 B348:B354 B360:B366 B372:B378 B384:B390 B396:B402 B408:B414 B420:B426 B432:B438 B444:B450 B456:B462 B468:B474 B480:B486 B492:B498 B504:B510 B516:B522 B528:B534 B540:B546 B552:B558 B564:B570 B576:B582 B588:B594 B600:B606 B612:B618 B624:B630 B636:B642 B648:B654 B660:B666 B672:B678 B684:B690 B696:B702 B708:B714 B720:B726 B732:B738 B744:B750 B756:B762 B768:B774 B780:B786 B792:B798 B804:B810 B816:B822 B828:B834 B840:B846 B852:B858 B864:B870 B876:B882 B888:B894 B900:B906 B912:B918 B924:B930 B936:B942 B948:B954 B960:B966 B972:B978 B984:B990 B996:B1002 B1008:B1014 B1020:B1026 B1032:B1038 B1044:B1050 B1056:B1062 B1068:B1074 B1080:B1086 B1092:B1098 B1104:B1110 B1116:B1122 B1128:B1134 B1140:B1146 B1152:B1158 B1164:B1170 B1176:B1182 B1188:B1194 B1200:B1206 B1212:B1218 B1224:B1230 B1236:B1242 B1248:B1254 B1260:B1266 B1272:B1278 B204:B210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30"/>
  <sheetViews>
    <sheetView tabSelected="1" zoomScale="160" zoomScaleNormal="160" workbookViewId="0">
      <pane ySplit="1" topLeftCell="A2" activePane="bottomLeft" state="frozen"/>
      <selection pane="bottomLeft"/>
    </sheetView>
  </sheetViews>
  <sheetFormatPr defaultRowHeight="15" x14ac:dyDescent="0.25"/>
  <cols>
    <col min="1" max="1" width="20.85546875" style="33" customWidth="1"/>
    <col min="2" max="2" width="11" style="99" customWidth="1"/>
    <col min="3" max="3" width="5.140625" style="33" customWidth="1"/>
    <col min="4" max="4" width="5.85546875" style="33" customWidth="1"/>
    <col min="5" max="5" width="12.140625" style="33" bestFit="1" customWidth="1"/>
    <col min="6" max="6" width="6.28515625" style="33" customWidth="1"/>
    <col min="7" max="7" width="5.140625" style="33" customWidth="1"/>
    <col min="8" max="8" width="7.42578125" style="33" customWidth="1"/>
    <col min="9" max="9" width="8.85546875" style="33" customWidth="1"/>
    <col min="10" max="1025" width="11.5703125" style="33"/>
  </cols>
  <sheetData>
    <row r="1" spans="1:9" ht="45" x14ac:dyDescent="0.25">
      <c r="A1" s="100" t="s">
        <v>92</v>
      </c>
      <c r="B1" s="101" t="s">
        <v>128</v>
      </c>
      <c r="C1" s="102" t="s">
        <v>70</v>
      </c>
      <c r="D1" s="102" t="s">
        <v>129</v>
      </c>
      <c r="E1" s="102" t="s">
        <v>72</v>
      </c>
      <c r="F1" s="102" t="s">
        <v>130</v>
      </c>
      <c r="G1" s="102" t="s">
        <v>131</v>
      </c>
      <c r="H1" s="102" t="s">
        <v>132</v>
      </c>
      <c r="I1" s="103" t="s">
        <v>133</v>
      </c>
    </row>
    <row r="2" spans="1:9" x14ac:dyDescent="0.25">
      <c r="A2" s="33" t="s">
        <v>107</v>
      </c>
      <c r="B2" s="99">
        <v>1</v>
      </c>
      <c r="C2" s="104">
        <v>0</v>
      </c>
      <c r="D2" s="104">
        <v>0</v>
      </c>
      <c r="E2" s="104">
        <v>0</v>
      </c>
      <c r="F2" s="104">
        <f t="shared" ref="F2:F30" si="0">9*C2</f>
        <v>0</v>
      </c>
      <c r="G2" s="104">
        <f t="shared" ref="G2:G30" si="1">4*D2</f>
        <v>0</v>
      </c>
      <c r="H2" s="104">
        <f t="shared" ref="H2:H30" si="2">4*E2</f>
        <v>0</v>
      </c>
      <c r="I2" s="104">
        <f t="shared" ref="I2:I30" si="3">SUM(F2:H2)</f>
        <v>0</v>
      </c>
    </row>
    <row r="3" spans="1:9" x14ac:dyDescent="0.25">
      <c r="A3" s="33" t="s">
        <v>126</v>
      </c>
      <c r="B3" s="99" t="s">
        <v>134</v>
      </c>
      <c r="C3" s="104">
        <v>15</v>
      </c>
      <c r="D3" s="104">
        <v>2</v>
      </c>
      <c r="E3" s="104">
        <v>7</v>
      </c>
      <c r="F3" s="104">
        <f t="shared" si="0"/>
        <v>135</v>
      </c>
      <c r="G3" s="104">
        <f t="shared" si="1"/>
        <v>8</v>
      </c>
      <c r="H3" s="104">
        <f t="shared" si="2"/>
        <v>28</v>
      </c>
      <c r="I3" s="104">
        <f t="shared" si="3"/>
        <v>171</v>
      </c>
    </row>
    <row r="4" spans="1:9" x14ac:dyDescent="0.25">
      <c r="A4" s="33" t="s">
        <v>105</v>
      </c>
      <c r="B4" s="99" t="s">
        <v>135</v>
      </c>
      <c r="C4" s="33">
        <v>0.1</v>
      </c>
      <c r="D4" s="33">
        <v>1.8</v>
      </c>
      <c r="E4" s="33">
        <v>2.2000000000000002</v>
      </c>
      <c r="F4" s="104">
        <f t="shared" si="0"/>
        <v>0.9</v>
      </c>
      <c r="G4" s="104">
        <f t="shared" si="1"/>
        <v>7.2</v>
      </c>
      <c r="H4" s="104">
        <f t="shared" si="2"/>
        <v>8.8000000000000007</v>
      </c>
      <c r="I4" s="104">
        <f t="shared" si="3"/>
        <v>16.899999999999999</v>
      </c>
    </row>
    <row r="5" spans="1:9" x14ac:dyDescent="0.25">
      <c r="A5" s="33" t="s">
        <v>95</v>
      </c>
      <c r="B5" s="99" t="s">
        <v>136</v>
      </c>
      <c r="C5" s="104">
        <f>4.5*0/14</f>
        <v>0</v>
      </c>
      <c r="D5" s="104">
        <f>4.5*2/14</f>
        <v>0.6428571428571429</v>
      </c>
      <c r="E5" s="104">
        <f>4.5*1/14</f>
        <v>0.32142857142857145</v>
      </c>
      <c r="F5" s="104">
        <f t="shared" si="0"/>
        <v>0</v>
      </c>
      <c r="G5" s="104">
        <f t="shared" si="1"/>
        <v>2.5714285714285716</v>
      </c>
      <c r="H5" s="104">
        <f t="shared" si="2"/>
        <v>1.2857142857142858</v>
      </c>
      <c r="I5" s="104">
        <f t="shared" si="3"/>
        <v>3.8571428571428577</v>
      </c>
    </row>
    <row r="6" spans="1:9" x14ac:dyDescent="0.25">
      <c r="A6" s="33" t="s">
        <v>108</v>
      </c>
      <c r="B6" s="99" t="s">
        <v>137</v>
      </c>
      <c r="C6" s="104">
        <v>12</v>
      </c>
      <c r="D6" s="104">
        <v>0</v>
      </c>
      <c r="E6" s="104">
        <v>0</v>
      </c>
      <c r="F6" s="104">
        <f t="shared" si="0"/>
        <v>108</v>
      </c>
      <c r="G6" s="104">
        <f t="shared" si="1"/>
        <v>0</v>
      </c>
      <c r="H6" s="104">
        <f t="shared" si="2"/>
        <v>0</v>
      </c>
      <c r="I6" s="104">
        <f t="shared" si="3"/>
        <v>108</v>
      </c>
    </row>
    <row r="7" spans="1:9" x14ac:dyDescent="0.25">
      <c r="A7" s="33" t="s">
        <v>138</v>
      </c>
      <c r="B7" s="99" t="s">
        <v>139</v>
      </c>
      <c r="C7" s="104">
        <v>1.6</v>
      </c>
      <c r="D7" s="104">
        <f>29-12</f>
        <v>17</v>
      </c>
      <c r="E7" s="104">
        <v>11</v>
      </c>
      <c r="F7" s="104">
        <f t="shared" si="0"/>
        <v>14.4</v>
      </c>
      <c r="G7" s="104">
        <f t="shared" si="1"/>
        <v>68</v>
      </c>
      <c r="H7" s="104">
        <f t="shared" si="2"/>
        <v>44</v>
      </c>
      <c r="I7" s="104">
        <f t="shared" si="3"/>
        <v>126.4</v>
      </c>
    </row>
    <row r="8" spans="1:9" x14ac:dyDescent="0.25">
      <c r="A8" s="105" t="s">
        <v>96</v>
      </c>
      <c r="B8" s="106" t="s">
        <v>137</v>
      </c>
      <c r="C8" s="104">
        <v>9</v>
      </c>
      <c r="D8" s="104">
        <v>2</v>
      </c>
      <c r="E8" s="107">
        <v>4.7</v>
      </c>
      <c r="F8" s="104">
        <f t="shared" si="0"/>
        <v>81</v>
      </c>
      <c r="G8" s="104">
        <f t="shared" si="1"/>
        <v>8</v>
      </c>
      <c r="H8" s="104">
        <f t="shared" si="2"/>
        <v>18.8</v>
      </c>
      <c r="I8" s="104">
        <f t="shared" si="3"/>
        <v>107.8</v>
      </c>
    </row>
    <row r="9" spans="1:9" x14ac:dyDescent="0.25">
      <c r="A9" s="33" t="s">
        <v>125</v>
      </c>
      <c r="B9" s="99" t="s">
        <v>135</v>
      </c>
      <c r="C9" s="104">
        <v>3.6</v>
      </c>
      <c r="D9" s="104">
        <v>0</v>
      </c>
      <c r="E9" s="104">
        <v>31</v>
      </c>
      <c r="F9" s="104">
        <f t="shared" si="0"/>
        <v>32.4</v>
      </c>
      <c r="G9" s="104">
        <f t="shared" si="1"/>
        <v>0</v>
      </c>
      <c r="H9" s="104">
        <f t="shared" si="2"/>
        <v>124</v>
      </c>
      <c r="I9" s="104">
        <f t="shared" si="3"/>
        <v>156.4</v>
      </c>
    </row>
    <row r="10" spans="1:9" x14ac:dyDescent="0.25">
      <c r="A10" s="33" t="s">
        <v>140</v>
      </c>
      <c r="B10" s="99" t="s">
        <v>141</v>
      </c>
      <c r="C10" s="104">
        <v>10</v>
      </c>
      <c r="D10" s="104">
        <v>0</v>
      </c>
      <c r="E10" s="104">
        <v>28</v>
      </c>
      <c r="F10" s="104">
        <f t="shared" si="0"/>
        <v>90</v>
      </c>
      <c r="G10" s="104">
        <f t="shared" si="1"/>
        <v>0</v>
      </c>
      <c r="H10" s="104">
        <f t="shared" si="2"/>
        <v>112</v>
      </c>
      <c r="I10" s="104">
        <f t="shared" si="3"/>
        <v>202</v>
      </c>
    </row>
    <row r="11" spans="1:9" x14ac:dyDescent="0.25">
      <c r="A11" s="33" t="s">
        <v>142</v>
      </c>
      <c r="B11" s="99">
        <v>1</v>
      </c>
      <c r="C11" s="104">
        <v>8.3000000000000007</v>
      </c>
      <c r="D11" s="104">
        <v>0</v>
      </c>
      <c r="E11" s="104">
        <v>11.46</v>
      </c>
      <c r="F11" s="104">
        <f t="shared" si="0"/>
        <v>74.7</v>
      </c>
      <c r="G11" s="104">
        <f t="shared" si="1"/>
        <v>0</v>
      </c>
      <c r="H11" s="104">
        <f t="shared" si="2"/>
        <v>45.84</v>
      </c>
      <c r="I11" s="104">
        <f t="shared" si="3"/>
        <v>120.54</v>
      </c>
    </row>
    <row r="12" spans="1:9" x14ac:dyDescent="0.25">
      <c r="A12" s="33" t="s">
        <v>98</v>
      </c>
      <c r="B12" s="99">
        <v>1</v>
      </c>
      <c r="C12" s="104">
        <v>6.18</v>
      </c>
      <c r="D12" s="104">
        <v>0</v>
      </c>
      <c r="E12" s="104">
        <v>8.52</v>
      </c>
      <c r="F12" s="104">
        <f t="shared" si="0"/>
        <v>55.62</v>
      </c>
      <c r="G12" s="104">
        <f t="shared" si="1"/>
        <v>0</v>
      </c>
      <c r="H12" s="104">
        <f t="shared" si="2"/>
        <v>34.08</v>
      </c>
      <c r="I12" s="104">
        <f t="shared" si="3"/>
        <v>89.699999999999989</v>
      </c>
    </row>
    <row r="13" spans="1:9" x14ac:dyDescent="0.25">
      <c r="A13" s="33" t="s">
        <v>143</v>
      </c>
      <c r="B13" s="99">
        <v>1</v>
      </c>
      <c r="C13" s="104">
        <v>5.4</v>
      </c>
      <c r="D13" s="104">
        <v>0</v>
      </c>
      <c r="E13" s="104">
        <v>7.46</v>
      </c>
      <c r="F13" s="104">
        <f t="shared" si="0"/>
        <v>48.6</v>
      </c>
      <c r="G13" s="104">
        <f t="shared" si="1"/>
        <v>0</v>
      </c>
      <c r="H13" s="104">
        <f t="shared" si="2"/>
        <v>29.84</v>
      </c>
      <c r="I13" s="104">
        <f t="shared" si="3"/>
        <v>78.44</v>
      </c>
    </row>
    <row r="14" spans="1:9" x14ac:dyDescent="0.25">
      <c r="A14" s="33" t="s">
        <v>164</v>
      </c>
      <c r="B14" s="99" t="s">
        <v>144</v>
      </c>
      <c r="C14" s="104">
        <v>0</v>
      </c>
      <c r="D14" s="104">
        <v>0</v>
      </c>
      <c r="E14" s="104">
        <v>0</v>
      </c>
      <c r="F14" s="104">
        <f t="shared" ref="F14" si="4">9*C14</f>
        <v>0</v>
      </c>
      <c r="G14" s="104">
        <f t="shared" ref="G14" si="5">4*D14</f>
        <v>0</v>
      </c>
      <c r="H14" s="104">
        <f t="shared" ref="H14" si="6">4*E14</f>
        <v>0</v>
      </c>
      <c r="I14" s="104">
        <f t="shared" ref="I14" si="7">SUM(F14:H14)</f>
        <v>0</v>
      </c>
    </row>
    <row r="15" spans="1:9" x14ac:dyDescent="0.25">
      <c r="A15" s="33" t="s">
        <v>124</v>
      </c>
      <c r="B15" s="99" t="s">
        <v>144</v>
      </c>
      <c r="C15" s="33">
        <v>1.5</v>
      </c>
      <c r="D15" s="33">
        <v>3</v>
      </c>
      <c r="E15" s="33">
        <v>25</v>
      </c>
      <c r="F15" s="104">
        <f t="shared" si="0"/>
        <v>13.5</v>
      </c>
      <c r="G15" s="104">
        <f t="shared" si="1"/>
        <v>12</v>
      </c>
      <c r="H15" s="104">
        <f t="shared" si="2"/>
        <v>100</v>
      </c>
      <c r="I15" s="104">
        <f t="shared" si="3"/>
        <v>125.5</v>
      </c>
    </row>
    <row r="16" spans="1:9" x14ac:dyDescent="0.25">
      <c r="A16" s="33" t="s">
        <v>100</v>
      </c>
      <c r="B16" s="99">
        <v>1</v>
      </c>
      <c r="C16" s="104">
        <v>5</v>
      </c>
      <c r="D16" s="104">
        <v>0</v>
      </c>
      <c r="E16" s="104">
        <v>6</v>
      </c>
      <c r="F16" s="104">
        <f t="shared" si="0"/>
        <v>45</v>
      </c>
      <c r="G16" s="104">
        <f t="shared" si="1"/>
        <v>0</v>
      </c>
      <c r="H16" s="104">
        <f t="shared" si="2"/>
        <v>24</v>
      </c>
      <c r="I16" s="104">
        <f t="shared" si="3"/>
        <v>69</v>
      </c>
    </row>
    <row r="17" spans="1:9" x14ac:dyDescent="0.25">
      <c r="A17" s="33" t="s">
        <v>106</v>
      </c>
      <c r="B17" s="99">
        <v>1</v>
      </c>
      <c r="C17" s="33">
        <v>0.5</v>
      </c>
      <c r="D17" s="33">
        <v>0</v>
      </c>
      <c r="E17" s="33">
        <v>0</v>
      </c>
      <c r="F17" s="104">
        <f t="shared" si="0"/>
        <v>4.5</v>
      </c>
      <c r="G17" s="104">
        <f t="shared" si="1"/>
        <v>0</v>
      </c>
      <c r="H17" s="104">
        <f t="shared" si="2"/>
        <v>0</v>
      </c>
      <c r="I17" s="104">
        <f t="shared" si="3"/>
        <v>4.5</v>
      </c>
    </row>
    <row r="18" spans="1:9" x14ac:dyDescent="0.25">
      <c r="A18" s="33" t="s">
        <v>121</v>
      </c>
      <c r="B18" s="99" t="s">
        <v>135</v>
      </c>
      <c r="C18" s="33">
        <v>18</v>
      </c>
      <c r="D18" s="33">
        <v>0</v>
      </c>
      <c r="E18" s="33">
        <v>26</v>
      </c>
      <c r="F18" s="104">
        <f t="shared" si="0"/>
        <v>162</v>
      </c>
      <c r="G18" s="104">
        <f t="shared" si="1"/>
        <v>0</v>
      </c>
      <c r="H18" s="104">
        <f t="shared" si="2"/>
        <v>104</v>
      </c>
      <c r="I18" s="104">
        <f t="shared" si="3"/>
        <v>266</v>
      </c>
    </row>
    <row r="19" spans="1:9" x14ac:dyDescent="0.25">
      <c r="A19" s="33" t="s">
        <v>94</v>
      </c>
      <c r="B19" s="99" t="s">
        <v>145</v>
      </c>
      <c r="C19" s="104">
        <v>0.5</v>
      </c>
      <c r="D19" s="104">
        <v>0</v>
      </c>
      <c r="E19" s="104">
        <v>50</v>
      </c>
      <c r="F19" s="104">
        <f t="shared" si="0"/>
        <v>4.5</v>
      </c>
      <c r="G19" s="104">
        <f t="shared" si="1"/>
        <v>0</v>
      </c>
      <c r="H19" s="104">
        <f t="shared" si="2"/>
        <v>200</v>
      </c>
      <c r="I19" s="104">
        <f t="shared" si="3"/>
        <v>204.5</v>
      </c>
    </row>
    <row r="20" spans="1:9" x14ac:dyDescent="0.25">
      <c r="A20" s="33" t="s">
        <v>99</v>
      </c>
      <c r="B20" s="99" t="s">
        <v>146</v>
      </c>
      <c r="C20" s="104">
        <v>0</v>
      </c>
      <c r="D20" s="104">
        <v>1</v>
      </c>
      <c r="E20" s="104">
        <v>0.6</v>
      </c>
      <c r="F20" s="104">
        <f t="shared" si="0"/>
        <v>0</v>
      </c>
      <c r="G20" s="104">
        <f t="shared" si="1"/>
        <v>4</v>
      </c>
      <c r="H20" s="104">
        <f t="shared" si="2"/>
        <v>2.4</v>
      </c>
      <c r="I20" s="104">
        <f t="shared" si="3"/>
        <v>6.4</v>
      </c>
    </row>
    <row r="21" spans="1:9" x14ac:dyDescent="0.25">
      <c r="A21" s="33" t="s">
        <v>147</v>
      </c>
      <c r="B21" s="99" t="s">
        <v>137</v>
      </c>
      <c r="C21" s="104">
        <v>14</v>
      </c>
      <c r="D21" s="104">
        <v>0</v>
      </c>
      <c r="E21" s="104">
        <v>0</v>
      </c>
      <c r="F21" s="104">
        <f t="shared" si="0"/>
        <v>126</v>
      </c>
      <c r="G21" s="104">
        <f t="shared" si="1"/>
        <v>0</v>
      </c>
      <c r="H21" s="104">
        <f t="shared" si="2"/>
        <v>0</v>
      </c>
      <c r="I21" s="104">
        <f t="shared" si="3"/>
        <v>126</v>
      </c>
    </row>
    <row r="22" spans="1:9" x14ac:dyDescent="0.25">
      <c r="A22" s="33" t="s">
        <v>122</v>
      </c>
      <c r="B22" s="99" t="s">
        <v>148</v>
      </c>
      <c r="C22" s="104">
        <v>6</v>
      </c>
      <c r="D22" s="104">
        <v>0</v>
      </c>
      <c r="E22" s="104">
        <v>7</v>
      </c>
      <c r="F22" s="104">
        <f t="shared" si="0"/>
        <v>54</v>
      </c>
      <c r="G22" s="104">
        <f t="shared" si="1"/>
        <v>0</v>
      </c>
      <c r="H22" s="104">
        <f t="shared" si="2"/>
        <v>28</v>
      </c>
      <c r="I22" s="104">
        <f t="shared" si="3"/>
        <v>82</v>
      </c>
    </row>
    <row r="23" spans="1:9" x14ac:dyDescent="0.25">
      <c r="A23" s="33" t="s">
        <v>149</v>
      </c>
      <c r="B23" s="99" t="s">
        <v>150</v>
      </c>
      <c r="C23" s="104">
        <v>11</v>
      </c>
      <c r="D23" s="104">
        <v>0</v>
      </c>
      <c r="E23" s="104">
        <v>23</v>
      </c>
      <c r="F23" s="104">
        <f t="shared" si="0"/>
        <v>99</v>
      </c>
      <c r="G23" s="104">
        <f t="shared" si="1"/>
        <v>0</v>
      </c>
      <c r="H23" s="104">
        <f t="shared" si="2"/>
        <v>92</v>
      </c>
      <c r="I23" s="104">
        <f t="shared" si="3"/>
        <v>191</v>
      </c>
    </row>
    <row r="24" spans="1:9" x14ac:dyDescent="0.25">
      <c r="A24" s="33" t="s">
        <v>127</v>
      </c>
      <c r="B24" s="99" t="s">
        <v>151</v>
      </c>
      <c r="C24" s="104">
        <v>0.2</v>
      </c>
      <c r="D24" s="104">
        <v>2.4</v>
      </c>
      <c r="E24" s="104">
        <v>0.8</v>
      </c>
      <c r="F24" s="104">
        <f t="shared" si="0"/>
        <v>1.8</v>
      </c>
      <c r="G24" s="104">
        <f t="shared" si="1"/>
        <v>9.6</v>
      </c>
      <c r="H24" s="104">
        <f t="shared" si="2"/>
        <v>3.2</v>
      </c>
      <c r="I24" s="104">
        <f t="shared" si="3"/>
        <v>14.600000000000001</v>
      </c>
    </row>
    <row r="25" spans="1:9" x14ac:dyDescent="0.25">
      <c r="A25" s="33" t="s">
        <v>152</v>
      </c>
      <c r="B25" s="99" t="s">
        <v>153</v>
      </c>
      <c r="C25" s="104">
        <v>0.2</v>
      </c>
      <c r="D25" s="104">
        <v>3.3</v>
      </c>
      <c r="E25" s="104">
        <v>1.1000000000000001</v>
      </c>
      <c r="F25" s="104">
        <f t="shared" si="0"/>
        <v>1.8</v>
      </c>
      <c r="G25" s="104">
        <f t="shared" si="1"/>
        <v>13.2</v>
      </c>
      <c r="H25" s="104">
        <f t="shared" si="2"/>
        <v>4.4000000000000004</v>
      </c>
      <c r="I25" s="104">
        <f t="shared" si="3"/>
        <v>19.399999999999999</v>
      </c>
    </row>
    <row r="26" spans="1:9" x14ac:dyDescent="0.25">
      <c r="A26" s="33" t="s">
        <v>154</v>
      </c>
      <c r="B26" s="99" t="s">
        <v>155</v>
      </c>
      <c r="C26" s="104">
        <v>0.4</v>
      </c>
      <c r="D26" s="104">
        <v>4.8</v>
      </c>
      <c r="E26" s="104">
        <v>1.6</v>
      </c>
      <c r="F26" s="104">
        <f t="shared" si="0"/>
        <v>3.6</v>
      </c>
      <c r="G26" s="104">
        <f t="shared" si="1"/>
        <v>19.2</v>
      </c>
      <c r="H26" s="104">
        <f t="shared" si="2"/>
        <v>6.4</v>
      </c>
      <c r="I26" s="104">
        <f t="shared" si="3"/>
        <v>29.200000000000003</v>
      </c>
    </row>
    <row r="27" spans="1:9" x14ac:dyDescent="0.25">
      <c r="A27" s="33" t="s">
        <v>156</v>
      </c>
      <c r="B27" s="99" t="s">
        <v>157</v>
      </c>
      <c r="C27" s="33">
        <v>5</v>
      </c>
      <c r="D27" s="33">
        <v>0</v>
      </c>
      <c r="E27" s="33">
        <v>25</v>
      </c>
      <c r="F27" s="33">
        <f t="shared" si="0"/>
        <v>45</v>
      </c>
      <c r="G27" s="33">
        <f t="shared" si="1"/>
        <v>0</v>
      </c>
      <c r="H27" s="33">
        <f t="shared" si="2"/>
        <v>100</v>
      </c>
      <c r="I27" s="33">
        <f t="shared" si="3"/>
        <v>145</v>
      </c>
    </row>
    <row r="28" spans="1:9" x14ac:dyDescent="0.25">
      <c r="A28" s="33" t="s">
        <v>104</v>
      </c>
      <c r="B28" s="99" t="s">
        <v>158</v>
      </c>
      <c r="C28" s="104">
        <v>0.8</v>
      </c>
      <c r="D28" s="104">
        <v>0</v>
      </c>
      <c r="E28" s="104">
        <v>34</v>
      </c>
      <c r="F28" s="104">
        <f t="shared" si="0"/>
        <v>7.2</v>
      </c>
      <c r="G28" s="104">
        <f t="shared" si="1"/>
        <v>0</v>
      </c>
      <c r="H28" s="104">
        <f t="shared" si="2"/>
        <v>136</v>
      </c>
      <c r="I28" s="104">
        <f t="shared" si="3"/>
        <v>143.19999999999999</v>
      </c>
    </row>
    <row r="29" spans="1:9" x14ac:dyDescent="0.25">
      <c r="A29" s="33" t="s">
        <v>123</v>
      </c>
      <c r="B29" s="99" t="s">
        <v>159</v>
      </c>
      <c r="C29" s="104">
        <v>0.5</v>
      </c>
      <c r="D29" s="104">
        <v>2</v>
      </c>
      <c r="E29" s="104">
        <v>10</v>
      </c>
      <c r="F29" s="104">
        <f t="shared" si="0"/>
        <v>4.5</v>
      </c>
      <c r="G29" s="104">
        <f t="shared" si="1"/>
        <v>8</v>
      </c>
      <c r="H29" s="104">
        <f t="shared" si="2"/>
        <v>40</v>
      </c>
      <c r="I29" s="104">
        <f t="shared" si="3"/>
        <v>52.5</v>
      </c>
    </row>
    <row r="30" spans="1:9" x14ac:dyDescent="0.25">
      <c r="A30" s="33" t="s">
        <v>160</v>
      </c>
      <c r="B30" s="99" t="s">
        <v>161</v>
      </c>
      <c r="C30" s="33">
        <v>0.6</v>
      </c>
      <c r="D30" s="33">
        <v>4.9000000000000004</v>
      </c>
      <c r="E30" s="33">
        <v>2.4</v>
      </c>
      <c r="F30" s="33">
        <f t="shared" si="0"/>
        <v>5.3999999999999995</v>
      </c>
      <c r="G30" s="33">
        <f t="shared" si="1"/>
        <v>19.600000000000001</v>
      </c>
      <c r="H30" s="33">
        <f t="shared" si="2"/>
        <v>9.6</v>
      </c>
      <c r="I30" s="33">
        <f t="shared" si="3"/>
        <v>34.6</v>
      </c>
    </row>
  </sheetData>
  <autoFilter ref="A1:I19"/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5574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11</vt:i4>
      </vt:variant>
    </vt:vector>
  </HeadingPairs>
  <TitlesOfParts>
    <vt:vector size="21" baseType="lpstr">
      <vt:lpstr>Measured</vt:lpstr>
      <vt:lpstr>TDEE</vt:lpstr>
      <vt:lpstr>BF_DoD</vt:lpstr>
      <vt:lpstr>Protein_Amt</vt:lpstr>
      <vt:lpstr>Max_LBM</vt:lpstr>
      <vt:lpstr>LossChart</vt:lpstr>
      <vt:lpstr>Scale</vt:lpstr>
      <vt:lpstr>FoodLog</vt:lpstr>
      <vt:lpstr>FoodDB</vt:lpstr>
      <vt:lpstr>H2O_Fasting</vt:lpstr>
      <vt:lpstr>FoodDB!__xlnm._FilterDatabase</vt:lpstr>
      <vt:lpstr>FoodDB!_FilterDatabase</vt:lpstr>
      <vt:lpstr>FoodDB!_FilterDatabase_0</vt:lpstr>
      <vt:lpstr>FoodDB!_FilterDatabase_0_0</vt:lpstr>
      <vt:lpstr>FoodDB!_FilterDatabase_0_0_0</vt:lpstr>
      <vt:lpstr>FoodDB!_FilterDatabase_0_0_0_0</vt:lpstr>
      <vt:lpstr>FoodDB!_FilterDatabase_0_0_0_0_0</vt:lpstr>
      <vt:lpstr>FoodDB!filter2</vt:lpstr>
      <vt:lpstr>FoodDB!filter5</vt:lpstr>
      <vt:lpstr>FoodDB!that</vt:lpstr>
      <vt:lpstr>FoodDB!this</vt:lpstr>
    </vt:vector>
  </TitlesOfParts>
  <Company>Advanced Acoustic Concepts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Gilliland, Doug</dc:creator>
  <dc:description/>
  <cp:lastModifiedBy>Gilliland, Doug</cp:lastModifiedBy>
  <cp:revision>112</cp:revision>
  <cp:lastPrinted>1601-01-01T00:00:00Z</cp:lastPrinted>
  <dcterms:created xsi:type="dcterms:W3CDTF">2017-09-14T17:05:16Z</dcterms:created>
  <dcterms:modified xsi:type="dcterms:W3CDTF">2017-10-03T14:16:34Z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Advanced Acoustic Concepts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