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FoodDB!$A$1:$I$17</definedName>
    <definedName function="false" hidden="false" localSheetId="7" name="_FilterDatabase_0" vbProcedure="false">FoodDB!$A$1:$I$17</definedName>
    <definedName function="false" hidden="false" localSheetId="7" name="_FilterDatabase_0_0" vbProcedure="false">FoodDB!$A$1:$I$17</definedName>
    <definedName function="false" hidden="false" localSheetId="7" name="_xlnm._FilterDatabase" vbProcedure="false">FoodDB!$A$1:$I$17</definedName>
    <definedName function="false" hidden="false" localSheetId="7" name="_xlnm._FilterDatabase_0" vbProcedure="false">FoodDB!$A$1:$I$17</definedName>
    <definedName function="false" hidden="false" localSheetId="7" name="__xlnm._FilterDatabase" vbProcedure="false">FoodDB!$A$1:$I$17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<sst xmlns="http://schemas.openxmlformats.org/spreadsheetml/2006/main" count="562" uniqueCount="147">
  <si>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</si>
  <si>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</si>
  <si>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</si>
  <si>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</si>
  <si>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</si>
  <si>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</si>
  <si>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</si>
  <si>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</si>
  <si>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</si>
  <si>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</si>
  <si>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</si>
  <si>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</si>
  <si>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</si>
  <si>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</si>
  <si>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</si>
  <si>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</si>
  <si>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</si>
  <si>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</si>
  <si>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</si>
  <si>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</si>
  <si>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</si>
  <si>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</si>
  <si>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</si>
  <si>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</si>
  <si>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</si>
  <si>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</si>
  <si>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</si>
  <si>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</si>
  <si>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</si>
  <si>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</si>
  <si>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</si>
  <si>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</si>
  <si>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</si>
  <si>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</si>
  <si>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</si>
  <si>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</si>
  <si>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</si>
  <si>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</si>
  <si>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</si>
  <si>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</si>
  <si>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</si>
  <si>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</si>
  <si>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</si>
  <si>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</si>
  <si>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</si>
  <si>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</si>
  <si>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</si>
  <si>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</si>
  <si>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</si>
  <si>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</si>
  <si>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</si>
  <si>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</si>
  <si>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</si>
  <si>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</si>
  <si>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</si>
  <si>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</si>
  <si>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</si>
  <si>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</si>
  <si>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</si>
  <si>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</si>
  <si>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</si>
  <si>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</si>
  <si>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</si>
  <si>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</si>
  <si>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</si>
  <si>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</si>
  <si>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</si>
  <si>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</si>
  <si>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</si>
  <si>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</si>
  <si>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</si>
  <si>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</si>
  <si>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</si>
  <si>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</si>
  <si>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</si>
  <si>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</si>
  <si>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</si>
  <si>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</si>
  <si>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</si>
  <si>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</si>
  <si>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</si>
  <si>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</si>
  <si>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</si>
  <si>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</si>
  <si>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</si>
  <si>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</si>
  <si>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</si>
  <si>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</si>
  <si>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</si>
  <si>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</si>
  <si>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</si>
  <si>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</si>
  <si>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</si>
  <si>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</si>
  <si>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</si>
  <si>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</si>
  <si>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</si>
  <si>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</si>
  <si>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</si>
  <si>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</si>
  <si>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</si>
  <si>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</si>
  <si>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</si>
  <si>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</si>
  <si>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</si>
  <si>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</si>
  <si>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</si>
  <si>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</si>
  <si>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</si>
  <si>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</si>
  <si>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</si>
  <si>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</si>
  <si>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</si>
  <si>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</si>
  <si>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</si>
  <si>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</si>
  <si>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</si>
  <si>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</si>
  <si>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</si>
  <si>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</si>
  <si>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</si>
  <si>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</si>
  <si>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</si>
  <si>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</si>
  <si>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</si>
  <si>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</si>
  <si>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</si>
  <si>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</si>
  <si>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</si>
  <si>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</si>
  <si>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</si>
  <si>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</si>
  <si>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</si>
  <si>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</si>
  <si>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</si>
  <si>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</si>
  <si>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</si>
  <si>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Sardines</t>
  </si>
  <si>
    <t xml:space="preserve">3.75oz</t>
  </si>
  <si>
    <t xml:space="preserve">Tuna, White in H2O</t>
  </si>
  <si>
    <t xml:space="preserve">3oz</t>
  </si>
  <si>
    <t xml:space="preserve">5 slices</t>
  </si>
  <si>
    <t xml:space="preserve">4 oz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</si>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</sst>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3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true" showOutlineSymbols="true" defaultGridColor="true" view="normal" topLeftCell="N10" colorId="64" zoomScale="160" zoomScaleNormal="160" zoomScalePageLayoutView="100" workbookViewId="0">
      <selection pane="topLeft" activeCell="Y15" activeCellId="0" sqref="Y15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29" min="29" style="33" width="5.14"/>
    <col collapsed="false" customWidth="true" hidden="false" outlineLevel="0" max="30" min="30" style="33" width="5.28"/>
    <col collapsed="false" customWidth="true" hidden="false" outlineLevel="0" max="31" min="31" style="33" width="6.28"/>
    <col collapsed="false" customWidth="true" hidden="false" outlineLevel="0" max="32" min="32" style="33" width="7.41"/>
    <col collapsed="false" customWidth="true" hidden="false" outlineLevel="0" max="33" min="33" style="33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  <c r="AC1" s="37"/>
      <c r="AD1" s="37"/>
      <c r="AE1" s="37"/>
      <c r="AF1" s="37"/>
      <c r="AG1" s="37"/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0" t="s">
        <v>78</v>
      </c>
      <c r="AD2" s="50" t="s">
        <v>79</v>
      </c>
      <c r="AE2" s="50" t="s">
        <v>80</v>
      </c>
      <c r="AF2" s="50" t="s">
        <v>81</v>
      </c>
      <c r="AG2" s="51" t="s">
        <v>82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60" t="n">
        <f aca="false">H3/3500</f>
        <v>0.465236229102314</v>
      </c>
      <c r="K3" s="56" t="n">
        <f aca="false">N3/9</f>
        <v>37.6512272700536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-167.861045430482</v>
      </c>
      <c r="X3" s="62" t="n">
        <f aca="false">-O3+T3</f>
        <v>-28</v>
      </c>
      <c r="Y3" s="62" t="n">
        <f aca="false">-P3+U3</f>
        <v>-26.8746527114224</v>
      </c>
      <c r="Z3" s="63" t="n">
        <f aca="false">SUM(W3:Y3)</f>
        <v>-222.735698141904</v>
      </c>
      <c r="AA3" s="64" t="n">
        <f aca="false">($H3-Z3)/3500</f>
        <v>0.528875</v>
      </c>
      <c r="AB3" s="65" t="n">
        <v>202.8</v>
      </c>
      <c r="AC3" s="65" t="n">
        <v>27.8</v>
      </c>
      <c r="AD3" s="65" t="n">
        <v>32</v>
      </c>
      <c r="AE3" s="65" t="n">
        <v>36.9</v>
      </c>
      <c r="AF3" s="65" t="n">
        <v>27.6</v>
      </c>
      <c r="AG3" s="66" t="n">
        <v>2238</v>
      </c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C3-AA3</f>
        <v>202.771125</v>
      </c>
      <c r="D4" s="69" t="n">
        <f aca="false">$D$3</f>
        <v>150.77332897232</v>
      </c>
      <c r="E4" s="70" t="n">
        <f aca="false">C4-D4</f>
        <v>51.99779602768</v>
      </c>
      <c r="F4" s="58"/>
      <c r="G4" s="71" t="n">
        <f aca="false">C4*TDEE!$B$5</f>
        <v>2523.08170681413</v>
      </c>
      <c r="H4" s="69" t="n">
        <f aca="false">$E4*31</f>
        <v>1611.9316768581</v>
      </c>
      <c r="I4" s="69" t="n">
        <f aca="false">$G4-$H4</f>
        <v>911.150029956034</v>
      </c>
      <c r="J4" s="60" t="n">
        <f aca="false">H4/3500</f>
        <v>0.460551907673743</v>
      </c>
      <c r="K4" s="69" t="n">
        <f aca="false">N4/9</f>
        <v>38.7417085827346</v>
      </c>
      <c r="L4" s="69" t="n">
        <v>20</v>
      </c>
      <c r="M4" s="56" t="n">
        <f aca="false">Protein_Amt!$B$6</f>
        <v>120.618663177856</v>
      </c>
      <c r="N4" s="69" t="n">
        <f aca="false">MAX(0,I4-(O4+P4))</f>
        <v>348.675377244611</v>
      </c>
      <c r="O4" s="69" t="n">
        <f aca="false">4*L4</f>
        <v>80</v>
      </c>
      <c r="P4" s="69" t="n">
        <f aca="false">4*M4</f>
        <v>482.474652711422</v>
      </c>
      <c r="Q4" s="70" t="n">
        <f aca="false">SUM(N4:P4)</f>
        <v>911.150029956033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-175.065377244611</v>
      </c>
      <c r="X4" s="74" t="n">
        <f aca="false">-O4+T4</f>
        <v>-80</v>
      </c>
      <c r="Y4" s="74" t="n">
        <f aca="false">-P4+U4</f>
        <v>-80.2346527114224</v>
      </c>
      <c r="Z4" s="75" t="n">
        <f aca="false">SUM(W4:Y4)</f>
        <v>-335.300029956034</v>
      </c>
      <c r="AA4" s="71" t="n">
        <f aca="false">($H4-Z4)/3500</f>
        <v>0.556351916232608</v>
      </c>
      <c r="AB4" s="76" t="n">
        <v>200.2</v>
      </c>
      <c r="AC4" s="76"/>
      <c r="AD4" s="76"/>
      <c r="AE4" s="76"/>
      <c r="AF4" s="76"/>
      <c r="AG4" s="77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C4-AA4</f>
        <v>202.214773083767</v>
      </c>
      <c r="D5" s="69" t="n">
        <f aca="false">$D$3</f>
        <v>150.77332897232</v>
      </c>
      <c r="E5" s="70" t="n">
        <f aca="false">C5-D5</f>
        <v>51.441444111447</v>
      </c>
      <c r="F5" s="58"/>
      <c r="G5" s="71" t="n">
        <f aca="false">C5*TDEE!$B$5</f>
        <v>2516.15901827848</v>
      </c>
      <c r="H5" s="69" t="n">
        <f aca="false">$E5*31</f>
        <v>1594.68476745489</v>
      </c>
      <c r="I5" s="69" t="n">
        <f aca="false">$G5-$H5</f>
        <v>921.474250823599</v>
      </c>
      <c r="J5" s="60" t="n">
        <f aca="false">H5/3500</f>
        <v>0.455624219272826</v>
      </c>
      <c r="K5" s="69" t="n">
        <f aca="false">N5/9</f>
        <v>39.8888442346863</v>
      </c>
      <c r="L5" s="69" t="n">
        <v>20</v>
      </c>
      <c r="M5" s="56" t="n">
        <f aca="false">Protein_Amt!$B$6</f>
        <v>120.618663177856</v>
      </c>
      <c r="N5" s="69" t="n">
        <f aca="false">MAX(0,I5-(O5+P5))</f>
        <v>358.999598112177</v>
      </c>
      <c r="O5" s="69" t="n">
        <f aca="false">4*L5</f>
        <v>80</v>
      </c>
      <c r="P5" s="69" t="n">
        <f aca="false">4*M5</f>
        <v>482.474652711422</v>
      </c>
      <c r="Q5" s="70" t="n">
        <f aca="false">SUM(N5:P5)</f>
        <v>921.474250823599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-76.3995981121765</v>
      </c>
      <c r="X5" s="74" t="n">
        <f aca="false">-O5+T5</f>
        <v>-52</v>
      </c>
      <c r="Y5" s="74" t="n">
        <f aca="false">-P5+U5</f>
        <v>-95.2746527114224</v>
      </c>
      <c r="Z5" s="75" t="n">
        <f aca="false">SUM(W5:Y5)</f>
        <v>-223.674250823599</v>
      </c>
      <c r="AA5" s="71" t="n">
        <f aca="false">($H5-Z5)/3500</f>
        <v>0.519531148079567</v>
      </c>
      <c r="AB5" s="76" t="n">
        <v>198.4</v>
      </c>
      <c r="AC5" s="76"/>
      <c r="AD5" s="76"/>
      <c r="AE5" s="76"/>
      <c r="AF5" s="76"/>
      <c r="AG5" s="77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C5-AA5</f>
        <v>201.695241935688</v>
      </c>
      <c r="D6" s="69" t="n">
        <f aca="false">$D$3</f>
        <v>150.77332897232</v>
      </c>
      <c r="E6" s="70" t="n">
        <f aca="false">C6-D6</f>
        <v>50.921912963368</v>
      </c>
      <c r="F6" s="58"/>
      <c r="G6" s="71" t="n">
        <f aca="false">C6*TDEE!$B$5</f>
        <v>2509.69449066964</v>
      </c>
      <c r="H6" s="69" t="n">
        <f aca="false">$E6*31</f>
        <v>1578.57930186442</v>
      </c>
      <c r="I6" s="69" t="n">
        <f aca="false">$G6-$H6</f>
        <v>931.115188805217</v>
      </c>
      <c r="J6" s="60" t="n">
        <f aca="false">H6/3500</f>
        <v>0.451022657675549</v>
      </c>
      <c r="K6" s="69" t="n">
        <f aca="false">N6/9</f>
        <v>40.9600595659772</v>
      </c>
      <c r="L6" s="69" t="n">
        <v>20</v>
      </c>
      <c r="M6" s="56" t="n">
        <f aca="false">Protein_Amt!$B$6</f>
        <v>120.618663177856</v>
      </c>
      <c r="N6" s="69" t="n">
        <f aca="false">MAX(0,I6-(O6+P6))</f>
        <v>368.640536093795</v>
      </c>
      <c r="O6" s="69" t="n">
        <f aca="false">4*L6</f>
        <v>80</v>
      </c>
      <c r="P6" s="69" t="n">
        <f aca="false">4*M6</f>
        <v>482.474652711422</v>
      </c>
      <c r="Q6" s="70" t="n">
        <f aca="false">SUM(N6:P6)</f>
        <v>931.115188805217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-192.780536093795</v>
      </c>
      <c r="X6" s="74" t="n">
        <f aca="false">-O6+T6</f>
        <v>-24</v>
      </c>
      <c r="Y6" s="74" t="n">
        <f aca="false">-P6+U6</f>
        <v>53.3653472885777</v>
      </c>
      <c r="Z6" s="75" t="n">
        <f aca="false">SUM(W6:Y6)</f>
        <v>-163.415188805217</v>
      </c>
      <c r="AA6" s="71" t="n">
        <f aca="false">($H6-Z6)/3500</f>
        <v>0.497712711619896</v>
      </c>
      <c r="AB6" s="76" t="n">
        <v>199.4</v>
      </c>
      <c r="AC6" s="76"/>
      <c r="AD6" s="76"/>
      <c r="AE6" s="76"/>
      <c r="AF6" s="76"/>
      <c r="AG6" s="77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C6-AA6</f>
        <v>201.197529224068</v>
      </c>
      <c r="D7" s="69" t="n">
        <f aca="false">$D$3</f>
        <v>150.77332897232</v>
      </c>
      <c r="E7" s="70" t="n">
        <f aca="false">C7-D7</f>
        <v>50.424200251748</v>
      </c>
      <c r="F7" s="58"/>
      <c r="G7" s="71" t="n">
        <f aca="false">C7*TDEE!$B$5</f>
        <v>2503.50144993005</v>
      </c>
      <c r="H7" s="69" t="n">
        <f aca="false">$E7*31</f>
        <v>1563.1502078042</v>
      </c>
      <c r="I7" s="69" t="n">
        <f aca="false">$G7-$H7</f>
        <v>940.351242125847</v>
      </c>
      <c r="J7" s="60" t="n">
        <f aca="false">H7/3500</f>
        <v>0.446614345086914</v>
      </c>
      <c r="K7" s="69" t="n">
        <f aca="false">N7/9</f>
        <v>41.9862877127138</v>
      </c>
      <c r="L7" s="69" t="n">
        <v>20</v>
      </c>
      <c r="M7" s="56" t="n">
        <f aca="false">Protein_Amt!$B$6</f>
        <v>120.618663177856</v>
      </c>
      <c r="N7" s="69" t="n">
        <f aca="false">MAX(0,I7-(O7+P7))</f>
        <v>377.876589414424</v>
      </c>
      <c r="O7" s="69" t="n">
        <f aca="false">4*L7</f>
        <v>80</v>
      </c>
      <c r="P7" s="69" t="n">
        <f aca="false">4*M7</f>
        <v>482.474652711422</v>
      </c>
      <c r="Q7" s="70" t="n">
        <f aca="false">SUM(N7:P7)</f>
        <v>940.351242125846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142.256589414424</v>
      </c>
      <c r="X7" s="73" t="n">
        <f aca="false">FoodLog!H36</f>
        <v>21.1428571428571</v>
      </c>
      <c r="Y7" s="73" t="n">
        <f aca="false">FoodLog!I36</f>
        <v>-49.273918717149</v>
      </c>
      <c r="Z7" s="78" t="n">
        <f aca="false">FoodLog!J36</f>
        <v>114.125527840132</v>
      </c>
      <c r="AA7" s="71" t="n">
        <f aca="false">($H7-Z7)/3500</f>
        <v>0.414007051418305</v>
      </c>
      <c r="AB7" s="76" t="n">
        <v>200.3</v>
      </c>
      <c r="AC7" s="76"/>
      <c r="AD7" s="76"/>
      <c r="AE7" s="76"/>
      <c r="AF7" s="76"/>
      <c r="AG7" s="77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C7-AA7</f>
        <v>200.78352217265</v>
      </c>
      <c r="D8" s="69" t="n">
        <f aca="false">$D$3</f>
        <v>150.77332897232</v>
      </c>
      <c r="E8" s="70" t="n">
        <f aca="false">C8-D8</f>
        <v>50.01019320033</v>
      </c>
      <c r="F8" s="58"/>
      <c r="G8" s="71" t="n">
        <f aca="false">C8*TDEE!$B$5</f>
        <v>2498.34995896739</v>
      </c>
      <c r="H8" s="69" t="n">
        <f aca="false">$E8*31</f>
        <v>1550.31598921023</v>
      </c>
      <c r="I8" s="69" t="n">
        <f aca="false">$G8-$H8</f>
        <v>948.033969757156</v>
      </c>
      <c r="J8" s="60" t="n">
        <f aca="false">H8/3500</f>
        <v>0.442947425488637</v>
      </c>
      <c r="K8" s="69" t="n">
        <f aca="false">N8/9</f>
        <v>42.8399241161926</v>
      </c>
      <c r="L8" s="69" t="n">
        <v>20</v>
      </c>
      <c r="M8" s="56" t="n">
        <f aca="false">Protein_Amt!$B$6</f>
        <v>120.618663177856</v>
      </c>
      <c r="N8" s="69" t="n">
        <f aca="false">MAX(0,I8-(O8+P8))</f>
        <v>385.559317045733</v>
      </c>
      <c r="O8" s="69" t="n">
        <f aca="false">4*L8</f>
        <v>80</v>
      </c>
      <c r="P8" s="69" t="n">
        <f aca="false">4*M8</f>
        <v>482.474652711422</v>
      </c>
      <c r="Q8" s="70" t="n">
        <f aca="false">SUM(N8:P8)</f>
        <v>948.033969757155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147.059317045733</v>
      </c>
      <c r="X8" s="72" t="n">
        <f aca="false">FoodLog!H46</f>
        <v>23.2</v>
      </c>
      <c r="Y8" s="72" t="n">
        <f aca="false">FoodLog!I46</f>
        <v>-55.4453472885776</v>
      </c>
      <c r="Z8" s="72" t="n">
        <f aca="false">FoodLog!J46</f>
        <v>114.813969757156</v>
      </c>
      <c r="AA8" s="71" t="n">
        <f aca="false">($H8-Z8)/3500</f>
        <v>0.410143434129451</v>
      </c>
      <c r="AB8" s="76" t="n">
        <v>200.4</v>
      </c>
      <c r="AC8" s="76"/>
      <c r="AD8" s="76"/>
      <c r="AE8" s="76"/>
      <c r="AF8" s="76"/>
      <c r="AG8" s="77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C8-AA8</f>
        <v>200.37337873852</v>
      </c>
      <c r="D9" s="69" t="n">
        <f aca="false">$D$3</f>
        <v>150.77332897232</v>
      </c>
      <c r="E9" s="70" t="n">
        <f aca="false">C9-D9</f>
        <v>49.6000497662</v>
      </c>
      <c r="F9" s="58"/>
      <c r="G9" s="71" t="n">
        <f aca="false">C9*TDEE!$B$5</f>
        <v>2493.24654300606</v>
      </c>
      <c r="H9" s="69" t="n">
        <f aca="false">$E9*31</f>
        <v>1537.60154275222</v>
      </c>
      <c r="I9" s="69" t="n">
        <f aca="false">$G9-$H9</f>
        <v>955.645000253838</v>
      </c>
      <c r="J9" s="60" t="n">
        <f aca="false">H9/3500</f>
        <v>0.439314726500634</v>
      </c>
      <c r="K9" s="69" t="n">
        <f aca="false">N9/9</f>
        <v>43.6855941713796</v>
      </c>
      <c r="L9" s="69" t="n">
        <v>20</v>
      </c>
      <c r="M9" s="56" t="n">
        <f aca="false">Protein_Amt!$B$6</f>
        <v>120.618663177856</v>
      </c>
      <c r="N9" s="69" t="n">
        <f aca="false">MAX(0,I9-(O9+P9))</f>
        <v>393.170347542416</v>
      </c>
      <c r="O9" s="69" t="n">
        <f aca="false">4*L9</f>
        <v>80</v>
      </c>
      <c r="P9" s="69" t="n">
        <f aca="false">4*M9</f>
        <v>482.474652711422</v>
      </c>
      <c r="Q9" s="70" t="n">
        <f aca="false">SUM(N9:P9)</f>
        <v>955.645000253838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-8.229652457584</v>
      </c>
      <c r="X9" s="72" t="n">
        <f aca="false">FoodLog!H58</f>
        <v>15.4285714285714</v>
      </c>
      <c r="Y9" s="72" t="n">
        <f aca="false">FoodLog!I58</f>
        <v>-68.1310615742921</v>
      </c>
      <c r="Z9" s="72" t="n">
        <f aca="false">FoodLog!J58</f>
        <v>-60.9321426033021</v>
      </c>
      <c r="AA9" s="71" t="n">
        <f aca="false">($H9-Z9)/3500</f>
        <v>0.456723910101578</v>
      </c>
      <c r="AB9" s="76" t="n">
        <v>199.8</v>
      </c>
      <c r="AC9" s="76" t="n">
        <v>27.4</v>
      </c>
      <c r="AD9" s="76"/>
      <c r="AE9" s="76"/>
      <c r="AF9" s="76"/>
      <c r="AG9" s="77"/>
    </row>
    <row r="10" customFormat="false" ht="13.8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C9-AA9</f>
        <v>199.916654828418</v>
      </c>
      <c r="D10" s="69" t="n">
        <f aca="false">$D$3</f>
        <v>150.77332897232</v>
      </c>
      <c r="E10" s="70" t="n">
        <f aca="false">C10-D10</f>
        <v>49.1433258560984</v>
      </c>
      <c r="F10" s="58"/>
      <c r="G10" s="71" t="n">
        <f aca="false">C10*TDEE!$B$5</f>
        <v>2487.56352604473</v>
      </c>
      <c r="H10" s="69" t="n">
        <f aca="false">$E10*31</f>
        <v>1523.44310153905</v>
      </c>
      <c r="I10" s="69" t="n">
        <f aca="false">$G10-$H10</f>
        <v>964.120424505683</v>
      </c>
      <c r="J10" s="60" t="n">
        <f aca="false">H10/3500</f>
        <v>0.435269457582586</v>
      </c>
      <c r="K10" s="69" t="n">
        <f aca="false">N10/9</f>
        <v>44.6273079771401</v>
      </c>
      <c r="L10" s="69" t="n">
        <v>20</v>
      </c>
      <c r="M10" s="56" t="n">
        <f aca="false">Protein_Amt!$B$6</f>
        <v>120.618663177856</v>
      </c>
      <c r="N10" s="69" t="n">
        <f aca="false">MAX(0,I10-(O10+P10))</f>
        <v>401.645771794261</v>
      </c>
      <c r="O10" s="69" t="n">
        <f aca="false">4*L10</f>
        <v>80</v>
      </c>
      <c r="P10" s="69" t="n">
        <f aca="false">4*M10</f>
        <v>482.474652711422</v>
      </c>
      <c r="Q10" s="70" t="n">
        <f aca="false">SUM(N10:P10)</f>
        <v>964.120424505683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61.0857717942607</v>
      </c>
      <c r="X10" s="72" t="n">
        <f aca="false">FoodLog!H70</f>
        <v>36</v>
      </c>
      <c r="Y10" s="72" t="n">
        <f aca="false">FoodLog!I70</f>
        <v>-10.165347288578</v>
      </c>
      <c r="Z10" s="72" t="n">
        <f aca="false">FoodLog!J70</f>
        <v>86.9204245056826</v>
      </c>
      <c r="AA10" s="71" t="n">
        <f aca="false">($H10-Z10)/3500</f>
        <v>0.410435050580962</v>
      </c>
      <c r="AB10" s="76" t="n">
        <v>199.8</v>
      </c>
      <c r="AC10" s="76"/>
      <c r="AD10" s="76"/>
      <c r="AE10" s="76"/>
      <c r="AF10" s="76"/>
      <c r="AG10" s="77"/>
    </row>
    <row r="11" customFormat="false" ht="13.8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C10-AA10</f>
        <v>199.506219777837</v>
      </c>
      <c r="D11" s="69" t="n">
        <f aca="false">$D$3</f>
        <v>150.77332897232</v>
      </c>
      <c r="E11" s="70" t="n">
        <f aca="false">C11-D11</f>
        <v>48.7328908055175</v>
      </c>
      <c r="F11" s="58"/>
      <c r="G11" s="71" t="n">
        <f aca="false">C11*TDEE!$B$5</f>
        <v>2482.45648149904</v>
      </c>
      <c r="H11" s="69" t="n">
        <f aca="false">$E11*31</f>
        <v>1510.71961497104</v>
      </c>
      <c r="I11" s="69" t="n">
        <f aca="false">$G11-$H11</f>
        <v>971.736866527995</v>
      </c>
      <c r="J11" s="60" t="n">
        <f aca="false">H11/3500</f>
        <v>0.431634175706012</v>
      </c>
      <c r="K11" s="69" t="n">
        <f aca="false">N11/9</f>
        <v>45.4735793129526</v>
      </c>
      <c r="L11" s="69" t="n">
        <v>20</v>
      </c>
      <c r="M11" s="56" t="n">
        <f aca="false">Protein_Amt!$B$6</f>
        <v>120.618663177856</v>
      </c>
      <c r="N11" s="69" t="n">
        <f aca="false">MAX(0,I11-(O11+P11))</f>
        <v>409.262213816573</v>
      </c>
      <c r="O11" s="69" t="n">
        <f aca="false">4*L11</f>
        <v>80</v>
      </c>
      <c r="P11" s="69" t="n">
        <f aca="false">4*M11</f>
        <v>482.474652711422</v>
      </c>
      <c r="Q11" s="70" t="n">
        <f aca="false">SUM(N11:P11)</f>
        <v>971.736866527995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-59.9977861834269</v>
      </c>
      <c r="X11" s="72" t="n">
        <f aca="false">FoodLog!H82</f>
        <v>0.571428571428598</v>
      </c>
      <c r="Y11" s="72" t="n">
        <f aca="false">FoodLog!I82</f>
        <v>-8.83963300286399</v>
      </c>
      <c r="Z11" s="72" t="n">
        <f aca="false">FoodLog!J82</f>
        <v>-68.2659906148649</v>
      </c>
      <c r="AA11" s="71" t="n">
        <f aca="false">($H11-Z11)/3500</f>
        <v>0.451138744453116</v>
      </c>
      <c r="AB11" s="76" t="n">
        <v>198.4</v>
      </c>
      <c r="AC11" s="76"/>
      <c r="AD11" s="76"/>
      <c r="AE11" s="76"/>
      <c r="AF11" s="76"/>
      <c r="AG11" s="77"/>
    </row>
    <row r="12" customFormat="false" ht="13.8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C11-AA11</f>
        <v>199.055081033384</v>
      </c>
      <c r="D12" s="69" t="n">
        <f aca="false">$D$3</f>
        <v>150.77332897232</v>
      </c>
      <c r="E12" s="70" t="n">
        <f aca="false">C12-D12</f>
        <v>48.2817520610643</v>
      </c>
      <c r="F12" s="58"/>
      <c r="G12" s="71" t="n">
        <f aca="false">C12*TDEE!$B$5</f>
        <v>2476.84296077036</v>
      </c>
      <c r="H12" s="69" t="n">
        <f aca="false">$E12*31</f>
        <v>1496.73431389299</v>
      </c>
      <c r="I12" s="69" t="n">
        <f aca="false">$G12-$H12</f>
        <v>980.108646877364</v>
      </c>
      <c r="J12" s="60" t="n">
        <f aca="false">H12/3500</f>
        <v>0.427638375397998</v>
      </c>
      <c r="K12" s="69" t="n">
        <f aca="false">N12/9</f>
        <v>46.4037771295491</v>
      </c>
      <c r="L12" s="69" t="n">
        <v>20</v>
      </c>
      <c r="M12" s="56" t="n">
        <f aca="false">Protein_Amt!$B$6</f>
        <v>120.618663177856</v>
      </c>
      <c r="N12" s="69" t="n">
        <f aca="false">MAX(0,I12-(O12+P12))</f>
        <v>417.633994165942</v>
      </c>
      <c r="O12" s="69" t="n">
        <f aca="false">4*L12</f>
        <v>80</v>
      </c>
      <c r="P12" s="69" t="n">
        <f aca="false">4*M12</f>
        <v>482.474652711422</v>
      </c>
      <c r="Q12" s="70" t="n">
        <f aca="false">SUM(N12:P12)</f>
        <v>980.108646877364</v>
      </c>
      <c r="S12" s="72" t="n">
        <f aca="false">VLOOKUP($A12,FoodLog!$A$1:$Z$431,12,0)</f>
        <v>493.92</v>
      </c>
      <c r="T12" s="72" t="n">
        <f aca="false">VLOOKUP($A12,FoodLog!$A$1:$Z$431,13,0)</f>
        <v>28</v>
      </c>
      <c r="U12" s="72" t="n">
        <f aca="false">VLOOKUP($A12,FoodLog!$A$1:$Z$431,14,0)</f>
        <v>458.4</v>
      </c>
      <c r="V12" s="72" t="n">
        <f aca="false">VLOOKUP($A12,FoodLog!$A$1:$Z$431,15,0)</f>
        <v>980.32</v>
      </c>
      <c r="W12" s="72" t="n">
        <f aca="false">VLOOKUP($A12,FoodLog!$A$1:$Z$431,20,0)</f>
        <v>-76.2860058340578</v>
      </c>
      <c r="X12" s="72" t="n">
        <f aca="false">VLOOKUP($A12,FoodLog!$A$1:$Z$431,21,0)</f>
        <v>52</v>
      </c>
      <c r="Y12" s="72" t="n">
        <f aca="false">VLOOKUP($A12,FoodLog!$A$1:$Z$431,22,0)</f>
        <v>24.074652711422</v>
      </c>
      <c r="Z12" s="72" t="n">
        <f aca="false">VLOOKUP($A12,FoodLog!$A$1:$Z$431,23,0)</f>
        <v>-0.211353122635842</v>
      </c>
      <c r="AA12" s="71" t="n">
        <f aca="false">($H12-Z12)/3500</f>
        <v>0.427698762004466</v>
      </c>
      <c r="AB12" s="76" t="n">
        <v>197.6</v>
      </c>
      <c r="AC12" s="76"/>
      <c r="AD12" s="76"/>
      <c r="AE12" s="76"/>
      <c r="AF12" s="76"/>
      <c r="AG12" s="77"/>
    </row>
    <row r="13" customFormat="false" ht="13.8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C12-AA12</f>
        <v>198.62738227138</v>
      </c>
      <c r="D13" s="69" t="n">
        <f aca="false">$D$3</f>
        <v>150.77332897232</v>
      </c>
      <c r="E13" s="70" t="n">
        <f aca="false">C13-D13</f>
        <v>47.8540532990599</v>
      </c>
      <c r="F13" s="58"/>
      <c r="G13" s="71" t="n">
        <f aca="false">C13*TDEE!$B$5</f>
        <v>2471.52110381247</v>
      </c>
      <c r="H13" s="69" t="n">
        <f aca="false">$E13*31</f>
        <v>1483.47565227086</v>
      </c>
      <c r="I13" s="69" t="n">
        <f aca="false">$G13-$H13</f>
        <v>988.045451541612</v>
      </c>
      <c r="J13" s="60" t="n">
        <f aca="false">H13/3500</f>
        <v>0.423850186363102</v>
      </c>
      <c r="K13" s="69" t="n">
        <f aca="false">N13/9</f>
        <v>47.2856443144656</v>
      </c>
      <c r="L13" s="69" t="n">
        <v>20</v>
      </c>
      <c r="M13" s="56" t="n">
        <f aca="false">Protein_Amt!$B$6</f>
        <v>120.618663177856</v>
      </c>
      <c r="N13" s="69" t="n">
        <f aca="false">MAX(0,I13-(O13+P13))</f>
        <v>425.57079883019</v>
      </c>
      <c r="O13" s="69" t="n">
        <f aca="false">4*L13</f>
        <v>80</v>
      </c>
      <c r="P13" s="69" t="n">
        <f aca="false">4*M13</f>
        <v>482.474652711422</v>
      </c>
      <c r="Q13" s="70" t="n">
        <f aca="false">SUM(N13:P13)</f>
        <v>988.045451541612</v>
      </c>
      <c r="S13" s="72" t="n">
        <f aca="false">VLOOKUP($A13,FoodLog!$A$1:$Z$431,12,0)</f>
        <v>402.12</v>
      </c>
      <c r="T13" s="72" t="n">
        <f aca="false">VLOOKUP($A13,FoodLog!$A$1:$Z$431,13,0)</f>
        <v>80.5714285714286</v>
      </c>
      <c r="U13" s="72" t="n">
        <f aca="false">VLOOKUP($A13,FoodLog!$A$1:$Z$431,14,0)</f>
        <v>444.205714285714</v>
      </c>
      <c r="V13" s="72" t="n">
        <f aca="false">VLOOKUP($A13,FoodLog!$A$1:$Z$431,15,0)</f>
        <v>926.897142857143</v>
      </c>
      <c r="W13" s="72" t="n">
        <f aca="false">VLOOKUP($A13,FoodLog!$A$1:$Z$431,16,0)</f>
        <v>23.45079883019</v>
      </c>
      <c r="X13" s="72" t="n">
        <f aca="false">VLOOKUP($A13,FoodLog!$A$1:$Z$431,17,0)</f>
        <v>-0.571428571428598</v>
      </c>
      <c r="Y13" s="72" t="n">
        <f aca="false">VLOOKUP($A13,FoodLog!$A$1:$Z$431,18,0)</f>
        <v>38.268938425708</v>
      </c>
      <c r="Z13" s="72" t="n">
        <f aca="false">VLOOKUP($A13,FoodLog!$A$1:$Z$431,19,0)</f>
        <v>61.148308684469</v>
      </c>
      <c r="AA13" s="71" t="n">
        <f aca="false">($H13-Z13)/3500</f>
        <v>0.406379241024682</v>
      </c>
      <c r="AB13" s="76" t="n">
        <v>198</v>
      </c>
      <c r="AC13" s="76"/>
      <c r="AD13" s="76"/>
      <c r="AE13" s="76"/>
      <c r="AF13" s="76"/>
      <c r="AG13" s="77"/>
    </row>
    <row r="14" customFormat="false" ht="13.8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C13-AA13</f>
        <v>198.221003030355</v>
      </c>
      <c r="D14" s="69" t="n">
        <f aca="false">$D$3</f>
        <v>150.77332897232</v>
      </c>
      <c r="E14" s="70" t="n">
        <f aca="false">C14-D14</f>
        <v>47.4476740580352</v>
      </c>
      <c r="F14" s="58"/>
      <c r="G14" s="71" t="n">
        <f aca="false">C14*TDEE!$B$5</f>
        <v>2466.46452571705</v>
      </c>
      <c r="H14" s="69" t="n">
        <f aca="false">$E14*31</f>
        <v>1470.87789579909</v>
      </c>
      <c r="I14" s="69" t="n">
        <f aca="false">$G14-$H14</f>
        <v>995.586629917959</v>
      </c>
      <c r="J14" s="60" t="n">
        <f aca="false">H14/3500</f>
        <v>0.420250827371169</v>
      </c>
      <c r="K14" s="69" t="n">
        <f aca="false">N14/9</f>
        <v>48.1235530229486</v>
      </c>
      <c r="L14" s="69" t="n">
        <v>20</v>
      </c>
      <c r="M14" s="56" t="n">
        <f aca="false">Protein_Amt!$B$6</f>
        <v>120.618663177856</v>
      </c>
      <c r="N14" s="69" t="n">
        <f aca="false">MAX(0,I14-(O14+P14))</f>
        <v>433.111977206537</v>
      </c>
      <c r="O14" s="69" t="n">
        <f aca="false">4*L14</f>
        <v>80</v>
      </c>
      <c r="P14" s="69" t="n">
        <f aca="false">4*M14</f>
        <v>482.474652711422</v>
      </c>
      <c r="Q14" s="70" t="n">
        <f aca="false">SUM(N14:P14)</f>
        <v>995.586629917959</v>
      </c>
      <c r="S14" s="72" t="n">
        <f aca="false">VLOOKUP($A14,FoodLog!$A$1:$Z$431,12,0)</f>
        <v>462.6</v>
      </c>
      <c r="T14" s="72" t="n">
        <f aca="false">VLOOKUP($A14,FoodLog!$A$1:$Z$431,13,0)</f>
        <v>52.5714285714286</v>
      </c>
      <c r="U14" s="72" t="n">
        <f aca="false">VLOOKUP($A14,FoodLog!$A$1:$Z$431,14,0)</f>
        <v>498.285714285714</v>
      </c>
      <c r="V14" s="72" t="n">
        <f aca="false">VLOOKUP($A14,FoodLog!$A$1:$Z$431,15,0)</f>
        <v>1013.45714285714</v>
      </c>
      <c r="W14" s="72" t="n">
        <f aca="false">VLOOKUP($A14,FoodLog!$A$1:$Z$431,16,0)</f>
        <v>-29.488022793463</v>
      </c>
      <c r="X14" s="72" t="n">
        <f aca="false">VLOOKUP($A14,FoodLog!$A$1:$Z$431,17,0)</f>
        <v>27.4285714285714</v>
      </c>
      <c r="Y14" s="72" t="n">
        <f aca="false">VLOOKUP($A14,FoodLog!$A$1:$Z$431,18,0)</f>
        <v>-15.811061574292</v>
      </c>
      <c r="Z14" s="72" t="n">
        <f aca="false">VLOOKUP($A14,FoodLog!$A$1:$Z$431,19,0)</f>
        <v>-17.8705129391809</v>
      </c>
      <c r="AA14" s="71" t="n">
        <f aca="false">($H14-Z14)/3500</f>
        <v>0.425356688210935</v>
      </c>
      <c r="AB14" s="76" t="n">
        <v>198</v>
      </c>
      <c r="AC14" s="76"/>
      <c r="AD14" s="76"/>
      <c r="AE14" s="76"/>
      <c r="AF14" s="76"/>
      <c r="AG14" s="77"/>
    </row>
    <row r="15" customFormat="false" ht="13.8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C14-AA14</f>
        <v>197.795646342144</v>
      </c>
      <c r="D15" s="69" t="n">
        <f aca="false">$D$3</f>
        <v>150.77332897232</v>
      </c>
      <c r="E15" s="70" t="n">
        <f aca="false">C15-D15</f>
        <v>47.0223173698242</v>
      </c>
      <c r="F15" s="58"/>
      <c r="G15" s="71" t="n">
        <f aca="false">C15*TDEE!$B$5</f>
        <v>2461.17181119028</v>
      </c>
      <c r="H15" s="69" t="n">
        <f aca="false">$E15*31</f>
        <v>1457.69183846455</v>
      </c>
      <c r="I15" s="69" t="n">
        <f aca="false">$G15-$H15</f>
        <v>1003.47997272573</v>
      </c>
      <c r="J15" s="60" t="n">
        <f aca="false">H15/3500</f>
        <v>0.416483382418443</v>
      </c>
      <c r="K15" s="69" t="n">
        <f aca="false">N15/9</f>
        <v>49.0005911127012</v>
      </c>
      <c r="L15" s="69" t="n">
        <v>20</v>
      </c>
      <c r="M15" s="56" t="n">
        <f aca="false">Protein_Amt!$B$6</f>
        <v>120.618663177856</v>
      </c>
      <c r="N15" s="69" t="n">
        <f aca="false">MAX(0,I15-(O15+P15))</f>
        <v>441.005320014311</v>
      </c>
      <c r="O15" s="69" t="n">
        <f aca="false">4*L15</f>
        <v>80</v>
      </c>
      <c r="P15" s="69" t="n">
        <f aca="false">4*M15</f>
        <v>482.474652711422</v>
      </c>
      <c r="Q15" s="70" t="n">
        <f aca="false">SUM(N15:P15)</f>
        <v>1003.47997272573</v>
      </c>
      <c r="S15" s="72" t="n">
        <f aca="false">VLOOKUP($A15,FoodLog!$A$1:$Z$431,12,0)</f>
        <v>455.85</v>
      </c>
      <c r="T15" s="72" t="n">
        <f aca="false">VLOOKUP($A15,FoodLog!$A$1:$Z$431,13,0)</f>
        <v>48.5714285714286</v>
      </c>
      <c r="U15" s="72" t="n">
        <f aca="false">VLOOKUP($A15,FoodLog!$A$1:$Z$431,14,0)</f>
        <v>418.285714285714</v>
      </c>
      <c r="V15" s="72" t="n">
        <f aca="false">VLOOKUP($A15,FoodLog!$A$1:$Z$431,15,0)</f>
        <v>922.707142857143</v>
      </c>
      <c r="W15" s="72" t="n">
        <f aca="false">VLOOKUP($A15,FoodLog!$A$1:$Z$431,16,0)</f>
        <v>-14.8446799856893</v>
      </c>
      <c r="X15" s="72" t="n">
        <f aca="false">VLOOKUP($A15,FoodLog!$A$1:$Z$431,17,0)</f>
        <v>31.4285714285714</v>
      </c>
      <c r="Y15" s="72" t="n">
        <f aca="false">VLOOKUP($A15,FoodLog!$A$1:$Z$431,18,0)</f>
        <v>64.188938425708</v>
      </c>
      <c r="Z15" s="72" t="n">
        <f aca="false">VLOOKUP($A15,FoodLog!$A$1:$Z$431,19,0)</f>
        <v>80.7728298685897</v>
      </c>
      <c r="AA15" s="71" t="n">
        <f aca="false">($H15-Z15)/3500</f>
        <v>0.393405431027418</v>
      </c>
      <c r="AB15" s="76" t="n">
        <v>198.8</v>
      </c>
      <c r="AC15" s="76" t="n">
        <v>27.2</v>
      </c>
      <c r="AD15" s="76" t="n">
        <v>31.2</v>
      </c>
      <c r="AE15" s="76" t="n">
        <v>37.7</v>
      </c>
      <c r="AF15" s="76" t="n">
        <v>28.2</v>
      </c>
      <c r="AG15" s="77" t="n">
        <v>2207</v>
      </c>
    </row>
    <row r="16" customFormat="false" ht="13.8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C15-AA15</f>
        <v>197.402240911117</v>
      </c>
      <c r="D16" s="69" t="n">
        <f aca="false">$D$3</f>
        <v>150.77332897232</v>
      </c>
      <c r="E16" s="70" t="n">
        <f aca="false">C16-D16</f>
        <v>46.6289119387968</v>
      </c>
      <c r="F16" s="58"/>
      <c r="G16" s="71" t="n">
        <f aca="false">C16*TDEE!$B$5</f>
        <v>2456.27666625095</v>
      </c>
      <c r="H16" s="69" t="n">
        <f aca="false">$E16*31</f>
        <v>1445.4962701027</v>
      </c>
      <c r="I16" s="69" t="n">
        <f aca="false">$G16-$H16</f>
        <v>1010.78039614825</v>
      </c>
      <c r="J16" s="60" t="n">
        <f aca="false">H16/3500</f>
        <v>0.412998934315058</v>
      </c>
      <c r="K16" s="69" t="n">
        <f aca="false">N16/9</f>
        <v>49.8117492707586</v>
      </c>
      <c r="L16" s="69" t="n">
        <v>20</v>
      </c>
      <c r="M16" s="56" t="n">
        <f aca="false">Protein_Amt!$B$6</f>
        <v>120.618663177856</v>
      </c>
      <c r="N16" s="69" t="n">
        <f aca="false">MAX(0,I16-(O16+P16))</f>
        <v>448.305743436828</v>
      </c>
      <c r="O16" s="69" t="n">
        <f aca="false">4*L16</f>
        <v>80</v>
      </c>
      <c r="P16" s="69" t="n">
        <f aca="false">4*M16</f>
        <v>482.474652711422</v>
      </c>
      <c r="Q16" s="70" t="n">
        <f aca="false">SUM(N16:P16)</f>
        <v>1010.78039614825</v>
      </c>
      <c r="S16" s="72" t="n">
        <f aca="false">VLOOKUP($A16,FoodLog!$A$1:$Z$431,12,0)</f>
        <v>0</v>
      </c>
      <c r="T16" s="72" t="n">
        <f aca="false">VLOOKUP($A16,FoodLog!$A$1:$Z$431,13,0)</f>
        <v>0</v>
      </c>
      <c r="U16" s="72" t="n">
        <f aca="false">VLOOKUP($A16,FoodLog!$A$1:$Z$431,14,0)</f>
        <v>0</v>
      </c>
      <c r="V16" s="72" t="n">
        <f aca="false">VLOOKUP($A16,FoodLog!$A$1:$Z$431,15,0)</f>
        <v>0</v>
      </c>
      <c r="W16" s="72" t="n">
        <f aca="false">VLOOKUP($A16,FoodLog!$A$1:$Z$431,16,0)</f>
        <v>448.305743436828</v>
      </c>
      <c r="X16" s="72" t="n">
        <f aca="false">VLOOKUP($A16,FoodLog!$A$1:$Z$431,17,0)</f>
        <v>80</v>
      </c>
      <c r="Y16" s="72" t="n">
        <f aca="false">VLOOKUP($A16,FoodLog!$A$1:$Z$431,18,0)</f>
        <v>482.474652711422</v>
      </c>
      <c r="Z16" s="72" t="n">
        <f aca="false">VLOOKUP($A16,FoodLog!$A$1:$Z$431,19,0)</f>
        <v>1010.78039614825</v>
      </c>
      <c r="AA16" s="71" t="n">
        <f aca="false">($H16-Z16)/3500</f>
        <v>0.124204535415558</v>
      </c>
      <c r="AB16" s="76"/>
      <c r="AC16" s="76"/>
      <c r="AD16" s="76"/>
      <c r="AE16" s="76"/>
      <c r="AF16" s="76"/>
      <c r="AG16" s="77"/>
    </row>
    <row r="17" customFormat="false" ht="13.8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C16-AA16</f>
        <v>197.278036375701</v>
      </c>
      <c r="D17" s="69" t="n">
        <f aca="false">$D$3</f>
        <v>150.77332897232</v>
      </c>
      <c r="E17" s="70" t="n">
        <f aca="false">C17-D17</f>
        <v>46.5047074033813</v>
      </c>
      <c r="F17" s="58"/>
      <c r="G17" s="71" t="n">
        <f aca="false">C17*TDEE!$B$5</f>
        <v>2454.73118885021</v>
      </c>
      <c r="H17" s="69" t="n">
        <f aca="false">$E17*31</f>
        <v>1441.64592950482</v>
      </c>
      <c r="I17" s="69" t="n">
        <f aca="false">$G17-$H17</f>
        <v>1013.08525934539</v>
      </c>
      <c r="J17" s="60" t="n">
        <f aca="false">H17/3500</f>
        <v>0.411898837001377</v>
      </c>
      <c r="K17" s="69" t="n">
        <f aca="false">N17/9</f>
        <v>50.0678451815521</v>
      </c>
      <c r="L17" s="69" t="n">
        <v>20</v>
      </c>
      <c r="M17" s="56" t="n">
        <f aca="false">Protein_Amt!$B$6</f>
        <v>120.618663177856</v>
      </c>
      <c r="N17" s="69" t="n">
        <f aca="false">MAX(0,I17-(O17+P17))</f>
        <v>450.610606633969</v>
      </c>
      <c r="O17" s="69" t="n">
        <f aca="false">4*L17</f>
        <v>80</v>
      </c>
      <c r="P17" s="69" t="n">
        <f aca="false">4*M17</f>
        <v>482.474652711422</v>
      </c>
      <c r="Q17" s="70" t="n">
        <f aca="false">SUM(N17:P17)</f>
        <v>1013.08525934539</v>
      </c>
      <c r="S17" s="72" t="n">
        <f aca="false">VLOOKUP($A17,FoodLog!$A$1:$Z$431,12,0)</f>
        <v>0</v>
      </c>
      <c r="T17" s="72" t="n">
        <f aca="false">VLOOKUP($A17,FoodLog!$A$1:$Z$431,13,0)</f>
        <v>0</v>
      </c>
      <c r="U17" s="72" t="n">
        <f aca="false">VLOOKUP($A17,FoodLog!$A$1:$Z$431,14,0)</f>
        <v>0</v>
      </c>
      <c r="V17" s="72" t="n">
        <f aca="false">VLOOKUP($A17,FoodLog!$A$1:$Z$431,15,0)</f>
        <v>0</v>
      </c>
      <c r="W17" s="72" t="n">
        <f aca="false">VLOOKUP($A17,FoodLog!$A$1:$Z$431,16,0)</f>
        <v>450.610606633969</v>
      </c>
      <c r="X17" s="72" t="n">
        <f aca="false">VLOOKUP($A17,FoodLog!$A$1:$Z$431,17,0)</f>
        <v>80</v>
      </c>
      <c r="Y17" s="72" t="n">
        <f aca="false">VLOOKUP($A17,FoodLog!$A$1:$Z$431,18,0)</f>
        <v>482.474652711422</v>
      </c>
      <c r="Z17" s="72" t="n">
        <f aca="false">VLOOKUP($A17,FoodLog!$A$1:$Z$431,19,0)</f>
        <v>1013.08525934539</v>
      </c>
      <c r="AA17" s="71" t="n">
        <f aca="false">($H17-Z17)/3500</f>
        <v>0.122445905759837</v>
      </c>
      <c r="AB17" s="76"/>
      <c r="AC17" s="76"/>
      <c r="AD17" s="76"/>
      <c r="AE17" s="76"/>
      <c r="AF17" s="76"/>
      <c r="AG17" s="77"/>
    </row>
    <row r="18" customFormat="false" ht="13.8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C17-AA17</f>
        <v>197.155590469941</v>
      </c>
      <c r="D18" s="69" t="n">
        <f aca="false">$D$3</f>
        <v>150.77332897232</v>
      </c>
      <c r="E18" s="70" t="n">
        <f aca="false">C18-D18</f>
        <v>46.3822614976214</v>
      </c>
      <c r="F18" s="58"/>
      <c r="G18" s="71" t="n">
        <f aca="false">C18*TDEE!$B$5</f>
        <v>2453.20759408347</v>
      </c>
      <c r="H18" s="69" t="n">
        <f aca="false">$E18*31</f>
        <v>1437.85010642626</v>
      </c>
      <c r="I18" s="69" t="n">
        <f aca="false">$G18-$H18</f>
        <v>1015.3574876572</v>
      </c>
      <c r="J18" s="60" t="n">
        <f aca="false">H18/3500</f>
        <v>0.41081431612179</v>
      </c>
      <c r="K18" s="69" t="n">
        <f aca="false">N18/9</f>
        <v>50.3203149939754</v>
      </c>
      <c r="L18" s="69" t="n">
        <v>20</v>
      </c>
      <c r="M18" s="56" t="n">
        <f aca="false">Protein_Amt!$B$6</f>
        <v>120.618663177856</v>
      </c>
      <c r="N18" s="69" t="n">
        <f aca="false">MAX(0,I18-(O18+P18))</f>
        <v>452.882834945779</v>
      </c>
      <c r="O18" s="69" t="n">
        <f aca="false">4*L18</f>
        <v>80</v>
      </c>
      <c r="P18" s="69" t="n">
        <f aca="false">4*M18</f>
        <v>482.474652711422</v>
      </c>
      <c r="Q18" s="70" t="n">
        <f aca="false">SUM(N18:P18)</f>
        <v>1015.3574876572</v>
      </c>
      <c r="S18" s="72" t="n">
        <f aca="false">VLOOKUP($A18,FoodLog!$A$1:$Z$431,12,0)</f>
        <v>0</v>
      </c>
      <c r="T18" s="72" t="n">
        <f aca="false">VLOOKUP($A18,FoodLog!$A$1:$Z$431,13,0)</f>
        <v>0</v>
      </c>
      <c r="U18" s="72" t="n">
        <f aca="false">VLOOKUP($A18,FoodLog!$A$1:$Z$431,14,0)</f>
        <v>0</v>
      </c>
      <c r="V18" s="72" t="n">
        <f aca="false">VLOOKUP($A18,FoodLog!$A$1:$Z$431,15,0)</f>
        <v>0</v>
      </c>
      <c r="W18" s="72" t="n">
        <f aca="false">VLOOKUP($A18,FoodLog!$A$1:$Z$431,16,0)</f>
        <v>452.882834945779</v>
      </c>
      <c r="X18" s="72" t="n">
        <f aca="false">VLOOKUP($A18,FoodLog!$A$1:$Z$431,17,0)</f>
        <v>80</v>
      </c>
      <c r="Y18" s="72" t="n">
        <f aca="false">VLOOKUP($A18,FoodLog!$A$1:$Z$431,18,0)</f>
        <v>482.474652711422</v>
      </c>
      <c r="Z18" s="72" t="n">
        <f aca="false">VLOOKUP($A18,FoodLog!$A$1:$Z$431,19,0)</f>
        <v>1015.3574876572</v>
      </c>
      <c r="AA18" s="71" t="n">
        <f aca="false">($H18-Z18)/3500</f>
        <v>0.120712176791161</v>
      </c>
      <c r="AB18" s="76"/>
      <c r="AC18" s="76"/>
      <c r="AD18" s="76"/>
      <c r="AE18" s="76"/>
      <c r="AF18" s="76"/>
      <c r="AG18" s="77"/>
    </row>
    <row r="19" customFormat="false" ht="13.8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C18-AA18</f>
        <v>197.03487829315</v>
      </c>
      <c r="D19" s="69" t="n">
        <f aca="false">$D$3</f>
        <v>150.77332897232</v>
      </c>
      <c r="E19" s="70" t="n">
        <f aca="false">C19-D19</f>
        <v>46.2615493208303</v>
      </c>
      <c r="F19" s="58"/>
      <c r="G19" s="71" t="n">
        <f aca="false">C19*TDEE!$B$5</f>
        <v>2451.70557211139</v>
      </c>
      <c r="H19" s="69" t="n">
        <f aca="false">$E19*31</f>
        <v>1434.10802894574</v>
      </c>
      <c r="I19" s="69" t="n">
        <f aca="false">$G19-$H19</f>
        <v>1017.59754316566</v>
      </c>
      <c r="J19" s="60" t="n">
        <f aca="false">H19/3500</f>
        <v>0.409745151127354</v>
      </c>
      <c r="K19" s="69" t="n">
        <f aca="false">N19/9</f>
        <v>50.5692100504704</v>
      </c>
      <c r="L19" s="69" t="n">
        <v>20</v>
      </c>
      <c r="M19" s="56" t="n">
        <f aca="false">Protein_Amt!$B$6</f>
        <v>120.618663177856</v>
      </c>
      <c r="N19" s="69" t="n">
        <f aca="false">MAX(0,I19-(O19+P19))</f>
        <v>455.122890454234</v>
      </c>
      <c r="O19" s="69" t="n">
        <f aca="false">4*L19</f>
        <v>80</v>
      </c>
      <c r="P19" s="69" t="n">
        <f aca="false">4*M19</f>
        <v>482.474652711422</v>
      </c>
      <c r="Q19" s="70" t="n">
        <f aca="false">SUM(N19:P19)</f>
        <v>1017.59754316566</v>
      </c>
      <c r="S19" s="72" t="n">
        <f aca="false">VLOOKUP($A19,FoodLog!$A$1:$Z$431,12,0)</f>
        <v>0</v>
      </c>
      <c r="T19" s="72" t="n">
        <f aca="false">VLOOKUP($A19,FoodLog!$A$1:$Z$431,13,0)</f>
        <v>0</v>
      </c>
      <c r="U19" s="72" t="n">
        <f aca="false">VLOOKUP($A19,FoodLog!$A$1:$Z$431,14,0)</f>
        <v>0</v>
      </c>
      <c r="V19" s="72" t="n">
        <f aca="false">VLOOKUP($A19,FoodLog!$A$1:$Z$431,15,0)</f>
        <v>0</v>
      </c>
      <c r="W19" s="72" t="n">
        <f aca="false">VLOOKUP($A19,FoodLog!$A$1:$Z$431,16,0)</f>
        <v>455.122890454234</v>
      </c>
      <c r="X19" s="72" t="n">
        <f aca="false">VLOOKUP($A19,FoodLog!$A$1:$Z$431,17,0)</f>
        <v>80</v>
      </c>
      <c r="Y19" s="72" t="n">
        <f aca="false">VLOOKUP($A19,FoodLog!$A$1:$Z$431,18,0)</f>
        <v>482.474652711422</v>
      </c>
      <c r="Z19" s="72" t="n">
        <f aca="false">VLOOKUP($A19,FoodLog!$A$1:$Z$431,19,0)</f>
        <v>1017.59754316566</v>
      </c>
      <c r="AA19" s="71" t="n">
        <f aca="false">($H19-Z19)/3500</f>
        <v>0.119002995937167</v>
      </c>
      <c r="AB19" s="76"/>
      <c r="AC19" s="76"/>
      <c r="AD19" s="76"/>
      <c r="AE19" s="76"/>
      <c r="AF19" s="76"/>
      <c r="AG19" s="77"/>
    </row>
    <row r="20" customFormat="false" ht="13.8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C19-AA19</f>
        <v>196.915875297213</v>
      </c>
      <c r="D20" s="69" t="n">
        <f aca="false">$D$3</f>
        <v>150.77332897232</v>
      </c>
      <c r="E20" s="70" t="n">
        <f aca="false">C20-D20</f>
        <v>46.1425463248931</v>
      </c>
      <c r="F20" s="58"/>
      <c r="G20" s="71" t="n">
        <f aca="false">C20*TDEE!$B$5</f>
        <v>2450.22481748173</v>
      </c>
      <c r="H20" s="69" t="n">
        <f aca="false">$E20*31</f>
        <v>1430.41893607169</v>
      </c>
      <c r="I20" s="69" t="n">
        <f aca="false">$G20-$H20</f>
        <v>1019.80588141005</v>
      </c>
      <c r="J20" s="60" t="n">
        <f aca="false">H20/3500</f>
        <v>0.40869112459191</v>
      </c>
      <c r="K20" s="69" t="n">
        <f aca="false">N20/9</f>
        <v>50.814580966514</v>
      </c>
      <c r="L20" s="69" t="n">
        <v>20</v>
      </c>
      <c r="M20" s="56" t="n">
        <f aca="false">Protein_Amt!$B$6</f>
        <v>120.618663177856</v>
      </c>
      <c r="N20" s="69" t="n">
        <f aca="false">MAX(0,I20-(O20+P20))</f>
        <v>457.331228698626</v>
      </c>
      <c r="O20" s="69" t="n">
        <f aca="false">4*L20</f>
        <v>80</v>
      </c>
      <c r="P20" s="69" t="n">
        <f aca="false">4*M20</f>
        <v>482.474652711422</v>
      </c>
      <c r="Q20" s="70" t="n">
        <f aca="false">SUM(N20:P20)</f>
        <v>1019.80588141005</v>
      </c>
      <c r="S20" s="72" t="n">
        <f aca="false">VLOOKUP($A20,FoodLog!$A$1:$Z$431,12,0)</f>
        <v>0</v>
      </c>
      <c r="T20" s="72" t="n">
        <f aca="false">VLOOKUP($A20,FoodLog!$A$1:$Z$431,13,0)</f>
        <v>0</v>
      </c>
      <c r="U20" s="72" t="n">
        <f aca="false">VLOOKUP($A20,FoodLog!$A$1:$Z$431,14,0)</f>
        <v>0</v>
      </c>
      <c r="V20" s="72" t="n">
        <f aca="false">VLOOKUP($A20,FoodLog!$A$1:$Z$431,15,0)</f>
        <v>0</v>
      </c>
      <c r="W20" s="72" t="n">
        <f aca="false">VLOOKUP($A20,FoodLog!$A$1:$Z$431,16,0)</f>
        <v>457.331228698626</v>
      </c>
      <c r="X20" s="72" t="n">
        <f aca="false">VLOOKUP($A20,FoodLog!$A$1:$Z$431,17,0)</f>
        <v>80</v>
      </c>
      <c r="Y20" s="72" t="n">
        <f aca="false">VLOOKUP($A20,FoodLog!$A$1:$Z$431,18,0)</f>
        <v>482.474652711422</v>
      </c>
      <c r="Z20" s="72" t="n">
        <f aca="false">VLOOKUP($A20,FoodLog!$A$1:$Z$431,19,0)</f>
        <v>1019.80588141005</v>
      </c>
      <c r="AA20" s="71" t="n">
        <f aca="false">($H20-Z20)/3500</f>
        <v>0.117318015617611</v>
      </c>
      <c r="AB20" s="76"/>
      <c r="AC20" s="76"/>
      <c r="AD20" s="76"/>
      <c r="AE20" s="76"/>
      <c r="AF20" s="76"/>
      <c r="AG20" s="77"/>
    </row>
    <row r="21" customFormat="false" ht="13.8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C20-AA20</f>
        <v>196.798557281596</v>
      </c>
      <c r="D21" s="69" t="n">
        <f aca="false">$D$3</f>
        <v>150.77332897232</v>
      </c>
      <c r="E21" s="70" t="n">
        <f aca="false">C21-D21</f>
        <v>46.0252283092755</v>
      </c>
      <c r="F21" s="58"/>
      <c r="G21" s="71" t="n">
        <f aca="false">C21*TDEE!$B$5</f>
        <v>2448.76502906716</v>
      </c>
      <c r="H21" s="69" t="n">
        <f aca="false">$E21*31</f>
        <v>1426.78207758754</v>
      </c>
      <c r="I21" s="69" t="n">
        <f aca="false">$G21-$H21</f>
        <v>1021.98295147962</v>
      </c>
      <c r="J21" s="60" t="n">
        <f aca="false">H21/3500</f>
        <v>0.407652022167869</v>
      </c>
      <c r="K21" s="69" t="n">
        <f aca="false">N21/9</f>
        <v>51.0564776409112</v>
      </c>
      <c r="L21" s="69" t="n">
        <v>20</v>
      </c>
      <c r="M21" s="56" t="n">
        <f aca="false">Protein_Amt!$B$6</f>
        <v>120.618663177856</v>
      </c>
      <c r="N21" s="69" t="n">
        <f aca="false">MAX(0,I21-(O21+P21))</f>
        <v>459.508298768201</v>
      </c>
      <c r="O21" s="69" t="n">
        <f aca="false">4*L21</f>
        <v>80</v>
      </c>
      <c r="P21" s="69" t="n">
        <f aca="false">4*M21</f>
        <v>482.474652711422</v>
      </c>
      <c r="Q21" s="70" t="n">
        <f aca="false">SUM(N21:P21)</f>
        <v>1021.98295147962</v>
      </c>
      <c r="S21" s="72" t="n">
        <f aca="false">VLOOKUP($A21,FoodLog!$A$1:$Z$431,12,0)</f>
        <v>0</v>
      </c>
      <c r="T21" s="72" t="n">
        <f aca="false">VLOOKUP($A21,FoodLog!$A$1:$Z$431,13,0)</f>
        <v>0</v>
      </c>
      <c r="U21" s="72" t="n">
        <f aca="false">VLOOKUP($A21,FoodLog!$A$1:$Z$431,14,0)</f>
        <v>0</v>
      </c>
      <c r="V21" s="72" t="n">
        <f aca="false">VLOOKUP($A21,FoodLog!$A$1:$Z$431,15,0)</f>
        <v>0</v>
      </c>
      <c r="W21" s="72" t="n">
        <f aca="false">VLOOKUP($A21,FoodLog!$A$1:$Z$431,16,0)</f>
        <v>459.508298768201</v>
      </c>
      <c r="X21" s="72" t="n">
        <f aca="false">VLOOKUP($A21,FoodLog!$A$1:$Z$431,17,0)</f>
        <v>80</v>
      </c>
      <c r="Y21" s="72" t="n">
        <f aca="false">VLOOKUP($A21,FoodLog!$A$1:$Z$431,18,0)</f>
        <v>482.474652711422</v>
      </c>
      <c r="Z21" s="72" t="n">
        <f aca="false">VLOOKUP($A21,FoodLog!$A$1:$Z$431,19,0)</f>
        <v>1021.98295147962</v>
      </c>
      <c r="AA21" s="71" t="n">
        <f aca="false">($H21-Z21)/3500</f>
        <v>0.115656893173691</v>
      </c>
      <c r="AB21" s="76"/>
      <c r="AC21" s="76"/>
      <c r="AD21" s="76"/>
      <c r="AE21" s="76"/>
      <c r="AF21" s="76"/>
      <c r="AG21" s="77"/>
    </row>
    <row r="22" customFormat="false" ht="13.8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C21-AA21</f>
        <v>196.682900388422</v>
      </c>
      <c r="D22" s="69" t="n">
        <f aca="false">$D$3</f>
        <v>150.77332897232</v>
      </c>
      <c r="E22" s="70" t="n">
        <f aca="false">C22-D22</f>
        <v>45.9095714161018</v>
      </c>
      <c r="F22" s="58"/>
      <c r="G22" s="71" t="n">
        <f aca="false">C22*TDEE!$B$5</f>
        <v>2447.32591000407</v>
      </c>
      <c r="H22" s="69" t="n">
        <f aca="false">$E22*31</f>
        <v>1423.19671389916</v>
      </c>
      <c r="I22" s="69" t="n">
        <f aca="false">$G22-$H22</f>
        <v>1024.12919610491</v>
      </c>
      <c r="J22" s="60" t="n">
        <f aca="false">H22/3500</f>
        <v>0.406627632542616</v>
      </c>
      <c r="K22" s="69" t="n">
        <f aca="false">N22/9</f>
        <v>51.294949265943</v>
      </c>
      <c r="L22" s="69" t="n">
        <v>20</v>
      </c>
      <c r="M22" s="56" t="n">
        <f aca="false">Protein_Amt!$B$6</f>
        <v>120.618663177856</v>
      </c>
      <c r="N22" s="69" t="n">
        <f aca="false">MAX(0,I22-(O22+P22))</f>
        <v>461.654543393487</v>
      </c>
      <c r="O22" s="69" t="n">
        <f aca="false">4*L22</f>
        <v>80</v>
      </c>
      <c r="P22" s="69" t="n">
        <f aca="false">4*M22</f>
        <v>482.474652711422</v>
      </c>
      <c r="Q22" s="70" t="n">
        <f aca="false">SUM(N22:P22)</f>
        <v>1024.12919610491</v>
      </c>
      <c r="S22" s="72" t="n">
        <f aca="false">VLOOKUP($A22,FoodLog!$A$1:$Z$431,12,0)</f>
        <v>0</v>
      </c>
      <c r="T22" s="72" t="n">
        <f aca="false">VLOOKUP($A22,FoodLog!$A$1:$Z$431,13,0)</f>
        <v>0</v>
      </c>
      <c r="U22" s="72" t="n">
        <f aca="false">VLOOKUP($A22,FoodLog!$A$1:$Z$431,14,0)</f>
        <v>0</v>
      </c>
      <c r="V22" s="72" t="n">
        <f aca="false">VLOOKUP($A22,FoodLog!$A$1:$Z$431,15,0)</f>
        <v>0</v>
      </c>
      <c r="W22" s="72" t="n">
        <f aca="false">VLOOKUP($A22,FoodLog!$A$1:$Z$431,16,0)</f>
        <v>461.654543393487</v>
      </c>
      <c r="X22" s="72" t="n">
        <f aca="false">VLOOKUP($A22,FoodLog!$A$1:$Z$431,17,0)</f>
        <v>80</v>
      </c>
      <c r="Y22" s="72" t="n">
        <f aca="false">VLOOKUP($A22,FoodLog!$A$1:$Z$431,18,0)</f>
        <v>482.474652711422</v>
      </c>
      <c r="Z22" s="72" t="n">
        <f aca="false">VLOOKUP($A22,FoodLog!$A$1:$Z$431,19,0)</f>
        <v>1024.12919610491</v>
      </c>
      <c r="AA22" s="71" t="n">
        <f aca="false">($H22-Z22)/3500</f>
        <v>0.114019290798357</v>
      </c>
      <c r="AB22" s="76"/>
      <c r="AC22" s="76"/>
      <c r="AD22" s="76"/>
      <c r="AE22" s="76"/>
      <c r="AF22" s="76"/>
      <c r="AG22" s="77"/>
    </row>
    <row r="23" customFormat="false" ht="13.8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C22-AA22</f>
        <v>196.568881097624</v>
      </c>
      <c r="D23" s="69" t="n">
        <f aca="false">$D$3</f>
        <v>150.77332897232</v>
      </c>
      <c r="E23" s="70" t="n">
        <f aca="false">C23-D23</f>
        <v>45.7955521253035</v>
      </c>
      <c r="F23" s="58"/>
      <c r="G23" s="71" t="n">
        <f aca="false">C23*TDEE!$B$5</f>
        <v>2445.90716763216</v>
      </c>
      <c r="H23" s="69" t="n">
        <f aca="false">$E23*31</f>
        <v>1419.66211588441</v>
      </c>
      <c r="I23" s="69" t="n">
        <f aca="false">$G23-$H23</f>
        <v>1026.24505174775</v>
      </c>
      <c r="J23" s="60" t="n">
        <f aca="false">H23/3500</f>
        <v>0.405617747395545</v>
      </c>
      <c r="K23" s="69" t="n">
        <f aca="false">N23/9</f>
        <v>51.5300443373695</v>
      </c>
      <c r="L23" s="69" t="n">
        <v>20</v>
      </c>
      <c r="M23" s="56" t="n">
        <f aca="false">Protein_Amt!$B$6</f>
        <v>120.618663177856</v>
      </c>
      <c r="N23" s="69" t="n">
        <f aca="false">MAX(0,I23-(O23+P23))</f>
        <v>463.770399036326</v>
      </c>
      <c r="O23" s="69" t="n">
        <f aca="false">4*L23</f>
        <v>80</v>
      </c>
      <c r="P23" s="69" t="n">
        <f aca="false">4*M23</f>
        <v>482.474652711422</v>
      </c>
      <c r="Q23" s="70" t="n">
        <f aca="false">SUM(N23:P23)</f>
        <v>1026.24505174775</v>
      </c>
      <c r="S23" s="72" t="n">
        <f aca="false">VLOOKUP($A23,FoodLog!$A$1:$Z$431,12,0)</f>
        <v>0</v>
      </c>
      <c r="T23" s="72" t="n">
        <f aca="false">VLOOKUP($A23,FoodLog!$A$1:$Z$431,13,0)</f>
        <v>0</v>
      </c>
      <c r="U23" s="72" t="n">
        <f aca="false">VLOOKUP($A23,FoodLog!$A$1:$Z$431,14,0)</f>
        <v>0</v>
      </c>
      <c r="V23" s="72" t="n">
        <f aca="false">VLOOKUP($A23,FoodLog!$A$1:$Z$431,15,0)</f>
        <v>0</v>
      </c>
      <c r="W23" s="72" t="n">
        <f aca="false">VLOOKUP($A23,FoodLog!$A$1:$Z$431,16,0)</f>
        <v>463.770399036326</v>
      </c>
      <c r="X23" s="72" t="n">
        <f aca="false">VLOOKUP($A23,FoodLog!$A$1:$Z$431,17,0)</f>
        <v>80</v>
      </c>
      <c r="Y23" s="72" t="n">
        <f aca="false">VLOOKUP($A23,FoodLog!$A$1:$Z$431,18,0)</f>
        <v>482.474652711422</v>
      </c>
      <c r="Z23" s="72" t="n">
        <f aca="false">VLOOKUP($A23,FoodLog!$A$1:$Z$431,19,0)</f>
        <v>1026.24505174775</v>
      </c>
      <c r="AA23" s="71" t="n">
        <f aca="false">($H23-Z23)/3500</f>
        <v>0.112404875467617</v>
      </c>
      <c r="AB23" s="76"/>
      <c r="AC23" s="76"/>
      <c r="AD23" s="76"/>
      <c r="AE23" s="76"/>
      <c r="AF23" s="76"/>
      <c r="AG23" s="77"/>
    </row>
    <row r="24" customFormat="false" ht="13.8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C23-AA23</f>
        <v>196.456476222156</v>
      </c>
      <c r="D24" s="69" t="n">
        <f aca="false">$D$3</f>
        <v>150.77332897232</v>
      </c>
      <c r="E24" s="70" t="n">
        <f aca="false">C24-D24</f>
        <v>45.6831472498359</v>
      </c>
      <c r="F24" s="58"/>
      <c r="G24" s="71" t="n">
        <f aca="false">C24*TDEE!$B$5</f>
        <v>2444.50851343497</v>
      </c>
      <c r="H24" s="69" t="n">
        <f aca="false">$E24*31</f>
        <v>1416.17756474491</v>
      </c>
      <c r="I24" s="69" t="n">
        <f aca="false">$G24-$H24</f>
        <v>1028.33094869006</v>
      </c>
      <c r="J24" s="60" t="n">
        <f aca="false">H24/3500</f>
        <v>0.404622161355689</v>
      </c>
      <c r="K24" s="69" t="n">
        <f aca="false">N24/9</f>
        <v>51.761810664293</v>
      </c>
      <c r="L24" s="69" t="n">
        <v>20</v>
      </c>
      <c r="M24" s="56" t="n">
        <f aca="false">Protein_Amt!$B$6</f>
        <v>120.618663177856</v>
      </c>
      <c r="N24" s="69" t="n">
        <f aca="false">MAX(0,I24-(O24+P24))</f>
        <v>465.856295978637</v>
      </c>
      <c r="O24" s="69" t="n">
        <f aca="false">4*L24</f>
        <v>80</v>
      </c>
      <c r="P24" s="69" t="n">
        <f aca="false">4*M24</f>
        <v>482.474652711422</v>
      </c>
      <c r="Q24" s="70" t="n">
        <f aca="false">SUM(N24:P24)</f>
        <v>1028.33094869006</v>
      </c>
      <c r="S24" s="72" t="n">
        <f aca="false">VLOOKUP($A24,FoodLog!$A$1:$Z$431,12,0)</f>
        <v>0</v>
      </c>
      <c r="T24" s="72" t="n">
        <f aca="false">VLOOKUP($A24,FoodLog!$A$1:$Z$431,13,0)</f>
        <v>0</v>
      </c>
      <c r="U24" s="72" t="n">
        <f aca="false">VLOOKUP($A24,FoodLog!$A$1:$Z$431,14,0)</f>
        <v>0</v>
      </c>
      <c r="V24" s="72" t="n">
        <f aca="false">VLOOKUP($A24,FoodLog!$A$1:$Z$431,15,0)</f>
        <v>0</v>
      </c>
      <c r="W24" s="72" t="n">
        <f aca="false">VLOOKUP($A24,FoodLog!$A$1:$Z$431,16,0)</f>
        <v>465.856295978637</v>
      </c>
      <c r="X24" s="72" t="n">
        <f aca="false">VLOOKUP($A24,FoodLog!$A$1:$Z$431,17,0)</f>
        <v>80</v>
      </c>
      <c r="Y24" s="72" t="n">
        <f aca="false">VLOOKUP($A24,FoodLog!$A$1:$Z$431,18,0)</f>
        <v>482.474652711422</v>
      </c>
      <c r="Z24" s="72" t="n">
        <f aca="false">VLOOKUP($A24,FoodLog!$A$1:$Z$431,19,0)</f>
        <v>1028.33094869006</v>
      </c>
      <c r="AA24" s="71" t="n">
        <f aca="false">($H24-Z24)/3500</f>
        <v>0.110813318872815</v>
      </c>
      <c r="AB24" s="76"/>
      <c r="AC24" s="76"/>
      <c r="AD24" s="76"/>
      <c r="AE24" s="76"/>
      <c r="AF24" s="76"/>
      <c r="AG24" s="77"/>
    </row>
    <row r="25" customFormat="false" ht="13.8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C24-AA24</f>
        <v>196.345662903283</v>
      </c>
      <c r="D25" s="69" t="n">
        <f aca="false">$D$3</f>
        <v>150.77332897232</v>
      </c>
      <c r="E25" s="70" t="n">
        <f aca="false">C25-D25</f>
        <v>45.5723339309631</v>
      </c>
      <c r="F25" s="58"/>
      <c r="G25" s="71" t="n">
        <f aca="false">C25*TDEE!$B$5</f>
        <v>2443.12966298119</v>
      </c>
      <c r="H25" s="69" t="n">
        <f aca="false">$E25*31</f>
        <v>1412.74235185985</v>
      </c>
      <c r="I25" s="69" t="n">
        <f aca="false">$G25-$H25</f>
        <v>1030.38731112134</v>
      </c>
      <c r="J25" s="60" t="n">
        <f aca="false">H25/3500</f>
        <v>0.403640671959959</v>
      </c>
      <c r="K25" s="69" t="n">
        <f aca="false">N25/9</f>
        <v>51.9902953788796</v>
      </c>
      <c r="L25" s="69" t="n">
        <v>20</v>
      </c>
      <c r="M25" s="56" t="n">
        <f aca="false">Protein_Amt!$B$6</f>
        <v>120.618663177856</v>
      </c>
      <c r="N25" s="69" t="n">
        <f aca="false">MAX(0,I25-(O25+P25))</f>
        <v>467.912658409916</v>
      </c>
      <c r="O25" s="69" t="n">
        <f aca="false">4*L25</f>
        <v>80</v>
      </c>
      <c r="P25" s="69" t="n">
        <f aca="false">4*M25</f>
        <v>482.474652711422</v>
      </c>
      <c r="Q25" s="70" t="n">
        <f aca="false">SUM(N25:P25)</f>
        <v>1030.38731112134</v>
      </c>
      <c r="S25" s="72"/>
      <c r="T25" s="72"/>
      <c r="U25" s="72"/>
      <c r="V25" s="72"/>
      <c r="W25" s="72"/>
      <c r="X25" s="72"/>
      <c r="Y25" s="72"/>
      <c r="Z25" s="72"/>
      <c r="AA25" s="71" t="n">
        <f aca="false">($H25-Z25)/3500</f>
        <v>0.403640671959959</v>
      </c>
      <c r="AB25" s="76"/>
      <c r="AC25" s="76"/>
      <c r="AD25" s="76"/>
      <c r="AE25" s="76"/>
      <c r="AF25" s="76"/>
      <c r="AG25" s="77"/>
    </row>
    <row r="26" customFormat="false" ht="13.8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C25-AA25</f>
        <v>195.942022231323</v>
      </c>
      <c r="D26" s="69" t="n">
        <f aca="false">$D$3</f>
        <v>150.77332897232</v>
      </c>
      <c r="E26" s="70" t="n">
        <f aca="false">C26-D26</f>
        <v>45.1686932590031</v>
      </c>
      <c r="F26" s="58"/>
      <c r="G26" s="71" t="n">
        <f aca="false">C26*TDEE!$B$5</f>
        <v>2438.10716090873</v>
      </c>
      <c r="H26" s="69" t="n">
        <f aca="false">$E26*31</f>
        <v>1400.2294910291</v>
      </c>
      <c r="I26" s="69" t="n">
        <f aca="false">$G26-$H26</f>
        <v>1037.87766987963</v>
      </c>
      <c r="J26" s="60" t="n">
        <f aca="false">H26/3500</f>
        <v>0.400065568865456</v>
      </c>
      <c r="K26" s="69" t="n">
        <f aca="false">N26/9</f>
        <v>52.8225574631346</v>
      </c>
      <c r="L26" s="69" t="n">
        <v>20</v>
      </c>
      <c r="M26" s="56" t="n">
        <f aca="false">Protein_Amt!$B$6</f>
        <v>120.618663177856</v>
      </c>
      <c r="N26" s="69" t="n">
        <f aca="false">MAX(0,I26-(O26+P26))</f>
        <v>475.403017168211</v>
      </c>
      <c r="O26" s="69" t="n">
        <f aca="false">4*L26</f>
        <v>80</v>
      </c>
      <c r="P26" s="69" t="n">
        <f aca="false">4*M26</f>
        <v>482.474652711422</v>
      </c>
      <c r="Q26" s="70" t="n">
        <f aca="false">SUM(N26:P26)</f>
        <v>1037.87766987963</v>
      </c>
      <c r="S26" s="72"/>
      <c r="T26" s="72"/>
      <c r="U26" s="72"/>
      <c r="V26" s="72"/>
      <c r="W26" s="72"/>
      <c r="X26" s="72"/>
      <c r="Y26" s="72"/>
      <c r="Z26" s="72"/>
      <c r="AA26" s="71" t="n">
        <f aca="false">($H26-Z26)/3500</f>
        <v>0.400065568865456</v>
      </c>
      <c r="AB26" s="76"/>
      <c r="AC26" s="76"/>
      <c r="AD26" s="76"/>
      <c r="AE26" s="76"/>
      <c r="AF26" s="76"/>
      <c r="AG26" s="77"/>
    </row>
    <row r="27" customFormat="false" ht="13.8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C26-AA26</f>
        <v>195.541956662458</v>
      </c>
      <c r="D27" s="69" t="n">
        <f aca="false">$D$3</f>
        <v>150.77332897232</v>
      </c>
      <c r="E27" s="70" t="n">
        <f aca="false">C27-D27</f>
        <v>44.7686276901377</v>
      </c>
      <c r="F27" s="58"/>
      <c r="G27" s="71" t="n">
        <f aca="false">C27*TDEE!$B$5</f>
        <v>2433.12914385462</v>
      </c>
      <c r="H27" s="69" t="n">
        <f aca="false">$E27*31</f>
        <v>1387.82745839427</v>
      </c>
      <c r="I27" s="69" t="n">
        <f aca="false">$G27-$H27</f>
        <v>1045.30168546035</v>
      </c>
      <c r="J27" s="60" t="n">
        <f aca="false">H27/3500</f>
        <v>0.396522130969791</v>
      </c>
      <c r="K27" s="69" t="n">
        <f aca="false">N27/9</f>
        <v>53.6474480832147</v>
      </c>
      <c r="L27" s="69" t="n">
        <v>20</v>
      </c>
      <c r="M27" s="56" t="n">
        <f aca="false">Protein_Amt!$B$6</f>
        <v>120.618663177856</v>
      </c>
      <c r="N27" s="69" t="n">
        <f aca="false">MAX(0,I27-(O27+P27))</f>
        <v>482.827032748932</v>
      </c>
      <c r="O27" s="69" t="n">
        <f aca="false">4*L27</f>
        <v>80</v>
      </c>
      <c r="P27" s="69" t="n">
        <f aca="false">4*M27</f>
        <v>482.474652711422</v>
      </c>
      <c r="Q27" s="70" t="n">
        <f aca="false">SUM(N27:P27)</f>
        <v>1045.30168546035</v>
      </c>
      <c r="S27" s="72"/>
      <c r="T27" s="72"/>
      <c r="U27" s="72"/>
      <c r="V27" s="72"/>
      <c r="W27" s="72"/>
      <c r="X27" s="72"/>
      <c r="Y27" s="72"/>
      <c r="Z27" s="72"/>
      <c r="AA27" s="71" t="n">
        <f aca="false">($H27-Z27)/3500</f>
        <v>0.396522130969791</v>
      </c>
      <c r="AB27" s="76"/>
      <c r="AC27" s="76"/>
      <c r="AD27" s="76"/>
      <c r="AE27" s="76"/>
      <c r="AF27" s="76"/>
      <c r="AG27" s="77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C27-AA27</f>
        <v>195.145434531488</v>
      </c>
      <c r="D28" s="69" t="n">
        <f aca="false">$D$3</f>
        <v>150.77332897232</v>
      </c>
      <c r="E28" s="70" t="n">
        <f aca="false">C28-D28</f>
        <v>44.3721055591679</v>
      </c>
      <c r="F28" s="58"/>
      <c r="G28" s="71" t="n">
        <f aca="false">C28*TDEE!$B$5</f>
        <v>2428.19521780871</v>
      </c>
      <c r="H28" s="69" t="n">
        <f aca="false">$E28*31</f>
        <v>1375.5352723342</v>
      </c>
      <c r="I28" s="69" t="n">
        <f aca="false">$G28-$H28</f>
        <v>1052.6599454745</v>
      </c>
      <c r="J28" s="60" t="n">
        <f aca="false">H28/3500</f>
        <v>0.393010077809772</v>
      </c>
      <c r="K28" s="69" t="n">
        <f aca="false">N28/9</f>
        <v>54.4650325292313</v>
      </c>
      <c r="L28" s="69" t="n">
        <v>20</v>
      </c>
      <c r="M28" s="56" t="n">
        <f aca="false">Protein_Amt!$B$6</f>
        <v>120.618663177856</v>
      </c>
      <c r="N28" s="69" t="n">
        <f aca="false">MAX(0,I28-(O28+P28))</f>
        <v>490.185292763082</v>
      </c>
      <c r="O28" s="69" t="n">
        <f aca="false">4*L28</f>
        <v>80</v>
      </c>
      <c r="P28" s="69" t="n">
        <f aca="false">4*M28</f>
        <v>482.474652711422</v>
      </c>
      <c r="Q28" s="70" t="n">
        <f aca="false">SUM(N28:P28)</f>
        <v>1052.6599454745</v>
      </c>
      <c r="S28" s="79"/>
      <c r="T28" s="76"/>
      <c r="U28" s="76"/>
      <c r="V28" s="76"/>
      <c r="W28" s="76"/>
      <c r="X28" s="76"/>
      <c r="Y28" s="76"/>
      <c r="Z28" s="80"/>
      <c r="AA28" s="71" t="n">
        <f aca="false">($H28-Z28)/3500</f>
        <v>0.393010077809772</v>
      </c>
      <c r="AB28" s="76"/>
      <c r="AC28" s="76"/>
      <c r="AD28" s="76"/>
      <c r="AE28" s="76"/>
      <c r="AF28" s="76"/>
      <c r="AG28" s="77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C28-AA28</f>
        <v>194.752424453678</v>
      </c>
      <c r="D29" s="69" t="n">
        <f aca="false">$D$3</f>
        <v>150.77332897232</v>
      </c>
      <c r="E29" s="70" t="n">
        <f aca="false">C29-D29</f>
        <v>43.9790954813581</v>
      </c>
      <c r="F29" s="58"/>
      <c r="G29" s="71" t="n">
        <f aca="false">C29*TDEE!$B$5</f>
        <v>2423.30499225063</v>
      </c>
      <c r="H29" s="69" t="n">
        <f aca="false">$E29*31</f>
        <v>1363.3519599221</v>
      </c>
      <c r="I29" s="69" t="n">
        <f aca="false">$G29-$H29</f>
        <v>1059.95303232853</v>
      </c>
      <c r="J29" s="60" t="n">
        <f aca="false">H29/3500</f>
        <v>0.389529131406314</v>
      </c>
      <c r="K29" s="69" t="n">
        <f aca="false">N29/9</f>
        <v>55.2753755130118</v>
      </c>
      <c r="L29" s="69" t="n">
        <v>20</v>
      </c>
      <c r="M29" s="56" t="n">
        <f aca="false">Protein_Amt!$B$6</f>
        <v>120.618663177856</v>
      </c>
      <c r="N29" s="69" t="n">
        <f aca="false">MAX(0,I29-(O29+P29))</f>
        <v>497.478379617106</v>
      </c>
      <c r="O29" s="69" t="n">
        <f aca="false">4*L29</f>
        <v>80</v>
      </c>
      <c r="P29" s="69" t="n">
        <f aca="false">4*M29</f>
        <v>482.474652711422</v>
      </c>
      <c r="Q29" s="70" t="n">
        <f aca="false">SUM(N29:P29)</f>
        <v>1059.95303232853</v>
      </c>
      <c r="S29" s="79"/>
      <c r="T29" s="76"/>
      <c r="U29" s="76"/>
      <c r="V29" s="76"/>
      <c r="W29" s="76"/>
      <c r="X29" s="76"/>
      <c r="Y29" s="76"/>
      <c r="Z29" s="80"/>
      <c r="AA29" s="71" t="n">
        <f aca="false">($H29-Z29)/3500</f>
        <v>0.389529131406314</v>
      </c>
      <c r="AB29" s="76"/>
      <c r="AC29" s="76"/>
      <c r="AD29" s="76"/>
      <c r="AE29" s="76"/>
      <c r="AF29" s="76"/>
      <c r="AG29" s="77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C29-AA29</f>
        <v>194.362895322272</v>
      </c>
      <c r="D30" s="69" t="n">
        <f aca="false">$D$3</f>
        <v>150.77332897232</v>
      </c>
      <c r="E30" s="70" t="n">
        <f aca="false">C30-D30</f>
        <v>43.5895663499518</v>
      </c>
      <c r="F30" s="58"/>
      <c r="G30" s="71" t="n">
        <f aca="false">C30*TDEE!$B$5</f>
        <v>2418.45808011892</v>
      </c>
      <c r="H30" s="69" t="n">
        <f aca="false">$E30*31</f>
        <v>1351.27655684851</v>
      </c>
      <c r="I30" s="69" t="n">
        <f aca="false">$G30-$H30</f>
        <v>1067.18152327042</v>
      </c>
      <c r="J30" s="60" t="n">
        <f aca="false">H30/3500</f>
        <v>0.38607901624243</v>
      </c>
      <c r="K30" s="69" t="n">
        <f aca="false">N30/9</f>
        <v>56.0785411732215</v>
      </c>
      <c r="L30" s="69" t="n">
        <v>20</v>
      </c>
      <c r="M30" s="56" t="n">
        <f aca="false">Protein_Amt!$B$6</f>
        <v>120.618663177856</v>
      </c>
      <c r="N30" s="69" t="n">
        <f aca="false">MAX(0,I30-(O30+P30))</f>
        <v>504.706870558994</v>
      </c>
      <c r="O30" s="69" t="n">
        <f aca="false">4*L30</f>
        <v>80</v>
      </c>
      <c r="P30" s="69" t="n">
        <f aca="false">4*M30</f>
        <v>482.474652711422</v>
      </c>
      <c r="Q30" s="70" t="n">
        <f aca="false">SUM(N30:P30)</f>
        <v>1067.18152327042</v>
      </c>
      <c r="S30" s="79"/>
      <c r="T30" s="76"/>
      <c r="U30" s="76"/>
      <c r="V30" s="76"/>
      <c r="W30" s="76"/>
      <c r="X30" s="76"/>
      <c r="Y30" s="76"/>
      <c r="Z30" s="80"/>
      <c r="AA30" s="71" t="n">
        <f aca="false">($H30-Z30)/3500</f>
        <v>0.38607901624243</v>
      </c>
      <c r="AB30" s="76"/>
      <c r="AC30" s="76"/>
      <c r="AD30" s="76"/>
      <c r="AE30" s="76"/>
      <c r="AF30" s="76"/>
      <c r="AG30" s="77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C30-AA30</f>
        <v>193.976816306029</v>
      </c>
      <c r="D31" s="69" t="n">
        <f aca="false">$D$3</f>
        <v>150.77332897232</v>
      </c>
      <c r="E31" s="70" t="n">
        <f aca="false">C31-D31</f>
        <v>43.2034873337094</v>
      </c>
      <c r="F31" s="58"/>
      <c r="G31" s="71" t="n">
        <f aca="false">C31*TDEE!$B$5</f>
        <v>2413.65409778038</v>
      </c>
      <c r="H31" s="69" t="n">
        <f aca="false">$E31*31</f>
        <v>1339.30810734499</v>
      </c>
      <c r="I31" s="69" t="n">
        <f aca="false">$G31-$H31</f>
        <v>1074.34599043539</v>
      </c>
      <c r="J31" s="60" t="n">
        <f aca="false">H31/3500</f>
        <v>0.382659459241426</v>
      </c>
      <c r="K31" s="69" t="n">
        <f aca="false">N31/9</f>
        <v>56.8745930804409</v>
      </c>
      <c r="L31" s="69" t="n">
        <v>20</v>
      </c>
      <c r="M31" s="56" t="n">
        <f aca="false">Protein_Amt!$B$6</f>
        <v>120.618663177856</v>
      </c>
      <c r="N31" s="69" t="n">
        <f aca="false">MAX(0,I31-(O31+P31))</f>
        <v>511.871337723968</v>
      </c>
      <c r="O31" s="69" t="n">
        <f aca="false">4*L31</f>
        <v>80</v>
      </c>
      <c r="P31" s="69" t="n">
        <f aca="false">4*M31</f>
        <v>482.474652711422</v>
      </c>
      <c r="Q31" s="70" t="n">
        <f aca="false">SUM(N31:P31)</f>
        <v>1074.34599043539</v>
      </c>
      <c r="S31" s="79"/>
      <c r="T31" s="76"/>
      <c r="U31" s="76"/>
      <c r="V31" s="76"/>
      <c r="W31" s="76"/>
      <c r="X31" s="76"/>
      <c r="Y31" s="76"/>
      <c r="Z31" s="80"/>
      <c r="AA31" s="71" t="n">
        <f aca="false">($H31-Z31)/3500</f>
        <v>0.382659459241426</v>
      </c>
      <c r="AB31" s="76"/>
      <c r="AC31" s="76"/>
      <c r="AD31" s="76"/>
      <c r="AE31" s="76"/>
      <c r="AF31" s="76"/>
      <c r="AG31" s="77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C31-AA31</f>
        <v>193.594156846788</v>
      </c>
      <c r="D32" s="69" t="n">
        <f aca="false">$D$3</f>
        <v>150.77332897232</v>
      </c>
      <c r="E32" s="70" t="n">
        <f aca="false">C32-D32</f>
        <v>42.8208278744679</v>
      </c>
      <c r="F32" s="58"/>
      <c r="G32" s="71" t="n">
        <f aca="false">C32*TDEE!$B$5</f>
        <v>2408.89266499969</v>
      </c>
      <c r="H32" s="69" t="n">
        <f aca="false">$E32*31</f>
        <v>1327.44566410851</v>
      </c>
      <c r="I32" s="69" t="n">
        <f aca="false">$G32-$H32</f>
        <v>1081.44700089119</v>
      </c>
      <c r="J32" s="60" t="n">
        <f aca="false">H32/3500</f>
        <v>0.379270189745287</v>
      </c>
      <c r="K32" s="69" t="n">
        <f aca="false">N32/9</f>
        <v>57.6635942421964</v>
      </c>
      <c r="L32" s="69" t="n">
        <v>20</v>
      </c>
      <c r="M32" s="56" t="n">
        <f aca="false">Protein_Amt!$B$6</f>
        <v>120.618663177856</v>
      </c>
      <c r="N32" s="69" t="n">
        <f aca="false">MAX(0,I32-(O32+P32))</f>
        <v>518.972348179767</v>
      </c>
      <c r="O32" s="69" t="n">
        <f aca="false">4*L32</f>
        <v>80</v>
      </c>
      <c r="P32" s="69" t="n">
        <f aca="false">4*M32</f>
        <v>482.474652711422</v>
      </c>
      <c r="Q32" s="70" t="n">
        <f aca="false">SUM(N32:P32)</f>
        <v>1081.44700089119</v>
      </c>
      <c r="S32" s="79"/>
      <c r="T32" s="76"/>
      <c r="U32" s="76"/>
      <c r="V32" s="76"/>
      <c r="W32" s="76"/>
      <c r="X32" s="76"/>
      <c r="Y32" s="76"/>
      <c r="Z32" s="80"/>
      <c r="AA32" s="71" t="n">
        <f aca="false">($H32-Z32)/3500</f>
        <v>0.379270189745287</v>
      </c>
      <c r="AB32" s="76"/>
      <c r="AC32" s="76"/>
      <c r="AD32" s="76"/>
      <c r="AE32" s="76"/>
      <c r="AF32" s="76"/>
      <c r="AG32" s="77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C32-AA32</f>
        <v>193.214886657043</v>
      </c>
      <c r="D33" s="69" t="n">
        <f aca="false">$D$3</f>
        <v>150.77332897232</v>
      </c>
      <c r="E33" s="70" t="n">
        <f aca="false">C33-D33</f>
        <v>42.4415576847226</v>
      </c>
      <c r="F33" s="58"/>
      <c r="G33" s="71" t="n">
        <f aca="false">C33*TDEE!$B$5</f>
        <v>2404.17340490935</v>
      </c>
      <c r="H33" s="69" t="n">
        <f aca="false">$E33*31</f>
        <v>1315.6882882264</v>
      </c>
      <c r="I33" s="69" t="n">
        <f aca="false">$G33-$H33</f>
        <v>1088.48511668295</v>
      </c>
      <c r="J33" s="60" t="n">
        <f aca="false">H33/3500</f>
        <v>0.375910939493257</v>
      </c>
      <c r="K33" s="69" t="n">
        <f aca="false">N33/9</f>
        <v>58.4456071079477</v>
      </c>
      <c r="L33" s="69" t="n">
        <v>20</v>
      </c>
      <c r="M33" s="56" t="n">
        <f aca="false">Protein_Amt!$B$6</f>
        <v>120.618663177856</v>
      </c>
      <c r="N33" s="69" t="n">
        <f aca="false">MAX(0,I33-(O33+P33))</f>
        <v>526.010463971529</v>
      </c>
      <c r="O33" s="69" t="n">
        <f aca="false">4*L33</f>
        <v>80</v>
      </c>
      <c r="P33" s="69" t="n">
        <f aca="false">4*M33</f>
        <v>482.474652711422</v>
      </c>
      <c r="Q33" s="70" t="n">
        <f aca="false">SUM(N33:P33)</f>
        <v>1088.48511668295</v>
      </c>
      <c r="S33" s="79"/>
      <c r="T33" s="76"/>
      <c r="U33" s="76"/>
      <c r="V33" s="76"/>
      <c r="W33" s="76"/>
      <c r="X33" s="76"/>
      <c r="Y33" s="76"/>
      <c r="Z33" s="80"/>
      <c r="AA33" s="71" t="n">
        <f aca="false">($H33-Z33)/3500</f>
        <v>0.375910939493257</v>
      </c>
      <c r="AB33" s="76"/>
      <c r="AC33" s="76"/>
      <c r="AD33" s="76"/>
      <c r="AE33" s="76"/>
      <c r="AF33" s="76"/>
      <c r="AG33" s="77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C33-AA33</f>
        <v>192.838975717549</v>
      </c>
      <c r="D34" s="69" t="n">
        <f aca="false">$D$3</f>
        <v>150.77332897232</v>
      </c>
      <c r="E34" s="70" t="n">
        <f aca="false">C34-D34</f>
        <v>42.0656467452294</v>
      </c>
      <c r="F34" s="58"/>
      <c r="G34" s="71" t="n">
        <f aca="false">C34*TDEE!$B$5</f>
        <v>2399.49594397981</v>
      </c>
      <c r="H34" s="69" t="n">
        <f aca="false">$E34*31</f>
        <v>1304.03504910211</v>
      </c>
      <c r="I34" s="69" t="n">
        <f aca="false">$G34-$H34</f>
        <v>1095.4608948777</v>
      </c>
      <c r="J34" s="60" t="n">
        <f aca="false">H34/3500</f>
        <v>0.372581442600603</v>
      </c>
      <c r="K34" s="69" t="n">
        <f aca="false">N34/9</f>
        <v>59.2206935740309</v>
      </c>
      <c r="L34" s="69" t="n">
        <v>20</v>
      </c>
      <c r="M34" s="56" t="n">
        <f aca="false">Protein_Amt!$B$6</f>
        <v>120.618663177856</v>
      </c>
      <c r="N34" s="69" t="n">
        <f aca="false">MAX(0,I34-(O34+P34))</f>
        <v>532.986242166278</v>
      </c>
      <c r="O34" s="69" t="n">
        <f aca="false">4*L34</f>
        <v>80</v>
      </c>
      <c r="P34" s="69" t="n">
        <f aca="false">4*M34</f>
        <v>482.474652711422</v>
      </c>
      <c r="Q34" s="70" t="n">
        <f aca="false">SUM(N34:P34)</f>
        <v>1095.4608948777</v>
      </c>
      <c r="S34" s="79"/>
      <c r="T34" s="76"/>
      <c r="U34" s="76"/>
      <c r="V34" s="76"/>
      <c r="W34" s="76"/>
      <c r="X34" s="76"/>
      <c r="Y34" s="76"/>
      <c r="Z34" s="80"/>
      <c r="AA34" s="71" t="n">
        <f aca="false">($H34-Z34)/3500</f>
        <v>0.372581442600603</v>
      </c>
      <c r="AB34" s="76"/>
      <c r="AC34" s="76"/>
      <c r="AD34" s="76"/>
      <c r="AE34" s="76"/>
      <c r="AF34" s="76"/>
      <c r="AG34" s="77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C34-AA34</f>
        <v>192.466394274949</v>
      </c>
      <c r="D35" s="69" t="n">
        <f aca="false">$D$3</f>
        <v>150.77332897232</v>
      </c>
      <c r="E35" s="70" t="n">
        <f aca="false">C35-D35</f>
        <v>41.6930653026288</v>
      </c>
      <c r="F35" s="58"/>
      <c r="G35" s="71" t="n">
        <f aca="false">C35*TDEE!$B$5</f>
        <v>2394.85991198993</v>
      </c>
      <c r="H35" s="69" t="n">
        <f aca="false">$E35*31</f>
        <v>1292.48502438149</v>
      </c>
      <c r="I35" s="69" t="n">
        <f aca="false">$G35-$H35</f>
        <v>1102.37488760844</v>
      </c>
      <c r="J35" s="60" t="n">
        <f aca="false">H35/3500</f>
        <v>0.369281435537569</v>
      </c>
      <c r="K35" s="69" t="n">
        <f aca="false">N35/9</f>
        <v>59.9889149885574</v>
      </c>
      <c r="L35" s="69" t="n">
        <v>20</v>
      </c>
      <c r="M35" s="56" t="n">
        <f aca="false">Protein_Amt!$B$6</f>
        <v>120.618663177856</v>
      </c>
      <c r="N35" s="69" t="n">
        <f aca="false">MAX(0,I35-(O35+P35))</f>
        <v>539.900234897017</v>
      </c>
      <c r="O35" s="69" t="n">
        <f aca="false">4*L35</f>
        <v>80</v>
      </c>
      <c r="P35" s="69" t="n">
        <f aca="false">4*M35</f>
        <v>482.474652711422</v>
      </c>
      <c r="Q35" s="70" t="n">
        <f aca="false">SUM(N35:P35)</f>
        <v>1102.37488760844</v>
      </c>
      <c r="S35" s="79"/>
      <c r="T35" s="76"/>
      <c r="U35" s="76"/>
      <c r="V35" s="76"/>
      <c r="W35" s="76"/>
      <c r="X35" s="76"/>
      <c r="Y35" s="76"/>
      <c r="Z35" s="80"/>
      <c r="AA35" s="71" t="n">
        <f aca="false">($H35-Z35)/3500</f>
        <v>0.369281435537569</v>
      </c>
      <c r="AB35" s="76"/>
      <c r="AC35" s="76"/>
      <c r="AD35" s="76"/>
      <c r="AE35" s="76"/>
      <c r="AF35" s="76"/>
      <c r="AG35" s="77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C35-AA35</f>
        <v>192.097112839411</v>
      </c>
      <c r="D36" s="69" t="n">
        <f aca="false">$D$3</f>
        <v>150.77332897232</v>
      </c>
      <c r="E36" s="70" t="n">
        <f aca="false">C36-D36</f>
        <v>41.3237838670912</v>
      </c>
      <c r="F36" s="58"/>
      <c r="G36" s="71" t="n">
        <f aca="false">C36*TDEE!$B$5</f>
        <v>2390.26494199768</v>
      </c>
      <c r="H36" s="69" t="n">
        <f aca="false">$E36*31</f>
        <v>1281.03729987983</v>
      </c>
      <c r="I36" s="69" t="n">
        <f aca="false">$G36-$H36</f>
        <v>1109.22764211785</v>
      </c>
      <c r="J36" s="60" t="n">
        <f aca="false">H36/3500</f>
        <v>0.366010657108522</v>
      </c>
      <c r="K36" s="69" t="n">
        <f aca="false">N36/9</f>
        <v>60.7503321562695</v>
      </c>
      <c r="L36" s="69" t="n">
        <v>20</v>
      </c>
      <c r="M36" s="56" t="n">
        <f aca="false">Protein_Amt!$B$6</f>
        <v>120.618663177856</v>
      </c>
      <c r="N36" s="69" t="n">
        <f aca="false">MAX(0,I36-(O36+P36))</f>
        <v>546.752989406426</v>
      </c>
      <c r="O36" s="69" t="n">
        <f aca="false">4*L36</f>
        <v>80</v>
      </c>
      <c r="P36" s="69" t="n">
        <f aca="false">4*M36</f>
        <v>482.474652711422</v>
      </c>
      <c r="Q36" s="70" t="n">
        <f aca="false">SUM(N36:P36)</f>
        <v>1109.22764211785</v>
      </c>
      <c r="S36" s="79"/>
      <c r="T36" s="76"/>
      <c r="U36" s="76"/>
      <c r="V36" s="76"/>
      <c r="W36" s="76"/>
      <c r="X36" s="76"/>
      <c r="Y36" s="76"/>
      <c r="Z36" s="80"/>
      <c r="AA36" s="71" t="n">
        <f aca="false">($H36-Z36)/3500</f>
        <v>0.366010657108522</v>
      </c>
      <c r="AB36" s="76"/>
      <c r="AC36" s="76"/>
      <c r="AD36" s="76"/>
      <c r="AE36" s="76"/>
      <c r="AF36" s="76"/>
      <c r="AG36" s="77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C36-AA36</f>
        <v>191.731102182303</v>
      </c>
      <c r="D37" s="69" t="n">
        <f aca="false">$D$3</f>
        <v>150.77332897232</v>
      </c>
      <c r="E37" s="70" t="n">
        <f aca="false">C37-D37</f>
        <v>40.9577732099827</v>
      </c>
      <c r="F37" s="58"/>
      <c r="G37" s="71" t="n">
        <f aca="false">C37*TDEE!$B$5</f>
        <v>2385.71067031107</v>
      </c>
      <c r="H37" s="69" t="n">
        <f aca="false">$E37*31</f>
        <v>1269.69096950946</v>
      </c>
      <c r="I37" s="69" t="n">
        <f aca="false">$G37-$H37</f>
        <v>1116.0197008016</v>
      </c>
      <c r="J37" s="60" t="n">
        <f aca="false">H37/3500</f>
        <v>0.362768848431275</v>
      </c>
      <c r="K37" s="69" t="n">
        <f aca="false">N37/9</f>
        <v>61.5050053433533</v>
      </c>
      <c r="L37" s="69" t="n">
        <v>20</v>
      </c>
      <c r="M37" s="56" t="n">
        <f aca="false">Protein_Amt!$B$6</f>
        <v>120.618663177856</v>
      </c>
      <c r="N37" s="69" t="n">
        <f aca="false">MAX(0,I37-(O37+P37))</f>
        <v>553.54504809018</v>
      </c>
      <c r="O37" s="69" t="n">
        <f aca="false">4*L37</f>
        <v>80</v>
      </c>
      <c r="P37" s="69" t="n">
        <f aca="false">4*M37</f>
        <v>482.474652711422</v>
      </c>
      <c r="Q37" s="70" t="n">
        <f aca="false">SUM(N37:P37)</f>
        <v>1116.0197008016</v>
      </c>
      <c r="S37" s="79"/>
      <c r="T37" s="76"/>
      <c r="U37" s="76"/>
      <c r="V37" s="76"/>
      <c r="W37" s="76"/>
      <c r="X37" s="76"/>
      <c r="Y37" s="76"/>
      <c r="Z37" s="80"/>
      <c r="AA37" s="71" t="n">
        <f aca="false">($H37-Z37)/3500</f>
        <v>0.362768848431275</v>
      </c>
      <c r="AB37" s="76"/>
      <c r="AC37" s="76"/>
      <c r="AD37" s="76"/>
      <c r="AE37" s="76"/>
      <c r="AF37" s="76"/>
      <c r="AG37" s="77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C37-AA37</f>
        <v>191.368333333871</v>
      </c>
      <c r="D38" s="69" t="n">
        <f aca="false">$D$3</f>
        <v>150.77332897232</v>
      </c>
      <c r="E38" s="70" t="n">
        <f aca="false">C38-D38</f>
        <v>40.5950043615514</v>
      </c>
      <c r="F38" s="58"/>
      <c r="G38" s="71" t="n">
        <f aca="false">C38*TDEE!$B$5</f>
        <v>2381.19673645939</v>
      </c>
      <c r="H38" s="69" t="n">
        <f aca="false">$E38*31</f>
        <v>1258.44513520809</v>
      </c>
      <c r="I38" s="69" t="n">
        <f aca="false">$G38-$H38</f>
        <v>1122.7516012513</v>
      </c>
      <c r="J38" s="60" t="n">
        <f aca="false">H38/3500</f>
        <v>0.359555752916598</v>
      </c>
      <c r="K38" s="69" t="n">
        <f aca="false">N38/9</f>
        <v>62.2529942822087</v>
      </c>
      <c r="L38" s="69" t="n">
        <v>20</v>
      </c>
      <c r="M38" s="56" t="n">
        <f aca="false">Protein_Amt!$B$6</f>
        <v>120.618663177856</v>
      </c>
      <c r="N38" s="69" t="n">
        <f aca="false">MAX(0,I38-(O38+P38))</f>
        <v>560.276948539878</v>
      </c>
      <c r="O38" s="69" t="n">
        <f aca="false">4*L38</f>
        <v>80</v>
      </c>
      <c r="P38" s="69" t="n">
        <f aca="false">4*M38</f>
        <v>482.474652711422</v>
      </c>
      <c r="Q38" s="70" t="n">
        <f aca="false">SUM(N38:P38)</f>
        <v>1122.7516012513</v>
      </c>
      <c r="S38" s="79"/>
      <c r="T38" s="76"/>
      <c r="U38" s="76"/>
      <c r="V38" s="76"/>
      <c r="W38" s="76"/>
      <c r="X38" s="76"/>
      <c r="Y38" s="76"/>
      <c r="Z38" s="80"/>
      <c r="AA38" s="71" t="n">
        <f aca="false">($H38-Z38)/3500</f>
        <v>0.359555752916598</v>
      </c>
      <c r="AB38" s="76"/>
      <c r="AC38" s="76"/>
      <c r="AD38" s="76"/>
      <c r="AE38" s="76"/>
      <c r="AF38" s="76"/>
      <c r="AG38" s="77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C38-AA38</f>
        <v>191.008777580955</v>
      </c>
      <c r="D39" s="69" t="n">
        <f aca="false">$D$3</f>
        <v>150.77332897232</v>
      </c>
      <c r="E39" s="70" t="n">
        <f aca="false">C39-D39</f>
        <v>40.2354486086348</v>
      </c>
      <c r="F39" s="58"/>
      <c r="G39" s="71" t="n">
        <f aca="false">C39*TDEE!$B$5</f>
        <v>2376.72278316469</v>
      </c>
      <c r="H39" s="69" t="n">
        <f aca="false">$E39*31</f>
        <v>1247.29890686768</v>
      </c>
      <c r="I39" s="69" t="n">
        <f aca="false">$G39-$H39</f>
        <v>1129.42387629702</v>
      </c>
      <c r="J39" s="60" t="n">
        <f aca="false">H39/3500</f>
        <v>0.356371116247908</v>
      </c>
      <c r="K39" s="69" t="n">
        <f aca="false">N39/9</f>
        <v>62.9943581761771</v>
      </c>
      <c r="L39" s="69" t="n">
        <v>20</v>
      </c>
      <c r="M39" s="56" t="n">
        <f aca="false">Protein_Amt!$B$6</f>
        <v>120.618663177856</v>
      </c>
      <c r="N39" s="69" t="n">
        <f aca="false">MAX(0,I39-(O39+P39))</f>
        <v>566.949223585594</v>
      </c>
      <c r="O39" s="69" t="n">
        <f aca="false">4*L39</f>
        <v>80</v>
      </c>
      <c r="P39" s="69" t="n">
        <f aca="false">4*M39</f>
        <v>482.474652711422</v>
      </c>
      <c r="Q39" s="70" t="n">
        <f aca="false">SUM(N39:P39)</f>
        <v>1129.42387629702</v>
      </c>
      <c r="S39" s="79"/>
      <c r="T39" s="76"/>
      <c r="U39" s="76"/>
      <c r="V39" s="76"/>
      <c r="W39" s="76"/>
      <c r="X39" s="76"/>
      <c r="Y39" s="76"/>
      <c r="Z39" s="80"/>
      <c r="AA39" s="71" t="n">
        <f aca="false">($H39-Z39)/3500</f>
        <v>0.356371116247908</v>
      </c>
      <c r="AB39" s="76"/>
      <c r="AC39" s="76"/>
      <c r="AD39" s="76"/>
      <c r="AE39" s="76"/>
      <c r="AF39" s="76"/>
      <c r="AG39" s="77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C39-AA39</f>
        <v>190.652406464707</v>
      </c>
      <c r="D40" s="69" t="n">
        <f aca="false">$D$3</f>
        <v>150.77332897232</v>
      </c>
      <c r="E40" s="70" t="n">
        <f aca="false">C40-D40</f>
        <v>39.8790774923869</v>
      </c>
      <c r="F40" s="58"/>
      <c r="G40" s="71" t="n">
        <f aca="false">C40*TDEE!$B$5</f>
        <v>2372.28845631346</v>
      </c>
      <c r="H40" s="69" t="n">
        <f aca="false">$E40*31</f>
        <v>1236.25140226399</v>
      </c>
      <c r="I40" s="69" t="n">
        <f aca="false">$G40-$H40</f>
        <v>1136.03705404947</v>
      </c>
      <c r="J40" s="60" t="n">
        <f aca="false">H40/3500</f>
        <v>0.353214686361141</v>
      </c>
      <c r="K40" s="69" t="n">
        <f aca="false">N40/9</f>
        <v>63.7291557042274</v>
      </c>
      <c r="L40" s="69" t="n">
        <v>20</v>
      </c>
      <c r="M40" s="56" t="n">
        <f aca="false">Protein_Amt!$B$6</f>
        <v>120.618663177856</v>
      </c>
      <c r="N40" s="69" t="n">
        <f aca="false">MAX(0,I40-(O40+P40))</f>
        <v>573.562401338047</v>
      </c>
      <c r="O40" s="69" t="n">
        <f aca="false">4*L40</f>
        <v>80</v>
      </c>
      <c r="P40" s="69" t="n">
        <f aca="false">4*M40</f>
        <v>482.474652711422</v>
      </c>
      <c r="Q40" s="70" t="n">
        <f aca="false">SUM(N40:P40)</f>
        <v>1136.03705404947</v>
      </c>
      <c r="S40" s="79"/>
      <c r="T40" s="76"/>
      <c r="U40" s="76"/>
      <c r="V40" s="76"/>
      <c r="W40" s="76"/>
      <c r="X40" s="76"/>
      <c r="Y40" s="76"/>
      <c r="Z40" s="80"/>
      <c r="AA40" s="71" t="n">
        <f aca="false">($H40-Z40)/3500</f>
        <v>0.353214686361141</v>
      </c>
      <c r="AB40" s="76"/>
      <c r="AC40" s="76"/>
      <c r="AD40" s="76"/>
      <c r="AE40" s="76"/>
      <c r="AF40" s="76"/>
      <c r="AG40" s="77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C40-AA40</f>
        <v>190.299191778346</v>
      </c>
      <c r="D41" s="69" t="n">
        <f aca="false">$D$3</f>
        <v>150.77332897232</v>
      </c>
      <c r="E41" s="70" t="n">
        <f aca="false">C41-D41</f>
        <v>39.5258628060258</v>
      </c>
      <c r="F41" s="58"/>
      <c r="G41" s="71" t="n">
        <f aca="false">C41*TDEE!$B$5</f>
        <v>2367.89340492863</v>
      </c>
      <c r="H41" s="69" t="n">
        <f aca="false">$E41*31</f>
        <v>1225.3017469868</v>
      </c>
      <c r="I41" s="69" t="n">
        <f aca="false">$G41-$H41</f>
        <v>1142.59165794183</v>
      </c>
      <c r="J41" s="60" t="n">
        <f aca="false">H41/3500</f>
        <v>0.3500862134248</v>
      </c>
      <c r="K41" s="69" t="n">
        <f aca="false">N41/9</f>
        <v>64.4574450256007</v>
      </c>
      <c r="L41" s="69" t="n">
        <v>20</v>
      </c>
      <c r="M41" s="56" t="n">
        <f aca="false">Protein_Amt!$B$6</f>
        <v>120.618663177856</v>
      </c>
      <c r="N41" s="69" t="n">
        <f aca="false">MAX(0,I41-(O41+P41))</f>
        <v>580.117005230406</v>
      </c>
      <c r="O41" s="69" t="n">
        <f aca="false">4*L41</f>
        <v>80</v>
      </c>
      <c r="P41" s="69" t="n">
        <f aca="false">4*M41</f>
        <v>482.474652711422</v>
      </c>
      <c r="Q41" s="70" t="n">
        <f aca="false">SUM(N41:P41)</f>
        <v>1142.59165794183</v>
      </c>
      <c r="S41" s="79"/>
      <c r="T41" s="76"/>
      <c r="U41" s="76"/>
      <c r="V41" s="76"/>
      <c r="W41" s="76"/>
      <c r="X41" s="76"/>
      <c r="Y41" s="76"/>
      <c r="Z41" s="80"/>
      <c r="AA41" s="71" t="n">
        <f aca="false">($H41-Z41)/3500</f>
        <v>0.3500862134248</v>
      </c>
      <c r="AB41" s="76"/>
      <c r="AC41" s="76"/>
      <c r="AD41" s="76"/>
      <c r="AE41" s="76"/>
      <c r="AF41" s="76"/>
      <c r="AG41" s="77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C41-AA41</f>
        <v>189.949105564921</v>
      </c>
      <c r="D42" s="69" t="n">
        <f aca="false">$D$3</f>
        <v>150.77332897232</v>
      </c>
      <c r="E42" s="70" t="n">
        <f aca="false">C42-D42</f>
        <v>39.175776592601</v>
      </c>
      <c r="F42" s="58"/>
      <c r="G42" s="71" t="n">
        <f aca="false">C42*TDEE!$B$5</f>
        <v>2363.53728114177</v>
      </c>
      <c r="H42" s="69" t="n">
        <f aca="false">$E42*31</f>
        <v>1214.44907437063</v>
      </c>
      <c r="I42" s="69" t="n">
        <f aca="false">$G42-$H42</f>
        <v>1149.08820677114</v>
      </c>
      <c r="J42" s="60" t="n">
        <f aca="false">H42/3500</f>
        <v>0.34698544982018</v>
      </c>
      <c r="K42" s="69" t="n">
        <f aca="false">N42/9</f>
        <v>65.1792837844133</v>
      </c>
      <c r="L42" s="69" t="n">
        <v>20</v>
      </c>
      <c r="M42" s="56" t="n">
        <f aca="false">Protein_Amt!$B$6</f>
        <v>120.618663177856</v>
      </c>
      <c r="N42" s="69" t="n">
        <f aca="false">MAX(0,I42-(O42+P42))</f>
        <v>586.613554059719</v>
      </c>
      <c r="O42" s="69" t="n">
        <f aca="false">4*L42</f>
        <v>80</v>
      </c>
      <c r="P42" s="69" t="n">
        <f aca="false">4*M42</f>
        <v>482.474652711422</v>
      </c>
      <c r="Q42" s="70" t="n">
        <f aca="false">SUM(N42:P42)</f>
        <v>1149.08820677114</v>
      </c>
      <c r="S42" s="79"/>
      <c r="T42" s="76"/>
      <c r="U42" s="76"/>
      <c r="V42" s="76"/>
      <c r="W42" s="76"/>
      <c r="X42" s="76"/>
      <c r="Y42" s="76"/>
      <c r="Z42" s="80"/>
      <c r="AA42" s="71" t="n">
        <f aca="false">($H42-Z42)/3500</f>
        <v>0.34698544982018</v>
      </c>
      <c r="AB42" s="76"/>
      <c r="AC42" s="76"/>
      <c r="AD42" s="76"/>
      <c r="AE42" s="76"/>
      <c r="AF42" s="76"/>
      <c r="AG42" s="77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C42-AA42</f>
        <v>189.602120115101</v>
      </c>
      <c r="D43" s="69" t="n">
        <f aca="false">$D$3</f>
        <v>150.77332897232</v>
      </c>
      <c r="E43" s="70" t="n">
        <f aca="false">C43-D43</f>
        <v>38.8287911427808</v>
      </c>
      <c r="F43" s="58"/>
      <c r="G43" s="71" t="n">
        <f aca="false">C43*TDEE!$B$5</f>
        <v>2359.2197401656</v>
      </c>
      <c r="H43" s="69" t="n">
        <f aca="false">$E43*31</f>
        <v>1203.6925254262</v>
      </c>
      <c r="I43" s="69" t="n">
        <f aca="false">$G43-$H43</f>
        <v>1155.5272147394</v>
      </c>
      <c r="J43" s="60" t="n">
        <f aca="false">H43/3500</f>
        <v>0.343912150121773</v>
      </c>
      <c r="K43" s="69" t="n">
        <f aca="false">N43/9</f>
        <v>65.8947291142192</v>
      </c>
      <c r="L43" s="69" t="n">
        <v>20</v>
      </c>
      <c r="M43" s="56" t="n">
        <f aca="false">Protein_Amt!$B$6</f>
        <v>120.618663177856</v>
      </c>
      <c r="N43" s="69" t="n">
        <f aca="false">MAX(0,I43-(O43+P43))</f>
        <v>593.052562027973</v>
      </c>
      <c r="O43" s="69" t="n">
        <f aca="false">4*L43</f>
        <v>80</v>
      </c>
      <c r="P43" s="69" t="n">
        <f aca="false">4*M43</f>
        <v>482.474652711422</v>
      </c>
      <c r="Q43" s="70" t="n">
        <f aca="false">SUM(N43:P43)</f>
        <v>1155.5272147394</v>
      </c>
      <c r="S43" s="79"/>
      <c r="T43" s="76"/>
      <c r="U43" s="76"/>
      <c r="V43" s="76"/>
      <c r="W43" s="76"/>
      <c r="X43" s="76"/>
      <c r="Y43" s="76"/>
      <c r="Z43" s="80"/>
      <c r="AA43" s="71" t="n">
        <f aca="false">($H43-Z43)/3500</f>
        <v>0.343912150121773</v>
      </c>
      <c r="AB43" s="76"/>
      <c r="AC43" s="76"/>
      <c r="AD43" s="76"/>
      <c r="AE43" s="76"/>
      <c r="AF43" s="76"/>
      <c r="AG43" s="77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C43-AA43</f>
        <v>189.258207964979</v>
      </c>
      <c r="D44" s="69" t="n">
        <f aca="false">$D$3</f>
        <v>150.77332897232</v>
      </c>
      <c r="E44" s="70" t="n">
        <f aca="false">C44-D44</f>
        <v>38.484878992659</v>
      </c>
      <c r="F44" s="58"/>
      <c r="G44" s="71" t="n">
        <f aca="false">C44*TDEE!$B$5</f>
        <v>2354.94044026665</v>
      </c>
      <c r="H44" s="69" t="n">
        <f aca="false">$E44*31</f>
        <v>1193.03124877243</v>
      </c>
      <c r="I44" s="69" t="n">
        <f aca="false">$G44-$H44</f>
        <v>1161.90919149422</v>
      </c>
      <c r="J44" s="60" t="n">
        <f aca="false">H44/3500</f>
        <v>0.340866071077837</v>
      </c>
      <c r="K44" s="69" t="n">
        <f aca="false">N44/9</f>
        <v>66.6038376425327</v>
      </c>
      <c r="L44" s="69" t="n">
        <v>20</v>
      </c>
      <c r="M44" s="56" t="n">
        <f aca="false">Protein_Amt!$B$6</f>
        <v>120.618663177856</v>
      </c>
      <c r="N44" s="69" t="n">
        <f aca="false">MAX(0,I44-(O44+P44))</f>
        <v>599.434538782794</v>
      </c>
      <c r="O44" s="69" t="n">
        <f aca="false">4*L44</f>
        <v>80</v>
      </c>
      <c r="P44" s="69" t="n">
        <f aca="false">4*M44</f>
        <v>482.474652711422</v>
      </c>
      <c r="Q44" s="70" t="n">
        <f aca="false">SUM(N44:P44)</f>
        <v>1161.90919149422</v>
      </c>
      <c r="S44" s="79"/>
      <c r="T44" s="76"/>
      <c r="U44" s="76"/>
      <c r="V44" s="76"/>
      <c r="W44" s="76"/>
      <c r="X44" s="76"/>
      <c r="Y44" s="76"/>
      <c r="Z44" s="80"/>
      <c r="AA44" s="71" t="n">
        <f aca="false">($H44-Z44)/3500</f>
        <v>0.340866071077837</v>
      </c>
      <c r="AB44" s="76"/>
      <c r="AC44" s="76"/>
      <c r="AD44" s="76"/>
      <c r="AE44" s="76"/>
      <c r="AF44" s="76"/>
      <c r="AG44" s="77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C44-AA44</f>
        <v>188.917341893901</v>
      </c>
      <c r="D45" s="69" t="n">
        <f aca="false">$D$3</f>
        <v>150.77332897232</v>
      </c>
      <c r="E45" s="70" t="n">
        <f aca="false">C45-D45</f>
        <v>38.1440129215812</v>
      </c>
      <c r="F45" s="58"/>
      <c r="G45" s="71" t="n">
        <f aca="false">C45*TDEE!$B$5</f>
        <v>2350.69904273822</v>
      </c>
      <c r="H45" s="69" t="n">
        <f aca="false">$E45*31</f>
        <v>1182.46440056902</v>
      </c>
      <c r="I45" s="69" t="n">
        <f aca="false">$G45-$H45</f>
        <v>1168.23464216921</v>
      </c>
      <c r="J45" s="60" t="n">
        <f aca="false">H45/3500</f>
        <v>0.337846971591148</v>
      </c>
      <c r="K45" s="69" t="n">
        <f aca="false">N45/9</f>
        <v>67.3066654953096</v>
      </c>
      <c r="L45" s="69" t="n">
        <v>20</v>
      </c>
      <c r="M45" s="56" t="n">
        <f aca="false">Protein_Amt!$B$6</f>
        <v>120.618663177856</v>
      </c>
      <c r="N45" s="69" t="n">
        <f aca="false">MAX(0,I45-(O45+P45))</f>
        <v>605.759989457786</v>
      </c>
      <c r="O45" s="69" t="n">
        <f aca="false">4*L45</f>
        <v>80</v>
      </c>
      <c r="P45" s="69" t="n">
        <f aca="false">4*M45</f>
        <v>482.474652711422</v>
      </c>
      <c r="Q45" s="70" t="n">
        <f aca="false">SUM(N45:P45)</f>
        <v>1168.23464216921</v>
      </c>
      <c r="S45" s="79"/>
      <c r="T45" s="76"/>
      <c r="U45" s="76"/>
      <c r="V45" s="76"/>
      <c r="W45" s="76"/>
      <c r="X45" s="76"/>
      <c r="Y45" s="76"/>
      <c r="Z45" s="80"/>
      <c r="AA45" s="71" t="n">
        <f aca="false">($H45-Z45)/3500</f>
        <v>0.337846971591148</v>
      </c>
      <c r="AB45" s="76"/>
      <c r="AC45" s="76"/>
      <c r="AD45" s="76"/>
      <c r="AE45" s="76"/>
      <c r="AF45" s="76"/>
      <c r="AG45" s="77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C45-AA45</f>
        <v>188.57949492231</v>
      </c>
      <c r="D46" s="69" t="n">
        <f aca="false">$D$3</f>
        <v>150.77332897232</v>
      </c>
      <c r="E46" s="70" t="n">
        <f aca="false">C46-D46</f>
        <v>37.80616594999</v>
      </c>
      <c r="F46" s="58"/>
      <c r="G46" s="71" t="n">
        <f aca="false">C46*TDEE!$B$5</f>
        <v>2346.49521187363</v>
      </c>
      <c r="H46" s="69" t="n">
        <f aca="false">$E46*31</f>
        <v>1171.99114444969</v>
      </c>
      <c r="I46" s="69" t="n">
        <f aca="false">$G46-$H46</f>
        <v>1174.50406742394</v>
      </c>
      <c r="J46" s="60" t="n">
        <f aca="false">H46/3500</f>
        <v>0.334854612699912</v>
      </c>
      <c r="K46" s="69" t="n">
        <f aca="false">N46/9</f>
        <v>68.0032683013904</v>
      </c>
      <c r="L46" s="69" t="n">
        <v>20</v>
      </c>
      <c r="M46" s="56" t="n">
        <f aca="false">Protein_Amt!$B$6</f>
        <v>120.618663177856</v>
      </c>
      <c r="N46" s="69" t="n">
        <f aca="false">MAX(0,I46-(O46+P46))</f>
        <v>612.029414712514</v>
      </c>
      <c r="O46" s="69" t="n">
        <f aca="false">4*L46</f>
        <v>80</v>
      </c>
      <c r="P46" s="69" t="n">
        <f aca="false">4*M46</f>
        <v>482.474652711422</v>
      </c>
      <c r="Q46" s="70" t="n">
        <f aca="false">SUM(N46:P46)</f>
        <v>1174.50406742394</v>
      </c>
      <c r="S46" s="79"/>
      <c r="T46" s="76"/>
      <c r="U46" s="76"/>
      <c r="V46" s="76"/>
      <c r="W46" s="76"/>
      <c r="X46" s="76"/>
      <c r="Y46" s="76"/>
      <c r="Z46" s="80"/>
      <c r="AA46" s="71" t="n">
        <f aca="false">($H46-Z46)/3500</f>
        <v>0.334854612699912</v>
      </c>
      <c r="AB46" s="76"/>
      <c r="AC46" s="76"/>
      <c r="AD46" s="76"/>
      <c r="AE46" s="76"/>
      <c r="AF46" s="76"/>
      <c r="AG46" s="77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C46-AA46</f>
        <v>188.24464030961</v>
      </c>
      <c r="D47" s="69" t="n">
        <f aca="false">$D$3</f>
        <v>150.77332897232</v>
      </c>
      <c r="E47" s="70" t="n">
        <f aca="false">C47-D47</f>
        <v>37.4713113372901</v>
      </c>
      <c r="F47" s="58"/>
      <c r="G47" s="71" t="n">
        <f aca="false">C47*TDEE!$B$5</f>
        <v>2342.32861493954</v>
      </c>
      <c r="H47" s="69" t="n">
        <f aca="false">$E47*31</f>
        <v>1161.61065145599</v>
      </c>
      <c r="I47" s="69" t="n">
        <f aca="false">$G47-$H47</f>
        <v>1180.71796348355</v>
      </c>
      <c r="J47" s="60" t="n">
        <f aca="false">H47/3500</f>
        <v>0.331888757558855</v>
      </c>
      <c r="K47" s="69" t="n">
        <f aca="false">N47/9</f>
        <v>68.6937011969032</v>
      </c>
      <c r="L47" s="69" t="n">
        <v>20</v>
      </c>
      <c r="M47" s="56" t="n">
        <f aca="false">Protein_Amt!$B$6</f>
        <v>120.618663177856</v>
      </c>
      <c r="N47" s="69" t="n">
        <f aca="false">MAX(0,I47-(O47+P47))</f>
        <v>618.243310772129</v>
      </c>
      <c r="O47" s="69" t="n">
        <f aca="false">4*L47</f>
        <v>80</v>
      </c>
      <c r="P47" s="69" t="n">
        <f aca="false">4*M47</f>
        <v>482.474652711422</v>
      </c>
      <c r="Q47" s="70" t="n">
        <f aca="false">SUM(N47:P47)</f>
        <v>1180.71796348355</v>
      </c>
      <c r="S47" s="79"/>
      <c r="T47" s="76"/>
      <c r="U47" s="76"/>
      <c r="V47" s="76"/>
      <c r="W47" s="76"/>
      <c r="X47" s="76"/>
      <c r="Y47" s="76"/>
      <c r="Z47" s="80"/>
      <c r="AA47" s="71" t="n">
        <f aca="false">($H47-Z47)/3500</f>
        <v>0.331888757558855</v>
      </c>
      <c r="AB47" s="76"/>
      <c r="AC47" s="76"/>
      <c r="AD47" s="76"/>
      <c r="AE47" s="76"/>
      <c r="AF47" s="76"/>
      <c r="AG47" s="77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C47-AA47</f>
        <v>187.912751552051</v>
      </c>
      <c r="D48" s="69" t="n">
        <f aca="false">$D$3</f>
        <v>150.77332897232</v>
      </c>
      <c r="E48" s="70" t="n">
        <f aca="false">C48-D48</f>
        <v>37.1394225797313</v>
      </c>
      <c r="F48" s="58"/>
      <c r="G48" s="71" t="n">
        <f aca="false">C48*TDEE!$B$5</f>
        <v>2338.19892214973</v>
      </c>
      <c r="H48" s="69" t="n">
        <f aca="false">$E48*31</f>
        <v>1151.32209997167</v>
      </c>
      <c r="I48" s="69" t="n">
        <f aca="false">$G48-$H48</f>
        <v>1186.87682217807</v>
      </c>
      <c r="J48" s="60" t="n">
        <f aca="false">H48/3500</f>
        <v>0.328949171420477</v>
      </c>
      <c r="K48" s="69" t="n">
        <f aca="false">N48/9</f>
        <v>69.3780188296271</v>
      </c>
      <c r="L48" s="69" t="n">
        <v>20</v>
      </c>
      <c r="M48" s="56" t="n">
        <f aca="false">Protein_Amt!$B$6</f>
        <v>120.618663177856</v>
      </c>
      <c r="N48" s="69" t="n">
        <f aca="false">MAX(0,I48-(O48+P48))</f>
        <v>624.402169466644</v>
      </c>
      <c r="O48" s="69" t="n">
        <f aca="false">4*L48</f>
        <v>80</v>
      </c>
      <c r="P48" s="69" t="n">
        <f aca="false">4*M48</f>
        <v>482.474652711422</v>
      </c>
      <c r="Q48" s="70" t="n">
        <f aca="false">SUM(N48:P48)</f>
        <v>1186.87682217807</v>
      </c>
      <c r="S48" s="79"/>
      <c r="T48" s="76"/>
      <c r="U48" s="76"/>
      <c r="V48" s="76"/>
      <c r="W48" s="76"/>
      <c r="X48" s="76"/>
      <c r="Y48" s="76"/>
      <c r="Z48" s="80"/>
      <c r="AA48" s="71" t="n">
        <f aca="false">($H48-Z48)/3500</f>
        <v>0.328949171420477</v>
      </c>
      <c r="AB48" s="76"/>
      <c r="AC48" s="76"/>
      <c r="AD48" s="76"/>
      <c r="AE48" s="76"/>
      <c r="AF48" s="76"/>
      <c r="AG48" s="77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C48-AA48</f>
        <v>187.583802380631</v>
      </c>
      <c r="D49" s="69" t="n">
        <f aca="false">$D$3</f>
        <v>150.77332897232</v>
      </c>
      <c r="E49" s="70" t="n">
        <f aca="false">C49-D49</f>
        <v>36.8104734083108</v>
      </c>
      <c r="F49" s="58"/>
      <c r="G49" s="71" t="n">
        <f aca="false">C49*TDEE!$B$5</f>
        <v>2334.10580663892</v>
      </c>
      <c r="H49" s="69" t="n">
        <f aca="false">$E49*31</f>
        <v>1141.12467565763</v>
      </c>
      <c r="I49" s="69" t="n">
        <f aca="false">$G49-$H49</f>
        <v>1192.98113098129</v>
      </c>
      <c r="J49" s="60" t="n">
        <f aca="false">H49/3500</f>
        <v>0.326035621616467</v>
      </c>
      <c r="K49" s="69" t="n">
        <f aca="false">N49/9</f>
        <v>70.0562753633183</v>
      </c>
      <c r="L49" s="69" t="n">
        <v>20</v>
      </c>
      <c r="M49" s="56" t="n">
        <f aca="false">Protein_Amt!$B$6</f>
        <v>120.618663177856</v>
      </c>
      <c r="N49" s="69" t="n">
        <f aca="false">MAX(0,I49-(O49+P49))</f>
        <v>630.506478269865</v>
      </c>
      <c r="O49" s="69" t="n">
        <f aca="false">4*L49</f>
        <v>80</v>
      </c>
      <c r="P49" s="69" t="n">
        <f aca="false">4*M49</f>
        <v>482.474652711422</v>
      </c>
      <c r="Q49" s="70" t="n">
        <f aca="false">SUM(N49:P49)</f>
        <v>1192.98113098129</v>
      </c>
      <c r="S49" s="79"/>
      <c r="T49" s="76"/>
      <c r="U49" s="76"/>
      <c r="V49" s="76"/>
      <c r="W49" s="76"/>
      <c r="X49" s="76"/>
      <c r="Y49" s="76"/>
      <c r="Z49" s="80"/>
      <c r="AA49" s="71" t="n">
        <f aca="false">($H49-Z49)/3500</f>
        <v>0.326035621616467</v>
      </c>
      <c r="AB49" s="76"/>
      <c r="AC49" s="76"/>
      <c r="AD49" s="76"/>
      <c r="AE49" s="76"/>
      <c r="AF49" s="76"/>
      <c r="AG49" s="77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C49-AA49</f>
        <v>187.257766759014</v>
      </c>
      <c r="D50" s="69" t="n">
        <f aca="false">$D$3</f>
        <v>150.77332897232</v>
      </c>
      <c r="E50" s="70" t="n">
        <f aca="false">C50-D50</f>
        <v>36.4844377866943</v>
      </c>
      <c r="F50" s="58"/>
      <c r="G50" s="71" t="n">
        <f aca="false">C50*TDEE!$B$5</f>
        <v>2330.04894443692</v>
      </c>
      <c r="H50" s="69" t="n">
        <f aca="false">$E50*31</f>
        <v>1131.01757138752</v>
      </c>
      <c r="I50" s="69" t="n">
        <f aca="false">$G50-$H50</f>
        <v>1199.03137304939</v>
      </c>
      <c r="J50" s="60" t="n">
        <f aca="false">H50/3500</f>
        <v>0.323147877539293</v>
      </c>
      <c r="K50" s="69" t="n">
        <f aca="false">N50/9</f>
        <v>70.7285244819968</v>
      </c>
      <c r="L50" s="69" t="n">
        <v>20</v>
      </c>
      <c r="M50" s="56" t="n">
        <f aca="false">Protein_Amt!$B$6</f>
        <v>120.618663177856</v>
      </c>
      <c r="N50" s="69" t="n">
        <f aca="false">MAX(0,I50-(O50+P50))</f>
        <v>636.556720337971</v>
      </c>
      <c r="O50" s="69" t="n">
        <f aca="false">4*L50</f>
        <v>80</v>
      </c>
      <c r="P50" s="69" t="n">
        <f aca="false">4*M50</f>
        <v>482.474652711422</v>
      </c>
      <c r="Q50" s="70" t="n">
        <f aca="false">SUM(N50:P50)</f>
        <v>1199.03137304939</v>
      </c>
      <c r="S50" s="79"/>
      <c r="T50" s="76"/>
      <c r="U50" s="76"/>
      <c r="V50" s="76"/>
      <c r="W50" s="76"/>
      <c r="X50" s="76"/>
      <c r="Y50" s="76"/>
      <c r="Z50" s="80"/>
      <c r="AA50" s="71" t="n">
        <f aca="false">($H50-Z50)/3500</f>
        <v>0.323147877539293</v>
      </c>
      <c r="AB50" s="76"/>
      <c r="AC50" s="76"/>
      <c r="AD50" s="76"/>
      <c r="AE50" s="76"/>
      <c r="AF50" s="76"/>
      <c r="AG50" s="77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C50-AA50</f>
        <v>186.934618881475</v>
      </c>
      <c r="D51" s="69" t="n">
        <f aca="false">$D$3</f>
        <v>150.77332897232</v>
      </c>
      <c r="E51" s="70" t="n">
        <f aca="false">C51-D51</f>
        <v>36.161289909155</v>
      </c>
      <c r="F51" s="58"/>
      <c r="G51" s="71" t="n">
        <f aca="false">C51*TDEE!$B$5</f>
        <v>2326.02801444299</v>
      </c>
      <c r="H51" s="69" t="n">
        <f aca="false">$E51*31</f>
        <v>1120.99998718381</v>
      </c>
      <c r="I51" s="69" t="n">
        <f aca="false">$G51-$H51</f>
        <v>1205.02802725918</v>
      </c>
      <c r="J51" s="60" t="n">
        <f aca="false">H51/3500</f>
        <v>0.320285710623945</v>
      </c>
      <c r="K51" s="69" t="n">
        <f aca="false">N51/9</f>
        <v>71.3948193941956</v>
      </c>
      <c r="L51" s="69" t="n">
        <v>20</v>
      </c>
      <c r="M51" s="56" t="n">
        <f aca="false">Protein_Amt!$B$6</f>
        <v>120.618663177856</v>
      </c>
      <c r="N51" s="69" t="n">
        <f aca="false">MAX(0,I51-(O51+P51))</f>
        <v>642.553374547761</v>
      </c>
      <c r="O51" s="69" t="n">
        <f aca="false">4*L51</f>
        <v>80</v>
      </c>
      <c r="P51" s="69" t="n">
        <f aca="false">4*M51</f>
        <v>482.474652711422</v>
      </c>
      <c r="Q51" s="70" t="n">
        <f aca="false">SUM(N51:P51)</f>
        <v>1205.02802725918</v>
      </c>
      <c r="S51" s="79"/>
      <c r="T51" s="76"/>
      <c r="U51" s="76"/>
      <c r="V51" s="76"/>
      <c r="W51" s="76"/>
      <c r="X51" s="76"/>
      <c r="Y51" s="76"/>
      <c r="Z51" s="80"/>
      <c r="AA51" s="71" t="n">
        <f aca="false">($H51-Z51)/3500</f>
        <v>0.320285710623945</v>
      </c>
      <c r="AB51" s="76"/>
      <c r="AC51" s="76"/>
      <c r="AD51" s="76"/>
      <c r="AE51" s="76"/>
      <c r="AF51" s="76"/>
      <c r="AG51" s="77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C51-AA51</f>
        <v>186.614333170851</v>
      </c>
      <c r="D52" s="69" t="n">
        <f aca="false">$D$3</f>
        <v>150.77332897232</v>
      </c>
      <c r="E52" s="70" t="n">
        <f aca="false">C52-D52</f>
        <v>35.8410041985311</v>
      </c>
      <c r="F52" s="58"/>
      <c r="G52" s="71" t="n">
        <f aca="false">C52*TDEE!$B$5</f>
        <v>2322.04269840043</v>
      </c>
      <c r="H52" s="69" t="n">
        <f aca="false">$E52*31</f>
        <v>1111.07113015446</v>
      </c>
      <c r="I52" s="69" t="n">
        <f aca="false">$G52-$H52</f>
        <v>1210.97156824597</v>
      </c>
      <c r="J52" s="60" t="n">
        <f aca="false">H52/3500</f>
        <v>0.317448894329847</v>
      </c>
      <c r="K52" s="69" t="n">
        <f aca="false">N52/9</f>
        <v>72.0552128371721</v>
      </c>
      <c r="L52" s="69" t="n">
        <v>20</v>
      </c>
      <c r="M52" s="56" t="n">
        <f aca="false">Protein_Amt!$B$6</f>
        <v>120.618663177856</v>
      </c>
      <c r="N52" s="69" t="n">
        <f aca="false">MAX(0,I52-(O52+P52))</f>
        <v>648.496915534549</v>
      </c>
      <c r="O52" s="69" t="n">
        <f aca="false">4*L52</f>
        <v>80</v>
      </c>
      <c r="P52" s="69" t="n">
        <f aca="false">4*M52</f>
        <v>482.474652711422</v>
      </c>
      <c r="Q52" s="70" t="n">
        <f aca="false">SUM(N52:P52)</f>
        <v>1210.97156824597</v>
      </c>
      <c r="S52" s="79"/>
      <c r="T52" s="76"/>
      <c r="U52" s="76"/>
      <c r="V52" s="76"/>
      <c r="W52" s="76"/>
      <c r="X52" s="76"/>
      <c r="Y52" s="76"/>
      <c r="Z52" s="80"/>
      <c r="AA52" s="71" t="n">
        <f aca="false">($H52-Z52)/3500</f>
        <v>0.317448894329847</v>
      </c>
      <c r="AB52" s="76"/>
      <c r="AC52" s="76"/>
      <c r="AD52" s="76"/>
      <c r="AE52" s="76"/>
      <c r="AF52" s="76"/>
      <c r="AG52" s="77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C52-AA52</f>
        <v>186.296884276521</v>
      </c>
      <c r="D53" s="69" t="n">
        <f aca="false">$D$3</f>
        <v>150.77332897232</v>
      </c>
      <c r="E53" s="70" t="n">
        <f aca="false">C53-D53</f>
        <v>35.5235553042012</v>
      </c>
      <c r="F53" s="58"/>
      <c r="G53" s="71" t="n">
        <f aca="false">C53*TDEE!$B$5</f>
        <v>2318.0926808714</v>
      </c>
      <c r="H53" s="69" t="n">
        <f aca="false">$E53*31</f>
        <v>1101.23021443024</v>
      </c>
      <c r="I53" s="69" t="n">
        <f aca="false">$G53-$H53</f>
        <v>1216.86246644116</v>
      </c>
      <c r="J53" s="60" t="n">
        <f aca="false">H53/3500</f>
        <v>0.314637204122925</v>
      </c>
      <c r="K53" s="69" t="n">
        <f aca="false">N53/9</f>
        <v>72.7097570810822</v>
      </c>
      <c r="L53" s="69" t="n">
        <v>20</v>
      </c>
      <c r="M53" s="56" t="n">
        <f aca="false">Protein_Amt!$B$6</f>
        <v>120.618663177856</v>
      </c>
      <c r="N53" s="69" t="n">
        <f aca="false">MAX(0,I53-(O53+P53))</f>
        <v>654.38781372974</v>
      </c>
      <c r="O53" s="69" t="n">
        <f aca="false">4*L53</f>
        <v>80</v>
      </c>
      <c r="P53" s="69" t="n">
        <f aca="false">4*M53</f>
        <v>482.474652711422</v>
      </c>
      <c r="Q53" s="70" t="n">
        <f aca="false">SUM(N53:P53)</f>
        <v>1216.86246644116</v>
      </c>
      <c r="S53" s="79"/>
      <c r="T53" s="76"/>
      <c r="U53" s="76"/>
      <c r="V53" s="76"/>
      <c r="W53" s="76"/>
      <c r="X53" s="76"/>
      <c r="Y53" s="76"/>
      <c r="Z53" s="80"/>
      <c r="AA53" s="71" t="n">
        <f aca="false">($H53-Z53)/3500</f>
        <v>0.314637204122925</v>
      </c>
      <c r="AB53" s="76"/>
      <c r="AC53" s="76"/>
      <c r="AD53" s="76"/>
      <c r="AE53" s="76"/>
      <c r="AF53" s="76"/>
      <c r="AG53" s="77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C53-AA53</f>
        <v>185.982247072398</v>
      </c>
      <c r="D54" s="69" t="n">
        <f aca="false">$D$3</f>
        <v>150.77332897232</v>
      </c>
      <c r="E54" s="70" t="n">
        <f aca="false">C54-D54</f>
        <v>35.2089181000783</v>
      </c>
      <c r="F54" s="58"/>
      <c r="G54" s="71" t="n">
        <f aca="false">C54*TDEE!$B$5</f>
        <v>2314.17764921191</v>
      </c>
      <c r="H54" s="69" t="n">
        <f aca="false">$E54*31</f>
        <v>1091.47646110243</v>
      </c>
      <c r="I54" s="69" t="n">
        <f aca="false">$G54-$H54</f>
        <v>1222.70118810948</v>
      </c>
      <c r="J54" s="60" t="n">
        <f aca="false">H54/3500</f>
        <v>0.311850417457836</v>
      </c>
      <c r="K54" s="69" t="n">
        <f aca="false">N54/9</f>
        <v>73.3585039331177</v>
      </c>
      <c r="L54" s="69" t="n">
        <v>20</v>
      </c>
      <c r="M54" s="56" t="n">
        <f aca="false">Protein_Amt!$B$6</f>
        <v>120.618663177856</v>
      </c>
      <c r="N54" s="69" t="n">
        <f aca="false">MAX(0,I54-(O54+P54))</f>
        <v>660.226535398059</v>
      </c>
      <c r="O54" s="69" t="n">
        <f aca="false">4*L54</f>
        <v>80</v>
      </c>
      <c r="P54" s="69" t="n">
        <f aca="false">4*M54</f>
        <v>482.474652711422</v>
      </c>
      <c r="Q54" s="70" t="n">
        <f aca="false">SUM(N54:P54)</f>
        <v>1222.70118810948</v>
      </c>
      <c r="S54" s="79"/>
      <c r="T54" s="76"/>
      <c r="U54" s="76"/>
      <c r="V54" s="76"/>
      <c r="W54" s="76"/>
      <c r="X54" s="76"/>
      <c r="Y54" s="76"/>
      <c r="Z54" s="80"/>
      <c r="AA54" s="71" t="n">
        <f aca="false">($H54-Z54)/3500</f>
        <v>0.311850417457836</v>
      </c>
      <c r="AB54" s="76"/>
      <c r="AC54" s="76"/>
      <c r="AD54" s="76"/>
      <c r="AE54" s="76"/>
      <c r="AF54" s="76"/>
      <c r="AG54" s="77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C54-AA54</f>
        <v>185.67039665494</v>
      </c>
      <c r="D55" s="69" t="n">
        <f aca="false">$D$3</f>
        <v>150.77332897232</v>
      </c>
      <c r="E55" s="70" t="n">
        <f aca="false">C55-D55</f>
        <v>34.8970676826205</v>
      </c>
      <c r="F55" s="58"/>
      <c r="G55" s="71" t="n">
        <f aca="false">C55*TDEE!$B$5</f>
        <v>2310.29729354712</v>
      </c>
      <c r="H55" s="69" t="n">
        <f aca="false">$E55*31</f>
        <v>1081.80909816123</v>
      </c>
      <c r="I55" s="69" t="n">
        <f aca="false">$G55-$H55</f>
        <v>1228.48819538588</v>
      </c>
      <c r="J55" s="60" t="n">
        <f aca="false">H55/3500</f>
        <v>0.309088313760353</v>
      </c>
      <c r="K55" s="69" t="n">
        <f aca="false">N55/9</f>
        <v>74.0015047416066</v>
      </c>
      <c r="L55" s="69" t="n">
        <v>20</v>
      </c>
      <c r="M55" s="56" t="n">
        <f aca="false">Protein_Amt!$B$6</f>
        <v>120.618663177856</v>
      </c>
      <c r="N55" s="69" t="n">
        <f aca="false">MAX(0,I55-(O55+P55))</f>
        <v>666.013542674459</v>
      </c>
      <c r="O55" s="69" t="n">
        <f aca="false">4*L55</f>
        <v>80</v>
      </c>
      <c r="P55" s="69" t="n">
        <f aca="false">4*M55</f>
        <v>482.474652711422</v>
      </c>
      <c r="Q55" s="70" t="n">
        <f aca="false">SUM(N55:P55)</f>
        <v>1228.48819538588</v>
      </c>
      <c r="S55" s="79"/>
      <c r="T55" s="76"/>
      <c r="U55" s="76"/>
      <c r="V55" s="76"/>
      <c r="W55" s="76"/>
      <c r="X55" s="76"/>
      <c r="Y55" s="76"/>
      <c r="Z55" s="80"/>
      <c r="AA55" s="71" t="n">
        <f aca="false">($H55-Z55)/3500</f>
        <v>0.309088313760353</v>
      </c>
      <c r="AB55" s="76"/>
      <c r="AC55" s="76"/>
      <c r="AD55" s="76"/>
      <c r="AE55" s="76"/>
      <c r="AF55" s="76"/>
      <c r="AG55" s="77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C55-AA55</f>
        <v>185.36130834118</v>
      </c>
      <c r="D56" s="69" t="n">
        <f aca="false">$D$3</f>
        <v>150.77332897232</v>
      </c>
      <c r="E56" s="70" t="n">
        <f aca="false">C56-D56</f>
        <v>34.5879793688601</v>
      </c>
      <c r="F56" s="58"/>
      <c r="G56" s="71" t="n">
        <f aca="false">C56*TDEE!$B$5</f>
        <v>2306.45130674678</v>
      </c>
      <c r="H56" s="69" t="n">
        <f aca="false">$E56*31</f>
        <v>1072.22736043466</v>
      </c>
      <c r="I56" s="69" t="n">
        <f aca="false">$G56-$H56</f>
        <v>1234.22394631212</v>
      </c>
      <c r="J56" s="60" t="n">
        <f aca="false">H56/3500</f>
        <v>0.306350674409904</v>
      </c>
      <c r="K56" s="69" t="n">
        <f aca="false">N56/9</f>
        <v>74.6388104000774</v>
      </c>
      <c r="L56" s="69" t="n">
        <v>20</v>
      </c>
      <c r="M56" s="56" t="n">
        <f aca="false">Protein_Amt!$B$6</f>
        <v>120.618663177856</v>
      </c>
      <c r="N56" s="69" t="n">
        <f aca="false">MAX(0,I56-(O56+P56))</f>
        <v>671.749293600697</v>
      </c>
      <c r="O56" s="69" t="n">
        <f aca="false">4*L56</f>
        <v>80</v>
      </c>
      <c r="P56" s="69" t="n">
        <f aca="false">4*M56</f>
        <v>482.474652711422</v>
      </c>
      <c r="Q56" s="70" t="n">
        <f aca="false">SUM(N56:P56)</f>
        <v>1234.22394631212</v>
      </c>
      <c r="S56" s="79"/>
      <c r="T56" s="76"/>
      <c r="U56" s="76"/>
      <c r="V56" s="76"/>
      <c r="W56" s="76"/>
      <c r="X56" s="76"/>
      <c r="Y56" s="76"/>
      <c r="Z56" s="80"/>
      <c r="AA56" s="71" t="n">
        <f aca="false">($H56-Z56)/3500</f>
        <v>0.306350674409904</v>
      </c>
      <c r="AB56" s="76"/>
      <c r="AC56" s="76"/>
      <c r="AD56" s="76"/>
      <c r="AE56" s="76"/>
      <c r="AF56" s="76"/>
      <c r="AG56" s="77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C56-AA56</f>
        <v>185.05495766677</v>
      </c>
      <c r="D57" s="69" t="n">
        <f aca="false">$D$3</f>
        <v>150.77332897232</v>
      </c>
      <c r="E57" s="70" t="n">
        <f aca="false">C57-D57</f>
        <v>34.2816286944502</v>
      </c>
      <c r="F57" s="58"/>
      <c r="G57" s="71" t="n">
        <f aca="false">C57*TDEE!$B$5</f>
        <v>2302.63938440097</v>
      </c>
      <c r="H57" s="69" t="n">
        <f aca="false">$E57*31</f>
        <v>1062.73048952796</v>
      </c>
      <c r="I57" s="69" t="n">
        <f aca="false">$G57-$H57</f>
        <v>1239.90889487301</v>
      </c>
      <c r="J57" s="60" t="n">
        <f aca="false">H57/3500</f>
        <v>0.303637282722273</v>
      </c>
      <c r="K57" s="69" t="n">
        <f aca="false">N57/9</f>
        <v>75.2704713512875</v>
      </c>
      <c r="L57" s="69" t="n">
        <v>20</v>
      </c>
      <c r="M57" s="56" t="n">
        <f aca="false">Protein_Amt!$B$6</f>
        <v>120.618663177856</v>
      </c>
      <c r="N57" s="69" t="n">
        <f aca="false">MAX(0,I57-(O57+P57))</f>
        <v>677.434242161588</v>
      </c>
      <c r="O57" s="69" t="n">
        <f aca="false">4*L57</f>
        <v>80</v>
      </c>
      <c r="P57" s="69" t="n">
        <f aca="false">4*M57</f>
        <v>482.474652711422</v>
      </c>
      <c r="Q57" s="70" t="n">
        <f aca="false">SUM(N57:P57)</f>
        <v>1239.90889487301</v>
      </c>
      <c r="S57" s="79"/>
      <c r="T57" s="76"/>
      <c r="U57" s="76"/>
      <c r="V57" s="76"/>
      <c r="W57" s="76"/>
      <c r="X57" s="76"/>
      <c r="Y57" s="76"/>
      <c r="Z57" s="80"/>
      <c r="AA57" s="71" t="n">
        <f aca="false">($H57-Z57)/3500</f>
        <v>0.303637282722273</v>
      </c>
      <c r="AB57" s="76"/>
      <c r="AC57" s="76"/>
      <c r="AD57" s="76"/>
      <c r="AE57" s="76"/>
      <c r="AF57" s="76"/>
      <c r="AG57" s="77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C57-AA57</f>
        <v>184.751320384048</v>
      </c>
      <c r="D58" s="69" t="n">
        <f aca="false">$D$3</f>
        <v>150.77332897232</v>
      </c>
      <c r="E58" s="70" t="n">
        <f aca="false">C58-D58</f>
        <v>33.9779914117279</v>
      </c>
      <c r="F58" s="58"/>
      <c r="G58" s="71" t="n">
        <f aca="false">C58*TDEE!$B$5</f>
        <v>2298.86122479593</v>
      </c>
      <c r="H58" s="69" t="n">
        <f aca="false">$E58*31</f>
        <v>1053.31773376357</v>
      </c>
      <c r="I58" s="69" t="n">
        <f aca="false">$G58-$H58</f>
        <v>1245.54349103236</v>
      </c>
      <c r="J58" s="60" t="n">
        <f aca="false">H58/3500</f>
        <v>0.300947923932447</v>
      </c>
      <c r="K58" s="69" t="n">
        <f aca="false">N58/9</f>
        <v>75.8965375912155</v>
      </c>
      <c r="L58" s="69" t="n">
        <v>20</v>
      </c>
      <c r="M58" s="56" t="n">
        <f aca="false">Protein_Amt!$B$6</f>
        <v>120.618663177856</v>
      </c>
      <c r="N58" s="69" t="n">
        <f aca="false">MAX(0,I58-(O58+P58))</f>
        <v>683.068838320939</v>
      </c>
      <c r="O58" s="69" t="n">
        <f aca="false">4*L58</f>
        <v>80</v>
      </c>
      <c r="P58" s="69" t="n">
        <f aca="false">4*M58</f>
        <v>482.474652711422</v>
      </c>
      <c r="Q58" s="70" t="n">
        <f aca="false">SUM(N58:P58)</f>
        <v>1245.54349103236</v>
      </c>
      <c r="S58" s="79"/>
      <c r="T58" s="76"/>
      <c r="U58" s="76"/>
      <c r="V58" s="76"/>
      <c r="W58" s="76"/>
      <c r="X58" s="76"/>
      <c r="Y58" s="76"/>
      <c r="Z58" s="80"/>
      <c r="AA58" s="71" t="n">
        <f aca="false">($H58-Z58)/3500</f>
        <v>0.300947923932447</v>
      </c>
      <c r="AB58" s="76"/>
      <c r="AC58" s="76"/>
      <c r="AD58" s="76"/>
      <c r="AE58" s="76"/>
      <c r="AF58" s="76"/>
      <c r="AG58" s="77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C58-AA58</f>
        <v>184.450372460115</v>
      </c>
      <c r="D59" s="69" t="n">
        <f aca="false">$D$3</f>
        <v>150.77332897232</v>
      </c>
      <c r="E59" s="70" t="n">
        <f aca="false">C59-D59</f>
        <v>33.6770434877955</v>
      </c>
      <c r="F59" s="58"/>
      <c r="G59" s="71" t="n">
        <f aca="false">C59*TDEE!$B$5</f>
        <v>2295.11652889025</v>
      </c>
      <c r="H59" s="69" t="n">
        <f aca="false">$E59*31</f>
        <v>1043.98834812166</v>
      </c>
      <c r="I59" s="69" t="n">
        <f aca="false">$G59-$H59</f>
        <v>1251.12818076859</v>
      </c>
      <c r="J59" s="60" t="n">
        <f aca="false">H59/3500</f>
        <v>0.298282385177617</v>
      </c>
      <c r="K59" s="69" t="n">
        <f aca="false">N59/9</f>
        <v>76.5170586730183</v>
      </c>
      <c r="L59" s="69" t="n">
        <v>20</v>
      </c>
      <c r="M59" s="56" t="n">
        <f aca="false">Protein_Amt!$B$6</f>
        <v>120.618663177856</v>
      </c>
      <c r="N59" s="69" t="n">
        <f aca="false">MAX(0,I59-(O59+P59))</f>
        <v>688.653528057165</v>
      </c>
      <c r="O59" s="69" t="n">
        <f aca="false">4*L59</f>
        <v>80</v>
      </c>
      <c r="P59" s="69" t="n">
        <f aca="false">4*M59</f>
        <v>482.474652711422</v>
      </c>
      <c r="Q59" s="70" t="n">
        <f aca="false">SUM(N59:P59)</f>
        <v>1251.12818076859</v>
      </c>
      <c r="S59" s="79"/>
      <c r="T59" s="76"/>
      <c r="U59" s="76"/>
      <c r="V59" s="76"/>
      <c r="W59" s="76"/>
      <c r="X59" s="76"/>
      <c r="Y59" s="76"/>
      <c r="Z59" s="80"/>
      <c r="AA59" s="71" t="n">
        <f aca="false">($H59-Z59)/3500</f>
        <v>0.298282385177617</v>
      </c>
      <c r="AB59" s="76"/>
      <c r="AC59" s="76"/>
      <c r="AD59" s="76"/>
      <c r="AE59" s="76"/>
      <c r="AF59" s="76"/>
      <c r="AG59" s="77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C59-AA59</f>
        <v>184.152090074938</v>
      </c>
      <c r="D60" s="69" t="n">
        <f aca="false">$D$3</f>
        <v>150.77332897232</v>
      </c>
      <c r="E60" s="70" t="n">
        <f aca="false">C60-D60</f>
        <v>33.3787611026179</v>
      </c>
      <c r="F60" s="58"/>
      <c r="G60" s="71" t="n">
        <f aca="false">C60*TDEE!$B$5</f>
        <v>2291.40500029116</v>
      </c>
      <c r="H60" s="69" t="n">
        <f aca="false">$E60*31</f>
        <v>1034.74159418115</v>
      </c>
      <c r="I60" s="69" t="n">
        <f aca="false">$G60-$H60</f>
        <v>1256.66340611001</v>
      </c>
      <c r="J60" s="60" t="n">
        <f aca="false">H60/3500</f>
        <v>0.29564045548033</v>
      </c>
      <c r="K60" s="69" t="n">
        <f aca="false">N60/9</f>
        <v>77.1320837109538</v>
      </c>
      <c r="L60" s="69" t="n">
        <v>20</v>
      </c>
      <c r="M60" s="56" t="n">
        <f aca="false">Protein_Amt!$B$6</f>
        <v>120.618663177856</v>
      </c>
      <c r="N60" s="69" t="n">
        <f aca="false">MAX(0,I60-(O60+P60))</f>
        <v>694.188753398584</v>
      </c>
      <c r="O60" s="69" t="n">
        <f aca="false">4*L60</f>
        <v>80</v>
      </c>
      <c r="P60" s="69" t="n">
        <f aca="false">4*M60</f>
        <v>482.474652711422</v>
      </c>
      <c r="Q60" s="70" t="n">
        <f aca="false">SUM(N60:P60)</f>
        <v>1256.66340611001</v>
      </c>
      <c r="S60" s="79"/>
      <c r="T60" s="76"/>
      <c r="U60" s="76"/>
      <c r="V60" s="76"/>
      <c r="W60" s="76"/>
      <c r="X60" s="76"/>
      <c r="Y60" s="76"/>
      <c r="Z60" s="80"/>
      <c r="AA60" s="71" t="n">
        <f aca="false">($H60-Z60)/3500</f>
        <v>0.29564045548033</v>
      </c>
      <c r="AB60" s="76"/>
      <c r="AC60" s="76"/>
      <c r="AD60" s="76"/>
      <c r="AE60" s="76"/>
      <c r="AF60" s="76"/>
      <c r="AG60" s="77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C60-AA60</f>
        <v>183.856449619458</v>
      </c>
      <c r="D61" s="69" t="n">
        <f aca="false">$D$3</f>
        <v>150.77332897232</v>
      </c>
      <c r="E61" s="70" t="n">
        <f aca="false">C61-D61</f>
        <v>33.0831206471375</v>
      </c>
      <c r="F61" s="58"/>
      <c r="G61" s="71" t="n">
        <f aca="false">C61*TDEE!$B$5</f>
        <v>2287.72634523109</v>
      </c>
      <c r="H61" s="69" t="n">
        <f aca="false">$E61*31</f>
        <v>1025.57674006126</v>
      </c>
      <c r="I61" s="69" t="n">
        <f aca="false">$G61-$H61</f>
        <v>1262.14960516983</v>
      </c>
      <c r="J61" s="60" t="n">
        <f aca="false">H61/3500</f>
        <v>0.293021925731789</v>
      </c>
      <c r="K61" s="69" t="n">
        <f aca="false">N61/9</f>
        <v>77.7416613842676</v>
      </c>
      <c r="L61" s="69" t="n">
        <v>20</v>
      </c>
      <c r="M61" s="56" t="n">
        <f aca="false">Protein_Amt!$B$6</f>
        <v>120.618663177856</v>
      </c>
      <c r="N61" s="69" t="n">
        <f aca="false">MAX(0,I61-(O61+P61))</f>
        <v>699.674952458408</v>
      </c>
      <c r="O61" s="69" t="n">
        <f aca="false">4*L61</f>
        <v>80</v>
      </c>
      <c r="P61" s="69" t="n">
        <f aca="false">4*M61</f>
        <v>482.474652711422</v>
      </c>
      <c r="Q61" s="70" t="n">
        <f aca="false">SUM(N61:P61)</f>
        <v>1262.14960516983</v>
      </c>
      <c r="S61" s="79"/>
      <c r="T61" s="76"/>
      <c r="U61" s="76"/>
      <c r="V61" s="76"/>
      <c r="W61" s="76"/>
      <c r="X61" s="76"/>
      <c r="Y61" s="76"/>
      <c r="Z61" s="80"/>
      <c r="AA61" s="71" t="n">
        <f aca="false">($H61-Z61)/3500</f>
        <v>0.293021925731789</v>
      </c>
      <c r="AB61" s="76"/>
      <c r="AC61" s="76"/>
      <c r="AD61" s="76"/>
      <c r="AE61" s="76"/>
      <c r="AF61" s="76"/>
      <c r="AG61" s="77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C61-AA61</f>
        <v>183.563427693726</v>
      </c>
      <c r="D62" s="69" t="n">
        <f aca="false">$D$3</f>
        <v>150.77332897232</v>
      </c>
      <c r="E62" s="70" t="n">
        <f aca="false">C62-D62</f>
        <v>32.7900987214057</v>
      </c>
      <c r="F62" s="58"/>
      <c r="G62" s="71" t="n">
        <f aca="false">C62*TDEE!$B$5</f>
        <v>2284.08027254442</v>
      </c>
      <c r="H62" s="69" t="n">
        <f aca="false">$E62*31</f>
        <v>1016.49306036358</v>
      </c>
      <c r="I62" s="69" t="n">
        <f aca="false">$G62-$H62</f>
        <v>1267.58721218084</v>
      </c>
      <c r="J62" s="60" t="n">
        <f aca="false">H62/3500</f>
        <v>0.290426588675308</v>
      </c>
      <c r="K62" s="69" t="n">
        <f aca="false">N62/9</f>
        <v>78.3458399410462</v>
      </c>
      <c r="L62" s="69" t="n">
        <v>20</v>
      </c>
      <c r="M62" s="56" t="n">
        <f aca="false">Protein_Amt!$B$6</f>
        <v>120.618663177856</v>
      </c>
      <c r="N62" s="69" t="n">
        <f aca="false">MAX(0,I62-(O62+P62))</f>
        <v>705.112559469416</v>
      </c>
      <c r="O62" s="69" t="n">
        <f aca="false">4*L62</f>
        <v>80</v>
      </c>
      <c r="P62" s="69" t="n">
        <f aca="false">4*M62</f>
        <v>482.474652711422</v>
      </c>
      <c r="Q62" s="70" t="n">
        <f aca="false">SUM(N62:P62)</f>
        <v>1267.58721218084</v>
      </c>
      <c r="S62" s="79"/>
      <c r="T62" s="76"/>
      <c r="U62" s="76"/>
      <c r="V62" s="76"/>
      <c r="W62" s="76"/>
      <c r="X62" s="76"/>
      <c r="Y62" s="76"/>
      <c r="Z62" s="80"/>
      <c r="AA62" s="71" t="n">
        <f aca="false">($H62-Z62)/3500</f>
        <v>0.290426588675308</v>
      </c>
      <c r="AB62" s="76"/>
      <c r="AC62" s="76"/>
      <c r="AD62" s="76"/>
      <c r="AE62" s="76"/>
      <c r="AF62" s="76"/>
      <c r="AG62" s="77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C62-AA62</f>
        <v>183.27300110505</v>
      </c>
      <c r="D63" s="69" t="n">
        <f aca="false">$D$3</f>
        <v>150.77332897232</v>
      </c>
      <c r="E63" s="70" t="n">
        <f aca="false">C63-D63</f>
        <v>32.4996721327304</v>
      </c>
      <c r="F63" s="58"/>
      <c r="G63" s="71" t="n">
        <f aca="false">C63*TDEE!$B$5</f>
        <v>2280.46649364439</v>
      </c>
      <c r="H63" s="69" t="n">
        <f aca="false">$E63*31</f>
        <v>1007.48983611464</v>
      </c>
      <c r="I63" s="69" t="n">
        <f aca="false">$G63-$H63</f>
        <v>1272.97665752975</v>
      </c>
      <c r="J63" s="60" t="n">
        <f aca="false">H63/3500</f>
        <v>0.287854238889898</v>
      </c>
      <c r="K63" s="69" t="n">
        <f aca="false">N63/9</f>
        <v>78.9446672020363</v>
      </c>
      <c r="L63" s="69" t="n">
        <v>20</v>
      </c>
      <c r="M63" s="56" t="n">
        <f aca="false">Protein_Amt!$B$6</f>
        <v>120.618663177856</v>
      </c>
      <c r="N63" s="69" t="n">
        <f aca="false">MAX(0,I63-(O63+P63))</f>
        <v>710.502004818327</v>
      </c>
      <c r="O63" s="69" t="n">
        <f aca="false">4*L63</f>
        <v>80</v>
      </c>
      <c r="P63" s="69" t="n">
        <f aca="false">4*M63</f>
        <v>482.474652711422</v>
      </c>
      <c r="Q63" s="70" t="n">
        <f aca="false">SUM(N63:P63)</f>
        <v>1272.97665752975</v>
      </c>
      <c r="S63" s="79"/>
      <c r="T63" s="76"/>
      <c r="U63" s="76"/>
      <c r="V63" s="76"/>
      <c r="W63" s="76"/>
      <c r="X63" s="76"/>
      <c r="Y63" s="76"/>
      <c r="Z63" s="80"/>
      <c r="AA63" s="71" t="n">
        <f aca="false">($H63-Z63)/3500</f>
        <v>0.287854238889898</v>
      </c>
      <c r="AB63" s="76"/>
      <c r="AC63" s="76"/>
      <c r="AD63" s="76"/>
      <c r="AE63" s="76"/>
      <c r="AF63" s="76"/>
      <c r="AG63" s="77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C63-AA63</f>
        <v>182.985146866161</v>
      </c>
      <c r="D64" s="69" t="n">
        <f aca="false">$D$3</f>
        <v>150.77332897232</v>
      </c>
      <c r="E64" s="70" t="n">
        <f aca="false">C64-D64</f>
        <v>32.2118178938405</v>
      </c>
      <c r="F64" s="58"/>
      <c r="G64" s="71" t="n">
        <f aca="false">C64*TDEE!$B$5</f>
        <v>2276.88472250034</v>
      </c>
      <c r="H64" s="69" t="n">
        <f aca="false">$E64*31</f>
        <v>998.566354709056</v>
      </c>
      <c r="I64" s="69" t="n">
        <f aca="false">$G64-$H64</f>
        <v>1278.31836779128</v>
      </c>
      <c r="J64" s="60" t="n">
        <f aca="false">H64/3500</f>
        <v>0.285304672774016</v>
      </c>
      <c r="K64" s="69" t="n">
        <f aca="false">N64/9</f>
        <v>79.5381905644291</v>
      </c>
      <c r="L64" s="69" t="n">
        <v>20</v>
      </c>
      <c r="M64" s="56" t="n">
        <f aca="false">Protein_Amt!$B$6</f>
        <v>120.618663177856</v>
      </c>
      <c r="N64" s="69" t="n">
        <f aca="false">MAX(0,I64-(O64+P64))</f>
        <v>715.843715079862</v>
      </c>
      <c r="O64" s="69" t="n">
        <f aca="false">4*L64</f>
        <v>80</v>
      </c>
      <c r="P64" s="69" t="n">
        <f aca="false">4*M64</f>
        <v>482.474652711422</v>
      </c>
      <c r="Q64" s="70" t="n">
        <f aca="false">SUM(N64:P64)</f>
        <v>1278.31836779128</v>
      </c>
      <c r="S64" s="79"/>
      <c r="T64" s="76"/>
      <c r="U64" s="76"/>
      <c r="V64" s="76"/>
      <c r="W64" s="76"/>
      <c r="X64" s="76"/>
      <c r="Y64" s="76"/>
      <c r="Z64" s="80"/>
      <c r="AA64" s="71" t="n">
        <f aca="false">($H64-Z64)/3500</f>
        <v>0.285304672774016</v>
      </c>
      <c r="AB64" s="76"/>
      <c r="AC64" s="76"/>
      <c r="AD64" s="76"/>
      <c r="AE64" s="76"/>
      <c r="AF64" s="76"/>
      <c r="AG64" s="77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C64-AA64</f>
        <v>182.699842193387</v>
      </c>
      <c r="D65" s="69" t="n">
        <f aca="false">$D$3</f>
        <v>150.77332897232</v>
      </c>
      <c r="E65" s="70" t="n">
        <f aca="false">C65-D65</f>
        <v>31.9265132210665</v>
      </c>
      <c r="F65" s="58"/>
      <c r="G65" s="71" t="n">
        <f aca="false">C65*TDEE!$B$5</f>
        <v>2273.33467561499</v>
      </c>
      <c r="H65" s="69" t="n">
        <f aca="false">$E65*31</f>
        <v>989.721909853062</v>
      </c>
      <c r="I65" s="69" t="n">
        <f aca="false">$G65-$H65</f>
        <v>1283.61276576193</v>
      </c>
      <c r="J65" s="60" t="n">
        <f aca="false">H65/3500</f>
        <v>0.282777688529446</v>
      </c>
      <c r="K65" s="69" t="n">
        <f aca="false">N65/9</f>
        <v>80.126457005612</v>
      </c>
      <c r="L65" s="69" t="n">
        <v>20</v>
      </c>
      <c r="M65" s="56" t="n">
        <f aca="false">Protein_Amt!$B$6</f>
        <v>120.618663177856</v>
      </c>
      <c r="N65" s="69" t="n">
        <f aca="false">MAX(0,I65-(O65+P65))</f>
        <v>721.138113050508</v>
      </c>
      <c r="O65" s="69" t="n">
        <f aca="false">4*L65</f>
        <v>80</v>
      </c>
      <c r="P65" s="69" t="n">
        <f aca="false">4*M65</f>
        <v>482.474652711422</v>
      </c>
      <c r="Q65" s="70" t="n">
        <f aca="false">SUM(N65:P65)</f>
        <v>1283.61276576193</v>
      </c>
      <c r="S65" s="79"/>
      <c r="T65" s="76"/>
      <c r="U65" s="76"/>
      <c r="V65" s="76"/>
      <c r="W65" s="76"/>
      <c r="X65" s="76"/>
      <c r="Y65" s="76"/>
      <c r="Z65" s="80"/>
      <c r="AA65" s="71" t="n">
        <f aca="false">($H65-Z65)/3500</f>
        <v>0.282777688529446</v>
      </c>
      <c r="AB65" s="76"/>
      <c r="AC65" s="76"/>
      <c r="AD65" s="76"/>
      <c r="AE65" s="76"/>
      <c r="AF65" s="76"/>
      <c r="AG65" s="77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C65-AA65</f>
        <v>182.417064504857</v>
      </c>
      <c r="D66" s="69" t="n">
        <f aca="false">$D$3</f>
        <v>150.77332897232</v>
      </c>
      <c r="E66" s="70" t="n">
        <f aca="false">C66-D66</f>
        <v>31.6437355325371</v>
      </c>
      <c r="F66" s="58"/>
      <c r="G66" s="71" t="n">
        <f aca="false">C66*TDEE!$B$5</f>
        <v>2269.81607200206</v>
      </c>
      <c r="H66" s="69" t="n">
        <f aca="false">$E66*31</f>
        <v>980.95580150865</v>
      </c>
      <c r="I66" s="69" t="n">
        <f aca="false">$G66-$H66</f>
        <v>1288.86027049341</v>
      </c>
      <c r="J66" s="60" t="n">
        <f aca="false">H66/3500</f>
        <v>0.280273086145328</v>
      </c>
      <c r="K66" s="69" t="n">
        <f aca="false">N66/9</f>
        <v>80.7095130868873</v>
      </c>
      <c r="L66" s="69" t="n">
        <v>20</v>
      </c>
      <c r="M66" s="56" t="n">
        <f aca="false">Protein_Amt!$B$6</f>
        <v>120.618663177856</v>
      </c>
      <c r="N66" s="69" t="n">
        <f aca="false">MAX(0,I66-(O66+P66))</f>
        <v>726.385617781986</v>
      </c>
      <c r="O66" s="69" t="n">
        <f aca="false">4*L66</f>
        <v>80</v>
      </c>
      <c r="P66" s="69" t="n">
        <f aca="false">4*M66</f>
        <v>482.474652711422</v>
      </c>
      <c r="Q66" s="70" t="n">
        <f aca="false">SUM(N66:P66)</f>
        <v>1288.86027049341</v>
      </c>
      <c r="S66" s="79"/>
      <c r="T66" s="76"/>
      <c r="U66" s="76"/>
      <c r="V66" s="76"/>
      <c r="W66" s="76"/>
      <c r="X66" s="76"/>
      <c r="Y66" s="76"/>
      <c r="Z66" s="80"/>
      <c r="AA66" s="71" t="n">
        <f aca="false">($H66-Z66)/3500</f>
        <v>0.280273086145328</v>
      </c>
      <c r="AB66" s="76"/>
      <c r="AC66" s="76"/>
      <c r="AD66" s="76"/>
      <c r="AE66" s="76"/>
      <c r="AF66" s="76"/>
      <c r="AG66" s="77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C66-AA66</f>
        <v>182.136791418712</v>
      </c>
      <c r="D67" s="69" t="n">
        <f aca="false">$D$3</f>
        <v>150.77332897232</v>
      </c>
      <c r="E67" s="70" t="n">
        <f aca="false">C67-D67</f>
        <v>31.3634624463918</v>
      </c>
      <c r="F67" s="58"/>
      <c r="G67" s="71" t="n">
        <f aca="false">C67*TDEE!$B$5</f>
        <v>2266.32863316398</v>
      </c>
      <c r="H67" s="69" t="n">
        <f aca="false">$E67*31</f>
        <v>972.267335838145</v>
      </c>
      <c r="I67" s="69" t="n">
        <f aca="false">$G67-$H67</f>
        <v>1294.06129732584</v>
      </c>
      <c r="J67" s="60" t="n">
        <f aca="false">H67/3500</f>
        <v>0.277790667382327</v>
      </c>
      <c r="K67" s="69" t="n">
        <f aca="false">N67/9</f>
        <v>81.2874049571571</v>
      </c>
      <c r="L67" s="69" t="n">
        <v>20</v>
      </c>
      <c r="M67" s="56" t="n">
        <f aca="false">Protein_Amt!$B$6</f>
        <v>120.618663177856</v>
      </c>
      <c r="N67" s="69" t="n">
        <f aca="false">MAX(0,I67-(O67+P67))</f>
        <v>731.586644614414</v>
      </c>
      <c r="O67" s="69" t="n">
        <f aca="false">4*L67</f>
        <v>80</v>
      </c>
      <c r="P67" s="69" t="n">
        <f aca="false">4*M67</f>
        <v>482.474652711422</v>
      </c>
      <c r="Q67" s="70" t="n">
        <f aca="false">SUM(N67:P67)</f>
        <v>1294.06129732584</v>
      </c>
      <c r="S67" s="79"/>
      <c r="T67" s="76"/>
      <c r="U67" s="76"/>
      <c r="V67" s="76"/>
      <c r="W67" s="76"/>
      <c r="X67" s="76"/>
      <c r="Y67" s="76"/>
      <c r="Z67" s="80"/>
      <c r="AA67" s="71" t="n">
        <f aca="false">($H67-Z67)/3500</f>
        <v>0.277790667382327</v>
      </c>
      <c r="AB67" s="76"/>
      <c r="AC67" s="76"/>
      <c r="AD67" s="76"/>
      <c r="AE67" s="76"/>
      <c r="AF67" s="76"/>
      <c r="AG67" s="77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C67-AA67</f>
        <v>181.859000751329</v>
      </c>
      <c r="D68" s="69" t="n">
        <f aca="false">$D$3</f>
        <v>150.77332897232</v>
      </c>
      <c r="E68" s="70" t="n">
        <f aca="false">C68-D68</f>
        <v>31.0856717790094</v>
      </c>
      <c r="F68" s="58"/>
      <c r="G68" s="71" t="n">
        <f aca="false">C68*TDEE!$B$5</f>
        <v>2262.8720830699</v>
      </c>
      <c r="H68" s="69" t="n">
        <f aca="false">$E68*31</f>
        <v>963.655825149292</v>
      </c>
      <c r="I68" s="69" t="n">
        <f aca="false">$G68-$H68</f>
        <v>1299.21625792061</v>
      </c>
      <c r="J68" s="60" t="n">
        <f aca="false">H68/3500</f>
        <v>0.275330235756941</v>
      </c>
      <c r="K68" s="69" t="n">
        <f aca="false">N68/9</f>
        <v>81.8601783565759</v>
      </c>
      <c r="L68" s="69" t="n">
        <v>20</v>
      </c>
      <c r="M68" s="56" t="n">
        <f aca="false">Protein_Amt!$B$6</f>
        <v>120.618663177856</v>
      </c>
      <c r="N68" s="69" t="n">
        <f aca="false">MAX(0,I68-(O68+P68))</f>
        <v>736.741605209183</v>
      </c>
      <c r="O68" s="69" t="n">
        <f aca="false">4*L68</f>
        <v>80</v>
      </c>
      <c r="P68" s="69" t="n">
        <f aca="false">4*M68</f>
        <v>482.474652711422</v>
      </c>
      <c r="Q68" s="70" t="n">
        <f aca="false">SUM(N68:P68)</f>
        <v>1299.21625792061</v>
      </c>
      <c r="S68" s="79"/>
      <c r="T68" s="76"/>
      <c r="U68" s="76"/>
      <c r="V68" s="76"/>
      <c r="W68" s="76"/>
      <c r="X68" s="76"/>
      <c r="Y68" s="76"/>
      <c r="Z68" s="80"/>
      <c r="AA68" s="71" t="n">
        <f aca="false">($H68-Z68)/3500</f>
        <v>0.275330235756941</v>
      </c>
      <c r="AB68" s="76"/>
      <c r="AC68" s="76"/>
      <c r="AD68" s="76"/>
      <c r="AE68" s="76"/>
      <c r="AF68" s="76"/>
      <c r="AG68" s="77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C68-AA68</f>
        <v>181.583670515573</v>
      </c>
      <c r="D69" s="69" t="n">
        <f aca="false">$D$3</f>
        <v>150.77332897232</v>
      </c>
      <c r="E69" s="70" t="n">
        <f aca="false">C69-D69</f>
        <v>30.8103415432525</v>
      </c>
      <c r="F69" s="58"/>
      <c r="G69" s="71" t="n">
        <f aca="false">C69*TDEE!$B$5</f>
        <v>2259.44614813379</v>
      </c>
      <c r="H69" s="69" t="n">
        <f aca="false">$E69*31</f>
        <v>955.120587840827</v>
      </c>
      <c r="I69" s="69" t="n">
        <f aca="false">$G69-$H69</f>
        <v>1304.32556029296</v>
      </c>
      <c r="J69" s="60" t="n">
        <f aca="false">H69/3500</f>
        <v>0.272891596525951</v>
      </c>
      <c r="K69" s="69" t="n">
        <f aca="false">N69/9</f>
        <v>82.4278786201713</v>
      </c>
      <c r="L69" s="69" t="n">
        <v>20</v>
      </c>
      <c r="M69" s="56" t="n">
        <f aca="false">Protein_Amt!$B$6</f>
        <v>120.618663177856</v>
      </c>
      <c r="N69" s="69" t="n">
        <f aca="false">MAX(0,I69-(O69+P69))</f>
        <v>741.850907581541</v>
      </c>
      <c r="O69" s="69" t="n">
        <f aca="false">4*L69</f>
        <v>80</v>
      </c>
      <c r="P69" s="69" t="n">
        <f aca="false">4*M69</f>
        <v>482.474652711422</v>
      </c>
      <c r="Q69" s="70" t="n">
        <f aca="false">SUM(N69:P69)</f>
        <v>1304.32556029296</v>
      </c>
      <c r="S69" s="79"/>
      <c r="T69" s="76"/>
      <c r="U69" s="76"/>
      <c r="V69" s="76"/>
      <c r="W69" s="76"/>
      <c r="X69" s="76"/>
      <c r="Y69" s="76"/>
      <c r="Z69" s="80"/>
      <c r="AA69" s="71" t="n">
        <f aca="false">($H69-Z69)/3500</f>
        <v>0.272891596525951</v>
      </c>
      <c r="AB69" s="76"/>
      <c r="AC69" s="76"/>
      <c r="AD69" s="76"/>
      <c r="AE69" s="76"/>
      <c r="AF69" s="76"/>
      <c r="AG69" s="77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C69-AA69</f>
        <v>181.310778919047</v>
      </c>
      <c r="D70" s="69" t="n">
        <f aca="false">$D$3</f>
        <v>150.77332897232</v>
      </c>
      <c r="E70" s="70" t="n">
        <f aca="false">C70-D70</f>
        <v>30.5374499467266</v>
      </c>
      <c r="F70" s="58"/>
      <c r="G70" s="71" t="n">
        <f aca="false">C70*TDEE!$B$5</f>
        <v>2256.05055719283</v>
      </c>
      <c r="H70" s="69" t="n">
        <f aca="false">$E70*31</f>
        <v>946.660948348523</v>
      </c>
      <c r="I70" s="69" t="n">
        <f aca="false">$G70-$H70</f>
        <v>1309.38960884431</v>
      </c>
      <c r="J70" s="60" t="n">
        <f aca="false">H70/3500</f>
        <v>0.270474556671007</v>
      </c>
      <c r="K70" s="69" t="n">
        <f aca="false">N70/9</f>
        <v>82.9905506814319</v>
      </c>
      <c r="L70" s="69" t="n">
        <v>20</v>
      </c>
      <c r="M70" s="56" t="n">
        <f aca="false">Protein_Amt!$B$6</f>
        <v>120.618663177856</v>
      </c>
      <c r="N70" s="69" t="n">
        <f aca="false">MAX(0,I70-(O70+P70))</f>
        <v>746.914956132887</v>
      </c>
      <c r="O70" s="69" t="n">
        <f aca="false">4*L70</f>
        <v>80</v>
      </c>
      <c r="P70" s="69" t="n">
        <f aca="false">4*M70</f>
        <v>482.474652711422</v>
      </c>
      <c r="Q70" s="70" t="n">
        <f aca="false">SUM(N70:P70)</f>
        <v>1309.38960884431</v>
      </c>
      <c r="S70" s="79"/>
      <c r="T70" s="76"/>
      <c r="U70" s="76"/>
      <c r="V70" s="76"/>
      <c r="W70" s="76"/>
      <c r="X70" s="76"/>
      <c r="Y70" s="76"/>
      <c r="Z70" s="80"/>
      <c r="AA70" s="71" t="n">
        <f aca="false">($H70-Z70)/3500</f>
        <v>0.270474556671007</v>
      </c>
      <c r="AB70" s="76"/>
      <c r="AC70" s="76"/>
      <c r="AD70" s="76"/>
      <c r="AE70" s="76"/>
      <c r="AF70" s="76"/>
      <c r="AG70" s="77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C70-AA70</f>
        <v>181.040304362376</v>
      </c>
      <c r="D71" s="69" t="n">
        <f aca="false">$D$3</f>
        <v>150.77332897232</v>
      </c>
      <c r="E71" s="70" t="n">
        <f aca="false">C71-D71</f>
        <v>30.2669753900555</v>
      </c>
      <c r="F71" s="58"/>
      <c r="G71" s="71" t="n">
        <f aca="false">C71*TDEE!$B$5</f>
        <v>2252.68504148592</v>
      </c>
      <c r="H71" s="69" t="n">
        <f aca="false">$E71*31</f>
        <v>938.276237091722</v>
      </c>
      <c r="I71" s="69" t="n">
        <f aca="false">$G71-$H71</f>
        <v>1314.4088043942</v>
      </c>
      <c r="J71" s="60" t="n">
        <f aca="false">H71/3500</f>
        <v>0.268078924883349</v>
      </c>
      <c r="K71" s="69" t="n">
        <f aca="false">N71/9</f>
        <v>83.5482390758643</v>
      </c>
      <c r="L71" s="69" t="n">
        <v>20</v>
      </c>
      <c r="M71" s="56" t="n">
        <f aca="false">Protein_Amt!$B$6</f>
        <v>120.618663177856</v>
      </c>
      <c r="N71" s="69" t="n">
        <f aca="false">MAX(0,I71-(O71+P71))</f>
        <v>751.934151682779</v>
      </c>
      <c r="O71" s="69" t="n">
        <f aca="false">4*L71</f>
        <v>80</v>
      </c>
      <c r="P71" s="69" t="n">
        <f aca="false">4*M71</f>
        <v>482.474652711422</v>
      </c>
      <c r="Q71" s="70" t="n">
        <f aca="false">SUM(N71:P71)</f>
        <v>1314.4088043942</v>
      </c>
      <c r="S71" s="79"/>
      <c r="T71" s="76"/>
      <c r="U71" s="76"/>
      <c r="V71" s="76"/>
      <c r="W71" s="76"/>
      <c r="X71" s="76"/>
      <c r="Y71" s="76"/>
      <c r="Z71" s="80"/>
      <c r="AA71" s="71" t="n">
        <f aca="false">($H71-Z71)/3500</f>
        <v>0.268078924883349</v>
      </c>
      <c r="AB71" s="76"/>
      <c r="AC71" s="76"/>
      <c r="AD71" s="76"/>
      <c r="AE71" s="76"/>
      <c r="AF71" s="76"/>
      <c r="AG71" s="77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C71-AA71</f>
        <v>180.772225437492</v>
      </c>
      <c r="D72" s="69" t="n">
        <f aca="false">$D$3</f>
        <v>150.77332897232</v>
      </c>
      <c r="E72" s="70" t="n">
        <f aca="false">C72-D72</f>
        <v>29.9988964651722</v>
      </c>
      <c r="F72" s="58"/>
      <c r="G72" s="71" t="n">
        <f aca="false">C72*TDEE!$B$5</f>
        <v>2249.34933463242</v>
      </c>
      <c r="H72" s="69" t="n">
        <f aca="false">$E72*31</f>
        <v>929.965790420338</v>
      </c>
      <c r="I72" s="69" t="n">
        <f aca="false">$G72-$H72</f>
        <v>1319.38354421208</v>
      </c>
      <c r="J72" s="60" t="n">
        <f aca="false">H72/3500</f>
        <v>0.265704511548668</v>
      </c>
      <c r="K72" s="69" t="n">
        <f aca="false">N72/9</f>
        <v>84.1009879445175</v>
      </c>
      <c r="L72" s="69" t="n">
        <v>20</v>
      </c>
      <c r="M72" s="56" t="n">
        <f aca="false">Protein_Amt!$B$6</f>
        <v>120.618663177856</v>
      </c>
      <c r="N72" s="69" t="n">
        <f aca="false">MAX(0,I72-(O72+P72))</f>
        <v>756.908891500657</v>
      </c>
      <c r="O72" s="69" t="n">
        <f aca="false">4*L72</f>
        <v>80</v>
      </c>
      <c r="P72" s="69" t="n">
        <f aca="false">4*M72</f>
        <v>482.474652711422</v>
      </c>
      <c r="Q72" s="70" t="n">
        <f aca="false">SUM(N72:P72)</f>
        <v>1319.38354421208</v>
      </c>
      <c r="S72" s="79"/>
      <c r="T72" s="76"/>
      <c r="U72" s="76"/>
      <c r="V72" s="76"/>
      <c r="W72" s="76"/>
      <c r="X72" s="76"/>
      <c r="Y72" s="76"/>
      <c r="Z72" s="80"/>
      <c r="AA72" s="71" t="n">
        <f aca="false">($H72-Z72)/3500</f>
        <v>0.265704511548668</v>
      </c>
      <c r="AB72" s="76"/>
      <c r="AC72" s="76"/>
      <c r="AD72" s="76"/>
      <c r="AE72" s="76"/>
      <c r="AF72" s="76"/>
      <c r="AG72" s="77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C72-AA72</f>
        <v>180.506520925944</v>
      </c>
      <c r="D73" s="69" t="n">
        <f aca="false">$D$3</f>
        <v>150.77332897232</v>
      </c>
      <c r="E73" s="70" t="n">
        <f aca="false">C73-D73</f>
        <v>29.7331919536235</v>
      </c>
      <c r="F73" s="58"/>
      <c r="G73" s="71" t="n">
        <f aca="false">C73*TDEE!$B$5</f>
        <v>2246.04317261104</v>
      </c>
      <c r="H73" s="69" t="n">
        <f aca="false">$E73*31</f>
        <v>921.728950562329</v>
      </c>
      <c r="I73" s="69" t="n">
        <f aca="false">$G73-$H73</f>
        <v>1324.31422204871</v>
      </c>
      <c r="J73" s="60" t="n">
        <f aca="false">H73/3500</f>
        <v>0.263351128732094</v>
      </c>
      <c r="K73" s="69" t="n">
        <f aca="false">N73/9</f>
        <v>84.6488410374768</v>
      </c>
      <c r="L73" s="69" t="n">
        <v>20</v>
      </c>
      <c r="M73" s="56" t="n">
        <f aca="false">Protein_Amt!$B$6</f>
        <v>120.618663177856</v>
      </c>
      <c r="N73" s="69" t="n">
        <f aca="false">MAX(0,I73-(O73+P73))</f>
        <v>761.839569337291</v>
      </c>
      <c r="O73" s="69" t="n">
        <f aca="false">4*L73</f>
        <v>80</v>
      </c>
      <c r="P73" s="69" t="n">
        <f aca="false">4*M73</f>
        <v>482.474652711422</v>
      </c>
      <c r="Q73" s="70" t="n">
        <f aca="false">SUM(N73:P73)</f>
        <v>1324.31422204871</v>
      </c>
      <c r="S73" s="79"/>
      <c r="T73" s="76"/>
      <c r="U73" s="76"/>
      <c r="V73" s="76"/>
      <c r="W73" s="76"/>
      <c r="X73" s="76"/>
      <c r="Y73" s="76"/>
      <c r="Z73" s="80"/>
      <c r="AA73" s="71" t="n">
        <f aca="false">($H73-Z73)/3500</f>
        <v>0.263351128732094</v>
      </c>
      <c r="AB73" s="76"/>
      <c r="AC73" s="76"/>
      <c r="AD73" s="76"/>
      <c r="AE73" s="76"/>
      <c r="AF73" s="76"/>
      <c r="AG73" s="77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C73-AA73</f>
        <v>180.243169797211</v>
      </c>
      <c r="D74" s="69" t="n">
        <f aca="false">$D$3</f>
        <v>150.77332897232</v>
      </c>
      <c r="E74" s="70" t="n">
        <f aca="false">C74-D74</f>
        <v>29.4698408248914</v>
      </c>
      <c r="F74" s="58"/>
      <c r="G74" s="71" t="n">
        <f aca="false">C74*TDEE!$B$5</f>
        <v>2242.766293739</v>
      </c>
      <c r="H74" s="69" t="n">
        <f aca="false">$E74*31</f>
        <v>913.565065571634</v>
      </c>
      <c r="I74" s="69" t="n">
        <f aca="false">$G74-$H74</f>
        <v>1329.20122816737</v>
      </c>
      <c r="J74" s="60" t="n">
        <f aca="false">H74/3500</f>
        <v>0.261018590163324</v>
      </c>
      <c r="K74" s="69" t="n">
        <f aca="false">N74/9</f>
        <v>85.1918417173271</v>
      </c>
      <c r="L74" s="69" t="n">
        <v>20</v>
      </c>
      <c r="M74" s="56" t="n">
        <f aca="false">Protein_Amt!$B$6</f>
        <v>120.618663177856</v>
      </c>
      <c r="N74" s="69" t="n">
        <f aca="false">MAX(0,I74-(O74+P74))</f>
        <v>766.726575455944</v>
      </c>
      <c r="O74" s="69" t="n">
        <f aca="false">4*L74</f>
        <v>80</v>
      </c>
      <c r="P74" s="69" t="n">
        <f aca="false">4*M74</f>
        <v>482.474652711422</v>
      </c>
      <c r="Q74" s="70" t="n">
        <f aca="false">SUM(N74:P74)</f>
        <v>1329.20122816737</v>
      </c>
      <c r="S74" s="79"/>
      <c r="T74" s="76"/>
      <c r="U74" s="76"/>
      <c r="V74" s="76"/>
      <c r="W74" s="76"/>
      <c r="X74" s="76"/>
      <c r="Y74" s="76"/>
      <c r="Z74" s="80"/>
      <c r="AA74" s="71" t="n">
        <f aca="false">($H74-Z74)/3500</f>
        <v>0.261018590163324</v>
      </c>
      <c r="AB74" s="76"/>
      <c r="AC74" s="76"/>
      <c r="AD74" s="76"/>
      <c r="AE74" s="76"/>
      <c r="AF74" s="76"/>
      <c r="AG74" s="77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C74-AA74</f>
        <v>179.982151207048</v>
      </c>
      <c r="D75" s="69" t="n">
        <f aca="false">$D$3</f>
        <v>150.77332897232</v>
      </c>
      <c r="E75" s="70" t="n">
        <f aca="false">C75-D75</f>
        <v>29.2088222347281</v>
      </c>
      <c r="F75" s="58"/>
      <c r="G75" s="71" t="n">
        <f aca="false">C75*TDEE!$B$5</f>
        <v>2239.51843865125</v>
      </c>
      <c r="H75" s="69" t="n">
        <f aca="false">$E75*31</f>
        <v>905.47348927657</v>
      </c>
      <c r="I75" s="69" t="n">
        <f aca="false">$G75-$H75</f>
        <v>1334.04494937468</v>
      </c>
      <c r="J75" s="60" t="n">
        <f aca="false">H75/3500</f>
        <v>0.258706711221877</v>
      </c>
      <c r="K75" s="69" t="n">
        <f aca="false">N75/9</f>
        <v>85.7300329625844</v>
      </c>
      <c r="L75" s="69" t="n">
        <v>20</v>
      </c>
      <c r="M75" s="56" t="n">
        <f aca="false">Protein_Amt!$B$6</f>
        <v>120.618663177856</v>
      </c>
      <c r="N75" s="69" t="n">
        <f aca="false">MAX(0,I75-(O75+P75))</f>
        <v>771.57029666326</v>
      </c>
      <c r="O75" s="69" t="n">
        <f aca="false">4*L75</f>
        <v>80</v>
      </c>
      <c r="P75" s="69" t="n">
        <f aca="false">4*M75</f>
        <v>482.474652711422</v>
      </c>
      <c r="Q75" s="70" t="n">
        <f aca="false">SUM(N75:P75)</f>
        <v>1334.04494937468</v>
      </c>
      <c r="S75" s="79"/>
      <c r="T75" s="76"/>
      <c r="U75" s="76"/>
      <c r="V75" s="76"/>
      <c r="W75" s="76"/>
      <c r="X75" s="76"/>
      <c r="Y75" s="76"/>
      <c r="Z75" s="80"/>
      <c r="AA75" s="71" t="n">
        <f aca="false">($H75-Z75)/3500</f>
        <v>0.258706711221877</v>
      </c>
      <c r="AB75" s="76"/>
      <c r="AC75" s="76"/>
      <c r="AD75" s="76"/>
      <c r="AE75" s="76"/>
      <c r="AF75" s="76"/>
      <c r="AG75" s="77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C75-AA75</f>
        <v>179.723444495826</v>
      </c>
      <c r="D76" s="69" t="n">
        <f aca="false">$D$3</f>
        <v>150.77332897232</v>
      </c>
      <c r="E76" s="70" t="n">
        <f aca="false">C76-D76</f>
        <v>28.9501155235062</v>
      </c>
      <c r="F76" s="58"/>
      <c r="G76" s="71" t="n">
        <f aca="false">C76*TDEE!$B$5</f>
        <v>2236.29935028</v>
      </c>
      <c r="H76" s="69" t="n">
        <f aca="false">$E76*31</f>
        <v>897.453581228692</v>
      </c>
      <c r="I76" s="69" t="n">
        <f aca="false">$G76-$H76</f>
        <v>1338.8457690513</v>
      </c>
      <c r="J76" s="60" t="n">
        <f aca="false">H76/3500</f>
        <v>0.256415308922483</v>
      </c>
      <c r="K76" s="69" t="n">
        <f aca="false">N76/9</f>
        <v>86.263457371098</v>
      </c>
      <c r="L76" s="69" t="n">
        <v>20</v>
      </c>
      <c r="M76" s="56" t="n">
        <f aca="false">Protein_Amt!$B$6</f>
        <v>120.618663177856</v>
      </c>
      <c r="N76" s="69" t="n">
        <f aca="false">MAX(0,I76-(O76+P76))</f>
        <v>776.371116339882</v>
      </c>
      <c r="O76" s="69" t="n">
        <f aca="false">4*L76</f>
        <v>80</v>
      </c>
      <c r="P76" s="69" t="n">
        <f aca="false">4*M76</f>
        <v>482.474652711422</v>
      </c>
      <c r="Q76" s="70" t="n">
        <f aca="false">SUM(N76:P76)</f>
        <v>1338.8457690513</v>
      </c>
      <c r="S76" s="79"/>
      <c r="T76" s="76"/>
      <c r="U76" s="76"/>
      <c r="V76" s="76"/>
      <c r="W76" s="76"/>
      <c r="X76" s="76"/>
      <c r="Y76" s="76"/>
      <c r="Z76" s="80"/>
      <c r="AA76" s="71" t="n">
        <f aca="false">($H76-Z76)/3500</f>
        <v>0.256415308922483</v>
      </c>
      <c r="AB76" s="76"/>
      <c r="AC76" s="76"/>
      <c r="AD76" s="76"/>
      <c r="AE76" s="76"/>
      <c r="AF76" s="76"/>
      <c r="AG76" s="77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C76-AA76</f>
        <v>179.467029186904</v>
      </c>
      <c r="D77" s="69" t="n">
        <f aca="false">$D$3</f>
        <v>150.77332897232</v>
      </c>
      <c r="E77" s="70" t="n">
        <f aca="false">C77-D77</f>
        <v>28.6937002145837</v>
      </c>
      <c r="F77" s="58"/>
      <c r="G77" s="71" t="n">
        <f aca="false">C77*TDEE!$B$5</f>
        <v>2233.10877383431</v>
      </c>
      <c r="H77" s="69" t="n">
        <f aca="false">$E77*31</f>
        <v>889.504706652095</v>
      </c>
      <c r="I77" s="69" t="n">
        <f aca="false">$G77-$H77</f>
        <v>1343.60406718222</v>
      </c>
      <c r="J77" s="60" t="n">
        <f aca="false">H77/3500</f>
        <v>0.254144201900599</v>
      </c>
      <c r="K77" s="69" t="n">
        <f aca="false">N77/9</f>
        <v>86.7921571634219</v>
      </c>
      <c r="L77" s="69" t="n">
        <v>20</v>
      </c>
      <c r="M77" s="56" t="n">
        <f aca="false">Protein_Amt!$B$6</f>
        <v>120.618663177856</v>
      </c>
      <c r="N77" s="69" t="n">
        <f aca="false">MAX(0,I77-(O77+P77))</f>
        <v>781.129414470797</v>
      </c>
      <c r="O77" s="69" t="n">
        <f aca="false">4*L77</f>
        <v>80</v>
      </c>
      <c r="P77" s="69" t="n">
        <f aca="false">4*M77</f>
        <v>482.474652711422</v>
      </c>
      <c r="Q77" s="70" t="n">
        <f aca="false">SUM(N77:P77)</f>
        <v>1343.60406718222</v>
      </c>
      <c r="S77" s="79"/>
      <c r="T77" s="76"/>
      <c r="U77" s="76"/>
      <c r="V77" s="76"/>
      <c r="W77" s="76"/>
      <c r="X77" s="76"/>
      <c r="Y77" s="76"/>
      <c r="Z77" s="80"/>
      <c r="AA77" s="71" t="n">
        <f aca="false">($H77-Z77)/3500</f>
        <v>0.254144201900599</v>
      </c>
      <c r="AB77" s="76"/>
      <c r="AC77" s="76"/>
      <c r="AD77" s="76"/>
      <c r="AE77" s="76"/>
      <c r="AF77" s="76"/>
      <c r="AG77" s="77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C77-AA77</f>
        <v>179.212884985003</v>
      </c>
      <c r="D78" s="69" t="n">
        <f aca="false">$D$3</f>
        <v>150.77332897232</v>
      </c>
      <c r="E78" s="70" t="n">
        <f aca="false">C78-D78</f>
        <v>28.4395560126831</v>
      </c>
      <c r="F78" s="58"/>
      <c r="G78" s="71" t="n">
        <f aca="false">C78*TDEE!$B$5</f>
        <v>2229.94645678001</v>
      </c>
      <c r="H78" s="69" t="n">
        <f aca="false">$E78*31</f>
        <v>881.626236393177</v>
      </c>
      <c r="I78" s="69" t="n">
        <f aca="false">$G78-$H78</f>
        <v>1348.32022038683</v>
      </c>
      <c r="J78" s="60" t="n">
        <f aca="false">H78/3500</f>
        <v>0.25189321039805</v>
      </c>
      <c r="K78" s="69" t="n">
        <f aca="false">N78/9</f>
        <v>87.3161741861567</v>
      </c>
      <c r="L78" s="69" t="n">
        <v>20</v>
      </c>
      <c r="M78" s="56" t="n">
        <f aca="false">Protein_Amt!$B$6</f>
        <v>120.618663177856</v>
      </c>
      <c r="N78" s="69" t="n">
        <f aca="false">MAX(0,I78-(O78+P78))</f>
        <v>785.84556767541</v>
      </c>
      <c r="O78" s="69" t="n">
        <f aca="false">4*L78</f>
        <v>80</v>
      </c>
      <c r="P78" s="69" t="n">
        <f aca="false">4*M78</f>
        <v>482.474652711422</v>
      </c>
      <c r="Q78" s="70" t="n">
        <f aca="false">SUM(N78:P78)</f>
        <v>1348.32022038683</v>
      </c>
      <c r="S78" s="79"/>
      <c r="T78" s="76"/>
      <c r="U78" s="76"/>
      <c r="V78" s="76"/>
      <c r="W78" s="76"/>
      <c r="X78" s="76"/>
      <c r="Y78" s="76"/>
      <c r="Z78" s="80"/>
      <c r="AA78" s="71" t="n">
        <f aca="false">($H78-Z78)/3500</f>
        <v>0.25189321039805</v>
      </c>
      <c r="AB78" s="76"/>
      <c r="AC78" s="76"/>
      <c r="AD78" s="76"/>
      <c r="AE78" s="76"/>
      <c r="AF78" s="76"/>
      <c r="AG78" s="77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C78-AA78</f>
        <v>178.960991774605</v>
      </c>
      <c r="D79" s="69" t="n">
        <f aca="false">$D$3</f>
        <v>150.77332897232</v>
      </c>
      <c r="E79" s="70" t="n">
        <f aca="false">C79-D79</f>
        <v>28.1876628022851</v>
      </c>
      <c r="F79" s="58"/>
      <c r="G79" s="71" t="n">
        <f aca="false">C79*TDEE!$B$5</f>
        <v>2226.81214881961</v>
      </c>
      <c r="H79" s="69" t="n">
        <f aca="false">$E79*31</f>
        <v>873.817546870837</v>
      </c>
      <c r="I79" s="69" t="n">
        <f aca="false">$G79-$H79</f>
        <v>1352.99460194878</v>
      </c>
      <c r="J79" s="60" t="n">
        <f aca="false">H79/3500</f>
        <v>0.249662156248811</v>
      </c>
      <c r="K79" s="69" t="n">
        <f aca="false">N79/9</f>
        <v>87.8355499152615</v>
      </c>
      <c r="L79" s="69" t="n">
        <v>20</v>
      </c>
      <c r="M79" s="56" t="n">
        <f aca="false">Protein_Amt!$B$6</f>
        <v>120.618663177856</v>
      </c>
      <c r="N79" s="69" t="n">
        <f aca="false">MAX(0,I79-(O79+P79))</f>
        <v>790.519949237353</v>
      </c>
      <c r="O79" s="69" t="n">
        <f aca="false">4*L79</f>
        <v>80</v>
      </c>
      <c r="P79" s="69" t="n">
        <f aca="false">4*M79</f>
        <v>482.474652711422</v>
      </c>
      <c r="Q79" s="70" t="n">
        <f aca="false">SUM(N79:P79)</f>
        <v>1352.99460194878</v>
      </c>
      <c r="S79" s="79"/>
      <c r="T79" s="76"/>
      <c r="U79" s="76"/>
      <c r="V79" s="76"/>
      <c r="W79" s="76"/>
      <c r="X79" s="76"/>
      <c r="Y79" s="76"/>
      <c r="Z79" s="80"/>
      <c r="AA79" s="71" t="n">
        <f aca="false">($H79-Z79)/3500</f>
        <v>0.249662156248811</v>
      </c>
      <c r="AB79" s="76"/>
      <c r="AC79" s="76"/>
      <c r="AD79" s="76"/>
      <c r="AE79" s="76"/>
      <c r="AF79" s="76"/>
      <c r="AG79" s="77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C79-AA79</f>
        <v>178.711329618356</v>
      </c>
      <c r="D80" s="69" t="n">
        <f aca="false">$D$3</f>
        <v>150.77332897232</v>
      </c>
      <c r="E80" s="70" t="n">
        <f aca="false">C80-D80</f>
        <v>27.9380006460363</v>
      </c>
      <c r="F80" s="58"/>
      <c r="G80" s="71" t="n">
        <f aca="false">C80*TDEE!$B$5</f>
        <v>2223.70560187258</v>
      </c>
      <c r="H80" s="69" t="n">
        <f aca="false">$E80*31</f>
        <v>866.078020027124</v>
      </c>
      <c r="I80" s="69" t="n">
        <f aca="false">$G80-$H80</f>
        <v>1357.62758184546</v>
      </c>
      <c r="J80" s="60" t="n">
        <f aca="false">H80/3500</f>
        <v>0.247450862864893</v>
      </c>
      <c r="K80" s="69" t="n">
        <f aca="false">N80/9</f>
        <v>88.350325459337</v>
      </c>
      <c r="L80" s="69" t="n">
        <v>20</v>
      </c>
      <c r="M80" s="56" t="n">
        <f aca="false">Protein_Amt!$B$6</f>
        <v>120.618663177856</v>
      </c>
      <c r="N80" s="69" t="n">
        <f aca="false">MAX(0,I80-(O80+P80))</f>
        <v>795.152929134033</v>
      </c>
      <c r="O80" s="69" t="n">
        <f aca="false">4*L80</f>
        <v>80</v>
      </c>
      <c r="P80" s="69" t="n">
        <f aca="false">4*M80</f>
        <v>482.474652711422</v>
      </c>
      <c r="Q80" s="70" t="n">
        <f aca="false">SUM(N80:P80)</f>
        <v>1357.62758184546</v>
      </c>
      <c r="S80" s="79"/>
      <c r="T80" s="76"/>
      <c r="U80" s="76"/>
      <c r="V80" s="76"/>
      <c r="W80" s="76"/>
      <c r="X80" s="76"/>
      <c r="Y80" s="76"/>
      <c r="Z80" s="80"/>
      <c r="AA80" s="71" t="n">
        <f aca="false">($H80-Z80)/3500</f>
        <v>0.247450862864893</v>
      </c>
      <c r="AB80" s="76"/>
      <c r="AC80" s="76"/>
      <c r="AD80" s="76"/>
      <c r="AE80" s="76"/>
      <c r="AF80" s="76"/>
      <c r="AG80" s="77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C80-AA80</f>
        <v>178.463878755491</v>
      </c>
      <c r="D81" s="69" t="n">
        <f aca="false">$D$3</f>
        <v>150.77332897232</v>
      </c>
      <c r="E81" s="70" t="n">
        <f aca="false">C81-D81</f>
        <v>27.6905497831714</v>
      </c>
      <c r="F81" s="58"/>
      <c r="G81" s="71" t="n">
        <f aca="false">C81*TDEE!$B$5</f>
        <v>2220.62657005565</v>
      </c>
      <c r="H81" s="69" t="n">
        <f aca="false">$E81*31</f>
        <v>858.407043278313</v>
      </c>
      <c r="I81" s="69" t="n">
        <f aca="false">$G81-$H81</f>
        <v>1362.21952677734</v>
      </c>
      <c r="J81" s="60" t="n">
        <f aca="false">H81/3500</f>
        <v>0.245259155222375</v>
      </c>
      <c r="K81" s="69" t="n">
        <f aca="false">N81/9</f>
        <v>88.8605415628794</v>
      </c>
      <c r="L81" s="69" t="n">
        <v>20</v>
      </c>
      <c r="M81" s="56" t="n">
        <f aca="false">Protein_Amt!$B$6</f>
        <v>120.618663177856</v>
      </c>
      <c r="N81" s="69" t="n">
        <f aca="false">MAX(0,I81-(O81+P81))</f>
        <v>799.744874065914</v>
      </c>
      <c r="O81" s="69" t="n">
        <f aca="false">4*L81</f>
        <v>80</v>
      </c>
      <c r="P81" s="69" t="n">
        <f aca="false">4*M81</f>
        <v>482.474652711422</v>
      </c>
      <c r="Q81" s="70" t="n">
        <f aca="false">SUM(N81:P81)</f>
        <v>1362.21952677734</v>
      </c>
      <c r="S81" s="79"/>
      <c r="T81" s="76"/>
      <c r="U81" s="76"/>
      <c r="V81" s="76"/>
      <c r="W81" s="76"/>
      <c r="X81" s="76"/>
      <c r="Y81" s="76"/>
      <c r="Z81" s="80"/>
      <c r="AA81" s="71" t="n">
        <f aca="false">($H81-Z81)/3500</f>
        <v>0.245259155222375</v>
      </c>
      <c r="AB81" s="76"/>
      <c r="AC81" s="76"/>
      <c r="AD81" s="76"/>
      <c r="AE81" s="76"/>
      <c r="AF81" s="76"/>
      <c r="AG81" s="77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C81-AA81</f>
        <v>178.218619600269</v>
      </c>
      <c r="D82" s="69" t="n">
        <f aca="false">$D$3</f>
        <v>150.77332897232</v>
      </c>
      <c r="E82" s="70" t="n">
        <f aca="false">C82-D82</f>
        <v>27.445290627949</v>
      </c>
      <c r="F82" s="58"/>
      <c r="G82" s="71" t="n">
        <f aca="false">C82*TDEE!$B$5</f>
        <v>2217.57480966338</v>
      </c>
      <c r="H82" s="69" t="n">
        <f aca="false">$E82*31</f>
        <v>850.804009466419</v>
      </c>
      <c r="I82" s="69" t="n">
        <f aca="false">$G82-$H82</f>
        <v>1366.77080019696</v>
      </c>
      <c r="J82" s="60" t="n">
        <f aca="false">H82/3500</f>
        <v>0.243086859847548</v>
      </c>
      <c r="K82" s="69" t="n">
        <f aca="false">N82/9</f>
        <v>89.3662386095047</v>
      </c>
      <c r="L82" s="69" t="n">
        <v>20</v>
      </c>
      <c r="M82" s="56" t="n">
        <f aca="false">Protein_Amt!$B$6</f>
        <v>120.618663177856</v>
      </c>
      <c r="N82" s="69" t="n">
        <f aca="false">MAX(0,I82-(O82+P82))</f>
        <v>804.296147485542</v>
      </c>
      <c r="O82" s="69" t="n">
        <f aca="false">4*L82</f>
        <v>80</v>
      </c>
      <c r="P82" s="69" t="n">
        <f aca="false">4*M82</f>
        <v>482.474652711422</v>
      </c>
      <c r="Q82" s="70" t="n">
        <f aca="false">SUM(N82:P82)</f>
        <v>1366.77080019696</v>
      </c>
      <c r="S82" s="79"/>
      <c r="T82" s="76"/>
      <c r="U82" s="76"/>
      <c r="V82" s="76"/>
      <c r="W82" s="76"/>
      <c r="X82" s="76"/>
      <c r="Y82" s="76"/>
      <c r="Z82" s="80"/>
      <c r="AA82" s="71" t="n">
        <f aca="false">($H82-Z82)/3500</f>
        <v>0.243086859847548</v>
      </c>
      <c r="AB82" s="76"/>
      <c r="AC82" s="76"/>
      <c r="AD82" s="76"/>
      <c r="AE82" s="76"/>
      <c r="AF82" s="76"/>
      <c r="AG82" s="77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C82-AA82</f>
        <v>177.975532740421</v>
      </c>
      <c r="D83" s="69" t="n">
        <f aca="false">$D$3</f>
        <v>150.77332897232</v>
      </c>
      <c r="E83" s="70" t="n">
        <f aca="false">C83-D83</f>
        <v>27.2022037681014</v>
      </c>
      <c r="F83" s="58"/>
      <c r="G83" s="71" t="n">
        <f aca="false">C83*TDEE!$B$5</f>
        <v>2214.55007914888</v>
      </c>
      <c r="H83" s="69" t="n">
        <f aca="false">$E83*31</f>
        <v>843.268316811145</v>
      </c>
      <c r="I83" s="69" t="n">
        <f aca="false">$G83-$H83</f>
        <v>1371.28176233773</v>
      </c>
      <c r="J83" s="60" t="n">
        <f aca="false">H83/3500</f>
        <v>0.240933804803184</v>
      </c>
      <c r="K83" s="69" t="n">
        <f aca="false">N83/9</f>
        <v>89.8674566251455</v>
      </c>
      <c r="L83" s="69" t="n">
        <v>20</v>
      </c>
      <c r="M83" s="56" t="n">
        <f aca="false">Protein_Amt!$B$6</f>
        <v>120.618663177856</v>
      </c>
      <c r="N83" s="69" t="n">
        <f aca="false">MAX(0,I83-(O83+P83))</f>
        <v>808.80710962631</v>
      </c>
      <c r="O83" s="69" t="n">
        <f aca="false">4*L83</f>
        <v>80</v>
      </c>
      <c r="P83" s="69" t="n">
        <f aca="false">4*M83</f>
        <v>482.474652711422</v>
      </c>
      <c r="Q83" s="70" t="n">
        <f aca="false">SUM(N83:P83)</f>
        <v>1371.28176233773</v>
      </c>
      <c r="S83" s="79"/>
      <c r="T83" s="76"/>
      <c r="U83" s="76"/>
      <c r="V83" s="76"/>
      <c r="W83" s="76"/>
      <c r="X83" s="76"/>
      <c r="Y83" s="76"/>
      <c r="Z83" s="80"/>
      <c r="AA83" s="71" t="n">
        <f aca="false">($H83-Z83)/3500</f>
        <v>0.240933804803184</v>
      </c>
      <c r="AB83" s="76"/>
      <c r="AC83" s="76"/>
      <c r="AD83" s="76"/>
      <c r="AE83" s="76"/>
      <c r="AF83" s="76"/>
      <c r="AG83" s="77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C83-AA83</f>
        <v>177.734598935618</v>
      </c>
      <c r="D84" s="69" t="n">
        <f aca="false">$D$3</f>
        <v>150.77332897232</v>
      </c>
      <c r="E84" s="70" t="n">
        <f aca="false">C84-D84</f>
        <v>26.9612699632983</v>
      </c>
      <c r="F84" s="58"/>
      <c r="G84" s="71" t="n">
        <f aca="false">C84*TDEE!$B$5</f>
        <v>2211.55213910464</v>
      </c>
      <c r="H84" s="69" t="n">
        <f aca="false">$E84*31</f>
        <v>835.799368862246</v>
      </c>
      <c r="I84" s="69" t="n">
        <f aca="false">$G84-$H84</f>
        <v>1375.7527702424</v>
      </c>
      <c r="J84" s="60" t="n">
        <f aca="false">H84/3500</f>
        <v>0.238799819674927</v>
      </c>
      <c r="K84" s="69" t="n">
        <f aca="false">N84/9</f>
        <v>90.3642352812193</v>
      </c>
      <c r="L84" s="69" t="n">
        <v>20</v>
      </c>
      <c r="M84" s="56" t="n">
        <f aca="false">Protein_Amt!$B$6</f>
        <v>120.618663177856</v>
      </c>
      <c r="N84" s="69" t="n">
        <f aca="false">MAX(0,I84-(O84+P84))</f>
        <v>813.278117530974</v>
      </c>
      <c r="O84" s="69" t="n">
        <f aca="false">4*L84</f>
        <v>80</v>
      </c>
      <c r="P84" s="69" t="n">
        <f aca="false">4*M84</f>
        <v>482.474652711422</v>
      </c>
      <c r="Q84" s="70" t="n">
        <f aca="false">SUM(N84:P84)</f>
        <v>1375.7527702424</v>
      </c>
      <c r="S84" s="79"/>
      <c r="T84" s="76"/>
      <c r="U84" s="76"/>
      <c r="V84" s="76"/>
      <c r="W84" s="76"/>
      <c r="X84" s="76"/>
      <c r="Y84" s="76"/>
      <c r="Z84" s="80"/>
      <c r="AA84" s="71" t="n">
        <f aca="false">($H84-Z84)/3500</f>
        <v>0.238799819674927</v>
      </c>
      <c r="AB84" s="76"/>
      <c r="AC84" s="76"/>
      <c r="AD84" s="76"/>
      <c r="AE84" s="76"/>
      <c r="AF84" s="76"/>
      <c r="AG84" s="77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C84-AA84</f>
        <v>177.495799115943</v>
      </c>
      <c r="D85" s="69" t="n">
        <f aca="false">$D$3</f>
        <v>150.77332897232</v>
      </c>
      <c r="E85" s="70" t="n">
        <f aca="false">C85-D85</f>
        <v>26.7224701436233</v>
      </c>
      <c r="F85" s="58"/>
      <c r="G85" s="71" t="n">
        <f aca="false">C85*TDEE!$B$5</f>
        <v>2208.58075224366</v>
      </c>
      <c r="H85" s="69" t="n">
        <f aca="false">$E85*31</f>
        <v>828.396574452323</v>
      </c>
      <c r="I85" s="69" t="n">
        <f aca="false">$G85-$H85</f>
        <v>1380.18417779133</v>
      </c>
      <c r="J85" s="60" t="n">
        <f aca="false">H85/3500</f>
        <v>0.236684735557807</v>
      </c>
      <c r="K85" s="69" t="n">
        <f aca="false">N85/9</f>
        <v>90.8566138977679</v>
      </c>
      <c r="L85" s="69" t="n">
        <v>20</v>
      </c>
      <c r="M85" s="56" t="n">
        <f aca="false">Protein_Amt!$B$6</f>
        <v>120.618663177856</v>
      </c>
      <c r="N85" s="69" t="n">
        <f aca="false">MAX(0,I85-(O85+P85))</f>
        <v>817.709525079911</v>
      </c>
      <c r="O85" s="69" t="n">
        <f aca="false">4*L85</f>
        <v>80</v>
      </c>
      <c r="P85" s="69" t="n">
        <f aca="false">4*M85</f>
        <v>482.474652711422</v>
      </c>
      <c r="Q85" s="70" t="n">
        <f aca="false">SUM(N85:P85)</f>
        <v>1380.18417779133</v>
      </c>
      <c r="S85" s="79"/>
      <c r="T85" s="76"/>
      <c r="U85" s="76"/>
      <c r="V85" s="76"/>
      <c r="W85" s="76"/>
      <c r="X85" s="76"/>
      <c r="Y85" s="76"/>
      <c r="Z85" s="80"/>
      <c r="AA85" s="71" t="n">
        <f aca="false">($H85-Z85)/3500</f>
        <v>0.236684735557807</v>
      </c>
      <c r="AB85" s="76"/>
      <c r="AC85" s="76"/>
      <c r="AD85" s="76"/>
      <c r="AE85" s="76"/>
      <c r="AF85" s="76"/>
      <c r="AG85" s="77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C85-AA85</f>
        <v>177.259114380386</v>
      </c>
      <c r="D86" s="81" t="n">
        <f aca="false">$D$3</f>
        <v>150.77332897232</v>
      </c>
      <c r="E86" s="82" t="n">
        <f aca="false">C86-D86</f>
        <v>26.4857854080655</v>
      </c>
      <c r="F86" s="83"/>
      <c r="G86" s="84" t="n">
        <f aca="false">C86*TDEE!$B$5</f>
        <v>2205.63568338058</v>
      </c>
      <c r="H86" s="69" t="n">
        <f aca="false">$E86*31</f>
        <v>821.059347650031</v>
      </c>
      <c r="I86" s="69" t="n">
        <f aca="false">$G86-$H86</f>
        <v>1384.57633573055</v>
      </c>
      <c r="J86" s="60" t="n">
        <f aca="false">H86/3500</f>
        <v>0.234588385042866</v>
      </c>
      <c r="K86" s="81" t="n">
        <f aca="false">N86/9</f>
        <v>91.3446314465699</v>
      </c>
      <c r="L86" s="81" t="n">
        <v>20</v>
      </c>
      <c r="M86" s="56" t="n">
        <f aca="false">Protein_Amt!$B$6</f>
        <v>120.618663177856</v>
      </c>
      <c r="N86" s="69" t="n">
        <f aca="false">MAX(0,I86-(O86+P86))</f>
        <v>822.101683019129</v>
      </c>
      <c r="O86" s="81" t="n">
        <f aca="false">4*L86</f>
        <v>80</v>
      </c>
      <c r="P86" s="81" t="n">
        <f aca="false">4*M86</f>
        <v>482.474652711422</v>
      </c>
      <c r="Q86" s="70" t="n">
        <f aca="false">SUM(N86:P86)</f>
        <v>1384.57633573055</v>
      </c>
      <c r="S86" s="79"/>
      <c r="T86" s="76"/>
      <c r="U86" s="76"/>
      <c r="V86" s="76"/>
      <c r="W86" s="76"/>
      <c r="X86" s="76"/>
      <c r="Y86" s="76"/>
      <c r="Z86" s="80"/>
      <c r="AA86" s="71" t="n">
        <f aca="false">($H86-Z86)/3500</f>
        <v>0.234588385042866</v>
      </c>
      <c r="AB86" s="76"/>
      <c r="AC86" s="76"/>
      <c r="AD86" s="76"/>
      <c r="AE86" s="76"/>
      <c r="AF86" s="76"/>
      <c r="AG86" s="77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C86-AA86</f>
        <v>177.024525995343</v>
      </c>
      <c r="D87" s="81" t="n">
        <f aca="false">$D$3</f>
        <v>150.77332897232</v>
      </c>
      <c r="E87" s="82" t="n">
        <f aca="false">C87-D87</f>
        <v>26.2511970230227</v>
      </c>
      <c r="F87" s="83"/>
      <c r="G87" s="84" t="n">
        <f aca="false">C87*TDEE!$B$5</f>
        <v>2202.71669941315</v>
      </c>
      <c r="H87" s="69" t="n">
        <f aca="false">$E87*31</f>
        <v>813.787107713702</v>
      </c>
      <c r="I87" s="69" t="n">
        <f aca="false">$G87-$H87</f>
        <v>1388.92959169945</v>
      </c>
      <c r="J87" s="60" t="n">
        <f aca="false">H87/3500</f>
        <v>0.232510602203915</v>
      </c>
      <c r="K87" s="81" t="n">
        <f aca="false">N87/9</f>
        <v>91.3838821097808</v>
      </c>
      <c r="L87" s="81" t="n">
        <v>21</v>
      </c>
      <c r="M87" s="56" t="n">
        <f aca="false">Protein_Amt!$B$6</f>
        <v>120.618663177856</v>
      </c>
      <c r="N87" s="69" t="n">
        <f aca="false">MAX(0,I87-(O87+P87))</f>
        <v>822.454938988027</v>
      </c>
      <c r="O87" s="81" t="n">
        <f aca="false">4*L87</f>
        <v>84</v>
      </c>
      <c r="P87" s="81" t="n">
        <f aca="false">4*M87</f>
        <v>482.474652711422</v>
      </c>
      <c r="Q87" s="70" t="n">
        <f aca="false">SUM(N87:P87)</f>
        <v>1388.92959169945</v>
      </c>
      <c r="S87" s="79"/>
      <c r="T87" s="76"/>
      <c r="U87" s="76"/>
      <c r="V87" s="76"/>
      <c r="W87" s="76"/>
      <c r="X87" s="76"/>
      <c r="Y87" s="76"/>
      <c r="Z87" s="80"/>
      <c r="AA87" s="71" t="n">
        <f aca="false">($H87-Z87)/3500</f>
        <v>0.232510602203915</v>
      </c>
      <c r="AB87" s="76"/>
      <c r="AC87" s="76"/>
      <c r="AD87" s="76"/>
      <c r="AE87" s="76"/>
      <c r="AF87" s="76"/>
      <c r="AG87" s="77"/>
    </row>
    <row r="88" customFormat="false" ht="15" hidden="false" customHeight="false" outlineLevel="0" collapsed="false">
      <c r="A88" s="67" t="n">
        <v>43077</v>
      </c>
      <c r="B88" s="68" t="n">
        <f aca="false">B87+1</f>
        <v>86</v>
      </c>
      <c r="C88" s="69" t="n">
        <f aca="false">C87-AA87</f>
        <v>176.792015393139</v>
      </c>
      <c r="D88" s="81" t="n">
        <f aca="false">$D$3</f>
        <v>150.77332897232</v>
      </c>
      <c r="E88" s="82" t="n">
        <f aca="false">C88-D88</f>
        <v>26.0186864208187</v>
      </c>
      <c r="F88" s="83"/>
      <c r="G88" s="84" t="n">
        <f aca="false">C88*TDEE!$B$5</f>
        <v>2199.82356930372</v>
      </c>
      <c r="H88" s="69" t="n">
        <f aca="false">$E88*31</f>
        <v>806.579279045381</v>
      </c>
      <c r="I88" s="69" t="n">
        <f aca="false">$G88-$H88</f>
        <v>1393.24429025834</v>
      </c>
      <c r="J88" s="60" t="n">
        <f aca="false">H88/3500</f>
        <v>0.230451222584395</v>
      </c>
      <c r="K88" s="81" t="n">
        <f aca="false">N88/9</f>
        <v>91.418848616324</v>
      </c>
      <c r="L88" s="81" t="n">
        <v>22</v>
      </c>
      <c r="M88" s="56" t="n">
        <f aca="false">Protein_Amt!$B$6</f>
        <v>120.618663177856</v>
      </c>
      <c r="N88" s="69" t="n">
        <f aca="false">MAX(0,I88-(O88+P88))</f>
        <v>822.769637546916</v>
      </c>
      <c r="O88" s="81" t="n">
        <f aca="false">4*L88</f>
        <v>88</v>
      </c>
      <c r="P88" s="81" t="n">
        <f aca="false">4*M88</f>
        <v>482.474652711422</v>
      </c>
      <c r="Q88" s="70" t="n">
        <f aca="false">SUM(N88:P88)</f>
        <v>1393.24429025834</v>
      </c>
      <c r="S88" s="79"/>
      <c r="T88" s="76"/>
      <c r="U88" s="76"/>
      <c r="V88" s="76"/>
      <c r="W88" s="76"/>
      <c r="X88" s="76"/>
      <c r="Y88" s="76"/>
      <c r="Z88" s="80"/>
      <c r="AA88" s="71" t="n">
        <f aca="false">($H88-Z88)/3500</f>
        <v>0.230451222584395</v>
      </c>
      <c r="AB88" s="76"/>
      <c r="AC88" s="76"/>
      <c r="AD88" s="76"/>
      <c r="AE88" s="76"/>
      <c r="AF88" s="76"/>
      <c r="AG88" s="77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C88-AA88</f>
        <v>176.561564170554</v>
      </c>
      <c r="D89" s="81" t="n">
        <f aca="false">$D$3</f>
        <v>150.77332897232</v>
      </c>
      <c r="E89" s="82" t="n">
        <f aca="false">C89-D89</f>
        <v>25.7882351982343</v>
      </c>
      <c r="F89" s="83"/>
      <c r="G89" s="84" t="n">
        <f aca="false">C89*TDEE!$B$5</f>
        <v>2196.95606406097</v>
      </c>
      <c r="H89" s="69" t="n">
        <f aca="false">$E89*31</f>
        <v>799.435291145264</v>
      </c>
      <c r="I89" s="69" t="n">
        <f aca="false">$G89-$H89</f>
        <v>1397.52077291571</v>
      </c>
      <c r="J89" s="60" t="n">
        <f aca="false">H89/3500</f>
        <v>0.228410083184361</v>
      </c>
      <c r="K89" s="81" t="n">
        <f aca="false">N89/9</f>
        <v>91.4495689115871</v>
      </c>
      <c r="L89" s="81" t="n">
        <v>23</v>
      </c>
      <c r="M89" s="56" t="n">
        <f aca="false">Protein_Amt!$B$6</f>
        <v>120.618663177856</v>
      </c>
      <c r="N89" s="69" t="n">
        <f aca="false">MAX(0,I89-(O89+P89))</f>
        <v>823.046120204284</v>
      </c>
      <c r="O89" s="81" t="n">
        <f aca="false">4*L89</f>
        <v>92</v>
      </c>
      <c r="P89" s="81" t="n">
        <f aca="false">4*M89</f>
        <v>482.474652711422</v>
      </c>
      <c r="Q89" s="70" t="n">
        <f aca="false">SUM(N89:P89)</f>
        <v>1397.52077291571</v>
      </c>
      <c r="S89" s="79"/>
      <c r="T89" s="76"/>
      <c r="U89" s="76"/>
      <c r="V89" s="76"/>
      <c r="W89" s="76"/>
      <c r="X89" s="76"/>
      <c r="Y89" s="76"/>
      <c r="Z89" s="80"/>
      <c r="AA89" s="71" t="n">
        <f aca="false">($H89-Z89)/3500</f>
        <v>0.228410083184361</v>
      </c>
      <c r="AB89" s="76"/>
      <c r="AC89" s="76"/>
      <c r="AD89" s="76"/>
      <c r="AE89" s="76"/>
      <c r="AF89" s="76"/>
      <c r="AG89" s="77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C89-AA89</f>
        <v>176.33315408737</v>
      </c>
      <c r="D90" s="81" t="n">
        <f aca="false">$D$3</f>
        <v>150.77332897232</v>
      </c>
      <c r="E90" s="82" t="n">
        <f aca="false">C90-D90</f>
        <v>25.55982511505</v>
      </c>
      <c r="F90" s="83"/>
      <c r="G90" s="84" t="n">
        <f aca="false">C90*TDEE!$B$5</f>
        <v>2194.1139567218</v>
      </c>
      <c r="H90" s="69" t="n">
        <f aca="false">$E90*31</f>
        <v>792.354578566549</v>
      </c>
      <c r="I90" s="69" t="n">
        <f aca="false">$G90-$H90</f>
        <v>1401.75937815525</v>
      </c>
      <c r="J90" s="60" t="n">
        <f aca="false">H90/3500</f>
        <v>0.226387022447585</v>
      </c>
      <c r="K90" s="81" t="n">
        <f aca="false">N90/9</f>
        <v>91.4760806048698</v>
      </c>
      <c r="L90" s="81" t="n">
        <v>24</v>
      </c>
      <c r="M90" s="56" t="n">
        <f aca="false">Protein_Amt!$B$6</f>
        <v>120.618663177856</v>
      </c>
      <c r="N90" s="69" t="n">
        <f aca="false">MAX(0,I90-(O90+P90))</f>
        <v>823.284725443829</v>
      </c>
      <c r="O90" s="81" t="n">
        <f aca="false">4*L90</f>
        <v>96</v>
      </c>
      <c r="P90" s="81" t="n">
        <f aca="false">4*M90</f>
        <v>482.474652711422</v>
      </c>
      <c r="Q90" s="70" t="n">
        <f aca="false">SUM(N90:P90)</f>
        <v>1401.75937815525</v>
      </c>
      <c r="S90" s="79"/>
      <c r="T90" s="76"/>
      <c r="U90" s="76"/>
      <c r="V90" s="76"/>
      <c r="W90" s="76"/>
      <c r="X90" s="76"/>
      <c r="Y90" s="76"/>
      <c r="Z90" s="80"/>
      <c r="AA90" s="71" t="n">
        <f aca="false">($H90-Z90)/3500</f>
        <v>0.226387022447585</v>
      </c>
      <c r="AB90" s="76"/>
      <c r="AC90" s="76"/>
      <c r="AD90" s="76"/>
      <c r="AE90" s="76"/>
      <c r="AF90" s="76"/>
      <c r="AG90" s="77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C90-AA90</f>
        <v>176.106767064922</v>
      </c>
      <c r="D91" s="81" t="n">
        <f aca="false">$D$3</f>
        <v>150.77332897232</v>
      </c>
      <c r="E91" s="82" t="n">
        <f aca="false">C91-D91</f>
        <v>25.3334380926024</v>
      </c>
      <c r="F91" s="83"/>
      <c r="G91" s="84" t="n">
        <f aca="false">C91*TDEE!$B$5</f>
        <v>2191.29702233335</v>
      </c>
      <c r="H91" s="69" t="n">
        <f aca="false">$E91*31</f>
        <v>785.336580870673</v>
      </c>
      <c r="I91" s="69" t="n">
        <f aca="false">$G91-$H91</f>
        <v>1405.96044146267</v>
      </c>
      <c r="J91" s="60" t="n">
        <f aca="false">H91/3500</f>
        <v>0.224381880248764</v>
      </c>
      <c r="K91" s="81" t="n">
        <f aca="false">N91/9</f>
        <v>91.4984209723613</v>
      </c>
      <c r="L91" s="81" t="n">
        <v>25</v>
      </c>
      <c r="M91" s="56" t="n">
        <f aca="false">Protein_Amt!$B$6</f>
        <v>120.618663177856</v>
      </c>
      <c r="N91" s="69" t="n">
        <f aca="false">MAX(0,I91-(O91+P91))</f>
        <v>823.485788751252</v>
      </c>
      <c r="O91" s="81" t="n">
        <f aca="false">4*L91</f>
        <v>100</v>
      </c>
      <c r="P91" s="81" t="n">
        <f aca="false">4*M91</f>
        <v>482.474652711422</v>
      </c>
      <c r="Q91" s="70" t="n">
        <f aca="false">SUM(N91:P91)</f>
        <v>1405.96044146267</v>
      </c>
      <c r="S91" s="79"/>
      <c r="T91" s="76"/>
      <c r="U91" s="76"/>
      <c r="V91" s="76"/>
      <c r="W91" s="76"/>
      <c r="X91" s="76"/>
      <c r="Y91" s="76"/>
      <c r="Z91" s="80"/>
      <c r="AA91" s="71" t="n">
        <f aca="false">($H91-Z91)/3500</f>
        <v>0.224381880248764</v>
      </c>
      <c r="AB91" s="76"/>
      <c r="AC91" s="76"/>
      <c r="AD91" s="76"/>
      <c r="AE91" s="76"/>
      <c r="AF91" s="76"/>
      <c r="AG91" s="77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C91-AA91</f>
        <v>175.882385184674</v>
      </c>
      <c r="D92" s="81" t="n">
        <f aca="false">$D$3</f>
        <v>150.77332897232</v>
      </c>
      <c r="E92" s="82" t="n">
        <f aca="false">C92-D92</f>
        <v>25.1090562123536</v>
      </c>
      <c r="F92" s="83"/>
      <c r="G92" s="84" t="n">
        <f aca="false">C92*TDEE!$B$5</f>
        <v>2188.50503793519</v>
      </c>
      <c r="H92" s="69" t="n">
        <f aca="false">$E92*31</f>
        <v>778.380742582962</v>
      </c>
      <c r="I92" s="69" t="n">
        <f aca="false">$G92-$H92</f>
        <v>1410.12429535223</v>
      </c>
      <c r="J92" s="60" t="n">
        <f aca="false">H92/3500</f>
        <v>0.222394497880846</v>
      </c>
      <c r="K92" s="81" t="n">
        <f aca="false">N92/9</f>
        <v>91.5166269600899</v>
      </c>
      <c r="L92" s="81" t="n">
        <v>26</v>
      </c>
      <c r="M92" s="56" t="n">
        <f aca="false">Protein_Amt!$B$6</f>
        <v>120.618663177856</v>
      </c>
      <c r="N92" s="69" t="n">
        <f aca="false">MAX(0,I92-(O92+P92))</f>
        <v>823.649642640809</v>
      </c>
      <c r="O92" s="81" t="n">
        <f aca="false">4*L92</f>
        <v>104</v>
      </c>
      <c r="P92" s="81" t="n">
        <f aca="false">4*M92</f>
        <v>482.474652711422</v>
      </c>
      <c r="Q92" s="70" t="n">
        <f aca="false">SUM(N92:P92)</f>
        <v>1410.12429535223</v>
      </c>
      <c r="S92" s="79"/>
      <c r="T92" s="76"/>
      <c r="U92" s="76"/>
      <c r="V92" s="76"/>
      <c r="W92" s="76"/>
      <c r="X92" s="76"/>
      <c r="Y92" s="76"/>
      <c r="Z92" s="80"/>
      <c r="AA92" s="71" t="n">
        <f aca="false">($H92-Z92)/3500</f>
        <v>0.222394497880846</v>
      </c>
      <c r="AB92" s="76"/>
      <c r="AC92" s="76"/>
      <c r="AD92" s="76"/>
      <c r="AE92" s="76"/>
      <c r="AF92" s="76"/>
      <c r="AG92" s="77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C92-AA92</f>
        <v>175.659990686793</v>
      </c>
      <c r="D93" s="81" t="n">
        <f aca="false">$D$3</f>
        <v>150.77332897232</v>
      </c>
      <c r="E93" s="82" t="n">
        <f aca="false">C93-D93</f>
        <v>24.8866617144728</v>
      </c>
      <c r="F93" s="83"/>
      <c r="G93" s="84" t="n">
        <f aca="false">C93*TDEE!$B$5</f>
        <v>2185.73778254171</v>
      </c>
      <c r="H93" s="69" t="n">
        <f aca="false">$E93*31</f>
        <v>771.486513148655</v>
      </c>
      <c r="I93" s="69" t="n">
        <f aca="false">$G93-$H93</f>
        <v>1414.25126939305</v>
      </c>
      <c r="J93" s="60" t="n">
        <f aca="false">H93/3500</f>
        <v>0.220424718042473</v>
      </c>
      <c r="K93" s="81" t="n">
        <f aca="false">N93/9</f>
        <v>91.5307351868478</v>
      </c>
      <c r="L93" s="81" t="n">
        <v>27</v>
      </c>
      <c r="M93" s="56" t="n">
        <f aca="false">Protein_Amt!$B$6</f>
        <v>120.618663177856</v>
      </c>
      <c r="N93" s="69" t="n">
        <f aca="false">MAX(0,I93-(O93+P93))</f>
        <v>823.77661668163</v>
      </c>
      <c r="O93" s="81" t="n">
        <f aca="false">4*L93</f>
        <v>108</v>
      </c>
      <c r="P93" s="81" t="n">
        <f aca="false">4*M93</f>
        <v>482.474652711422</v>
      </c>
      <c r="Q93" s="70" t="n">
        <f aca="false">SUM(N93:P93)</f>
        <v>1414.25126939305</v>
      </c>
      <c r="S93" s="79"/>
      <c r="T93" s="76"/>
      <c r="U93" s="76"/>
      <c r="V93" s="76"/>
      <c r="W93" s="76"/>
      <c r="X93" s="76"/>
      <c r="Y93" s="76"/>
      <c r="Z93" s="80"/>
      <c r="AA93" s="71" t="n">
        <f aca="false">($H93-Z93)/3500</f>
        <v>0.220424718042473</v>
      </c>
      <c r="AB93" s="76"/>
      <c r="AC93" s="76"/>
      <c r="AD93" s="76"/>
      <c r="AE93" s="76"/>
      <c r="AF93" s="76"/>
      <c r="AG93" s="77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C93-AA93</f>
        <v>175.43956596875</v>
      </c>
      <c r="D94" s="81" t="n">
        <f aca="false">$D$3</f>
        <v>150.77332897232</v>
      </c>
      <c r="E94" s="82" t="n">
        <f aca="false">C94-D94</f>
        <v>24.6662369964303</v>
      </c>
      <c r="F94" s="83"/>
      <c r="G94" s="84" t="n">
        <f aca="false">C94*TDEE!$B$5</f>
        <v>2182.99503712456</v>
      </c>
      <c r="H94" s="69" t="n">
        <f aca="false">$E94*31</f>
        <v>764.653346889339</v>
      </c>
      <c r="I94" s="69" t="n">
        <f aca="false">$G94-$H94</f>
        <v>1418.34169023523</v>
      </c>
      <c r="J94" s="60" t="n">
        <f aca="false">H94/3500</f>
        <v>0.218472384825525</v>
      </c>
      <c r="K94" s="81" t="n">
        <f aca="false">N94/9</f>
        <v>91.5407819470893</v>
      </c>
      <c r="L94" s="81" t="n">
        <v>28</v>
      </c>
      <c r="M94" s="56" t="n">
        <f aca="false">Protein_Amt!$B$6</f>
        <v>120.618663177856</v>
      </c>
      <c r="N94" s="69" t="n">
        <f aca="false">MAX(0,I94-(O94+P94))</f>
        <v>823.867037523804</v>
      </c>
      <c r="O94" s="81" t="n">
        <f aca="false">4*L94</f>
        <v>112</v>
      </c>
      <c r="P94" s="81" t="n">
        <f aca="false">4*M94</f>
        <v>482.474652711422</v>
      </c>
      <c r="Q94" s="70" t="n">
        <f aca="false">SUM(N94:P94)</f>
        <v>1418.34169023523</v>
      </c>
      <c r="S94" s="79"/>
      <c r="T94" s="76"/>
      <c r="U94" s="76"/>
      <c r="V94" s="76"/>
      <c r="W94" s="76"/>
      <c r="X94" s="76"/>
      <c r="Y94" s="76"/>
      <c r="Z94" s="80"/>
      <c r="AA94" s="71" t="n">
        <f aca="false">($H94-Z94)/3500</f>
        <v>0.218472384825525</v>
      </c>
      <c r="AB94" s="76"/>
      <c r="AC94" s="76"/>
      <c r="AD94" s="76"/>
      <c r="AE94" s="76"/>
      <c r="AF94" s="76"/>
      <c r="AG94" s="77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C94-AA94</f>
        <v>175.221093583925</v>
      </c>
      <c r="D95" s="81" t="n">
        <f aca="false">$D$3</f>
        <v>150.77332897232</v>
      </c>
      <c r="E95" s="82" t="n">
        <f aca="false">C95-D95</f>
        <v>24.4477646116048</v>
      </c>
      <c r="F95" s="83"/>
      <c r="G95" s="84" t="n">
        <f aca="false">C95*TDEE!$B$5</f>
        <v>2180.2765845954</v>
      </c>
      <c r="H95" s="69" t="n">
        <f aca="false">$E95*31</f>
        <v>757.880702959747</v>
      </c>
      <c r="I95" s="69" t="n">
        <f aca="false">$G95-$H95</f>
        <v>1422.39588163565</v>
      </c>
      <c r="J95" s="60" t="n">
        <f aca="false">H95/3500</f>
        <v>0.216537343702785</v>
      </c>
      <c r="K95" s="81" t="n">
        <f aca="false">N95/9</f>
        <v>91.5468032138037</v>
      </c>
      <c r="L95" s="81" t="n">
        <v>29</v>
      </c>
      <c r="M95" s="56" t="n">
        <f aca="false">Protein_Amt!$B$6</f>
        <v>120.618663177856</v>
      </c>
      <c r="N95" s="69" t="n">
        <f aca="false">MAX(0,I95-(O95+P95))</f>
        <v>823.921228924233</v>
      </c>
      <c r="O95" s="81" t="n">
        <f aca="false">4*L95</f>
        <v>116</v>
      </c>
      <c r="P95" s="81" t="n">
        <f aca="false">4*M95</f>
        <v>482.474652711422</v>
      </c>
      <c r="Q95" s="70" t="n">
        <f aca="false">SUM(N95:P95)</f>
        <v>1422.39588163565</v>
      </c>
      <c r="S95" s="79"/>
      <c r="T95" s="76"/>
      <c r="U95" s="76"/>
      <c r="V95" s="76"/>
      <c r="W95" s="76"/>
      <c r="X95" s="76"/>
      <c r="Y95" s="76"/>
      <c r="Z95" s="80"/>
      <c r="AA95" s="71" t="n">
        <f aca="false">($H95-Z95)/3500</f>
        <v>0.216537343702785</v>
      </c>
      <c r="AB95" s="76"/>
      <c r="AC95" s="76"/>
      <c r="AD95" s="76"/>
      <c r="AE95" s="76"/>
      <c r="AF95" s="76"/>
      <c r="AG95" s="77"/>
    </row>
    <row r="96" customFormat="false" ht="15" hidden="false" customHeight="false" outlineLevel="0" collapsed="false">
      <c r="A96" s="67" t="n">
        <v>43085</v>
      </c>
      <c r="B96" s="68" t="n">
        <f aca="false">B95+1</f>
        <v>94</v>
      </c>
      <c r="C96" s="69" t="n">
        <f aca="false">C95-AA95</f>
        <v>175.004556240222</v>
      </c>
      <c r="D96" s="81" t="n">
        <f aca="false">$D$3</f>
        <v>150.77332897232</v>
      </c>
      <c r="E96" s="82" t="n">
        <f aca="false">C96-D96</f>
        <v>24.231227267902</v>
      </c>
      <c r="F96" s="83"/>
      <c r="G96" s="84" t="n">
        <f aca="false">C96*TDEE!$B$5</f>
        <v>2177.58220978864</v>
      </c>
      <c r="H96" s="69" t="n">
        <f aca="false">$E96*31</f>
        <v>751.168045304961</v>
      </c>
      <c r="I96" s="69" t="n">
        <f aca="false">$G96-$H96</f>
        <v>1426.41416448368</v>
      </c>
      <c r="J96" s="60" t="n">
        <f aca="false">H96/3500</f>
        <v>0.214619441515703</v>
      </c>
      <c r="K96" s="81" t="n">
        <f aca="false">N96/9</f>
        <v>91.9932790858065</v>
      </c>
      <c r="L96" s="81" t="n">
        <v>29</v>
      </c>
      <c r="M96" s="56" t="n">
        <f aca="false">Protein_Amt!$B$6</f>
        <v>120.618663177856</v>
      </c>
      <c r="N96" s="69" t="n">
        <f aca="false">MAX(0,I96-(O96+P96))</f>
        <v>827.939511772258</v>
      </c>
      <c r="O96" s="81" t="n">
        <f aca="false">4*L96</f>
        <v>116</v>
      </c>
      <c r="P96" s="81" t="n">
        <f aca="false">4*M96</f>
        <v>482.474652711422</v>
      </c>
      <c r="Q96" s="70" t="n">
        <f aca="false">SUM(N96:P96)</f>
        <v>1426.41416448368</v>
      </c>
      <c r="S96" s="79"/>
      <c r="T96" s="76"/>
      <c r="U96" s="76"/>
      <c r="V96" s="76"/>
      <c r="W96" s="76"/>
      <c r="X96" s="76"/>
      <c r="Y96" s="76"/>
      <c r="Z96" s="80"/>
      <c r="AA96" s="71" t="n">
        <f aca="false">($H96-Z96)/3500</f>
        <v>0.214619441515703</v>
      </c>
      <c r="AB96" s="76"/>
      <c r="AC96" s="76"/>
      <c r="AD96" s="76"/>
      <c r="AE96" s="76"/>
      <c r="AF96" s="76"/>
      <c r="AG96" s="77"/>
    </row>
    <row r="97" customFormat="false" ht="15" hidden="false" customHeight="false" outlineLevel="0" collapsed="false">
      <c r="A97" s="67" t="n">
        <v>43086</v>
      </c>
      <c r="B97" s="68" t="n">
        <f aca="false">B96+1</f>
        <v>95</v>
      </c>
      <c r="C97" s="69" t="n">
        <f aca="false">C96-AA96</f>
        <v>174.789936798706</v>
      </c>
      <c r="D97" s="81" t="n">
        <f aca="false">$D$3</f>
        <v>150.77332897232</v>
      </c>
      <c r="E97" s="82" t="n">
        <f aca="false">C97-D97</f>
        <v>24.0166078263863</v>
      </c>
      <c r="F97" s="83"/>
      <c r="G97" s="84" t="n">
        <f aca="false">C97*TDEE!$B$5</f>
        <v>2174.91169944445</v>
      </c>
      <c r="H97" s="69" t="n">
        <f aca="false">$E97*31</f>
        <v>744.514842617974</v>
      </c>
      <c r="I97" s="69" t="n">
        <f aca="false">$G97-$H97</f>
        <v>1430.39685682648</v>
      </c>
      <c r="J97" s="60" t="n">
        <f aca="false">H97/3500</f>
        <v>0.212718526462278</v>
      </c>
      <c r="K97" s="81" t="n">
        <f aca="false">N97/9</f>
        <v>92.4358004572287</v>
      </c>
      <c r="L97" s="81" t="n">
        <v>29</v>
      </c>
      <c r="M97" s="56" t="n">
        <f aca="false">Protein_Amt!$B$6</f>
        <v>120.618663177856</v>
      </c>
      <c r="N97" s="69" t="n">
        <f aca="false">MAX(0,I97-(O97+P97))</f>
        <v>831.922204115058</v>
      </c>
      <c r="O97" s="81" t="n">
        <f aca="false">4*L97</f>
        <v>116</v>
      </c>
      <c r="P97" s="81" t="n">
        <f aca="false">4*M97</f>
        <v>482.474652711422</v>
      </c>
      <c r="Q97" s="70" t="n">
        <f aca="false">SUM(N97:P97)</f>
        <v>1430.39685682648</v>
      </c>
      <c r="S97" s="79"/>
      <c r="T97" s="76"/>
      <c r="U97" s="76"/>
      <c r="V97" s="76"/>
      <c r="W97" s="76"/>
      <c r="X97" s="76"/>
      <c r="Y97" s="76"/>
      <c r="Z97" s="80"/>
      <c r="AA97" s="71" t="n">
        <f aca="false">($H97-Z97)/3500</f>
        <v>0.212718526462278</v>
      </c>
      <c r="AB97" s="76"/>
      <c r="AC97" s="76"/>
      <c r="AD97" s="76"/>
      <c r="AE97" s="76"/>
      <c r="AF97" s="76"/>
      <c r="AG97" s="77"/>
    </row>
    <row r="98" customFormat="false" ht="15" hidden="false" customHeight="false" outlineLevel="0" collapsed="false">
      <c r="A98" s="67" t="n">
        <v>43087</v>
      </c>
      <c r="B98" s="68" t="n">
        <f aca="false">B97+1</f>
        <v>96</v>
      </c>
      <c r="C98" s="69" t="n">
        <f aca="false">C97-AA97</f>
        <v>174.577218272244</v>
      </c>
      <c r="D98" s="81" t="n">
        <f aca="false">$D$3</f>
        <v>150.77332897232</v>
      </c>
      <c r="E98" s="82" t="n">
        <f aca="false">C98-D98</f>
        <v>23.803889299924</v>
      </c>
      <c r="F98" s="83"/>
      <c r="G98" s="84" t="n">
        <f aca="false">C98*TDEE!$B$5</f>
        <v>2172.26484219189</v>
      </c>
      <c r="H98" s="69" t="n">
        <f aca="false">$E98*31</f>
        <v>737.920568297643</v>
      </c>
      <c r="I98" s="69" t="n">
        <f aca="false">$G98-$H98</f>
        <v>1434.34427389424</v>
      </c>
      <c r="J98" s="60" t="n">
        <f aca="false">H98/3500</f>
        <v>0.210834448085041</v>
      </c>
      <c r="K98" s="81" t="n">
        <f aca="false">N98/9</f>
        <v>92.8744023536468</v>
      </c>
      <c r="L98" s="81" t="n">
        <v>29</v>
      </c>
      <c r="M98" s="56" t="n">
        <f aca="false">Protein_Amt!$B$6</f>
        <v>120.618663177856</v>
      </c>
      <c r="N98" s="69" t="n">
        <f aca="false">MAX(0,I98-(O98+P98))</f>
        <v>835.869621182822</v>
      </c>
      <c r="O98" s="81" t="n">
        <f aca="false">4*L98</f>
        <v>116</v>
      </c>
      <c r="P98" s="81" t="n">
        <f aca="false">4*M98</f>
        <v>482.474652711422</v>
      </c>
      <c r="Q98" s="70" t="n">
        <f aca="false">SUM(N98:P98)</f>
        <v>1434.34427389424</v>
      </c>
      <c r="S98" s="79"/>
      <c r="T98" s="76"/>
      <c r="U98" s="76"/>
      <c r="V98" s="76"/>
      <c r="W98" s="76"/>
      <c r="X98" s="76"/>
      <c r="Y98" s="76"/>
      <c r="Z98" s="80"/>
      <c r="AA98" s="71" t="n">
        <f aca="false">($H98-Z98)/3500</f>
        <v>0.210834448085041</v>
      </c>
      <c r="AB98" s="76"/>
      <c r="AC98" s="76"/>
      <c r="AD98" s="76"/>
      <c r="AE98" s="76"/>
      <c r="AF98" s="76"/>
      <c r="AG98" s="77"/>
    </row>
    <row r="99" customFormat="false" ht="15" hidden="false" customHeight="false" outlineLevel="0" collapsed="false">
      <c r="A99" s="67" t="n">
        <v>43088</v>
      </c>
      <c r="B99" s="68" t="n">
        <f aca="false">B98+1</f>
        <v>97</v>
      </c>
      <c r="C99" s="69" t="n">
        <f aca="false">C98-AA98</f>
        <v>174.366383824159</v>
      </c>
      <c r="D99" s="81" t="n">
        <f aca="false">$D$3</f>
        <v>150.77332897232</v>
      </c>
      <c r="E99" s="82" t="n">
        <f aca="false">C99-D99</f>
        <v>23.5930548518389</v>
      </c>
      <c r="F99" s="83"/>
      <c r="G99" s="84" t="n">
        <f aca="false">C99*TDEE!$B$5</f>
        <v>2169.64142853213</v>
      </c>
      <c r="H99" s="69" t="n">
        <f aca="false">$E99*31</f>
        <v>731.384700407007</v>
      </c>
      <c r="I99" s="69" t="n">
        <f aca="false">$G99-$H99</f>
        <v>1438.25672812512</v>
      </c>
      <c r="J99" s="60" t="n">
        <f aca="false">H99/3500</f>
        <v>0.208967057259145</v>
      </c>
      <c r="K99" s="81" t="n">
        <f aca="false">N99/9</f>
        <v>93.3091194904111</v>
      </c>
      <c r="L99" s="81" t="n">
        <v>29</v>
      </c>
      <c r="M99" s="56" t="n">
        <f aca="false">Protein_Amt!$B$6</f>
        <v>120.618663177856</v>
      </c>
      <c r="N99" s="69" t="n">
        <f aca="false">MAX(0,I99-(O99+P99))</f>
        <v>839.7820754137</v>
      </c>
      <c r="O99" s="81" t="n">
        <f aca="false">4*L99</f>
        <v>116</v>
      </c>
      <c r="P99" s="81" t="n">
        <f aca="false">4*M99</f>
        <v>482.474652711422</v>
      </c>
      <c r="Q99" s="70" t="n">
        <f aca="false">SUM(N99:P99)</f>
        <v>1438.25672812512</v>
      </c>
      <c r="S99" s="79"/>
      <c r="T99" s="76"/>
      <c r="U99" s="76"/>
      <c r="V99" s="76"/>
      <c r="W99" s="76"/>
      <c r="X99" s="76"/>
      <c r="Y99" s="76"/>
      <c r="Z99" s="80"/>
      <c r="AA99" s="71" t="n">
        <f aca="false">($H99-Z99)/3500</f>
        <v>0.208967057259145</v>
      </c>
      <c r="AB99" s="76"/>
      <c r="AC99" s="76"/>
      <c r="AD99" s="76"/>
      <c r="AE99" s="76"/>
      <c r="AF99" s="76"/>
      <c r="AG99" s="77"/>
    </row>
    <row r="100" customFormat="false" ht="15" hidden="false" customHeight="false" outlineLevel="0" collapsed="false">
      <c r="A100" s="67" t="n">
        <v>43089</v>
      </c>
      <c r="B100" s="68" t="n">
        <f aca="false">B99+1</f>
        <v>98</v>
      </c>
      <c r="C100" s="69" t="n">
        <f aca="false">C99-AA99</f>
        <v>174.1574167669</v>
      </c>
      <c r="D100" s="81" t="n">
        <f aca="false">$D$3</f>
        <v>150.77332897232</v>
      </c>
      <c r="E100" s="82" t="n">
        <f aca="false">C100-D100</f>
        <v>23.3840877945798</v>
      </c>
      <c r="F100" s="83"/>
      <c r="G100" s="84" t="n">
        <f aca="false">C100*TDEE!$B$5</f>
        <v>2167.04125082193</v>
      </c>
      <c r="H100" s="69" t="n">
        <f aca="false">$E100*31</f>
        <v>724.906721631973</v>
      </c>
      <c r="I100" s="69" t="n">
        <f aca="false">$G100-$H100</f>
        <v>1442.13452918995</v>
      </c>
      <c r="J100" s="60" t="n">
        <f aca="false">H100/3500</f>
        <v>0.207116206180564</v>
      </c>
      <c r="K100" s="81" t="n">
        <f aca="false">N100/9</f>
        <v>93.7399862753925</v>
      </c>
      <c r="L100" s="81" t="n">
        <v>29</v>
      </c>
      <c r="M100" s="56" t="n">
        <f aca="false">Protein_Amt!$B$6</f>
        <v>120.618663177856</v>
      </c>
      <c r="N100" s="69" t="n">
        <f aca="false">MAX(0,I100-(O100+P100))</f>
        <v>843.659876478533</v>
      </c>
      <c r="O100" s="81" t="n">
        <f aca="false">4*L100</f>
        <v>116</v>
      </c>
      <c r="P100" s="81" t="n">
        <f aca="false">4*M100</f>
        <v>482.474652711422</v>
      </c>
      <c r="Q100" s="70" t="n">
        <f aca="false">SUM(N100:P100)</f>
        <v>1442.13452918995</v>
      </c>
      <c r="S100" s="79"/>
      <c r="T100" s="76"/>
      <c r="U100" s="76"/>
      <c r="V100" s="76"/>
      <c r="W100" s="76"/>
      <c r="X100" s="76"/>
      <c r="Y100" s="76"/>
      <c r="Z100" s="80"/>
      <c r="AA100" s="71" t="n">
        <f aca="false">($H100-Z100)/3500</f>
        <v>0.207116206180564</v>
      </c>
      <c r="AB100" s="76"/>
      <c r="AC100" s="76"/>
      <c r="AD100" s="76"/>
      <c r="AE100" s="76"/>
      <c r="AF100" s="76"/>
      <c r="AG100" s="77"/>
    </row>
    <row r="101" customFormat="false" ht="15" hidden="false" customHeight="false" outlineLevel="0" collapsed="false">
      <c r="A101" s="67" t="n">
        <v>43090</v>
      </c>
      <c r="B101" s="68" t="n">
        <f aca="false">B100+1</f>
        <v>99</v>
      </c>
      <c r="C101" s="69" t="n">
        <f aca="false">C100-AA100</f>
        <v>173.950300560719</v>
      </c>
      <c r="D101" s="81" t="n">
        <f aca="false">$D$3</f>
        <v>150.77332897232</v>
      </c>
      <c r="E101" s="82" t="n">
        <f aca="false">C101-D101</f>
        <v>23.1769715883992</v>
      </c>
      <c r="F101" s="83"/>
      <c r="G101" s="84" t="n">
        <f aca="false">C101*TDEE!$B$5</f>
        <v>2164.46410325716</v>
      </c>
      <c r="H101" s="69" t="n">
        <f aca="false">$E101*31</f>
        <v>718.486119240376</v>
      </c>
      <c r="I101" s="69" t="n">
        <f aca="false">$G101-$H101</f>
        <v>1445.97798401678</v>
      </c>
      <c r="J101" s="60" t="n">
        <f aca="false">H101/3500</f>
        <v>0.205281748354393</v>
      </c>
      <c r="K101" s="81" t="n">
        <f aca="false">N101/9</f>
        <v>94.1670368117069</v>
      </c>
      <c r="L101" s="81" t="n">
        <v>29</v>
      </c>
      <c r="M101" s="56" t="n">
        <f aca="false">Protein_Amt!$B$6</f>
        <v>120.618663177856</v>
      </c>
      <c r="N101" s="69" t="n">
        <f aca="false">MAX(0,I101-(O101+P101))</f>
        <v>847.503331305362</v>
      </c>
      <c r="O101" s="81" t="n">
        <f aca="false">4*L101</f>
        <v>116</v>
      </c>
      <c r="P101" s="81" t="n">
        <f aca="false">4*M101</f>
        <v>482.474652711422</v>
      </c>
      <c r="Q101" s="70" t="n">
        <f aca="false">SUM(N101:P101)</f>
        <v>1445.97798401678</v>
      </c>
      <c r="S101" s="79"/>
      <c r="T101" s="76"/>
      <c r="U101" s="76"/>
      <c r="V101" s="76"/>
      <c r="W101" s="76"/>
      <c r="X101" s="76"/>
      <c r="Y101" s="76"/>
      <c r="Z101" s="80"/>
      <c r="AA101" s="71" t="n">
        <f aca="false">($H101-Z101)/3500</f>
        <v>0.205281748354393</v>
      </c>
      <c r="AB101" s="76"/>
      <c r="AC101" s="76"/>
      <c r="AD101" s="76"/>
      <c r="AE101" s="76"/>
      <c r="AF101" s="76"/>
      <c r="AG101" s="77"/>
    </row>
    <row r="102" customFormat="false" ht="15" hidden="false" customHeight="false" outlineLevel="0" collapsed="false">
      <c r="A102" s="67" t="n">
        <v>43091</v>
      </c>
      <c r="B102" s="68" t="n">
        <f aca="false">B101+1</f>
        <v>100</v>
      </c>
      <c r="C102" s="69" t="n">
        <f aca="false">C101-AA101</f>
        <v>173.745018812365</v>
      </c>
      <c r="D102" s="81" t="n">
        <f aca="false">$D$3</f>
        <v>150.77332897232</v>
      </c>
      <c r="E102" s="82" t="n">
        <f aca="false">C102-D102</f>
        <v>22.9716898400448</v>
      </c>
      <c r="F102" s="83"/>
      <c r="G102" s="84" t="n">
        <f aca="false">C102*TDEE!$B$5</f>
        <v>2161.90978185654</v>
      </c>
      <c r="H102" s="69" t="n">
        <f aca="false">$E102*31</f>
        <v>712.12238504139</v>
      </c>
      <c r="I102" s="69" t="n">
        <f aca="false">$G102-$H102</f>
        <v>1449.78739681515</v>
      </c>
      <c r="J102" s="60" t="n">
        <f aca="false">H102/3500</f>
        <v>0.203463538583254</v>
      </c>
      <c r="K102" s="81" t="n">
        <f aca="false">N102/9</f>
        <v>94.590304900414</v>
      </c>
      <c r="L102" s="81" t="n">
        <v>29</v>
      </c>
      <c r="M102" s="56" t="n">
        <f aca="false">Protein_Amt!$B$6</f>
        <v>120.618663177856</v>
      </c>
      <c r="N102" s="69" t="n">
        <f aca="false">MAX(0,I102-(O102+P102))</f>
        <v>851.312744103726</v>
      </c>
      <c r="O102" s="81" t="n">
        <f aca="false">4*L102</f>
        <v>116</v>
      </c>
      <c r="P102" s="81" t="n">
        <f aca="false">4*M102</f>
        <v>482.474652711422</v>
      </c>
      <c r="Q102" s="70" t="n">
        <f aca="false">SUM(N102:P102)</f>
        <v>1449.78739681515</v>
      </c>
      <c r="S102" s="79"/>
      <c r="T102" s="76"/>
      <c r="U102" s="76"/>
      <c r="V102" s="76"/>
      <c r="W102" s="76"/>
      <c r="X102" s="76"/>
      <c r="Y102" s="76"/>
      <c r="Z102" s="80"/>
      <c r="AA102" s="71" t="n">
        <f aca="false">($H102-Z102)/3500</f>
        <v>0.203463538583254</v>
      </c>
      <c r="AB102" s="76"/>
      <c r="AC102" s="76"/>
      <c r="AD102" s="76"/>
      <c r="AE102" s="76"/>
      <c r="AF102" s="76"/>
      <c r="AG102" s="77"/>
    </row>
    <row r="103" customFormat="false" ht="15" hidden="false" customHeight="false" outlineLevel="0" collapsed="false">
      <c r="A103" s="67" t="n">
        <v>43092</v>
      </c>
      <c r="B103" s="68" t="n">
        <f aca="false">B102+1</f>
        <v>101</v>
      </c>
      <c r="C103" s="69" t="n">
        <f aca="false">C102-AA102</f>
        <v>173.541555273782</v>
      </c>
      <c r="D103" s="81" t="n">
        <f aca="false">$D$3</f>
        <v>150.77332897232</v>
      </c>
      <c r="E103" s="82" t="n">
        <f aca="false">C103-D103</f>
        <v>22.7682263014616</v>
      </c>
      <c r="F103" s="83"/>
      <c r="G103" s="84" t="n">
        <f aca="false">C103*TDEE!$B$5</f>
        <v>2159.37808444546</v>
      </c>
      <c r="H103" s="69" t="n">
        <f aca="false">$E103*31</f>
        <v>705.815015345309</v>
      </c>
      <c r="I103" s="69" t="n">
        <f aca="false">$G103-$H103</f>
        <v>1453.56306910016</v>
      </c>
      <c r="J103" s="60" t="n">
        <f aca="false">H103/3500</f>
        <v>0.201661432955802</v>
      </c>
      <c r="K103" s="81" t="n">
        <f aca="false">N103/9</f>
        <v>95.0098240431926</v>
      </c>
      <c r="L103" s="81" t="n">
        <v>29</v>
      </c>
      <c r="M103" s="56" t="n">
        <f aca="false">Protein_Amt!$B$6</f>
        <v>120.618663177856</v>
      </c>
      <c r="N103" s="69" t="n">
        <f aca="false">MAX(0,I103-(O103+P103))</f>
        <v>855.088416388733</v>
      </c>
      <c r="O103" s="81" t="n">
        <f aca="false">4*L103</f>
        <v>116</v>
      </c>
      <c r="P103" s="81" t="n">
        <f aca="false">4*M103</f>
        <v>482.474652711422</v>
      </c>
      <c r="Q103" s="70" t="n">
        <f aca="false">SUM(N103:P103)</f>
        <v>1453.56306910016</v>
      </c>
      <c r="S103" s="79"/>
      <c r="T103" s="76"/>
      <c r="U103" s="76"/>
      <c r="V103" s="76"/>
      <c r="W103" s="76"/>
      <c r="X103" s="76"/>
      <c r="Y103" s="76"/>
      <c r="Z103" s="80"/>
      <c r="AA103" s="71" t="n">
        <f aca="false">($H103-Z103)/3500</f>
        <v>0.201661432955802</v>
      </c>
      <c r="AB103" s="76"/>
      <c r="AC103" s="76"/>
      <c r="AD103" s="76"/>
      <c r="AE103" s="76"/>
      <c r="AF103" s="76"/>
      <c r="AG103" s="77"/>
    </row>
    <row r="104" customFormat="false" ht="15" hidden="false" customHeight="false" outlineLevel="0" collapsed="false">
      <c r="A104" s="67" t="n">
        <v>43093</v>
      </c>
      <c r="B104" s="68" t="n">
        <f aca="false">B103+1</f>
        <v>102</v>
      </c>
      <c r="C104" s="69" t="n">
        <f aca="false">C103-AA103</f>
        <v>173.339893840826</v>
      </c>
      <c r="D104" s="81" t="n">
        <f aca="false">$D$3</f>
        <v>150.77332897232</v>
      </c>
      <c r="E104" s="82" t="n">
        <f aca="false">C104-D104</f>
        <v>22.5665648685058</v>
      </c>
      <c r="F104" s="83"/>
      <c r="G104" s="84" t="n">
        <f aca="false">C104*TDEE!$B$5</f>
        <v>2156.86881064003</v>
      </c>
      <c r="H104" s="69" t="n">
        <f aca="false">$E104*31</f>
        <v>699.563510923679</v>
      </c>
      <c r="I104" s="69" t="n">
        <f aca="false">$G104-$H104</f>
        <v>1457.30529971635</v>
      </c>
      <c r="J104" s="60" t="n">
        <f aca="false">H104/3500</f>
        <v>0.199875288835337</v>
      </c>
      <c r="K104" s="81" t="n">
        <f aca="false">N104/9</f>
        <v>95.4256274449922</v>
      </c>
      <c r="L104" s="81" t="n">
        <v>29</v>
      </c>
      <c r="M104" s="56" t="n">
        <f aca="false">Protein_Amt!$B$6</f>
        <v>120.618663177856</v>
      </c>
      <c r="N104" s="69" t="n">
        <f aca="false">MAX(0,I104-(O104+P104))</f>
        <v>858.83064700493</v>
      </c>
      <c r="O104" s="81" t="n">
        <f aca="false">4*L104</f>
        <v>116</v>
      </c>
      <c r="P104" s="81" t="n">
        <f aca="false">4*M104</f>
        <v>482.474652711422</v>
      </c>
      <c r="Q104" s="70" t="n">
        <f aca="false">SUM(N104:P104)</f>
        <v>1457.30529971635</v>
      </c>
      <c r="S104" s="79"/>
      <c r="T104" s="76"/>
      <c r="U104" s="76"/>
      <c r="V104" s="76"/>
      <c r="W104" s="76"/>
      <c r="X104" s="76"/>
      <c r="Y104" s="76"/>
      <c r="Z104" s="80"/>
      <c r="AA104" s="71" t="n">
        <f aca="false">($H104-Z104)/3500</f>
        <v>0.199875288835337</v>
      </c>
      <c r="AB104" s="76"/>
      <c r="AC104" s="76"/>
      <c r="AD104" s="76"/>
      <c r="AE104" s="76"/>
      <c r="AF104" s="76"/>
      <c r="AG104" s="77"/>
    </row>
    <row r="105" customFormat="false" ht="15" hidden="false" customHeight="false" outlineLevel="0" collapsed="false">
      <c r="A105" s="67" t="n">
        <v>43094</v>
      </c>
      <c r="B105" s="85" t="n">
        <f aca="false">B104+1</f>
        <v>103</v>
      </c>
      <c r="C105" s="86" t="n">
        <f aca="false">C104-AA104</f>
        <v>173.14001855199</v>
      </c>
      <c r="D105" s="87" t="n">
        <f aca="false">$D$3</f>
        <v>150.77332897232</v>
      </c>
      <c r="E105" s="88" t="n">
        <f aca="false">C105-D105</f>
        <v>22.3666895796704</v>
      </c>
      <c r="F105" s="83"/>
      <c r="G105" s="89" t="n">
        <f aca="false">C105*TDEE!$B$5</f>
        <v>2154.38176183116</v>
      </c>
      <c r="H105" s="87" t="n">
        <f aca="false">E105*31</f>
        <v>693.367376969783</v>
      </c>
      <c r="I105" s="87" t="n">
        <f aca="false">G105-H105</f>
        <v>1461.01438486138</v>
      </c>
      <c r="J105" s="60" t="n">
        <f aca="false">H105/3500</f>
        <v>0.19810496484851</v>
      </c>
      <c r="K105" s="87" t="n">
        <f aca="false">N105/9</f>
        <v>95.8377480166616</v>
      </c>
      <c r="L105" s="87" t="n">
        <v>29</v>
      </c>
      <c r="M105" s="56" t="n">
        <f aca="false">Protein_Amt!$B$6</f>
        <v>120.618663177856</v>
      </c>
      <c r="N105" s="86" t="n">
        <f aca="false">MAX(0,I105-(O105+P105))</f>
        <v>862.539732149954</v>
      </c>
      <c r="O105" s="87" t="n">
        <f aca="false">4*L105</f>
        <v>116</v>
      </c>
      <c r="P105" s="87" t="n">
        <f aca="false">4*M105</f>
        <v>482.474652711422</v>
      </c>
      <c r="Q105" s="90" t="n">
        <f aca="false">SUM(N105:P105)</f>
        <v>1461.01438486138</v>
      </c>
      <c r="S105" s="91"/>
      <c r="T105" s="92"/>
      <c r="U105" s="92"/>
      <c r="V105" s="92"/>
      <c r="W105" s="92"/>
      <c r="X105" s="92"/>
      <c r="Y105" s="92"/>
      <c r="Z105" s="93"/>
      <c r="AA105" s="94" t="n">
        <f aca="false">($H105-Z105)/3500</f>
        <v>0.19810496484851</v>
      </c>
      <c r="AB105" s="92"/>
      <c r="AC105" s="92"/>
      <c r="AD105" s="92"/>
      <c r="AE105" s="92"/>
      <c r="AF105" s="92"/>
      <c r="AG105" s="95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6"/>
  <sheetViews>
    <sheetView showFormulas="false" showGridLines="true" showRowColHeaders="true" showZeros="true" rightToLeft="false" tabSelected="false" showOutlineSymbols="true" defaultGridColor="true" view="normal" topLeftCell="D94" colorId="64" zoomScale="160" zoomScaleNormal="160" zoomScalePageLayoutView="100" workbookViewId="0">
      <selection pane="topLeft" activeCell="P96" activeCellId="0" sqref="P96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1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.03"/>
    <col collapsed="false" customWidth="true" hidden="false" outlineLevel="0" max="17" min="17" style="0" width="7.12"/>
    <col collapsed="false" customWidth="true" hidden="false" outlineLevel="0" max="18" min="18" style="0" width="7.57"/>
    <col collapsed="false" customWidth="true" hidden="false" outlineLevel="0" max="19" min="19" style="0" width="7.55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6" t="str">
        <f aca="false">FoodDB!$C$1</f>
        <v>Fat
(g)</v>
      </c>
      <c r="E1" s="96" t="str">
        <f aca="false">FoodDB!$D$1</f>
        <v>Carbs
(g)</v>
      </c>
      <c r="F1" s="96" t="str">
        <f aca="false">FoodDB!$E$1</f>
        <v>Protein
(g)</v>
      </c>
      <c r="G1" s="96" t="str">
        <f aca="false">FoodDB!$F$1</f>
        <v>Fat
(Cal)</v>
      </c>
      <c r="H1" s="96" t="str">
        <f aca="false">FoodDB!$G$1</f>
        <v>Carb
(Cal)</v>
      </c>
      <c r="I1" s="96" t="str">
        <f aca="false">FoodDB!$H$1</f>
        <v>Protein
(Cal)</v>
      </c>
      <c r="J1" s="96" t="str">
        <f aca="false">FoodDB!$I$1</f>
        <v>Total
Calories</v>
      </c>
      <c r="K1" s="96"/>
      <c r="L1" s="21"/>
      <c r="M1" s="21"/>
      <c r="N1" s="21"/>
      <c r="O1" s="21"/>
      <c r="Q1" s="21"/>
    </row>
    <row r="2" customFormat="false" ht="15" hidden="false" customHeight="false" outlineLevel="0" collapsed="false">
      <c r="A2" s="97" t="n">
        <v>42992</v>
      </c>
      <c r="B2" s="98" t="s">
        <v>85</v>
      </c>
      <c r="C2" s="99" t="n">
        <v>1</v>
      </c>
      <c r="D2" s="0" t="n">
        <f aca="false">$C2*VLOOKUP($B2,FoodDB!$A$2:$I$1006,3,0)</f>
        <v>0.5</v>
      </c>
      <c r="E2" s="0" t="n">
        <f aca="false">$C2*VLOOKUP($B2,FoodDB!$A$2:$I$1006,4,0)</f>
        <v>0</v>
      </c>
      <c r="F2" s="0" t="n">
        <f aca="false">$C2*VLOOKUP($B2,FoodDB!$A$2:$I$1006,5,0)</f>
        <v>50</v>
      </c>
      <c r="G2" s="0" t="n">
        <f aca="false">$C2*VLOOKUP($B2,FoodDB!$A$2:$I$1006,6,0)</f>
        <v>4.5</v>
      </c>
      <c r="H2" s="0" t="n">
        <f aca="false">$C2*VLOOKUP($B2,FoodDB!$A$2:$I$1006,7,0)</f>
        <v>0</v>
      </c>
      <c r="I2" s="0" t="n">
        <f aca="false">$C2*VLOOKUP($B2,FoodDB!$A$2:$I$1006,8,0)</f>
        <v>200</v>
      </c>
      <c r="J2" s="0" t="n">
        <f aca="false">$C2*VLOOKUP($B2,FoodDB!$A$2:$I$1006,9,0)</f>
        <v>204.5</v>
      </c>
      <c r="L2" s="100"/>
      <c r="M2" s="100"/>
      <c r="N2" s="100"/>
      <c r="O2" s="100"/>
    </row>
    <row r="3" customFormat="false" ht="15" hidden="false" customHeight="false" outlineLevel="0" collapsed="false">
      <c r="B3" s="98" t="s">
        <v>86</v>
      </c>
      <c r="C3" s="99" t="n">
        <v>14</v>
      </c>
      <c r="D3" s="0" t="n">
        <f aca="false">$C3*VLOOKUP($B3,FoodDB!$A$2:$I$1006,3,0)</f>
        <v>0</v>
      </c>
      <c r="E3" s="0" t="n">
        <f aca="false">$C3*VLOOKUP($B3,FoodDB!$A$2:$I$1006,4,0)</f>
        <v>9</v>
      </c>
      <c r="F3" s="0" t="n">
        <f aca="false">$C3*VLOOKUP($B3,FoodDB!$A$2:$I$1006,5,0)</f>
        <v>4.5</v>
      </c>
      <c r="G3" s="0" t="n">
        <f aca="false">$C3*VLOOKUP($B3,FoodDB!$A$2:$I$1006,6,0)</f>
        <v>0</v>
      </c>
      <c r="H3" s="0" t="n">
        <f aca="false">$C3*VLOOKUP($B3,FoodDB!$A$2:$I$1006,7,0)</f>
        <v>36</v>
      </c>
      <c r="I3" s="0" t="n">
        <f aca="false">$C3*VLOOKUP($B3,FoodDB!$A$2:$I$1006,8,0)</f>
        <v>18</v>
      </c>
      <c r="J3" s="0" t="n">
        <f aca="false">$C3*VLOOKUP($B3,FoodDB!$A$2:$I$1006,9,0)</f>
        <v>54</v>
      </c>
      <c r="L3" s="100"/>
      <c r="M3" s="100"/>
      <c r="N3" s="100"/>
      <c r="O3" s="100"/>
    </row>
    <row r="4" customFormat="false" ht="15" hidden="false" customHeight="false" outlineLevel="0" collapsed="false">
      <c r="B4" s="98" t="s">
        <v>85</v>
      </c>
      <c r="C4" s="99" t="n">
        <v>1</v>
      </c>
      <c r="D4" s="0" t="n">
        <f aca="false">$C4*VLOOKUP($B4,FoodDB!$A$2:$I$1006,3,0)</f>
        <v>0.5</v>
      </c>
      <c r="E4" s="0" t="n">
        <f aca="false">$C4*VLOOKUP($B4,FoodDB!$A$2:$I$1006,4,0)</f>
        <v>0</v>
      </c>
      <c r="F4" s="0" t="n">
        <f aca="false">$C4*VLOOKUP($B4,FoodDB!$A$2:$I$1006,5,0)</f>
        <v>50</v>
      </c>
      <c r="G4" s="0" t="n">
        <f aca="false">$C4*VLOOKUP($B4,FoodDB!$A$2:$I$1006,6,0)</f>
        <v>4.5</v>
      </c>
      <c r="H4" s="0" t="n">
        <f aca="false">$C4*VLOOKUP($B4,FoodDB!$A$2:$I$1006,7,0)</f>
        <v>0</v>
      </c>
      <c r="I4" s="0" t="n">
        <f aca="false">$C4*VLOOKUP($B4,FoodDB!$A$2:$I$1006,8,0)</f>
        <v>200</v>
      </c>
      <c r="J4" s="0" t="n">
        <f aca="false">$C4*VLOOKUP($B4,FoodDB!$A$2:$I$1006,9,0)</f>
        <v>204.5</v>
      </c>
      <c r="L4" s="100"/>
      <c r="M4" s="100"/>
      <c r="N4" s="100"/>
      <c r="O4" s="100"/>
    </row>
    <row r="5" customFormat="false" ht="15" hidden="false" customHeight="false" outlineLevel="0" collapsed="false">
      <c r="B5" s="98" t="s">
        <v>87</v>
      </c>
      <c r="C5" s="99" t="n">
        <v>2</v>
      </c>
      <c r="D5" s="0" t="n">
        <f aca="false">$C5*VLOOKUP($B5,FoodDB!$A$2:$I$1006,3,0)</f>
        <v>18</v>
      </c>
      <c r="E5" s="0" t="n">
        <f aca="false">$C5*VLOOKUP($B5,FoodDB!$A$2:$I$1006,4,0)</f>
        <v>4</v>
      </c>
      <c r="F5" s="0" t="n">
        <f aca="false">$C5*VLOOKUP($B5,FoodDB!$A$2:$I$1006,5,0)</f>
        <v>9.4</v>
      </c>
      <c r="G5" s="0" t="n">
        <f aca="false">$C5*VLOOKUP($B5,FoodDB!$A$2:$I$1006,6,0)</f>
        <v>162</v>
      </c>
      <c r="H5" s="0" t="n">
        <f aca="false">$C5*VLOOKUP($B5,FoodDB!$A$2:$I$1006,7,0)</f>
        <v>16</v>
      </c>
      <c r="I5" s="0" t="n">
        <f aca="false">$C5*VLOOKUP($B5,FoodDB!$A$2:$I$1006,8,0)</f>
        <v>37.6</v>
      </c>
      <c r="J5" s="0" t="n">
        <f aca="false">$C5*VLOOKUP($B5,FoodDB!$A$2:$I$1006,9,0)</f>
        <v>215.6</v>
      </c>
      <c r="L5" s="100"/>
      <c r="M5" s="100"/>
      <c r="N5" s="100"/>
      <c r="O5" s="100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101"/>
      <c r="M6" s="101"/>
      <c r="N6" s="101"/>
      <c r="O6" s="101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6" t="str">
        <f aca="false">FoodDB!$C$1</f>
        <v>Fat
(g)</v>
      </c>
      <c r="E8" s="96" t="str">
        <f aca="false">FoodDB!$D$1</f>
        <v>Carbs
(g)</v>
      </c>
      <c r="F8" s="96" t="str">
        <f aca="false">FoodDB!$E$1</f>
        <v>Protein
(g)</v>
      </c>
      <c r="G8" s="96" t="str">
        <f aca="false">FoodDB!$F$1</f>
        <v>Fat
(Cal)</v>
      </c>
      <c r="H8" s="96" t="str">
        <f aca="false">FoodDB!$G$1</f>
        <v>Carb
(Cal)</v>
      </c>
      <c r="I8" s="96" t="str">
        <f aca="false">FoodDB!$H$1</f>
        <v>Protein
(Cal)</v>
      </c>
      <c r="J8" s="96" t="str">
        <f aca="false">FoodDB!$I$1</f>
        <v>Total
Calories</v>
      </c>
      <c r="K8" s="96"/>
      <c r="L8" s="21"/>
      <c r="M8" s="21"/>
      <c r="N8" s="21"/>
      <c r="O8" s="21"/>
      <c r="Q8" s="21"/>
    </row>
    <row r="9" customFormat="false" ht="15" hidden="false" customHeight="false" outlineLevel="0" collapsed="false">
      <c r="A9" s="97" t="n">
        <v>42993</v>
      </c>
      <c r="B9" s="98" t="s">
        <v>85</v>
      </c>
      <c r="C9" s="99" t="n">
        <v>1.5</v>
      </c>
      <c r="D9" s="0" t="n">
        <f aca="false">$C9*VLOOKUP($B9,FoodDB!$A$2:$I$1006,3,0)</f>
        <v>0.75</v>
      </c>
      <c r="E9" s="0" t="n">
        <f aca="false">$C9*VLOOKUP($B9,FoodDB!$A$2:$I$1006,4,0)</f>
        <v>0</v>
      </c>
      <c r="F9" s="0" t="n">
        <f aca="false">$C9*VLOOKUP($B9,FoodDB!$A$2:$I$1006,5,0)</f>
        <v>75</v>
      </c>
      <c r="G9" s="0" t="n">
        <f aca="false">$C9*VLOOKUP($B9,FoodDB!$A$2:$I$1006,6,0)</f>
        <v>6.75</v>
      </c>
      <c r="H9" s="0" t="n">
        <f aca="false">$C9*VLOOKUP($B9,FoodDB!$A$2:$I$1006,7,0)</f>
        <v>0</v>
      </c>
      <c r="I9" s="0" t="n">
        <f aca="false">$C9*VLOOKUP($B9,FoodDB!$A$2:$I$1006,8,0)</f>
        <v>300</v>
      </c>
      <c r="J9" s="0" t="n">
        <f aca="false">$C9*VLOOKUP($B9,FoodDB!$A$2:$I$1006,9,0)</f>
        <v>306.75</v>
      </c>
    </row>
    <row r="10" customFormat="false" ht="15" hidden="false" customHeight="false" outlineLevel="0" collapsed="false">
      <c r="B10" s="98" t="s">
        <v>89</v>
      </c>
      <c r="C10" s="99" t="n">
        <v>3</v>
      </c>
      <c r="D10" s="0" t="n">
        <f aca="false">$C10*VLOOKUP($B10,FoodDB!$A$2:$I$1006,3,0)</f>
        <v>18.54</v>
      </c>
      <c r="E10" s="0" t="n">
        <f aca="false">$C10*VLOOKUP($B10,FoodDB!$A$2:$I$1006,4,0)</f>
        <v>0</v>
      </c>
      <c r="F10" s="0" t="n">
        <f aca="false">$C10*VLOOKUP($B10,FoodDB!$A$2:$I$1006,5,0)</f>
        <v>25.56</v>
      </c>
      <c r="G10" s="0" t="n">
        <f aca="false">$C10*VLOOKUP($B10,FoodDB!$A$2:$I$1006,6,0)</f>
        <v>166.86</v>
      </c>
      <c r="H10" s="0" t="n">
        <f aca="false">$C10*VLOOKUP($B10,FoodDB!$A$2:$I$1006,7,0)</f>
        <v>0</v>
      </c>
      <c r="I10" s="0" t="n">
        <f aca="false">$C10*VLOOKUP($B10,FoodDB!$A$2:$I$1006,8,0)</f>
        <v>102.24</v>
      </c>
      <c r="J10" s="0" t="n">
        <f aca="false">$C10*VLOOKUP($B10,FoodDB!$A$2:$I$1006,9,0)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101"/>
      <c r="M11" s="101"/>
      <c r="N11" s="101"/>
      <c r="O11" s="101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6" t="str">
        <f aca="false">FoodDB!$C$1</f>
        <v>Fat
(g)</v>
      </c>
      <c r="E13" s="96" t="str">
        <f aca="false">FoodDB!$D$1</f>
        <v>Carbs
(g)</v>
      </c>
      <c r="F13" s="96" t="str">
        <f aca="false">FoodDB!$E$1</f>
        <v>Protein
(g)</v>
      </c>
      <c r="G13" s="96" t="str">
        <f aca="false">FoodDB!$F$1</f>
        <v>Fat
(Cal)</v>
      </c>
      <c r="H13" s="96" t="str">
        <f aca="false">FoodDB!$G$1</f>
        <v>Carb
(Cal)</v>
      </c>
      <c r="I13" s="96" t="str">
        <f aca="false">FoodDB!$H$1</f>
        <v>Protein
(Cal)</v>
      </c>
      <c r="J13" s="96" t="str">
        <f aca="false">FoodDB!$I$1</f>
        <v>Total
Calories</v>
      </c>
      <c r="K13" s="96"/>
      <c r="L13" s="21"/>
      <c r="M13" s="21"/>
      <c r="N13" s="21"/>
      <c r="O13" s="21"/>
    </row>
    <row r="14" customFormat="false" ht="15" hidden="false" customHeight="false" outlineLevel="0" collapsed="false">
      <c r="A14" s="97" t="n">
        <v>42994</v>
      </c>
      <c r="B14" s="98" t="s">
        <v>85</v>
      </c>
      <c r="C14" s="99" t="n">
        <v>1</v>
      </c>
      <c r="D14" s="0" t="n">
        <f aca="false">$C14*VLOOKUP($B14,FoodDB!$A$2:$I$1006,3,0)</f>
        <v>0.5</v>
      </c>
      <c r="E14" s="0" t="n">
        <f aca="false">$C14*VLOOKUP($B14,FoodDB!$A$2:$I$1006,4,0)</f>
        <v>0</v>
      </c>
      <c r="F14" s="0" t="n">
        <f aca="false">$C14*VLOOKUP($B14,FoodDB!$A$2:$I$1006,5,0)</f>
        <v>50</v>
      </c>
      <c r="G14" s="0" t="n">
        <f aca="false">$C14*VLOOKUP($B14,FoodDB!$A$2:$I$1006,6,0)</f>
        <v>4.5</v>
      </c>
      <c r="H14" s="0" t="n">
        <f aca="false">$C14*VLOOKUP($B14,FoodDB!$A$2:$I$1006,7,0)</f>
        <v>0</v>
      </c>
      <c r="I14" s="0" t="n">
        <f aca="false">$C14*VLOOKUP($B14,FoodDB!$A$2:$I$1006,8,0)</f>
        <v>200</v>
      </c>
      <c r="J14" s="0" t="n">
        <f aca="false">$C14*VLOOKUP($B14,FoodDB!$A$2:$I$1006,9,0)</f>
        <v>204.5</v>
      </c>
    </row>
    <row r="15" customFormat="false" ht="15" hidden="false" customHeight="false" outlineLevel="0" collapsed="false">
      <c r="B15" s="98" t="s">
        <v>90</v>
      </c>
      <c r="C15" s="99" t="n">
        <v>7</v>
      </c>
      <c r="D15" s="0" t="n">
        <f aca="false">$C15*VLOOKUP($B15,FoodDB!$A$2:$I$1006,3,0)</f>
        <v>0</v>
      </c>
      <c r="E15" s="0" t="n">
        <f aca="false">$C15*VLOOKUP($B15,FoodDB!$A$2:$I$1006,4,0)</f>
        <v>7</v>
      </c>
      <c r="F15" s="0" t="n">
        <f aca="false">$C15*VLOOKUP($B15,FoodDB!$A$2:$I$1006,5,0)</f>
        <v>4.2</v>
      </c>
      <c r="G15" s="0" t="n">
        <f aca="false">$C15*VLOOKUP($B15,FoodDB!$A$2:$I$1006,6,0)</f>
        <v>0</v>
      </c>
      <c r="H15" s="0" t="n">
        <f aca="false">$C15*VLOOKUP($B15,FoodDB!$A$2:$I$1006,7,0)</f>
        <v>28</v>
      </c>
      <c r="I15" s="0" t="n">
        <f aca="false">$C15*VLOOKUP($B15,FoodDB!$A$2:$I$1006,8,0)</f>
        <v>16.8</v>
      </c>
      <c r="J15" s="0" t="n">
        <f aca="false">$C15*VLOOKUP($B15,FoodDB!$A$2:$I$1006,9,0)</f>
        <v>44.8</v>
      </c>
    </row>
    <row r="16" customFormat="false" ht="15" hidden="false" customHeight="false" outlineLevel="0" collapsed="false">
      <c r="B16" s="98" t="s">
        <v>89</v>
      </c>
      <c r="C16" s="0" t="n">
        <v>5</v>
      </c>
      <c r="D16" s="0" t="n">
        <f aca="false">$C16*VLOOKUP($B16,FoodDB!$A$2:$I$1006,3,0)</f>
        <v>30.9</v>
      </c>
      <c r="E16" s="0" t="n">
        <f aca="false">$C16*VLOOKUP($B16,FoodDB!$A$2:$I$1006,4,0)</f>
        <v>0</v>
      </c>
      <c r="F16" s="0" t="n">
        <f aca="false">$C16*VLOOKUP($B16,FoodDB!$A$2:$I$1006,5,0)</f>
        <v>42.6</v>
      </c>
      <c r="G16" s="0" t="n">
        <f aca="false">$C16*VLOOKUP($B16,FoodDB!$A$2:$I$1006,6,0)</f>
        <v>278.1</v>
      </c>
      <c r="H16" s="0" t="n">
        <f aca="false">$C16*VLOOKUP($B16,FoodDB!$A$2:$I$1006,7,0)</f>
        <v>0</v>
      </c>
      <c r="I16" s="0" t="n">
        <f aca="false">$C16*VLOOKUP($B16,FoodDB!$A$2:$I$1006,8,0)</f>
        <v>170.4</v>
      </c>
      <c r="J16" s="0" t="n">
        <f aca="false">$C16*VLOOKUP($B16,FoodDB!$A$2:$I$1006,9,0)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101"/>
      <c r="M17" s="101"/>
      <c r="N17" s="101"/>
      <c r="O17" s="101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6" t="str">
        <f aca="false">FoodDB!$C$1</f>
        <v>Fat
(g)</v>
      </c>
      <c r="E19" s="96" t="str">
        <f aca="false">FoodDB!$D$1</f>
        <v>Carbs
(g)</v>
      </c>
      <c r="F19" s="96" t="str">
        <f aca="false">FoodDB!$E$1</f>
        <v>Protein
(g)</v>
      </c>
      <c r="G19" s="96" t="str">
        <f aca="false">FoodDB!$F$1</f>
        <v>Fat
(Cal)</v>
      </c>
      <c r="H19" s="96" t="str">
        <f aca="false">FoodDB!$G$1</f>
        <v>Carb
(Cal)</v>
      </c>
      <c r="I19" s="96" t="str">
        <f aca="false">FoodDB!$H$1</f>
        <v>Protein
(Cal)</v>
      </c>
      <c r="J19" s="96" t="str">
        <f aca="false">FoodDB!$I$1</f>
        <v>Total
Calories</v>
      </c>
      <c r="K19" s="96"/>
    </row>
    <row r="20" customFormat="false" ht="15" hidden="false" customHeight="false" outlineLevel="0" collapsed="false">
      <c r="A20" s="97" t="n">
        <f aca="false">A14+1</f>
        <v>42995</v>
      </c>
      <c r="B20" s="98" t="s">
        <v>85</v>
      </c>
      <c r="C20" s="99" t="n">
        <v>2</v>
      </c>
      <c r="D20" s="0" t="n">
        <f aca="false">$C20*VLOOKUP($B20,FoodDB!$A$2:$I$1006,3,0)</f>
        <v>1</v>
      </c>
      <c r="E20" s="0" t="n">
        <f aca="false">$C20*VLOOKUP($B20,FoodDB!$A$2:$I$1006,4,0)</f>
        <v>0</v>
      </c>
      <c r="F20" s="0" t="n">
        <f aca="false">$C20*VLOOKUP($B20,FoodDB!$A$2:$I$1006,5,0)</f>
        <v>100</v>
      </c>
      <c r="G20" s="0" t="n">
        <f aca="false">$C20*VLOOKUP($B20,FoodDB!$A$2:$I$1006,6,0)</f>
        <v>9</v>
      </c>
      <c r="H20" s="0" t="n">
        <f aca="false">$C20*VLOOKUP($B20,FoodDB!$A$2:$I$1006,7,0)</f>
        <v>0</v>
      </c>
      <c r="I20" s="0" t="n">
        <f aca="false">$C20*VLOOKUP($B20,FoodDB!$A$2:$I$1006,8,0)</f>
        <v>400</v>
      </c>
      <c r="J20" s="0" t="n">
        <f aca="false">$C20*VLOOKUP($B20,FoodDB!$A$2:$I$1006,9,0)</f>
        <v>409</v>
      </c>
    </row>
    <row r="21" customFormat="false" ht="15" hidden="false" customHeight="false" outlineLevel="0" collapsed="false">
      <c r="B21" s="98" t="s">
        <v>90</v>
      </c>
      <c r="C21" s="99" t="n">
        <v>14</v>
      </c>
      <c r="D21" s="0" t="n">
        <f aca="false">$C21*VLOOKUP($B21,FoodDB!$A$2:$I$1006,3,0)</f>
        <v>0</v>
      </c>
      <c r="E21" s="0" t="n">
        <f aca="false">$C21*VLOOKUP($B21,FoodDB!$A$2:$I$1006,4,0)</f>
        <v>14</v>
      </c>
      <c r="F21" s="0" t="n">
        <f aca="false">$C21*VLOOKUP($B21,FoodDB!$A$2:$I$1006,5,0)</f>
        <v>8.4</v>
      </c>
      <c r="G21" s="0" t="n">
        <f aca="false">$C21*VLOOKUP($B21,FoodDB!$A$2:$I$1006,6,0)</f>
        <v>0</v>
      </c>
      <c r="H21" s="0" t="n">
        <f aca="false">$C21*VLOOKUP($B21,FoodDB!$A$2:$I$1006,7,0)</f>
        <v>56</v>
      </c>
      <c r="I21" s="0" t="n">
        <f aca="false">$C21*VLOOKUP($B21,FoodDB!$A$2:$I$1006,8,0)</f>
        <v>33.6</v>
      </c>
      <c r="J21" s="0" t="n">
        <f aca="false">$C21*VLOOKUP($B21,FoodDB!$A$2:$I$1006,9,0)</f>
        <v>89.6</v>
      </c>
    </row>
    <row r="22" customFormat="false" ht="15" hidden="false" customHeight="false" outlineLevel="0" collapsed="false">
      <c r="B22" s="98" t="s">
        <v>91</v>
      </c>
      <c r="C22" s="99" t="n">
        <v>0</v>
      </c>
      <c r="D22" s="0" t="n">
        <f aca="false">$C22*VLOOKUP($B22,FoodDB!$A$2:$I$1006,3,0)</f>
        <v>0</v>
      </c>
      <c r="E22" s="0" t="n">
        <f aca="false">$C22*VLOOKUP($B22,FoodDB!$A$2:$I$1006,4,0)</f>
        <v>0</v>
      </c>
      <c r="F22" s="0" t="n">
        <f aca="false">$C22*VLOOKUP($B22,FoodDB!$A$2:$I$1006,5,0)</f>
        <v>0</v>
      </c>
      <c r="G22" s="0" t="n">
        <f aca="false">$C22*VLOOKUP($B22,FoodDB!$A$2:$I$1006,6,0)</f>
        <v>0</v>
      </c>
      <c r="H22" s="0" t="n">
        <f aca="false">$C22*VLOOKUP($B22,FoodDB!$A$2:$I$1006,7,0)</f>
        <v>0</v>
      </c>
      <c r="I22" s="0" t="n">
        <f aca="false">$C22*VLOOKUP($B22,FoodDB!$A$2:$I$1006,8,0)</f>
        <v>0</v>
      </c>
      <c r="J22" s="0" t="n">
        <f aca="false">$C22*VLOOKUP($B22,FoodDB!$A$2:$I$1006,9,0)</f>
        <v>0</v>
      </c>
    </row>
    <row r="23" customFormat="false" ht="15" hidden="false" customHeight="false" outlineLevel="0" collapsed="false">
      <c r="B23" s="98" t="s">
        <v>89</v>
      </c>
      <c r="C23" s="0" t="n">
        <v>3</v>
      </c>
      <c r="D23" s="0" t="n">
        <f aca="false">$C23*VLOOKUP($B23,FoodDB!$A$2:$I$1006,3,0)</f>
        <v>18.54</v>
      </c>
      <c r="E23" s="0" t="n">
        <f aca="false">$C23*VLOOKUP($B23,FoodDB!$A$2:$I$1006,4,0)</f>
        <v>0</v>
      </c>
      <c r="F23" s="0" t="n">
        <f aca="false">$C23*VLOOKUP($B23,FoodDB!$A$2:$I$1006,5,0)</f>
        <v>25.56</v>
      </c>
      <c r="G23" s="0" t="n">
        <f aca="false">$C23*VLOOKUP($B23,FoodDB!$A$2:$I$1006,6,0)</f>
        <v>166.86</v>
      </c>
      <c r="H23" s="0" t="n">
        <f aca="false">$C23*VLOOKUP($B23,FoodDB!$A$2:$I$1006,7,0)</f>
        <v>0</v>
      </c>
      <c r="I23" s="0" t="n">
        <f aca="false">$C23*VLOOKUP($B23,FoodDB!$A$2:$I$1006,8,0)</f>
        <v>102.24</v>
      </c>
      <c r="J23" s="0" t="n">
        <f aca="false">$C23*VLOOKUP($B23,FoodDB!$A$2:$I$1006,9,0)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2"/>
      <c r="F25" s="102"/>
      <c r="G25" s="102" t="n">
        <f aca="false">LossChart!N5</f>
        <v>358.999598112177</v>
      </c>
      <c r="H25" s="102" t="n">
        <f aca="false">LossChart!O5</f>
        <v>80</v>
      </c>
      <c r="I25" s="102" t="n">
        <f aca="false">LossChart!P5</f>
        <v>482.474652711422</v>
      </c>
      <c r="J25" s="102" t="n">
        <f aca="false">LossChart!Q5</f>
        <v>921.474250823599</v>
      </c>
      <c r="K25" s="102"/>
    </row>
    <row r="26" customFormat="false" ht="15" hidden="false" customHeight="false" outlineLevel="0" collapsed="false">
      <c r="A26" s="0" t="s">
        <v>94</v>
      </c>
      <c r="G26" s="0" t="n">
        <f aca="false">G25-G24</f>
        <v>183.139598112177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153.774250823599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6" t="str">
        <f aca="false">FoodDB!$C$1</f>
        <v>Fat
(g)</v>
      </c>
      <c r="E28" s="96" t="str">
        <f aca="false">FoodDB!$D$1</f>
        <v>Carbs
(g)</v>
      </c>
      <c r="F28" s="96" t="str">
        <f aca="false">FoodDB!$E$1</f>
        <v>Protein
(g)</v>
      </c>
      <c r="G28" s="96" t="str">
        <f aca="false">FoodDB!$F$1</f>
        <v>Fat
(Cal)</v>
      </c>
      <c r="H28" s="96" t="str">
        <f aca="false">FoodDB!$G$1</f>
        <v>Carb
(Cal)</v>
      </c>
      <c r="I28" s="96" t="str">
        <f aca="false">FoodDB!$H$1</f>
        <v>Protein
(Cal)</v>
      </c>
      <c r="J28" s="96" t="str">
        <f aca="false">FoodDB!$I$1</f>
        <v>Total
Calories</v>
      </c>
      <c r="K28" s="96"/>
    </row>
    <row r="29" customFormat="false" ht="15" hidden="false" customHeight="false" outlineLevel="0" collapsed="false">
      <c r="A29" s="97" t="n">
        <f aca="false">A20+1</f>
        <v>42996</v>
      </c>
      <c r="B29" s="98" t="s">
        <v>95</v>
      </c>
      <c r="C29" s="99" t="n">
        <v>1.2</v>
      </c>
      <c r="D29" s="0" t="n">
        <f aca="false">$C29*VLOOKUP($B29,FoodDB!$A$2:$I$1006,3,0)</f>
        <v>0.96</v>
      </c>
      <c r="E29" s="0" t="n">
        <f aca="false">$C29*VLOOKUP($B29,FoodDB!$A$2:$I$1006,4,0)</f>
        <v>0</v>
      </c>
      <c r="F29" s="0" t="n">
        <f aca="false">$C29*VLOOKUP($B29,FoodDB!$A$2:$I$1006,5,0)</f>
        <v>40.8</v>
      </c>
      <c r="G29" s="0" t="n">
        <f aca="false">$C29*VLOOKUP($B29,FoodDB!$A$2:$I$1006,6,0)</f>
        <v>8.64</v>
      </c>
      <c r="H29" s="0" t="n">
        <f aca="false">$C29*VLOOKUP($B29,FoodDB!$A$2:$I$1006,7,0)</f>
        <v>0</v>
      </c>
      <c r="I29" s="0" t="n">
        <f aca="false">$C29*VLOOKUP($B29,FoodDB!$A$2:$I$1006,8,0)</f>
        <v>163.2</v>
      </c>
      <c r="J29" s="0" t="n">
        <f aca="false">$C29*VLOOKUP($B29,FoodDB!$A$2:$I$1006,9,0)</f>
        <v>171.84</v>
      </c>
    </row>
    <row r="30" customFormat="false" ht="15" hidden="false" customHeight="false" outlineLevel="0" collapsed="false">
      <c r="B30" s="98" t="s">
        <v>85</v>
      </c>
      <c r="C30" s="99" t="n">
        <v>1</v>
      </c>
      <c r="D30" s="0" t="n">
        <f aca="false">$C30*VLOOKUP($B30,FoodDB!$A$2:$I$1006,3,0)</f>
        <v>0.5</v>
      </c>
      <c r="E30" s="0" t="n">
        <f aca="false">$C30*VLOOKUP($B30,FoodDB!$A$2:$I$1006,4,0)</f>
        <v>0</v>
      </c>
      <c r="F30" s="0" t="n">
        <f aca="false">$C30*VLOOKUP($B30,FoodDB!$A$2:$I$1006,5,0)</f>
        <v>50</v>
      </c>
      <c r="G30" s="0" t="n">
        <f aca="false">$C30*VLOOKUP($B30,FoodDB!$A$2:$I$1006,6,0)</f>
        <v>4.5</v>
      </c>
      <c r="H30" s="0" t="n">
        <f aca="false">$C30*VLOOKUP($B30,FoodDB!$A$2:$I$1006,7,0)</f>
        <v>0</v>
      </c>
      <c r="I30" s="0" t="n">
        <f aca="false">$C30*VLOOKUP($B30,FoodDB!$A$2:$I$1006,8,0)</f>
        <v>200</v>
      </c>
      <c r="J30" s="0" t="n">
        <f aca="false">$C30*VLOOKUP($B30,FoodDB!$A$2:$I$1006,9,0)</f>
        <v>204.5</v>
      </c>
    </row>
    <row r="31" customFormat="false" ht="15" hidden="false" customHeight="false" outlineLevel="0" collapsed="false">
      <c r="B31" s="98" t="s">
        <v>86</v>
      </c>
      <c r="C31" s="99" t="n">
        <v>12</v>
      </c>
      <c r="D31" s="0" t="n">
        <f aca="false">$C31*VLOOKUP($B31,FoodDB!$A$2:$I$1006,3,0)</f>
        <v>0</v>
      </c>
      <c r="E31" s="0" t="n">
        <f aca="false">$C31*VLOOKUP($B31,FoodDB!$A$2:$I$1006,4,0)</f>
        <v>7.71428571428572</v>
      </c>
      <c r="F31" s="0" t="n">
        <f aca="false">$C31*VLOOKUP($B31,FoodDB!$A$2:$I$1006,5,0)</f>
        <v>3.85714285714286</v>
      </c>
      <c r="G31" s="0" t="n">
        <f aca="false">$C31*VLOOKUP($B31,FoodDB!$A$2:$I$1006,6,0)</f>
        <v>0</v>
      </c>
      <c r="H31" s="0" t="n">
        <f aca="false">$C31*VLOOKUP($B31,FoodDB!$A$2:$I$1006,7,0)</f>
        <v>30.8571428571429</v>
      </c>
      <c r="I31" s="0" t="n">
        <f aca="false">$C31*VLOOKUP($B31,FoodDB!$A$2:$I$1006,8,0)</f>
        <v>15.4285714285714</v>
      </c>
      <c r="J31" s="0" t="n">
        <f aca="false">$C31*VLOOKUP($B31,FoodDB!$A$2:$I$1006,9,0)</f>
        <v>46.2857142857143</v>
      </c>
    </row>
    <row r="32" customFormat="false" ht="15" hidden="false" customHeight="false" outlineLevel="0" collapsed="false">
      <c r="B32" s="98" t="s">
        <v>89</v>
      </c>
      <c r="C32" s="99" t="n">
        <v>4</v>
      </c>
      <c r="D32" s="0" t="n">
        <f aca="false">$C32*VLOOKUP($B32,FoodDB!$A$2:$I$1006,3,0)</f>
        <v>24.72</v>
      </c>
      <c r="E32" s="0" t="n">
        <f aca="false">$C32*VLOOKUP($B32,FoodDB!$A$2:$I$1006,4,0)</f>
        <v>0</v>
      </c>
      <c r="F32" s="0" t="n">
        <f aca="false">$C32*VLOOKUP($B32,FoodDB!$A$2:$I$1006,5,0)</f>
        <v>34.08</v>
      </c>
      <c r="G32" s="0" t="n">
        <f aca="false">$C32*VLOOKUP($B32,FoodDB!$A$2:$I$1006,6,0)</f>
        <v>222.48</v>
      </c>
      <c r="H32" s="0" t="n">
        <f aca="false">$C32*VLOOKUP($B32,FoodDB!$A$2:$I$1006,7,0)</f>
        <v>0</v>
      </c>
      <c r="I32" s="0" t="n">
        <f aca="false">$C32*VLOOKUP($B32,FoodDB!$A$2:$I$1006,8,0)</f>
        <v>136.32</v>
      </c>
      <c r="J32" s="0" t="n">
        <f aca="false">$C32*VLOOKUP($B32,FoodDB!$A$2:$I$1006,9,0)</f>
        <v>358.8</v>
      </c>
    </row>
    <row r="33" customFormat="false" ht="15" hidden="false" customHeight="false" outlineLevel="0" collapsed="false">
      <c r="B33" s="98" t="s">
        <v>90</v>
      </c>
      <c r="C33" s="0" t="n">
        <v>7</v>
      </c>
      <c r="D33" s="0" t="n">
        <f aca="false">$C33*VLOOKUP($B33,FoodDB!$A$2:$I$1006,3,0)</f>
        <v>0</v>
      </c>
      <c r="E33" s="0" t="n">
        <f aca="false">$C33*VLOOKUP($B33,FoodDB!$A$2:$I$1006,4,0)</f>
        <v>7</v>
      </c>
      <c r="F33" s="0" t="n">
        <f aca="false">$C33*VLOOKUP($B33,FoodDB!$A$2:$I$1006,5,0)</f>
        <v>4.2</v>
      </c>
      <c r="G33" s="0" t="n">
        <f aca="false">$C33*VLOOKUP($B33,FoodDB!$A$2:$I$1006,6,0)</f>
        <v>0</v>
      </c>
      <c r="H33" s="0" t="n">
        <f aca="false">$C33*VLOOKUP($B33,FoodDB!$A$2:$I$1006,7,0)</f>
        <v>28</v>
      </c>
      <c r="I33" s="0" t="n">
        <f aca="false">$C33*VLOOKUP($B33,FoodDB!$A$2:$I$1006,8,0)</f>
        <v>16.8</v>
      </c>
      <c r="J33" s="0" t="n">
        <f aca="false">$C33*VLOOKUP($B33,FoodDB!$A$2:$I$1006,9,0)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2"/>
      <c r="F35" s="102"/>
      <c r="G35" s="102" t="n">
        <f aca="false">LossChart!N7</f>
        <v>377.876589414424</v>
      </c>
      <c r="H35" s="102" t="n">
        <f aca="false">LossChart!O7</f>
        <v>80</v>
      </c>
      <c r="I35" s="102" t="n">
        <f aca="false">LossChart!P7</f>
        <v>482.474652711422</v>
      </c>
      <c r="J35" s="102" t="n">
        <f aca="false">LossChart!Q7</f>
        <v>940.351242125847</v>
      </c>
      <c r="K35" s="102"/>
    </row>
    <row r="36" customFormat="false" ht="15" hidden="false" customHeight="false" outlineLevel="0" collapsed="false">
      <c r="A36" s="0" t="s">
        <v>94</v>
      </c>
      <c r="G36" s="0" t="n">
        <f aca="false">G35-G34</f>
        <v>142.256589414424</v>
      </c>
      <c r="H36" s="0" t="n">
        <f aca="false">H35-H34</f>
        <v>21.1428571428571</v>
      </c>
      <c r="I36" s="0" t="n">
        <f aca="false">I35-I34</f>
        <v>-49.273918717149</v>
      </c>
      <c r="J36" s="0" t="n">
        <f aca="false">J35-J34</f>
        <v>114.125527840132</v>
      </c>
    </row>
    <row r="38" customFormat="false" ht="45" hidden="false" customHeight="false" outlineLevel="0" collapsed="false">
      <c r="A38" s="21" t="s">
        <v>63</v>
      </c>
      <c r="B38" s="21" t="s">
        <v>83</v>
      </c>
      <c r="C38" s="21" t="s">
        <v>84</v>
      </c>
      <c r="D38" s="96" t="str">
        <f aca="false">FoodDB!$C$1</f>
        <v>Fat
(g)</v>
      </c>
      <c r="E38" s="96" t="str">
        <f aca="false">FoodDB!$D$1</f>
        <v>Carbs
(g)</v>
      </c>
      <c r="F38" s="96" t="str">
        <f aca="false">FoodDB!$E$1</f>
        <v>Protein
(g)</v>
      </c>
      <c r="G38" s="96" t="str">
        <f aca="false">FoodDB!$F$1</f>
        <v>Fat
(Cal)</v>
      </c>
      <c r="H38" s="96" t="str">
        <f aca="false">FoodDB!$G$1</f>
        <v>Carb
(Cal)</v>
      </c>
      <c r="I38" s="96" t="str">
        <f aca="false">FoodDB!$H$1</f>
        <v>Protein
(Cal)</v>
      </c>
      <c r="J38" s="96" t="str">
        <f aca="false">FoodDB!$I$1</f>
        <v>Total
Calories</v>
      </c>
      <c r="K38" s="96"/>
    </row>
    <row r="39" customFormat="false" ht="15" hidden="false" customHeight="false" outlineLevel="0" collapsed="false">
      <c r="A39" s="97" t="n">
        <f aca="false">A29+1</f>
        <v>42997</v>
      </c>
      <c r="B39" s="98" t="s">
        <v>95</v>
      </c>
      <c r="C39" s="99" t="n">
        <v>1.1</v>
      </c>
      <c r="D39" s="0" t="n">
        <f aca="false">$C39*VLOOKUP($B39,FoodDB!$A$2:$I$1006,3,0)</f>
        <v>0.88</v>
      </c>
      <c r="E39" s="0" t="n">
        <f aca="false">$C39*VLOOKUP($B39,FoodDB!$A$2:$I$1006,4,0)</f>
        <v>0</v>
      </c>
      <c r="F39" s="0" t="n">
        <f aca="false">$C39*VLOOKUP($B39,FoodDB!$A$2:$I$1006,5,0)</f>
        <v>37.4</v>
      </c>
      <c r="G39" s="0" t="n">
        <f aca="false">$C39*VLOOKUP($B39,FoodDB!$A$2:$I$1006,6,0)</f>
        <v>7.92</v>
      </c>
      <c r="H39" s="0" t="n">
        <f aca="false">$C39*VLOOKUP($B39,FoodDB!$A$2:$I$1006,7,0)</f>
        <v>0</v>
      </c>
      <c r="I39" s="0" t="n">
        <f aca="false">$C39*VLOOKUP($B39,FoodDB!$A$2:$I$1006,8,0)</f>
        <v>149.6</v>
      </c>
      <c r="J39" s="0" t="n">
        <f aca="false">$C39*VLOOKUP($B39,FoodDB!$A$2:$I$1006,9,0)</f>
        <v>157.52</v>
      </c>
    </row>
    <row r="40" customFormat="false" ht="15" hidden="false" customHeight="false" outlineLevel="0" collapsed="false">
      <c r="B40" s="98" t="s">
        <v>85</v>
      </c>
      <c r="C40" s="99" t="n">
        <v>1</v>
      </c>
      <c r="D40" s="0" t="n">
        <f aca="false">$C40*VLOOKUP($B40,FoodDB!$A$2:$I$1006,3,0)</f>
        <v>0.5</v>
      </c>
      <c r="E40" s="0" t="n">
        <f aca="false">$C40*VLOOKUP($B40,FoodDB!$A$2:$I$1006,4,0)</f>
        <v>0</v>
      </c>
      <c r="F40" s="0" t="n">
        <f aca="false">$C40*VLOOKUP($B40,FoodDB!$A$2:$I$1006,5,0)</f>
        <v>50</v>
      </c>
      <c r="G40" s="0" t="n">
        <f aca="false">$C40*VLOOKUP($B40,FoodDB!$A$2:$I$1006,6,0)</f>
        <v>4.5</v>
      </c>
      <c r="H40" s="0" t="n">
        <f aca="false">$C40*VLOOKUP($B40,FoodDB!$A$2:$I$1006,7,0)</f>
        <v>0</v>
      </c>
      <c r="I40" s="0" t="n">
        <f aca="false">$C40*VLOOKUP($B40,FoodDB!$A$2:$I$1006,8,0)</f>
        <v>200</v>
      </c>
      <c r="J40" s="0" t="n">
        <f aca="false">$C40*VLOOKUP($B40,FoodDB!$A$2:$I$1006,9,0)</f>
        <v>204.5</v>
      </c>
    </row>
    <row r="41" customFormat="false" ht="15" hidden="false" customHeight="false" outlineLevel="0" collapsed="false">
      <c r="B41" s="98" t="s">
        <v>96</v>
      </c>
      <c r="C41" s="99" t="n">
        <v>4</v>
      </c>
      <c r="D41" s="0" t="n">
        <f aca="false">$C41*VLOOKUP($B41,FoodDB!$A$2:$I$1006,3,0)</f>
        <v>0.4</v>
      </c>
      <c r="E41" s="0" t="n">
        <f aca="false">$C41*VLOOKUP($B41,FoodDB!$A$2:$I$1006,4,0)</f>
        <v>7.2</v>
      </c>
      <c r="F41" s="0" t="n">
        <f aca="false">$C41*VLOOKUP($B41,FoodDB!$A$2:$I$1006,5,0)</f>
        <v>8.8</v>
      </c>
      <c r="G41" s="0" t="n">
        <f aca="false">$C41*VLOOKUP($B41,FoodDB!$A$2:$I$1006,6,0)</f>
        <v>3.6</v>
      </c>
      <c r="H41" s="0" t="n">
        <f aca="false">$C41*VLOOKUP($B41,FoodDB!$A$2:$I$1006,7,0)</f>
        <v>28.8</v>
      </c>
      <c r="I41" s="0" t="n">
        <f aca="false">$C41*VLOOKUP($B41,FoodDB!$A$2:$I$1006,8,0)</f>
        <v>35.2</v>
      </c>
      <c r="J41" s="0" t="n">
        <f aca="false">$C41*VLOOKUP($B41,FoodDB!$A$2:$I$1006,9,0)</f>
        <v>67.6</v>
      </c>
    </row>
    <row r="42" customFormat="false" ht="15" hidden="false" customHeight="false" outlineLevel="0" collapsed="false">
      <c r="B42" s="98" t="s">
        <v>89</v>
      </c>
      <c r="C42" s="99" t="n">
        <v>4</v>
      </c>
      <c r="D42" s="0" t="n">
        <f aca="false">$C42*VLOOKUP($B42,FoodDB!$A$2:$I$1006,3,0)</f>
        <v>24.72</v>
      </c>
      <c r="E42" s="0" t="n">
        <f aca="false">$C42*VLOOKUP($B42,FoodDB!$A$2:$I$1006,4,0)</f>
        <v>0</v>
      </c>
      <c r="F42" s="0" t="n">
        <f aca="false">$C42*VLOOKUP($B42,FoodDB!$A$2:$I$1006,5,0)</f>
        <v>34.08</v>
      </c>
      <c r="G42" s="0" t="n">
        <f aca="false">$C42*VLOOKUP($B42,FoodDB!$A$2:$I$1006,6,0)</f>
        <v>222.48</v>
      </c>
      <c r="H42" s="0" t="n">
        <f aca="false">$C42*VLOOKUP($B42,FoodDB!$A$2:$I$1006,7,0)</f>
        <v>0</v>
      </c>
      <c r="I42" s="0" t="n">
        <f aca="false">$C42*VLOOKUP($B42,FoodDB!$A$2:$I$1006,8,0)</f>
        <v>136.32</v>
      </c>
      <c r="J42" s="0" t="n">
        <f aca="false">$C42*VLOOKUP($B42,FoodDB!$A$2:$I$1006,9,0)</f>
        <v>358.8</v>
      </c>
    </row>
    <row r="43" customFormat="false" ht="15" hidden="false" customHeight="false" outlineLevel="0" collapsed="false">
      <c r="B43" s="98" t="s">
        <v>90</v>
      </c>
      <c r="C43" s="0" t="n">
        <v>7</v>
      </c>
      <c r="D43" s="0" t="n">
        <f aca="false">$C43*VLOOKUP($B43,FoodDB!$A$2:$I$1006,3,0)</f>
        <v>0</v>
      </c>
      <c r="E43" s="0" t="n">
        <f aca="false">$C43*VLOOKUP($B43,FoodDB!$A$2:$I$1006,4,0)</f>
        <v>7</v>
      </c>
      <c r="F43" s="0" t="n">
        <f aca="false">$C43*VLOOKUP($B43,FoodDB!$A$2:$I$1006,5,0)</f>
        <v>4.2</v>
      </c>
      <c r="G43" s="0" t="n">
        <f aca="false">$C43*VLOOKUP($B43,FoodDB!$A$2:$I$1006,6,0)</f>
        <v>0</v>
      </c>
      <c r="H43" s="0" t="n">
        <f aca="false">$C43*VLOOKUP($B43,FoodDB!$A$2:$I$1006,7,0)</f>
        <v>28</v>
      </c>
      <c r="I43" s="0" t="n">
        <f aca="false">$C43*VLOOKUP($B43,FoodDB!$A$2:$I$1006,8,0)</f>
        <v>16.8</v>
      </c>
      <c r="J43" s="0" t="n">
        <f aca="false">$C43*VLOOKUP($B43,FoodDB!$A$2:$I$1006,9,0)</f>
        <v>44.8</v>
      </c>
    </row>
    <row r="44" customFormat="false" ht="15" hidden="false" customHeight="false" outlineLevel="0" collapsed="false">
      <c r="A44" s="0" t="s">
        <v>88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92</v>
      </c>
      <c r="B45" s="0" t="s">
        <v>93</v>
      </c>
      <c r="E45" s="102"/>
      <c r="F45" s="102"/>
      <c r="G45" s="102" t="n">
        <f aca="false">LossChart!N8</f>
        <v>385.559317045733</v>
      </c>
      <c r="H45" s="102" t="n">
        <f aca="false">LossChart!O8</f>
        <v>80</v>
      </c>
      <c r="I45" s="102" t="n">
        <f aca="false">LossChart!P8</f>
        <v>482.474652711422</v>
      </c>
      <c r="J45" s="102" t="n">
        <f aca="false">LossChart!Q8</f>
        <v>948.033969757156</v>
      </c>
      <c r="K45" s="102"/>
    </row>
    <row r="46" customFormat="false" ht="15" hidden="false" customHeight="false" outlineLevel="0" collapsed="false">
      <c r="A46" s="0" t="s">
        <v>94</v>
      </c>
      <c r="G46" s="0" t="n">
        <f aca="false">G45-G44</f>
        <v>147.059317045733</v>
      </c>
      <c r="H46" s="0" t="n">
        <f aca="false">H45-H44</f>
        <v>23.2</v>
      </c>
      <c r="I46" s="0" t="n">
        <f aca="false">I45-I44</f>
        <v>-55.4453472885776</v>
      </c>
      <c r="J46" s="0" t="n">
        <f aca="false">J45-J44</f>
        <v>114.813969757156</v>
      </c>
    </row>
    <row r="48" customFormat="false" ht="45" hidden="false" customHeight="false" outlineLevel="0" collapsed="false">
      <c r="A48" s="21" t="s">
        <v>63</v>
      </c>
      <c r="B48" s="21" t="s">
        <v>83</v>
      </c>
      <c r="C48" s="21" t="s">
        <v>84</v>
      </c>
      <c r="D48" s="96" t="str">
        <f aca="false">FoodDB!$C$1</f>
        <v>Fat
(g)</v>
      </c>
      <c r="E48" s="96" t="str">
        <f aca="false">FoodDB!$D$1</f>
        <v>Carbs
(g)</v>
      </c>
      <c r="F48" s="96" t="str">
        <f aca="false">FoodDB!$E$1</f>
        <v>Protein
(g)</v>
      </c>
      <c r="G48" s="96" t="str">
        <f aca="false">FoodDB!$F$1</f>
        <v>Fat
(Cal)</v>
      </c>
      <c r="H48" s="96" t="str">
        <f aca="false">FoodDB!$G$1</f>
        <v>Carb
(Cal)</v>
      </c>
      <c r="I48" s="96" t="str">
        <f aca="false">FoodDB!$H$1</f>
        <v>Protein
(Cal)</v>
      </c>
      <c r="J48" s="96" t="str">
        <f aca="false">FoodDB!$I$1</f>
        <v>Total
Calories</v>
      </c>
      <c r="K48" s="96"/>
    </row>
    <row r="49" customFormat="false" ht="15" hidden="false" customHeight="false" outlineLevel="0" collapsed="false">
      <c r="A49" s="97" t="n">
        <f aca="false">A39+1</f>
        <v>42998</v>
      </c>
      <c r="B49" s="98" t="s">
        <v>95</v>
      </c>
      <c r="C49" s="99" t="n">
        <v>1.1</v>
      </c>
      <c r="D49" s="0" t="n">
        <f aca="false">$C49*VLOOKUP($B49,FoodDB!$A$2:$I$1006,3,0)</f>
        <v>0.88</v>
      </c>
      <c r="E49" s="0" t="n">
        <f aca="false">$C49*VLOOKUP($B49,FoodDB!$A$2:$I$1006,4,0)</f>
        <v>0</v>
      </c>
      <c r="F49" s="0" t="n">
        <f aca="false">$C49*VLOOKUP($B49,FoodDB!$A$2:$I$1006,5,0)</f>
        <v>37.4</v>
      </c>
      <c r="G49" s="0" t="n">
        <f aca="false">$C49*VLOOKUP($B49,FoodDB!$A$2:$I$1006,6,0)</f>
        <v>7.92</v>
      </c>
      <c r="H49" s="0" t="n">
        <f aca="false">$C49*VLOOKUP($B49,FoodDB!$A$2:$I$1006,7,0)</f>
        <v>0</v>
      </c>
      <c r="I49" s="0" t="n">
        <f aca="false">$C49*VLOOKUP($B49,FoodDB!$A$2:$I$1006,8,0)</f>
        <v>149.6</v>
      </c>
      <c r="J49" s="0" t="n">
        <f aca="false">$C49*VLOOKUP($B49,FoodDB!$A$2:$I$1006,9,0)</f>
        <v>157.52</v>
      </c>
    </row>
    <row r="50" customFormat="false" ht="15" hidden="false" customHeight="false" outlineLevel="0" collapsed="false">
      <c r="B50" s="98" t="s">
        <v>85</v>
      </c>
      <c r="C50" s="99" t="n">
        <v>1</v>
      </c>
      <c r="D50" s="0" t="n">
        <f aca="false">$C50*VLOOKUP($B50,FoodDB!$A$2:$I$1006,3,0)</f>
        <v>0.5</v>
      </c>
      <c r="E50" s="0" t="n">
        <f aca="false">$C50*VLOOKUP($B50,FoodDB!$A$2:$I$1006,4,0)</f>
        <v>0</v>
      </c>
      <c r="F50" s="0" t="n">
        <f aca="false">$C50*VLOOKUP($B50,FoodDB!$A$2:$I$1006,5,0)</f>
        <v>50</v>
      </c>
      <c r="G50" s="0" t="n">
        <f aca="false">$C50*VLOOKUP($B50,FoodDB!$A$2:$I$1006,6,0)</f>
        <v>4.5</v>
      </c>
      <c r="H50" s="0" t="n">
        <f aca="false">$C50*VLOOKUP($B50,FoodDB!$A$2:$I$1006,7,0)</f>
        <v>0</v>
      </c>
      <c r="I50" s="0" t="n">
        <f aca="false">$C50*VLOOKUP($B50,FoodDB!$A$2:$I$1006,8,0)</f>
        <v>200</v>
      </c>
      <c r="J50" s="0" t="n">
        <f aca="false">$C50*VLOOKUP($B50,FoodDB!$A$2:$I$1006,9,0)</f>
        <v>204.5</v>
      </c>
    </row>
    <row r="51" customFormat="false" ht="15" hidden="false" customHeight="false" outlineLevel="0" collapsed="false">
      <c r="B51" s="98" t="s">
        <v>86</v>
      </c>
      <c r="C51" s="99" t="n">
        <v>8</v>
      </c>
      <c r="D51" s="0" t="n">
        <f aca="false">$C51*VLOOKUP($B51,FoodDB!$A$2:$I$1006,3,0)</f>
        <v>0</v>
      </c>
      <c r="E51" s="0" t="n">
        <f aca="false">$C51*VLOOKUP($B51,FoodDB!$A$2:$I$1006,4,0)</f>
        <v>5.14285714285714</v>
      </c>
      <c r="F51" s="0" t="n">
        <f aca="false">$C51*VLOOKUP($B51,FoodDB!$A$2:$I$1006,5,0)</f>
        <v>2.57142857142857</v>
      </c>
      <c r="G51" s="0" t="n">
        <f aca="false">$C51*VLOOKUP($B51,FoodDB!$A$2:$I$1006,6,0)</f>
        <v>0</v>
      </c>
      <c r="H51" s="0" t="n">
        <f aca="false">$C51*VLOOKUP($B51,FoodDB!$A$2:$I$1006,7,0)</f>
        <v>20.5714285714286</v>
      </c>
      <c r="I51" s="0" t="n">
        <f aca="false">$C51*VLOOKUP($B51,FoodDB!$A$2:$I$1006,8,0)</f>
        <v>10.2857142857143</v>
      </c>
      <c r="J51" s="0" t="n">
        <f aca="false">$C51*VLOOKUP($B51,FoodDB!$A$2:$I$1006,9,0)</f>
        <v>30.8571428571429</v>
      </c>
    </row>
    <row r="52" customFormat="false" ht="15" hidden="false" customHeight="false" outlineLevel="0" collapsed="false">
      <c r="B52" s="98" t="s">
        <v>89</v>
      </c>
      <c r="C52" s="99" t="n">
        <v>4</v>
      </c>
      <c r="D52" s="0" t="n">
        <f aca="false">$C52*VLOOKUP($B52,FoodDB!$A$2:$I$1006,3,0)</f>
        <v>24.72</v>
      </c>
      <c r="E52" s="0" t="n">
        <f aca="false">$C52*VLOOKUP($B52,FoodDB!$A$2:$I$1006,4,0)</f>
        <v>0</v>
      </c>
      <c r="F52" s="0" t="n">
        <f aca="false">$C52*VLOOKUP($B52,FoodDB!$A$2:$I$1006,5,0)</f>
        <v>34.08</v>
      </c>
      <c r="G52" s="0" t="n">
        <f aca="false">$C52*VLOOKUP($B52,FoodDB!$A$2:$I$1006,6,0)</f>
        <v>222.48</v>
      </c>
      <c r="H52" s="0" t="n">
        <f aca="false">$C52*VLOOKUP($B52,FoodDB!$A$2:$I$1006,7,0)</f>
        <v>0</v>
      </c>
      <c r="I52" s="0" t="n">
        <f aca="false">$C52*VLOOKUP($B52,FoodDB!$A$2:$I$1006,8,0)</f>
        <v>136.32</v>
      </c>
      <c r="J52" s="0" t="n">
        <f aca="false">$C52*VLOOKUP($B52,FoodDB!$A$2:$I$1006,9,0)</f>
        <v>358.8</v>
      </c>
    </row>
    <row r="53" customFormat="false" ht="15" hidden="false" customHeight="false" outlineLevel="0" collapsed="false">
      <c r="B53" s="98" t="s">
        <v>87</v>
      </c>
      <c r="C53" s="99" t="n">
        <v>2</v>
      </c>
      <c r="D53" s="0" t="n">
        <f aca="false">$C53*VLOOKUP($B53,FoodDB!$A$2:$I$1006,3,0)</f>
        <v>18</v>
      </c>
      <c r="E53" s="0" t="n">
        <f aca="false">$C53*VLOOKUP($B53,FoodDB!$A$2:$I$1006,4,0)</f>
        <v>4</v>
      </c>
      <c r="F53" s="0" t="n">
        <f aca="false">$C53*VLOOKUP($B53,FoodDB!$A$2:$I$1006,5,0)</f>
        <v>9.4</v>
      </c>
      <c r="G53" s="0" t="n">
        <f aca="false">$C53*VLOOKUP($B53,FoodDB!$A$2:$I$1006,6,0)</f>
        <v>162</v>
      </c>
      <c r="H53" s="0" t="n">
        <f aca="false">$C53*VLOOKUP($B53,FoodDB!$A$2:$I$1006,7,0)</f>
        <v>16</v>
      </c>
      <c r="I53" s="0" t="n">
        <f aca="false">$C53*VLOOKUP($B53,FoodDB!$A$2:$I$1006,8,0)</f>
        <v>37.6</v>
      </c>
      <c r="J53" s="0" t="n">
        <f aca="false">$C53*VLOOKUP($B53,FoodDB!$A$2:$I$1006,9,0)</f>
        <v>215.6</v>
      </c>
    </row>
    <row r="54" customFormat="false" ht="15" hidden="false" customHeight="false" outlineLevel="0" collapsed="false">
      <c r="B54" s="98" t="s">
        <v>97</v>
      </c>
      <c r="C54" s="99" t="n">
        <v>1</v>
      </c>
      <c r="D54" s="0" t="n">
        <f aca="false">$C54*VLOOKUP($B54,FoodDB!$A$2:$I$1006,3,0)</f>
        <v>0.5</v>
      </c>
      <c r="E54" s="0" t="n">
        <f aca="false">$C54*VLOOKUP($B54,FoodDB!$A$2:$I$1006,4,0)</f>
        <v>0</v>
      </c>
      <c r="F54" s="0" t="n">
        <f aca="false">$C54*VLOOKUP($B54,FoodDB!$A$2:$I$1006,5,0)</f>
        <v>0</v>
      </c>
      <c r="G54" s="0" t="n">
        <f aca="false">$C54*VLOOKUP($B54,FoodDB!$A$2:$I$1006,6,0)</f>
        <v>4.5</v>
      </c>
      <c r="H54" s="0" t="n">
        <f aca="false">$C54*VLOOKUP($B54,FoodDB!$A$2:$I$1006,7,0)</f>
        <v>0</v>
      </c>
      <c r="I54" s="0" t="n">
        <f aca="false">$C54*VLOOKUP($B54,FoodDB!$A$2:$I$1006,8,0)</f>
        <v>0</v>
      </c>
      <c r="J54" s="0" t="n">
        <f aca="false">$C54*VLOOKUP($B54,FoodDB!$A$2:$I$1006,9,0)</f>
        <v>4.5</v>
      </c>
    </row>
    <row r="55" customFormat="false" ht="15" hidden="false" customHeight="false" outlineLevel="0" collapsed="false">
      <c r="B55" s="98" t="s">
        <v>90</v>
      </c>
      <c r="C55" s="0" t="n">
        <v>7</v>
      </c>
      <c r="D55" s="0" t="n">
        <f aca="false">$C55*VLOOKUP($B55,FoodDB!$A$2:$I$1006,3,0)</f>
        <v>0</v>
      </c>
      <c r="E55" s="0" t="n">
        <f aca="false">$C55*VLOOKUP($B55,FoodDB!$A$2:$I$1006,4,0)</f>
        <v>7</v>
      </c>
      <c r="F55" s="0" t="n">
        <f aca="false">$C55*VLOOKUP($B55,FoodDB!$A$2:$I$1006,5,0)</f>
        <v>4.2</v>
      </c>
      <c r="G55" s="0" t="n">
        <f aca="false">$C55*VLOOKUP($B55,FoodDB!$A$2:$I$1006,6,0)</f>
        <v>0</v>
      </c>
      <c r="H55" s="0" t="n">
        <f aca="false">$C55*VLOOKUP($B55,FoodDB!$A$2:$I$1006,7,0)</f>
        <v>28</v>
      </c>
      <c r="I55" s="0" t="n">
        <f aca="false">$C55*VLOOKUP($B55,FoodDB!$A$2:$I$1006,8,0)</f>
        <v>16.8</v>
      </c>
      <c r="J55" s="0" t="n">
        <f aca="false">$C55*VLOOKUP($B55,FoodDB!$A$2:$I$1006,9,0)</f>
        <v>44.8</v>
      </c>
    </row>
    <row r="56" customFormat="false" ht="15" hidden="false" customHeight="false" outlineLevel="0" collapsed="false">
      <c r="A56" s="0" t="s">
        <v>88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92</v>
      </c>
      <c r="B57" s="0" t="s">
        <v>93</v>
      </c>
      <c r="E57" s="102"/>
      <c r="F57" s="102"/>
      <c r="G57" s="102" t="n">
        <f aca="false">VLOOKUP($A49,LossChart!$A$3:$AG$105,14,0)</f>
        <v>393.170347542416</v>
      </c>
      <c r="H57" s="102" t="n">
        <f aca="false">VLOOKUP($A49,LossChart!$A$3:$AG$105,15,0)</f>
        <v>80</v>
      </c>
      <c r="I57" s="102" t="n">
        <f aca="false">VLOOKUP($A49,LossChart!$A$3:$AG$105,16,0)</f>
        <v>482.474652711422</v>
      </c>
      <c r="J57" s="102" t="n">
        <f aca="false">VLOOKUP($A49,LossChart!$A$3:$AG$105,17,0)</f>
        <v>955.645000253838</v>
      </c>
      <c r="K57" s="102"/>
    </row>
    <row r="58" customFormat="false" ht="15" hidden="false" customHeight="false" outlineLevel="0" collapsed="false">
      <c r="A58" s="0" t="s">
        <v>94</v>
      </c>
      <c r="G58" s="0" t="n">
        <f aca="false">G57-G56</f>
        <v>-8.229652457584</v>
      </c>
      <c r="H58" s="0" t="n">
        <f aca="false">H57-H56</f>
        <v>15.4285714285714</v>
      </c>
      <c r="I58" s="0" t="n">
        <f aca="false">I57-I56</f>
        <v>-68.1310615742921</v>
      </c>
      <c r="J58" s="0" t="n">
        <f aca="false">J57-J56</f>
        <v>-60.9321426033021</v>
      </c>
    </row>
    <row r="60" customFormat="false" ht="45" hidden="false" customHeight="false" outlineLevel="0" collapsed="false">
      <c r="A60" s="21" t="s">
        <v>63</v>
      </c>
      <c r="B60" s="21" t="s">
        <v>83</v>
      </c>
      <c r="C60" s="21" t="s">
        <v>84</v>
      </c>
      <c r="D60" s="96" t="str">
        <f aca="false">FoodDB!$C$1</f>
        <v>Fat
(g)</v>
      </c>
      <c r="E60" s="96" t="str">
        <f aca="false">FoodDB!$D$1</f>
        <v>Carbs
(g)</v>
      </c>
      <c r="F60" s="96" t="str">
        <f aca="false">FoodDB!$E$1</f>
        <v>Protein
(g)</v>
      </c>
      <c r="G60" s="96" t="str">
        <f aca="false">FoodDB!$F$1</f>
        <v>Fat
(Cal)</v>
      </c>
      <c r="H60" s="96" t="str">
        <f aca="false">FoodDB!$G$1</f>
        <v>Carb
(Cal)</v>
      </c>
      <c r="I60" s="96" t="str">
        <f aca="false">FoodDB!$H$1</f>
        <v>Protein
(Cal)</v>
      </c>
      <c r="J60" s="96" t="str">
        <f aca="false">FoodDB!$I$1</f>
        <v>Total
Calories</v>
      </c>
      <c r="K60" s="96"/>
    </row>
    <row r="61" customFormat="false" ht="15" hidden="false" customHeight="false" outlineLevel="0" collapsed="false">
      <c r="A61" s="97" t="n">
        <f aca="false">A49+1</f>
        <v>42999</v>
      </c>
      <c r="B61" s="98" t="s">
        <v>85</v>
      </c>
      <c r="C61" s="99" t="n">
        <v>1</v>
      </c>
      <c r="D61" s="0" t="n">
        <f aca="false">$C61*VLOOKUP($B61,FoodDB!$A$2:$I$1006,3,0)</f>
        <v>0.5</v>
      </c>
      <c r="E61" s="0" t="n">
        <f aca="false">$C61*VLOOKUP($B61,FoodDB!$A$2:$I$1006,4,0)</f>
        <v>0</v>
      </c>
      <c r="F61" s="0" t="n">
        <f aca="false">$C61*VLOOKUP($B61,FoodDB!$A$2:$I$1006,5,0)</f>
        <v>50</v>
      </c>
      <c r="G61" s="0" t="n">
        <f aca="false">$C61*VLOOKUP($B61,FoodDB!$A$2:$I$1006,6,0)</f>
        <v>4.5</v>
      </c>
      <c r="H61" s="0" t="n">
        <f aca="false">$C61*VLOOKUP($B61,FoodDB!$A$2:$I$1006,7,0)</f>
        <v>0</v>
      </c>
      <c r="I61" s="0" t="n">
        <f aca="false">$C61*VLOOKUP($B61,FoodDB!$A$2:$I$1006,8,0)</f>
        <v>200</v>
      </c>
      <c r="J61" s="0" t="n">
        <f aca="false">$C61*VLOOKUP($B61,FoodDB!$A$2:$I$1006,9,0)</f>
        <v>204.5</v>
      </c>
    </row>
    <row r="62" customFormat="false" ht="15" hidden="false" customHeight="false" outlineLevel="0" collapsed="false">
      <c r="B62" s="98" t="s">
        <v>89</v>
      </c>
      <c r="C62" s="99" t="n">
        <v>3</v>
      </c>
      <c r="D62" s="0" t="n">
        <f aca="false">$C62*VLOOKUP($B62,FoodDB!$A$2:$I$1006,3,0)</f>
        <v>18.54</v>
      </c>
      <c r="E62" s="0" t="n">
        <f aca="false">$C62*VLOOKUP($B62,FoodDB!$A$2:$I$1006,4,0)</f>
        <v>0</v>
      </c>
      <c r="F62" s="0" t="n">
        <f aca="false">$C62*VLOOKUP($B62,FoodDB!$A$2:$I$1006,5,0)</f>
        <v>25.56</v>
      </c>
      <c r="G62" s="0" t="n">
        <f aca="false">$C62*VLOOKUP($B62,FoodDB!$A$2:$I$1006,6,0)</f>
        <v>166.86</v>
      </c>
      <c r="H62" s="0" t="n">
        <f aca="false">$C62*VLOOKUP($B62,FoodDB!$A$2:$I$1006,7,0)</f>
        <v>0</v>
      </c>
      <c r="I62" s="0" t="n">
        <f aca="false">$C62*VLOOKUP($B62,FoodDB!$A$2:$I$1006,8,0)</f>
        <v>102.24</v>
      </c>
      <c r="J62" s="0" t="n">
        <f aca="false">$C62*VLOOKUP($B62,FoodDB!$A$2:$I$1006,9,0)</f>
        <v>269.1</v>
      </c>
    </row>
    <row r="63" customFormat="false" ht="15" hidden="false" customHeight="false" outlineLevel="0" collapsed="false">
      <c r="B63" s="98" t="s">
        <v>95</v>
      </c>
      <c r="C63" s="99" t="n">
        <v>1</v>
      </c>
      <c r="D63" s="0" t="n">
        <f aca="false">$C63*VLOOKUP($B63,FoodDB!$A$2:$I$1006,3,0)</f>
        <v>0.8</v>
      </c>
      <c r="E63" s="0" t="n">
        <f aca="false">$C63*VLOOKUP($B63,FoodDB!$A$2:$I$1006,4,0)</f>
        <v>0</v>
      </c>
      <c r="F63" s="0" t="n">
        <f aca="false">$C63*VLOOKUP($B63,FoodDB!$A$2:$I$1006,5,0)</f>
        <v>34</v>
      </c>
      <c r="G63" s="0" t="n">
        <f aca="false">$C63*VLOOKUP($B63,FoodDB!$A$2:$I$1006,6,0)</f>
        <v>7.2</v>
      </c>
      <c r="H63" s="0" t="n">
        <f aca="false">$C63*VLOOKUP($B63,FoodDB!$A$2:$I$1006,7,0)</f>
        <v>0</v>
      </c>
      <c r="I63" s="0" t="n">
        <f aca="false">$C63*VLOOKUP($B63,FoodDB!$A$2:$I$1006,8,0)</f>
        <v>136</v>
      </c>
      <c r="J63" s="0" t="n">
        <f aca="false">$C63*VLOOKUP($B63,FoodDB!$A$2:$I$1006,9,0)</f>
        <v>143.2</v>
      </c>
    </row>
    <row r="64" customFormat="false" ht="15" hidden="false" customHeight="false" outlineLevel="0" collapsed="false">
      <c r="B64" s="98" t="s">
        <v>90</v>
      </c>
      <c r="C64" s="99" t="n">
        <v>7</v>
      </c>
      <c r="D64" s="0" t="n">
        <f aca="false">$C64*VLOOKUP($B64,FoodDB!$A$2:$I$1006,3,0)</f>
        <v>0</v>
      </c>
      <c r="E64" s="0" t="n">
        <f aca="false">$C64*VLOOKUP($B64,FoodDB!$A$2:$I$1006,4,0)</f>
        <v>7</v>
      </c>
      <c r="F64" s="0" t="n">
        <f aca="false">$C64*VLOOKUP($B64,FoodDB!$A$2:$I$1006,5,0)</f>
        <v>4.2</v>
      </c>
      <c r="G64" s="0" t="n">
        <f aca="false">$C64*VLOOKUP($B64,FoodDB!$A$2:$I$1006,6,0)</f>
        <v>0</v>
      </c>
      <c r="H64" s="0" t="n">
        <f aca="false">$C64*VLOOKUP($B64,FoodDB!$A$2:$I$1006,7,0)</f>
        <v>28</v>
      </c>
      <c r="I64" s="0" t="n">
        <f aca="false">$C64*VLOOKUP($B64,FoodDB!$A$2:$I$1006,8,0)</f>
        <v>16.8</v>
      </c>
      <c r="J64" s="0" t="n">
        <f aca="false">$C64*VLOOKUP($B64,FoodDB!$A$2:$I$1006,9,0)</f>
        <v>44.8</v>
      </c>
    </row>
    <row r="65" customFormat="false" ht="15" hidden="false" customHeight="false" outlineLevel="0" collapsed="false">
      <c r="B65" s="98" t="s">
        <v>87</v>
      </c>
      <c r="C65" s="99" t="n">
        <v>2</v>
      </c>
      <c r="D65" s="0" t="n">
        <f aca="false">$C65*VLOOKUP($B65,FoodDB!$A$2:$I$1006,3,0)</f>
        <v>18</v>
      </c>
      <c r="E65" s="0" t="n">
        <f aca="false">$C65*VLOOKUP($B65,FoodDB!$A$2:$I$1006,4,0)</f>
        <v>4</v>
      </c>
      <c r="F65" s="0" t="n">
        <f aca="false">$C65*VLOOKUP($B65,FoodDB!$A$2:$I$1006,5,0)</f>
        <v>9.4</v>
      </c>
      <c r="G65" s="0" t="n">
        <f aca="false">$C65*VLOOKUP($B65,FoodDB!$A$2:$I$1006,6,0)</f>
        <v>162</v>
      </c>
      <c r="H65" s="0" t="n">
        <f aca="false">$C65*VLOOKUP($B65,FoodDB!$A$2:$I$1006,7,0)</f>
        <v>16</v>
      </c>
      <c r="I65" s="0" t="n">
        <f aca="false">$C65*VLOOKUP($B65,FoodDB!$A$2:$I$1006,8,0)</f>
        <v>37.6</v>
      </c>
      <c r="J65" s="0" t="n">
        <f aca="false">$C65*VLOOKUP($B65,FoodDB!$A$2:$I$1006,9,0)</f>
        <v>215.6</v>
      </c>
    </row>
    <row r="66" customFormat="false" ht="15" hidden="false" customHeight="false" outlineLevel="0" collapsed="false">
      <c r="B66" s="98" t="s">
        <v>98</v>
      </c>
      <c r="C66" s="99" t="n">
        <v>0</v>
      </c>
      <c r="D66" s="0" t="n">
        <f aca="false">$C66*VLOOKUP($B66,FoodDB!$A$2:$I$1006,3,0)</f>
        <v>0</v>
      </c>
      <c r="E66" s="0" t="n">
        <f aca="false">$C66*VLOOKUP($B66,FoodDB!$A$2:$I$1006,4,0)</f>
        <v>0</v>
      </c>
      <c r="F66" s="0" t="n">
        <f aca="false">$C66*VLOOKUP($B66,FoodDB!$A$2:$I$1006,5,0)</f>
        <v>0</v>
      </c>
      <c r="G66" s="0" t="n">
        <f aca="false">$C66*VLOOKUP($B66,FoodDB!$A$2:$I$1006,6,0)</f>
        <v>0</v>
      </c>
      <c r="H66" s="0" t="n">
        <f aca="false">$C66*VLOOKUP($B66,FoodDB!$A$2:$I$1006,7,0)</f>
        <v>0</v>
      </c>
      <c r="I66" s="0" t="n">
        <f aca="false">$C66*VLOOKUP($B66,FoodDB!$A$2:$I$1006,8,0)</f>
        <v>0</v>
      </c>
      <c r="J66" s="0" t="n">
        <f aca="false">$C66*VLOOKUP($B66,FoodDB!$A$2:$I$1006,9,0)</f>
        <v>0</v>
      </c>
    </row>
    <row r="67" customFormat="false" ht="15" hidden="false" customHeight="false" outlineLevel="0" collapsed="false">
      <c r="B67" s="98" t="s">
        <v>98</v>
      </c>
      <c r="C67" s="99" t="n">
        <v>0</v>
      </c>
      <c r="D67" s="0" t="n">
        <f aca="false">$C67*VLOOKUP($B67,FoodDB!$A$2:$I$1006,3,0)</f>
        <v>0</v>
      </c>
      <c r="E67" s="0" t="n">
        <f aca="false">$C67*VLOOKUP($B67,FoodDB!$A$2:$I$1006,4,0)</f>
        <v>0</v>
      </c>
      <c r="F67" s="0" t="n">
        <f aca="false">$C67*VLOOKUP($B67,FoodDB!$A$2:$I$1006,5,0)</f>
        <v>0</v>
      </c>
      <c r="G67" s="0" t="n">
        <f aca="false">$C67*VLOOKUP($B67,FoodDB!$A$2:$I$1006,6,0)</f>
        <v>0</v>
      </c>
      <c r="H67" s="0" t="n">
        <f aca="false">$C67*VLOOKUP($B67,FoodDB!$A$2:$I$1006,7,0)</f>
        <v>0</v>
      </c>
      <c r="I67" s="0" t="n">
        <f aca="false">$C67*VLOOKUP($B67,FoodDB!$A$2:$I$1006,8,0)</f>
        <v>0</v>
      </c>
      <c r="J67" s="0" t="n">
        <f aca="false">$C67*VLOOKUP($B67,FoodDB!$A$2:$I$1006,9,0)</f>
        <v>0</v>
      </c>
    </row>
    <row r="68" customFormat="false" ht="15" hidden="false" customHeight="false" outlineLevel="0" collapsed="false">
      <c r="A68" s="0" t="s">
        <v>88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92</v>
      </c>
      <c r="B69" s="0" t="s">
        <v>93</v>
      </c>
      <c r="E69" s="102"/>
      <c r="F69" s="102"/>
      <c r="G69" s="102" t="n">
        <f aca="false">VLOOKUP($A61,LossChart!$A$3:$AG$105,14,0)</f>
        <v>401.645771794261</v>
      </c>
      <c r="H69" s="102" t="n">
        <f aca="false">VLOOKUP($A61,LossChart!$A$3:$AG$105,15,0)</f>
        <v>80</v>
      </c>
      <c r="I69" s="102" t="n">
        <f aca="false">VLOOKUP($A61,LossChart!$A$3:$AG$105,16,0)</f>
        <v>482.474652711422</v>
      </c>
      <c r="J69" s="102" t="n">
        <f aca="false">VLOOKUP($A61,LossChart!$A$3:$AG$105,17,0)</f>
        <v>964.120424505683</v>
      </c>
      <c r="K69" s="102"/>
    </row>
    <row r="70" customFormat="false" ht="15" hidden="false" customHeight="false" outlineLevel="0" collapsed="false">
      <c r="A70" s="0" t="s">
        <v>94</v>
      </c>
      <c r="G70" s="0" t="n">
        <f aca="false">G69-G68</f>
        <v>61.0857717942607</v>
      </c>
      <c r="H70" s="0" t="n">
        <f aca="false">H69-H68</f>
        <v>36</v>
      </c>
      <c r="I70" s="0" t="n">
        <f aca="false">I69-I68</f>
        <v>-10.165347288578</v>
      </c>
      <c r="J70" s="0" t="n">
        <f aca="false">J69-J68</f>
        <v>86.9204245056826</v>
      </c>
    </row>
    <row r="72" customFormat="false" ht="45" hidden="false" customHeight="false" outlineLevel="0" collapsed="false">
      <c r="A72" s="21" t="s">
        <v>63</v>
      </c>
      <c r="B72" s="21" t="s">
        <v>83</v>
      </c>
      <c r="C72" s="21" t="s">
        <v>84</v>
      </c>
      <c r="D72" s="96" t="str">
        <f aca="false">FoodDB!$C$1</f>
        <v>Fat
(g)</v>
      </c>
      <c r="E72" s="96" t="str">
        <f aca="false">FoodDB!$D$1</f>
        <v>Carbs
(g)</v>
      </c>
      <c r="F72" s="96" t="str">
        <f aca="false">FoodDB!$E$1</f>
        <v>Protein
(g)</v>
      </c>
      <c r="G72" s="96" t="str">
        <f aca="false">FoodDB!$F$1</f>
        <v>Fat
(Cal)</v>
      </c>
      <c r="H72" s="96" t="str">
        <f aca="false">FoodDB!$G$1</f>
        <v>Carb
(Cal)</v>
      </c>
      <c r="I72" s="96" t="str">
        <f aca="false">FoodDB!$H$1</f>
        <v>Protein
(Cal)</v>
      </c>
      <c r="J72" s="96" t="str">
        <f aca="false">FoodDB!$I$1</f>
        <v>Total
Calories</v>
      </c>
      <c r="K72" s="96"/>
    </row>
    <row r="73" customFormat="false" ht="15" hidden="false" customHeight="false" outlineLevel="0" collapsed="false">
      <c r="A73" s="97" t="n">
        <f aca="false">A61+1</f>
        <v>43000</v>
      </c>
      <c r="B73" s="98" t="s">
        <v>95</v>
      </c>
      <c r="C73" s="99" t="n">
        <v>3.3</v>
      </c>
      <c r="D73" s="0" t="n">
        <f aca="false">$C73*VLOOKUP($B73,FoodDB!$A$2:$I$1006,3,0)</f>
        <v>2.64</v>
      </c>
      <c r="E73" s="0" t="n">
        <f aca="false">$C73*VLOOKUP($B73,FoodDB!$A$2:$I$1006,4,0)</f>
        <v>0</v>
      </c>
      <c r="F73" s="0" t="n">
        <f aca="false">$C73*VLOOKUP($B73,FoodDB!$A$2:$I$1006,5,0)</f>
        <v>112.2</v>
      </c>
      <c r="G73" s="0" t="n">
        <f aca="false">$C73*VLOOKUP($B73,FoodDB!$A$2:$I$1006,6,0)</f>
        <v>23.76</v>
      </c>
      <c r="H73" s="0" t="n">
        <f aca="false">$C73*VLOOKUP($B73,FoodDB!$A$2:$I$1006,7,0)</f>
        <v>0</v>
      </c>
      <c r="I73" s="0" t="n">
        <f aca="false">$C73*VLOOKUP($B73,FoodDB!$A$2:$I$1006,8,0)</f>
        <v>448.8</v>
      </c>
      <c r="J73" s="0" t="n">
        <f aca="false">$C73*VLOOKUP($B73,FoodDB!$A$2:$I$1006,9,0)</f>
        <v>472.56</v>
      </c>
    </row>
    <row r="74" customFormat="false" ht="15" hidden="false" customHeight="false" outlineLevel="0" collapsed="false">
      <c r="B74" s="98" t="s">
        <v>86</v>
      </c>
      <c r="C74" s="99" t="n">
        <v>20</v>
      </c>
      <c r="D74" s="0" t="n">
        <f aca="false">$C74*VLOOKUP($B74,FoodDB!$A$2:$I$1006,3,0)</f>
        <v>0</v>
      </c>
      <c r="E74" s="0" t="n">
        <f aca="false">$C74*VLOOKUP($B74,FoodDB!$A$2:$I$1006,4,0)</f>
        <v>12.8571428571429</v>
      </c>
      <c r="F74" s="0" t="n">
        <f aca="false">$C74*VLOOKUP($B74,FoodDB!$A$2:$I$1006,5,0)</f>
        <v>6.42857142857143</v>
      </c>
      <c r="G74" s="0" t="n">
        <f aca="false">$C74*VLOOKUP($B74,FoodDB!$A$2:$I$1006,6,0)</f>
        <v>0</v>
      </c>
      <c r="H74" s="0" t="n">
        <f aca="false">$C74*VLOOKUP($B74,FoodDB!$A$2:$I$1006,7,0)</f>
        <v>51.4285714285714</v>
      </c>
      <c r="I74" s="0" t="n">
        <f aca="false">$C74*VLOOKUP($B74,FoodDB!$A$2:$I$1006,8,0)</f>
        <v>25.7142857142857</v>
      </c>
      <c r="J74" s="0" t="n">
        <f aca="false">$C74*VLOOKUP($B74,FoodDB!$A$2:$I$1006,9,0)</f>
        <v>77.1428571428572</v>
      </c>
    </row>
    <row r="75" customFormat="false" ht="15" hidden="false" customHeight="false" outlineLevel="0" collapsed="false">
      <c r="B75" s="98" t="s">
        <v>97</v>
      </c>
      <c r="C75" s="99" t="n">
        <v>3</v>
      </c>
      <c r="D75" s="0" t="n">
        <f aca="false">$C75*VLOOKUP($B75,FoodDB!$A$2:$I$1006,3,0)</f>
        <v>1.5</v>
      </c>
      <c r="E75" s="0" t="n">
        <f aca="false">$C75*VLOOKUP($B75,FoodDB!$A$2:$I$1006,4,0)</f>
        <v>0</v>
      </c>
      <c r="F75" s="0" t="n">
        <f aca="false">$C75*VLOOKUP($B75,FoodDB!$A$2:$I$1006,5,0)</f>
        <v>0</v>
      </c>
      <c r="G75" s="0" t="n">
        <f aca="false">$C75*VLOOKUP($B75,FoodDB!$A$2:$I$1006,6,0)</f>
        <v>13.5</v>
      </c>
      <c r="H75" s="0" t="n">
        <f aca="false">$C75*VLOOKUP($B75,FoodDB!$A$2:$I$1006,7,0)</f>
        <v>0</v>
      </c>
      <c r="I75" s="0" t="n">
        <f aca="false">$C75*VLOOKUP($B75,FoodDB!$A$2:$I$1006,8,0)</f>
        <v>0</v>
      </c>
      <c r="J75" s="0" t="n">
        <f aca="false">$C75*VLOOKUP($B75,FoodDB!$A$2:$I$1006,9,0)</f>
        <v>13.5</v>
      </c>
    </row>
    <row r="76" customFormat="false" ht="15" hidden="false" customHeight="false" outlineLevel="0" collapsed="false">
      <c r="B76" s="98" t="s">
        <v>90</v>
      </c>
      <c r="C76" s="99" t="n">
        <v>7</v>
      </c>
      <c r="D76" s="0" t="n">
        <f aca="false">$C76*VLOOKUP($B76,FoodDB!$A$2:$I$1006,3,0)</f>
        <v>0</v>
      </c>
      <c r="E76" s="0" t="n">
        <f aca="false">$C76*VLOOKUP($B76,FoodDB!$A$2:$I$1006,4,0)</f>
        <v>7</v>
      </c>
      <c r="F76" s="0" t="n">
        <f aca="false">$C76*VLOOKUP($B76,FoodDB!$A$2:$I$1006,5,0)</f>
        <v>4.2</v>
      </c>
      <c r="G76" s="0" t="n">
        <f aca="false">$C76*VLOOKUP($B76,FoodDB!$A$2:$I$1006,6,0)</f>
        <v>0</v>
      </c>
      <c r="H76" s="0" t="n">
        <f aca="false">$C76*VLOOKUP($B76,FoodDB!$A$2:$I$1006,7,0)</f>
        <v>28</v>
      </c>
      <c r="I76" s="0" t="n">
        <f aca="false">$C76*VLOOKUP($B76,FoodDB!$A$2:$I$1006,8,0)</f>
        <v>16.8</v>
      </c>
      <c r="J76" s="0" t="n">
        <f aca="false">$C76*VLOOKUP($B76,FoodDB!$A$2:$I$1006,9,0)</f>
        <v>44.8</v>
      </c>
    </row>
    <row r="77" customFormat="false" ht="15" hidden="false" customHeight="false" outlineLevel="0" collapsed="false">
      <c r="B77" s="98" t="s">
        <v>99</v>
      </c>
      <c r="C77" s="99" t="n">
        <v>4</v>
      </c>
      <c r="D77" s="0" t="n">
        <f aca="false">$C77*VLOOKUP($B77,FoodDB!$A$2:$I$1006,3,0)</f>
        <v>48</v>
      </c>
      <c r="E77" s="0" t="n">
        <f aca="false">$C77*VLOOKUP($B77,FoodDB!$A$2:$I$1006,4,0)</f>
        <v>0</v>
      </c>
      <c r="F77" s="0" t="n">
        <f aca="false">$C77*VLOOKUP($B77,FoodDB!$A$2:$I$1006,5,0)</f>
        <v>0</v>
      </c>
      <c r="G77" s="0" t="n">
        <f aca="false">$C77*VLOOKUP($B77,FoodDB!$A$2:$I$1006,6,0)</f>
        <v>432</v>
      </c>
      <c r="H77" s="0" t="n">
        <f aca="false">$C77*VLOOKUP($B77,FoodDB!$A$2:$I$1006,7,0)</f>
        <v>0</v>
      </c>
      <c r="I77" s="0" t="n">
        <f aca="false">$C77*VLOOKUP($B77,FoodDB!$A$2:$I$1006,8,0)</f>
        <v>0</v>
      </c>
      <c r="J77" s="0" t="n">
        <f aca="false">$C77*VLOOKUP($B77,FoodDB!$A$2:$I$1006,9,0)</f>
        <v>432</v>
      </c>
    </row>
    <row r="78" customFormat="false" ht="15" hidden="false" customHeight="false" outlineLevel="0" collapsed="false">
      <c r="B78" s="98" t="s">
        <v>98</v>
      </c>
      <c r="C78" s="99" t="n">
        <v>0</v>
      </c>
      <c r="D78" s="0" t="n">
        <f aca="false">$C78*VLOOKUP($B78,FoodDB!$A$2:$I$1006,3,0)</f>
        <v>0</v>
      </c>
      <c r="E78" s="0" t="n">
        <f aca="false">$C78*VLOOKUP($B78,FoodDB!$A$2:$I$1006,4,0)</f>
        <v>0</v>
      </c>
      <c r="F78" s="0" t="n">
        <f aca="false">$C78*VLOOKUP($B78,FoodDB!$A$2:$I$1006,5,0)</f>
        <v>0</v>
      </c>
      <c r="G78" s="0" t="n">
        <f aca="false">$C78*VLOOKUP($B78,FoodDB!$A$2:$I$1006,6,0)</f>
        <v>0</v>
      </c>
      <c r="H78" s="0" t="n">
        <f aca="false">$C78*VLOOKUP($B78,FoodDB!$A$2:$I$1006,7,0)</f>
        <v>0</v>
      </c>
      <c r="I78" s="0" t="n">
        <f aca="false">$C78*VLOOKUP($B78,FoodDB!$A$2:$I$1006,8,0)</f>
        <v>0</v>
      </c>
      <c r="J78" s="0" t="n">
        <f aca="false">$C78*VLOOKUP($B78,FoodDB!$A$2:$I$1006,9,0)</f>
        <v>0</v>
      </c>
    </row>
    <row r="79" customFormat="false" ht="15" hidden="false" customHeight="false" outlineLevel="0" collapsed="false">
      <c r="B79" s="98" t="s">
        <v>98</v>
      </c>
      <c r="C79" s="99" t="n">
        <v>0</v>
      </c>
      <c r="D79" s="0" t="n">
        <f aca="false">$C79*VLOOKUP($B79,FoodDB!$A$2:$I$1006,3,0)</f>
        <v>0</v>
      </c>
      <c r="E79" s="0" t="n">
        <f aca="false">$C79*VLOOKUP($B79,FoodDB!$A$2:$I$1006,4,0)</f>
        <v>0</v>
      </c>
      <c r="F79" s="0" t="n">
        <f aca="false">$C79*VLOOKUP($B79,FoodDB!$A$2:$I$1006,5,0)</f>
        <v>0</v>
      </c>
      <c r="G79" s="0" t="n">
        <f aca="false">$C79*VLOOKUP($B79,FoodDB!$A$2:$I$1006,6,0)</f>
        <v>0</v>
      </c>
      <c r="H79" s="0" t="n">
        <f aca="false">$C79*VLOOKUP($B79,FoodDB!$A$2:$I$1006,7,0)</f>
        <v>0</v>
      </c>
      <c r="I79" s="0" t="n">
        <f aca="false">$C79*VLOOKUP($B79,FoodDB!$A$2:$I$1006,8,0)</f>
        <v>0</v>
      </c>
      <c r="J79" s="0" t="n">
        <f aca="false">$C79*VLOOKUP($B79,FoodDB!$A$2:$I$1006,9,0)</f>
        <v>0</v>
      </c>
    </row>
    <row r="80" customFormat="false" ht="15" hidden="false" customHeight="false" outlineLevel="0" collapsed="false">
      <c r="A80" s="0" t="s">
        <v>88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92</v>
      </c>
      <c r="B81" s="0" t="s">
        <v>93</v>
      </c>
      <c r="E81" s="102"/>
      <c r="F81" s="102"/>
      <c r="G81" s="102" t="n">
        <f aca="false">VLOOKUP($A73,LossChart!$A$3:$AG$105,14,0)</f>
        <v>409.262213816573</v>
      </c>
      <c r="H81" s="102" t="n">
        <f aca="false">VLOOKUP($A73,LossChart!$A$3:$AG$105,15,0)</f>
        <v>80</v>
      </c>
      <c r="I81" s="102" t="n">
        <f aca="false">VLOOKUP($A73,LossChart!$A$3:$AG$105,16,0)</f>
        <v>482.474652711422</v>
      </c>
      <c r="J81" s="102" t="n">
        <f aca="false">VLOOKUP($A73,LossChart!$A$3:$AG$105,17,0)</f>
        <v>971.736866527995</v>
      </c>
      <c r="K81" s="102"/>
    </row>
    <row r="82" customFormat="false" ht="15" hidden="false" customHeight="false" outlineLevel="0" collapsed="false">
      <c r="A82" s="0" t="s">
        <v>94</v>
      </c>
      <c r="G82" s="0" t="n">
        <f aca="false">G81-G80</f>
        <v>-59.9977861834269</v>
      </c>
      <c r="H82" s="0" t="n">
        <f aca="false">H81-H80</f>
        <v>0.571428571428598</v>
      </c>
      <c r="I82" s="0" t="n">
        <f aca="false">I81-I80</f>
        <v>-8.83963300286399</v>
      </c>
      <c r="J82" s="0" t="n">
        <f aca="false">J81-J80</f>
        <v>-68.2659906148649</v>
      </c>
    </row>
    <row r="84" customFormat="false" ht="45" hidden="false" customHeight="false" outlineLevel="0" collapsed="false">
      <c r="A84" s="21" t="s">
        <v>63</v>
      </c>
      <c r="B84" s="21" t="s">
        <v>83</v>
      </c>
      <c r="C84" s="21" t="s">
        <v>84</v>
      </c>
      <c r="D84" s="96" t="str">
        <f aca="false">FoodDB!$C$1</f>
        <v>Fat
(g)</v>
      </c>
      <c r="E84" s="96" t="str">
        <f aca="false">FoodDB!$D$1</f>
        <v>Carbs
(g)</v>
      </c>
      <c r="F84" s="96" t="str">
        <f aca="false">FoodDB!$E$1</f>
        <v>Protein
(g)</v>
      </c>
      <c r="G84" s="96" t="str">
        <f aca="false">FoodDB!$F$1</f>
        <v>Fat
(Cal)</v>
      </c>
      <c r="H84" s="96" t="str">
        <f aca="false">FoodDB!$G$1</f>
        <v>Carb
(Cal)</v>
      </c>
      <c r="I84" s="96" t="str">
        <f aca="false">FoodDB!$H$1</f>
        <v>Protein
(Cal)</v>
      </c>
      <c r="J84" s="96" t="str">
        <f aca="false">FoodDB!$I$1</f>
        <v>Total
Calories</v>
      </c>
      <c r="K84" s="96"/>
      <c r="L84" s="96" t="s">
        <v>100</v>
      </c>
      <c r="M84" s="96" t="s">
        <v>101</v>
      </c>
      <c r="N84" s="96" t="s">
        <v>102</v>
      </c>
      <c r="O84" s="96" t="s">
        <v>103</v>
      </c>
      <c r="P84" s="96" t="s">
        <v>104</v>
      </c>
      <c r="Q84" s="96" t="s">
        <v>105</v>
      </c>
      <c r="R84" s="96" t="s">
        <v>106</v>
      </c>
      <c r="S84" s="96" t="s">
        <v>107</v>
      </c>
      <c r="T84" s="96" t="s">
        <v>108</v>
      </c>
      <c r="U84" s="96" t="s">
        <v>109</v>
      </c>
      <c r="V84" s="96" t="s">
        <v>110</v>
      </c>
      <c r="W84" s="96" t="s">
        <v>111</v>
      </c>
    </row>
    <row r="85" customFormat="false" ht="15" hidden="false" customHeight="false" outlineLevel="0" collapsed="false">
      <c r="A85" s="97" t="n">
        <f aca="false">A73+1</f>
        <v>43001</v>
      </c>
      <c r="B85" s="98" t="s">
        <v>112</v>
      </c>
      <c r="C85" s="99" t="n">
        <v>2</v>
      </c>
      <c r="D85" s="0" t="n">
        <f aca="false">$C85*VLOOKUP($B85,FoodDB!$A$2:$I$1006,3,0)</f>
        <v>36</v>
      </c>
      <c r="E85" s="0" t="n">
        <f aca="false">$C85*VLOOKUP($B85,FoodDB!$A$2:$I$1006,4,0)</f>
        <v>0</v>
      </c>
      <c r="F85" s="0" t="n">
        <f aca="false">$C85*VLOOKUP($B85,FoodDB!$A$2:$I$1006,5,0)</f>
        <v>52</v>
      </c>
      <c r="G85" s="0" t="n">
        <f aca="false">$C85*VLOOKUP($B85,FoodDB!$A$2:$I$1006,6,0)</f>
        <v>324</v>
      </c>
      <c r="H85" s="0" t="n">
        <f aca="false">$C85*VLOOKUP($B85,FoodDB!$A$2:$I$1006,7,0)</f>
        <v>0</v>
      </c>
      <c r="I85" s="0" t="n">
        <f aca="false">$C85*VLOOKUP($B85,FoodDB!$A$2:$I$1006,8,0)</f>
        <v>208</v>
      </c>
      <c r="J85" s="0" t="n">
        <f aca="false">$C85*VLOOKUP($B85,FoodDB!$A$2:$I$1006,9,0)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2" t="n">
        <f aca="false">VLOOKUP($A85,LossChart!$A$3:$AG$105,14,0)</f>
        <v>417.633994165942</v>
      </c>
      <c r="Q85" s="102" t="n">
        <f aca="false">VLOOKUP($A85,LossChart!$A$3:$AG$105,15,0)</f>
        <v>80</v>
      </c>
      <c r="R85" s="102" t="n">
        <f aca="false">VLOOKUP($A85,LossChart!$A$3:$AG$105,16,0)</f>
        <v>482.474652711422</v>
      </c>
      <c r="S85" s="102" t="n">
        <f aca="false">VLOOKUP($A85,LossChart!$A$3:$AG$105,17,0)</f>
        <v>980.108646877364</v>
      </c>
      <c r="T85" s="102" t="n">
        <f aca="false">P85-L85</f>
        <v>-76.2860058340578</v>
      </c>
      <c r="U85" s="102" t="n">
        <f aca="false">Q85-M85</f>
        <v>52</v>
      </c>
      <c r="V85" s="102" t="n">
        <f aca="false">R85-N85</f>
        <v>24.074652711422</v>
      </c>
      <c r="W85" s="102" t="n">
        <f aca="false">S85-O85</f>
        <v>-0.211353122635842</v>
      </c>
    </row>
    <row r="86" customFormat="false" ht="15" hidden="false" customHeight="false" outlineLevel="0" collapsed="false">
      <c r="B86" s="98" t="s">
        <v>113</v>
      </c>
      <c r="C86" s="99" t="n">
        <v>3</v>
      </c>
      <c r="D86" s="0" t="n">
        <f aca="false">$C86*VLOOKUP($B86,FoodDB!$A$2:$I$1006,3,0)</f>
        <v>18</v>
      </c>
      <c r="E86" s="0" t="n">
        <f aca="false">$C86*VLOOKUP($B86,FoodDB!$A$2:$I$1006,4,0)</f>
        <v>0</v>
      </c>
      <c r="F86" s="0" t="n">
        <f aca="false">$C86*VLOOKUP($B86,FoodDB!$A$2:$I$1006,5,0)</f>
        <v>21</v>
      </c>
      <c r="G86" s="0" t="n">
        <f aca="false">$C86*VLOOKUP($B86,FoodDB!$A$2:$I$1006,6,0)</f>
        <v>162</v>
      </c>
      <c r="H86" s="0" t="n">
        <f aca="false">$C86*VLOOKUP($B86,FoodDB!$A$2:$I$1006,7,0)</f>
        <v>0</v>
      </c>
      <c r="I86" s="0" t="n">
        <f aca="false">$C86*VLOOKUP($B86,FoodDB!$A$2:$I$1006,8,0)</f>
        <v>84</v>
      </c>
      <c r="J86" s="0" t="n">
        <f aca="false">$C86*VLOOKUP($B86,FoodDB!$A$2:$I$1006,9,0)</f>
        <v>246</v>
      </c>
    </row>
    <row r="87" customFormat="false" ht="15" hidden="false" customHeight="false" outlineLevel="0" collapsed="false">
      <c r="B87" s="98" t="s">
        <v>95</v>
      </c>
      <c r="C87" s="99" t="n">
        <v>1.1</v>
      </c>
      <c r="D87" s="0" t="n">
        <f aca="false">$C87*VLOOKUP($B87,FoodDB!$A$2:$I$1006,3,0)</f>
        <v>0.88</v>
      </c>
      <c r="E87" s="0" t="n">
        <f aca="false">$C87*VLOOKUP($B87,FoodDB!$A$2:$I$1006,4,0)</f>
        <v>0</v>
      </c>
      <c r="F87" s="0" t="n">
        <f aca="false">$C87*VLOOKUP($B87,FoodDB!$A$2:$I$1006,5,0)</f>
        <v>37.4</v>
      </c>
      <c r="G87" s="0" t="n">
        <f aca="false">$C87*VLOOKUP($B87,FoodDB!$A$2:$I$1006,6,0)</f>
        <v>7.92</v>
      </c>
      <c r="H87" s="0" t="n">
        <f aca="false">$C87*VLOOKUP($B87,FoodDB!$A$2:$I$1006,7,0)</f>
        <v>0</v>
      </c>
      <c r="I87" s="0" t="n">
        <f aca="false">$C87*VLOOKUP($B87,FoodDB!$A$2:$I$1006,8,0)</f>
        <v>149.6</v>
      </c>
      <c r="J87" s="0" t="n">
        <f aca="false">$C87*VLOOKUP($B87,FoodDB!$A$2:$I$1006,9,0)</f>
        <v>157.52</v>
      </c>
    </row>
    <row r="88" customFormat="false" ht="15" hidden="false" customHeight="false" outlineLevel="0" collapsed="false">
      <c r="B88" s="98" t="s">
        <v>90</v>
      </c>
      <c r="C88" s="99" t="n">
        <v>7</v>
      </c>
      <c r="D88" s="0" t="n">
        <f aca="false">$C88*VLOOKUP($B88,FoodDB!$A$2:$I$1006,3,0)</f>
        <v>0</v>
      </c>
      <c r="E88" s="0" t="n">
        <f aca="false">$C88*VLOOKUP($B88,FoodDB!$A$2:$I$1006,4,0)</f>
        <v>7</v>
      </c>
      <c r="F88" s="0" t="n">
        <f aca="false">$C88*VLOOKUP($B88,FoodDB!$A$2:$I$1006,5,0)</f>
        <v>4.2</v>
      </c>
      <c r="G88" s="0" t="n">
        <f aca="false">$C88*VLOOKUP($B88,FoodDB!$A$2:$I$1006,6,0)</f>
        <v>0</v>
      </c>
      <c r="H88" s="0" t="n">
        <f aca="false">$C88*VLOOKUP($B88,FoodDB!$A$2:$I$1006,7,0)</f>
        <v>28</v>
      </c>
      <c r="I88" s="0" t="n">
        <f aca="false">$C88*VLOOKUP($B88,FoodDB!$A$2:$I$1006,8,0)</f>
        <v>16.8</v>
      </c>
      <c r="J88" s="0" t="n">
        <f aca="false">$C88*VLOOKUP($B88,FoodDB!$A$2:$I$1006,9,0)</f>
        <v>44.8</v>
      </c>
    </row>
    <row r="89" customFormat="false" ht="15" hidden="false" customHeight="false" outlineLevel="0" collapsed="false">
      <c r="B89" s="98" t="s">
        <v>98</v>
      </c>
      <c r="C89" s="99" t="n">
        <v>0</v>
      </c>
      <c r="D89" s="0" t="n">
        <f aca="false">$C89*VLOOKUP($B89,FoodDB!$A$2:$I$1006,3,0)</f>
        <v>0</v>
      </c>
      <c r="E89" s="0" t="n">
        <f aca="false">$C89*VLOOKUP($B89,FoodDB!$A$2:$I$1006,4,0)</f>
        <v>0</v>
      </c>
      <c r="F89" s="0" t="n">
        <f aca="false">$C89*VLOOKUP($B89,FoodDB!$A$2:$I$1006,5,0)</f>
        <v>0</v>
      </c>
      <c r="G89" s="0" t="n">
        <f aca="false">$C89*VLOOKUP($B89,FoodDB!$A$2:$I$1006,6,0)</f>
        <v>0</v>
      </c>
      <c r="H89" s="0" t="n">
        <f aca="false">$C89*VLOOKUP($B89,FoodDB!$A$2:$I$1006,7,0)</f>
        <v>0</v>
      </c>
      <c r="I89" s="0" t="n">
        <f aca="false">$C89*VLOOKUP($B89,FoodDB!$A$2:$I$1006,8,0)</f>
        <v>0</v>
      </c>
      <c r="J89" s="0" t="n">
        <f aca="false">$C89*VLOOKUP($B89,FoodDB!$A$2:$I$1006,9,0)</f>
        <v>0</v>
      </c>
    </row>
    <row r="90" customFormat="false" ht="15" hidden="false" customHeight="false" outlineLevel="0" collapsed="false">
      <c r="B90" s="98" t="s">
        <v>98</v>
      </c>
      <c r="C90" s="99" t="n">
        <v>0</v>
      </c>
      <c r="D90" s="0" t="n">
        <f aca="false">$C90*VLOOKUP($B90,FoodDB!$A$2:$I$1006,3,0)</f>
        <v>0</v>
      </c>
      <c r="E90" s="0" t="n">
        <f aca="false">$C90*VLOOKUP($B90,FoodDB!$A$2:$I$1006,4,0)</f>
        <v>0</v>
      </c>
      <c r="F90" s="0" t="n">
        <f aca="false">$C90*VLOOKUP($B90,FoodDB!$A$2:$I$1006,5,0)</f>
        <v>0</v>
      </c>
      <c r="G90" s="0" t="n">
        <f aca="false">$C90*VLOOKUP($B90,FoodDB!$A$2:$I$1006,6,0)</f>
        <v>0</v>
      </c>
      <c r="H90" s="0" t="n">
        <f aca="false">$C90*VLOOKUP($B90,FoodDB!$A$2:$I$1006,7,0)</f>
        <v>0</v>
      </c>
      <c r="I90" s="0" t="n">
        <f aca="false">$C90*VLOOKUP($B90,FoodDB!$A$2:$I$1006,8,0)</f>
        <v>0</v>
      </c>
      <c r="J90" s="0" t="n">
        <f aca="false">$C90*VLOOKUP($B90,FoodDB!$A$2:$I$1006,9,0)</f>
        <v>0</v>
      </c>
    </row>
    <row r="91" customFormat="false" ht="15" hidden="false" customHeight="false" outlineLevel="0" collapsed="false">
      <c r="B91" s="98" t="s">
        <v>98</v>
      </c>
      <c r="C91" s="99" t="n">
        <v>0</v>
      </c>
      <c r="D91" s="0" t="n">
        <f aca="false">$C91*VLOOKUP($B91,FoodDB!$A$2:$I$1006,3,0)</f>
        <v>0</v>
      </c>
      <c r="E91" s="0" t="n">
        <f aca="false">$C91*VLOOKUP($B91,FoodDB!$A$2:$I$1006,4,0)</f>
        <v>0</v>
      </c>
      <c r="F91" s="0" t="n">
        <f aca="false">$C91*VLOOKUP($B91,FoodDB!$A$2:$I$1006,5,0)</f>
        <v>0</v>
      </c>
      <c r="G91" s="0" t="n">
        <f aca="false">$C91*VLOOKUP($B91,FoodDB!$A$2:$I$1006,6,0)</f>
        <v>0</v>
      </c>
      <c r="H91" s="0" t="n">
        <f aca="false">$C91*VLOOKUP($B91,FoodDB!$A$2:$I$1006,7,0)</f>
        <v>0</v>
      </c>
      <c r="I91" s="0" t="n">
        <f aca="false">$C91*VLOOKUP($B91,FoodDB!$A$2:$I$1006,8,0)</f>
        <v>0</v>
      </c>
      <c r="J91" s="0" t="n">
        <f aca="false">$C91*VLOOKUP($B91,FoodDB!$A$2:$I$1006,9,0)</f>
        <v>0</v>
      </c>
    </row>
    <row r="92" customFormat="false" ht="15" hidden="false" customHeight="false" outlineLevel="0" collapsed="false">
      <c r="A92" s="0" t="s">
        <v>88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92</v>
      </c>
      <c r="B93" s="0" t="s">
        <v>93</v>
      </c>
      <c r="E93" s="102"/>
      <c r="F93" s="102"/>
      <c r="G93" s="102" t="n">
        <f aca="false">VLOOKUP($A85,LossChart!$A$3:$AG$105,14,0)</f>
        <v>417.633994165942</v>
      </c>
      <c r="H93" s="102" t="n">
        <f aca="false">VLOOKUP($A85,LossChart!$A$3:$AG$105,15,0)</f>
        <v>80</v>
      </c>
      <c r="I93" s="102" t="n">
        <f aca="false">VLOOKUP($A85,LossChart!$A$3:$AG$105,16,0)</f>
        <v>482.474652711422</v>
      </c>
      <c r="J93" s="102" t="n">
        <f aca="false">VLOOKUP($A85,LossChart!$A$3:$AG$105,17,0)</f>
        <v>980.108646877364</v>
      </c>
      <c r="K93" s="102"/>
    </row>
    <row r="94" customFormat="false" ht="15" hidden="false" customHeight="false" outlineLevel="0" collapsed="false">
      <c r="A94" s="0" t="s">
        <v>94</v>
      </c>
      <c r="G94" s="0" t="n">
        <f aca="false">G93-G92</f>
        <v>-76.2860058340578</v>
      </c>
      <c r="H94" s="0" t="n">
        <f aca="false">H93-H92</f>
        <v>52</v>
      </c>
      <c r="I94" s="0" t="n">
        <f aca="false">I93-I92</f>
        <v>24.074652711422</v>
      </c>
      <c r="J94" s="0" t="n">
        <f aca="false">J93-J92</f>
        <v>-0.211353122635842</v>
      </c>
    </row>
    <row r="96" customFormat="false" ht="33.25" hidden="false" customHeight="false" outlineLevel="0" collapsed="false">
      <c r="A96" s="21" t="s">
        <v>63</v>
      </c>
      <c r="B96" s="21" t="s">
        <v>83</v>
      </c>
      <c r="C96" s="21" t="s">
        <v>84</v>
      </c>
      <c r="D96" s="96" t="str">
        <f aca="false">FoodDB!$C$1</f>
        <v>Fat
(g)</v>
      </c>
      <c r="E96" s="96" t="str">
        <f aca="false">FoodDB!$D$1</f>
        <v>Carbs
(g)</v>
      </c>
      <c r="F96" s="96" t="str">
        <f aca="false">FoodDB!$E$1</f>
        <v>Protein
(g)</v>
      </c>
      <c r="G96" s="96" t="str">
        <f aca="false">FoodDB!$F$1</f>
        <v>Fat
(Cal)</v>
      </c>
      <c r="H96" s="96" t="str">
        <f aca="false">FoodDB!$G$1</f>
        <v>Carb
(Cal)</v>
      </c>
      <c r="I96" s="96" t="str">
        <f aca="false">FoodDB!$H$1</f>
        <v>Protein
(Cal)</v>
      </c>
      <c r="J96" s="96" t="str">
        <f aca="false">FoodDB!$I$1</f>
        <v>Total
Calories</v>
      </c>
      <c r="K96" s="96"/>
      <c r="L96" s="96" t="s">
        <v>100</v>
      </c>
      <c r="M96" s="96" t="s">
        <v>101</v>
      </c>
      <c r="N96" s="96" t="s">
        <v>102</v>
      </c>
      <c r="O96" s="96" t="s">
        <v>103</v>
      </c>
      <c r="P96" s="96" t="s">
        <v>108</v>
      </c>
      <c r="Q96" s="96" t="s">
        <v>109</v>
      </c>
      <c r="R96" s="96" t="s">
        <v>110</v>
      </c>
      <c r="S96" s="96" t="s">
        <v>111</v>
      </c>
      <c r="T96" s="96"/>
      <c r="U96" s="96"/>
      <c r="V96" s="96"/>
      <c r="W96" s="96"/>
    </row>
    <row r="97" customFormat="false" ht="13.8" hidden="false" customHeight="false" outlineLevel="0" collapsed="false">
      <c r="A97" s="97" t="n">
        <f aca="false">A85+1</f>
        <v>43002</v>
      </c>
      <c r="B97" s="98" t="s">
        <v>95</v>
      </c>
      <c r="C97" s="99" t="n">
        <v>1.2</v>
      </c>
      <c r="D97" s="0" t="n">
        <f aca="false">$C97*VLOOKUP($B97,FoodDB!$A$2:$I$1006,3,0)</f>
        <v>0.96</v>
      </c>
      <c r="E97" s="0" t="n">
        <f aca="false">$C97*VLOOKUP($B97,FoodDB!$A$2:$I$1006,4,0)</f>
        <v>0</v>
      </c>
      <c r="F97" s="0" t="n">
        <f aca="false">$C97*VLOOKUP($B97,FoodDB!$A$2:$I$1006,5,0)</f>
        <v>40.8</v>
      </c>
      <c r="G97" s="0" t="n">
        <f aca="false">$C97*VLOOKUP($B97,FoodDB!$A$2:$I$1006,6,0)</f>
        <v>8.64</v>
      </c>
      <c r="H97" s="0" t="n">
        <f aca="false">$C97*VLOOKUP($B97,FoodDB!$A$2:$I$1006,7,0)</f>
        <v>0</v>
      </c>
      <c r="I97" s="0" t="n">
        <f aca="false">$C97*VLOOKUP($B97,FoodDB!$A$2:$I$1006,8,0)</f>
        <v>163.2</v>
      </c>
      <c r="J97" s="0" t="n">
        <f aca="false">$C97*VLOOKUP($B97,FoodDB!$A$2:$I$1006,9,0)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2" t="n">
        <f aca="false">VLOOKUP($A97,LossChart!$A$3:$AG$105,14,0)-L97</f>
        <v>23.45079883019</v>
      </c>
      <c r="Q97" s="102" t="n">
        <f aca="false">VLOOKUP($A97,LossChart!$A$3:$AG$105,15,0)-M97</f>
        <v>-0.571428571428598</v>
      </c>
      <c r="R97" s="102" t="n">
        <f aca="false">VLOOKUP($A97,LossChart!$A$3:$AG$105,16,0)-N97</f>
        <v>38.268938425708</v>
      </c>
      <c r="S97" s="102" t="n">
        <f aca="false">VLOOKUP($A97,LossChart!$A$3:$AG$105,17,0)-O97</f>
        <v>61.148308684469</v>
      </c>
      <c r="T97" s="102"/>
      <c r="U97" s="102"/>
      <c r="V97" s="102"/>
      <c r="W97" s="102"/>
    </row>
    <row r="98" customFormat="false" ht="15" hidden="false" customHeight="false" outlineLevel="0" collapsed="false">
      <c r="B98" s="98" t="s">
        <v>89</v>
      </c>
      <c r="C98" s="99" t="n">
        <v>4</v>
      </c>
      <c r="D98" s="0" t="n">
        <f aca="false">$C98*VLOOKUP($B98,FoodDB!$A$2:$I$1006,3,0)</f>
        <v>24.72</v>
      </c>
      <c r="E98" s="0" t="n">
        <f aca="false">$C98*VLOOKUP($B98,FoodDB!$A$2:$I$1006,4,0)</f>
        <v>0</v>
      </c>
      <c r="F98" s="0" t="n">
        <f aca="false">$C98*VLOOKUP($B98,FoodDB!$A$2:$I$1006,5,0)</f>
        <v>34.08</v>
      </c>
      <c r="G98" s="0" t="n">
        <f aca="false">$C98*VLOOKUP($B98,FoodDB!$A$2:$I$1006,6,0)</f>
        <v>222.48</v>
      </c>
      <c r="H98" s="0" t="n">
        <f aca="false">$C98*VLOOKUP($B98,FoodDB!$A$2:$I$1006,7,0)</f>
        <v>0</v>
      </c>
      <c r="I98" s="0" t="n">
        <f aca="false">$C98*VLOOKUP($B98,FoodDB!$A$2:$I$1006,8,0)</f>
        <v>136.32</v>
      </c>
      <c r="J98" s="0" t="n">
        <f aca="false">$C98*VLOOKUP($B98,FoodDB!$A$2:$I$1006,9,0)</f>
        <v>358.8</v>
      </c>
    </row>
    <row r="99" customFormat="false" ht="15" hidden="false" customHeight="false" outlineLevel="0" collapsed="false">
      <c r="B99" s="98" t="s">
        <v>90</v>
      </c>
      <c r="C99" s="99" t="n">
        <v>7</v>
      </c>
      <c r="D99" s="0" t="n">
        <f aca="false">$C99*VLOOKUP($B99,FoodDB!$A$2:$I$1006,3,0)</f>
        <v>0</v>
      </c>
      <c r="E99" s="0" t="n">
        <f aca="false">$C99*VLOOKUP($B99,FoodDB!$A$2:$I$1006,4,0)</f>
        <v>7</v>
      </c>
      <c r="F99" s="0" t="n">
        <f aca="false">$C99*VLOOKUP($B99,FoodDB!$A$2:$I$1006,5,0)</f>
        <v>4.2</v>
      </c>
      <c r="G99" s="0" t="n">
        <f aca="false">$C99*VLOOKUP($B99,FoodDB!$A$2:$I$1006,6,0)</f>
        <v>0</v>
      </c>
      <c r="H99" s="0" t="n">
        <f aca="false">$C99*VLOOKUP($B99,FoodDB!$A$2:$I$1006,7,0)</f>
        <v>28</v>
      </c>
      <c r="I99" s="0" t="n">
        <f aca="false">$C99*VLOOKUP($B99,FoodDB!$A$2:$I$1006,8,0)</f>
        <v>16.8</v>
      </c>
      <c r="J99" s="0" t="n">
        <f aca="false">$C99*VLOOKUP($B99,FoodDB!$A$2:$I$1006,9,0)</f>
        <v>44.8</v>
      </c>
    </row>
    <row r="100" customFormat="false" ht="15" hidden="false" customHeight="false" outlineLevel="0" collapsed="false">
      <c r="B100" s="98" t="s">
        <v>87</v>
      </c>
      <c r="C100" s="99" t="n">
        <v>2</v>
      </c>
      <c r="D100" s="0" t="n">
        <f aca="false">$C100*VLOOKUP($B100,FoodDB!$A$2:$I$1006,3,0)</f>
        <v>18</v>
      </c>
      <c r="E100" s="0" t="n">
        <f aca="false">$C100*VLOOKUP($B100,FoodDB!$A$2:$I$1006,4,0)</f>
        <v>4</v>
      </c>
      <c r="F100" s="0" t="n">
        <f aca="false">$C100*VLOOKUP($B100,FoodDB!$A$2:$I$1006,5,0)</f>
        <v>9.4</v>
      </c>
      <c r="G100" s="0" t="n">
        <f aca="false">$C100*VLOOKUP($B100,FoodDB!$A$2:$I$1006,6,0)</f>
        <v>162</v>
      </c>
      <c r="H100" s="0" t="n">
        <f aca="false">$C100*VLOOKUP($B100,FoodDB!$A$2:$I$1006,7,0)</f>
        <v>16</v>
      </c>
      <c r="I100" s="0" t="n">
        <f aca="false">$C100*VLOOKUP($B100,FoodDB!$A$2:$I$1006,8,0)</f>
        <v>37.6</v>
      </c>
      <c r="J100" s="0" t="n">
        <f aca="false">$C100*VLOOKUP($B100,FoodDB!$A$2:$I$1006,9,0)</f>
        <v>215.6</v>
      </c>
    </row>
    <row r="101" customFormat="false" ht="15" hidden="false" customHeight="false" outlineLevel="0" collapsed="false">
      <c r="B101" s="98" t="s">
        <v>86</v>
      </c>
      <c r="C101" s="99" t="n">
        <v>8</v>
      </c>
      <c r="D101" s="0" t="n">
        <f aca="false">$C101*VLOOKUP($B101,FoodDB!$A$2:$I$1006,3,0)</f>
        <v>0</v>
      </c>
      <c r="E101" s="0" t="n">
        <f aca="false">$C101*VLOOKUP($B101,FoodDB!$A$2:$I$1006,4,0)</f>
        <v>5.14285714285714</v>
      </c>
      <c r="F101" s="0" t="n">
        <f aca="false">$C101*VLOOKUP($B101,FoodDB!$A$2:$I$1006,5,0)</f>
        <v>2.57142857142857</v>
      </c>
      <c r="G101" s="0" t="n">
        <f aca="false">$C101*VLOOKUP($B101,FoodDB!$A$2:$I$1006,6,0)</f>
        <v>0</v>
      </c>
      <c r="H101" s="0" t="n">
        <f aca="false">$C101*VLOOKUP($B101,FoodDB!$A$2:$I$1006,7,0)</f>
        <v>20.5714285714286</v>
      </c>
      <c r="I101" s="0" t="n">
        <f aca="false">$C101*VLOOKUP($B101,FoodDB!$A$2:$I$1006,8,0)</f>
        <v>10.2857142857143</v>
      </c>
      <c r="J101" s="0" t="n">
        <f aca="false">$C101*VLOOKUP($B101,FoodDB!$A$2:$I$1006,9,0)</f>
        <v>30.8571428571429</v>
      </c>
    </row>
    <row r="102" customFormat="false" ht="15" hidden="false" customHeight="false" outlineLevel="0" collapsed="false">
      <c r="B102" s="98" t="s">
        <v>114</v>
      </c>
      <c r="C102" s="99" t="n">
        <v>2</v>
      </c>
      <c r="D102" s="0" t="n">
        <f aca="false">$C102*VLOOKUP($B102,FoodDB!$A$2:$I$1006,3,0)</f>
        <v>1</v>
      </c>
      <c r="E102" s="0" t="n">
        <f aca="false">$C102*VLOOKUP($B102,FoodDB!$A$2:$I$1006,4,0)</f>
        <v>4</v>
      </c>
      <c r="F102" s="0" t="n">
        <f aca="false">$C102*VLOOKUP($B102,FoodDB!$A$2:$I$1006,5,0)</f>
        <v>20</v>
      </c>
      <c r="G102" s="0" t="n">
        <f aca="false">$C102*VLOOKUP($B102,FoodDB!$A$2:$I$1006,6,0)</f>
        <v>9</v>
      </c>
      <c r="H102" s="0" t="n">
        <f aca="false">$C102*VLOOKUP($B102,FoodDB!$A$2:$I$1006,7,0)</f>
        <v>16</v>
      </c>
      <c r="I102" s="0" t="n">
        <f aca="false">$C102*VLOOKUP($B102,FoodDB!$A$2:$I$1006,8,0)</f>
        <v>80</v>
      </c>
      <c r="J102" s="0" t="n">
        <f aca="false">$C102*VLOOKUP($B102,FoodDB!$A$2:$I$1006,9,0)</f>
        <v>105</v>
      </c>
    </row>
    <row r="103" customFormat="false" ht="15" hidden="false" customHeight="false" outlineLevel="0" collapsed="false">
      <c r="B103" s="98" t="s">
        <v>98</v>
      </c>
      <c r="C103" s="99" t="n">
        <v>0</v>
      </c>
      <c r="D103" s="0" t="n">
        <f aca="false">$C103*VLOOKUP($B103,FoodDB!$A$2:$I$1006,3,0)</f>
        <v>0</v>
      </c>
      <c r="E103" s="0" t="n">
        <f aca="false">$C103*VLOOKUP($B103,FoodDB!$A$2:$I$1006,4,0)</f>
        <v>0</v>
      </c>
      <c r="F103" s="0" t="n">
        <f aca="false">$C103*VLOOKUP($B103,FoodDB!$A$2:$I$1006,5,0)</f>
        <v>0</v>
      </c>
      <c r="G103" s="0" t="n">
        <f aca="false">$C103*VLOOKUP($B103,FoodDB!$A$2:$I$1006,6,0)</f>
        <v>0</v>
      </c>
      <c r="H103" s="0" t="n">
        <f aca="false">$C103*VLOOKUP($B103,FoodDB!$A$2:$I$1006,7,0)</f>
        <v>0</v>
      </c>
      <c r="I103" s="0" t="n">
        <f aca="false">$C103*VLOOKUP($B103,FoodDB!$A$2:$I$1006,8,0)</f>
        <v>0</v>
      </c>
      <c r="J103" s="0" t="n">
        <f aca="false">$C103*VLOOKUP($B103,FoodDB!$A$2:$I$1006,9,0)</f>
        <v>0</v>
      </c>
    </row>
    <row r="104" customFormat="false" ht="15" hidden="false" customHeight="false" outlineLevel="0" collapsed="false">
      <c r="A104" s="0" t="s">
        <v>88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92</v>
      </c>
      <c r="B105" s="0" t="s">
        <v>93</v>
      </c>
      <c r="E105" s="102"/>
      <c r="F105" s="102"/>
      <c r="G105" s="102" t="n">
        <f aca="false">VLOOKUP($A97,LossChart!$A$3:$AG$105,14,0)</f>
        <v>425.57079883019</v>
      </c>
      <c r="H105" s="102" t="n">
        <f aca="false">VLOOKUP($A97,LossChart!$A$3:$AG$105,15,0)</f>
        <v>80</v>
      </c>
      <c r="I105" s="102" t="n">
        <f aca="false">VLOOKUP($A97,LossChart!$A$3:$AG$105,16,0)</f>
        <v>482.474652711422</v>
      </c>
      <c r="J105" s="102" t="n">
        <f aca="false">VLOOKUP($A97,LossChart!$A$3:$AG$105,17,0)</f>
        <v>988.045451541612</v>
      </c>
      <c r="K105" s="102"/>
    </row>
    <row r="106" customFormat="false" ht="15" hidden="false" customHeight="false" outlineLevel="0" collapsed="false">
      <c r="A106" s="0" t="s">
        <v>94</v>
      </c>
      <c r="G106" s="0" t="n">
        <f aca="false">G105-G104</f>
        <v>23.45079883019</v>
      </c>
      <c r="H106" s="0" t="n">
        <f aca="false">H105-H104</f>
        <v>-0.571428571428598</v>
      </c>
      <c r="I106" s="0" t="n">
        <f aca="false">I105-I104</f>
        <v>38.268938425708</v>
      </c>
      <c r="J106" s="0" t="n">
        <f aca="false">J105-J104</f>
        <v>61.148308684469</v>
      </c>
    </row>
    <row r="108" customFormat="false" ht="32.8" hidden="false" customHeight="false" outlineLevel="0" collapsed="false">
      <c r="A108" s="21" t="s">
        <v>63</v>
      </c>
      <c r="B108" s="21" t="s">
        <v>83</v>
      </c>
      <c r="C108" s="21" t="s">
        <v>84</v>
      </c>
      <c r="D108" s="96" t="str">
        <f aca="false">FoodDB!$C$1</f>
        <v>Fat
(g)</v>
      </c>
      <c r="E108" s="96" t="str">
        <f aca="false">FoodDB!$D$1</f>
        <v>Carbs
(g)</v>
      </c>
      <c r="F108" s="96" t="str">
        <f aca="false">FoodDB!$E$1</f>
        <v>Protein
(g)</v>
      </c>
      <c r="G108" s="96" t="str">
        <f aca="false">FoodDB!$F$1</f>
        <v>Fat
(Cal)</v>
      </c>
      <c r="H108" s="96" t="str">
        <f aca="false">FoodDB!$G$1</f>
        <v>Carb
(Cal)</v>
      </c>
      <c r="I108" s="96" t="str">
        <f aca="false">FoodDB!$H$1</f>
        <v>Protein
(Cal)</v>
      </c>
      <c r="J108" s="96" t="str">
        <f aca="false">FoodDB!$I$1</f>
        <v>Total
Calories</v>
      </c>
      <c r="K108" s="96"/>
      <c r="L108" s="96" t="s">
        <v>100</v>
      </c>
      <c r="M108" s="96" t="s">
        <v>101</v>
      </c>
      <c r="N108" s="96" t="s">
        <v>102</v>
      </c>
      <c r="O108" s="96" t="s">
        <v>103</v>
      </c>
      <c r="P108" s="96" t="s">
        <v>108</v>
      </c>
      <c r="Q108" s="96" t="s">
        <v>109</v>
      </c>
      <c r="R108" s="96" t="s">
        <v>110</v>
      </c>
      <c r="S108" s="96" t="s">
        <v>111</v>
      </c>
      <c r="T108" s="96"/>
      <c r="U108" s="96"/>
      <c r="V108" s="96"/>
      <c r="W108" s="96"/>
    </row>
    <row r="109" customFormat="false" ht="13.8" hidden="false" customHeight="false" outlineLevel="0" collapsed="false">
      <c r="A109" s="97" t="n">
        <f aca="false">A97+1</f>
        <v>43003</v>
      </c>
      <c r="B109" s="98" t="s">
        <v>85</v>
      </c>
      <c r="C109" s="99" t="n">
        <v>1</v>
      </c>
      <c r="D109" s="0" t="n">
        <f aca="false">$C109*VLOOKUP($B109,FoodDB!$A$2:$I$1006,3,0)</f>
        <v>0.5</v>
      </c>
      <c r="E109" s="0" t="n">
        <f aca="false">$C109*VLOOKUP($B109,FoodDB!$A$2:$I$1006,4,0)</f>
        <v>0</v>
      </c>
      <c r="F109" s="0" t="n">
        <f aca="false">$C109*VLOOKUP($B109,FoodDB!$A$2:$I$1006,5,0)</f>
        <v>50</v>
      </c>
      <c r="G109" s="0" t="n">
        <f aca="false">$C109*VLOOKUP($B109,FoodDB!$A$2:$I$1006,6,0)</f>
        <v>4.5</v>
      </c>
      <c r="H109" s="0" t="n">
        <f aca="false">$C109*VLOOKUP($B109,FoodDB!$A$2:$I$1006,7,0)</f>
        <v>0</v>
      </c>
      <c r="I109" s="0" t="n">
        <f aca="false">$C109*VLOOKUP($B109,FoodDB!$A$2:$I$1006,8,0)</f>
        <v>200</v>
      </c>
      <c r="J109" s="0" t="n">
        <f aca="false">$C109*VLOOKUP($B109,FoodDB!$A$2:$I$1006,9,0)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2" t="n">
        <f aca="false">VLOOKUP($A109,LossChart!$A$3:$AG$105,14,0)-L109</f>
        <v>-29.488022793463</v>
      </c>
      <c r="Q109" s="102" t="n">
        <f aca="false">VLOOKUP($A109,LossChart!$A$3:$AG$105,15,0)-M109</f>
        <v>27.4285714285714</v>
      </c>
      <c r="R109" s="102" t="n">
        <f aca="false">VLOOKUP($A109,LossChart!$A$3:$AG$105,16,0)-N109</f>
        <v>-15.811061574292</v>
      </c>
      <c r="S109" s="102" t="n">
        <f aca="false">VLOOKUP($A109,LossChart!$A$3:$AG$105,17,0)-O109</f>
        <v>-17.8705129391809</v>
      </c>
      <c r="T109" s="102"/>
      <c r="U109" s="102"/>
      <c r="V109" s="102"/>
      <c r="W109" s="102"/>
    </row>
    <row r="110" customFormat="false" ht="15" hidden="false" customHeight="false" outlineLevel="0" collapsed="false">
      <c r="B110" s="98" t="s">
        <v>89</v>
      </c>
      <c r="C110" s="99" t="n">
        <v>5</v>
      </c>
      <c r="D110" s="0" t="n">
        <f aca="false">$C110*VLOOKUP($B110,FoodDB!$A$2:$I$1006,3,0)</f>
        <v>30.9</v>
      </c>
      <c r="E110" s="0" t="n">
        <f aca="false">$C110*VLOOKUP($B110,FoodDB!$A$2:$I$1006,4,0)</f>
        <v>0</v>
      </c>
      <c r="F110" s="0" t="n">
        <f aca="false">$C110*VLOOKUP($B110,FoodDB!$A$2:$I$1006,5,0)</f>
        <v>42.6</v>
      </c>
      <c r="G110" s="0" t="n">
        <f aca="false">$C110*VLOOKUP($B110,FoodDB!$A$2:$I$1006,6,0)</f>
        <v>278.1</v>
      </c>
      <c r="H110" s="0" t="n">
        <f aca="false">$C110*VLOOKUP($B110,FoodDB!$A$2:$I$1006,7,0)</f>
        <v>0</v>
      </c>
      <c r="I110" s="0" t="n">
        <f aca="false">$C110*VLOOKUP($B110,FoodDB!$A$2:$I$1006,8,0)</f>
        <v>170.4</v>
      </c>
      <c r="J110" s="0" t="n">
        <f aca="false">$C110*VLOOKUP($B110,FoodDB!$A$2:$I$1006,9,0)</f>
        <v>448.5</v>
      </c>
    </row>
    <row r="111" customFormat="false" ht="15" hidden="false" customHeight="false" outlineLevel="0" collapsed="false">
      <c r="B111" s="98" t="s">
        <v>97</v>
      </c>
      <c r="C111" s="99" t="n">
        <v>2</v>
      </c>
      <c r="D111" s="0" t="n">
        <f aca="false">$C111*VLOOKUP($B111,FoodDB!$A$2:$I$1006,3,0)</f>
        <v>1</v>
      </c>
      <c r="E111" s="0" t="n">
        <f aca="false">$C111*VLOOKUP($B111,FoodDB!$A$2:$I$1006,4,0)</f>
        <v>0</v>
      </c>
      <c r="F111" s="0" t="n">
        <f aca="false">$C111*VLOOKUP($B111,FoodDB!$A$2:$I$1006,5,0)</f>
        <v>0</v>
      </c>
      <c r="G111" s="0" t="n">
        <f aca="false">$C111*VLOOKUP($B111,FoodDB!$A$2:$I$1006,6,0)</f>
        <v>9</v>
      </c>
      <c r="H111" s="0" t="n">
        <f aca="false">$C111*VLOOKUP($B111,FoodDB!$A$2:$I$1006,7,0)</f>
        <v>0</v>
      </c>
      <c r="I111" s="0" t="n">
        <f aca="false">$C111*VLOOKUP($B111,FoodDB!$A$2:$I$1006,8,0)</f>
        <v>0</v>
      </c>
      <c r="J111" s="0" t="n">
        <f aca="false">$C111*VLOOKUP($B111,FoodDB!$A$2:$I$1006,9,0)</f>
        <v>9</v>
      </c>
    </row>
    <row r="112" customFormat="false" ht="15" hidden="false" customHeight="false" outlineLevel="0" collapsed="false">
      <c r="B112" s="98" t="s">
        <v>114</v>
      </c>
      <c r="C112" s="99" t="n">
        <v>2</v>
      </c>
      <c r="D112" s="0" t="n">
        <f aca="false">$C112*VLOOKUP($B112,FoodDB!$A$2:$I$1006,3,0)</f>
        <v>1</v>
      </c>
      <c r="E112" s="0" t="n">
        <f aca="false">$C112*VLOOKUP($B112,FoodDB!$A$2:$I$1006,4,0)</f>
        <v>4</v>
      </c>
      <c r="F112" s="0" t="n">
        <f aca="false">$C112*VLOOKUP($B112,FoodDB!$A$2:$I$1006,5,0)</f>
        <v>20</v>
      </c>
      <c r="G112" s="0" t="n">
        <f aca="false">$C112*VLOOKUP($B112,FoodDB!$A$2:$I$1006,6,0)</f>
        <v>9</v>
      </c>
      <c r="H112" s="0" t="n">
        <f aca="false">$C112*VLOOKUP($B112,FoodDB!$A$2:$I$1006,7,0)</f>
        <v>16</v>
      </c>
      <c r="I112" s="0" t="n">
        <f aca="false">$C112*VLOOKUP($B112,FoodDB!$A$2:$I$1006,8,0)</f>
        <v>80</v>
      </c>
      <c r="J112" s="0" t="n">
        <f aca="false">$C112*VLOOKUP($B112,FoodDB!$A$2:$I$1006,9,0)</f>
        <v>105</v>
      </c>
    </row>
    <row r="113" customFormat="false" ht="15" hidden="false" customHeight="false" outlineLevel="0" collapsed="false">
      <c r="B113" s="98" t="s">
        <v>86</v>
      </c>
      <c r="C113" s="99" t="n">
        <v>8</v>
      </c>
      <c r="D113" s="0" t="n">
        <f aca="false">$C113*VLOOKUP($B113,FoodDB!$A$2:$I$1006,3,0)</f>
        <v>0</v>
      </c>
      <c r="E113" s="0" t="n">
        <f aca="false">$C113*VLOOKUP($B113,FoodDB!$A$2:$I$1006,4,0)</f>
        <v>5.14285714285714</v>
      </c>
      <c r="F113" s="0" t="n">
        <f aca="false">$C113*VLOOKUP($B113,FoodDB!$A$2:$I$1006,5,0)</f>
        <v>2.57142857142857</v>
      </c>
      <c r="G113" s="0" t="n">
        <f aca="false">$C113*VLOOKUP($B113,FoodDB!$A$2:$I$1006,6,0)</f>
        <v>0</v>
      </c>
      <c r="H113" s="0" t="n">
        <f aca="false">$C113*VLOOKUP($B113,FoodDB!$A$2:$I$1006,7,0)</f>
        <v>20.5714285714286</v>
      </c>
      <c r="I113" s="0" t="n">
        <f aca="false">$C113*VLOOKUP($B113,FoodDB!$A$2:$I$1006,8,0)</f>
        <v>10.2857142857143</v>
      </c>
      <c r="J113" s="0" t="n">
        <f aca="false">$C113*VLOOKUP($B113,FoodDB!$A$2:$I$1006,9,0)</f>
        <v>30.8571428571429</v>
      </c>
    </row>
    <row r="114" customFormat="false" ht="15" hidden="false" customHeight="false" outlineLevel="0" collapsed="false">
      <c r="B114" s="98" t="s">
        <v>87</v>
      </c>
      <c r="C114" s="99" t="n">
        <v>2</v>
      </c>
      <c r="D114" s="0" t="n">
        <f aca="false">$C114*VLOOKUP($B114,FoodDB!$A$2:$I$1006,3,0)</f>
        <v>18</v>
      </c>
      <c r="E114" s="0" t="n">
        <f aca="false">$C114*VLOOKUP($B114,FoodDB!$A$2:$I$1006,4,0)</f>
        <v>4</v>
      </c>
      <c r="F114" s="0" t="n">
        <f aca="false">$C114*VLOOKUP($B114,FoodDB!$A$2:$I$1006,5,0)</f>
        <v>9.4</v>
      </c>
      <c r="G114" s="0" t="n">
        <f aca="false">$C114*VLOOKUP($B114,FoodDB!$A$2:$I$1006,6,0)</f>
        <v>162</v>
      </c>
      <c r="H114" s="0" t="n">
        <f aca="false">$C114*VLOOKUP($B114,FoodDB!$A$2:$I$1006,7,0)</f>
        <v>16</v>
      </c>
      <c r="I114" s="0" t="n">
        <f aca="false">$C114*VLOOKUP($B114,FoodDB!$A$2:$I$1006,8,0)</f>
        <v>37.6</v>
      </c>
      <c r="J114" s="0" t="n">
        <f aca="false">$C114*VLOOKUP($B114,FoodDB!$A$2:$I$1006,9,0)</f>
        <v>215.6</v>
      </c>
    </row>
    <row r="115" customFormat="false" ht="15" hidden="false" customHeight="false" outlineLevel="0" collapsed="false">
      <c r="B115" s="98" t="s">
        <v>98</v>
      </c>
      <c r="C115" s="99" t="n">
        <v>0</v>
      </c>
      <c r="D115" s="0" t="n">
        <f aca="false">$C115*VLOOKUP($B115,FoodDB!$A$2:$I$1006,3,0)</f>
        <v>0</v>
      </c>
      <c r="E115" s="0" t="n">
        <f aca="false">$C115*VLOOKUP($B115,FoodDB!$A$2:$I$1006,4,0)</f>
        <v>0</v>
      </c>
      <c r="F115" s="0" t="n">
        <f aca="false">$C115*VLOOKUP($B115,FoodDB!$A$2:$I$1006,5,0)</f>
        <v>0</v>
      </c>
      <c r="G115" s="0" t="n">
        <f aca="false">$C115*VLOOKUP($B115,FoodDB!$A$2:$I$1006,6,0)</f>
        <v>0</v>
      </c>
      <c r="H115" s="0" t="n">
        <f aca="false">$C115*VLOOKUP($B115,FoodDB!$A$2:$I$1006,7,0)</f>
        <v>0</v>
      </c>
      <c r="I115" s="0" t="n">
        <f aca="false">$C115*VLOOKUP($B115,FoodDB!$A$2:$I$1006,8,0)</f>
        <v>0</v>
      </c>
      <c r="J115" s="0" t="n">
        <f aca="false">$C115*VLOOKUP($B115,FoodDB!$A$2:$I$1006,9,0)</f>
        <v>0</v>
      </c>
    </row>
    <row r="116" customFormat="false" ht="15" hidden="false" customHeight="false" outlineLevel="0" collapsed="false">
      <c r="A116" s="0" t="s">
        <v>88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92</v>
      </c>
      <c r="B117" s="0" t="s">
        <v>93</v>
      </c>
      <c r="E117" s="102"/>
      <c r="F117" s="102"/>
      <c r="G117" s="102" t="n">
        <f aca="false">VLOOKUP($A109,LossChart!$A$3:$AG$105,14,0)</f>
        <v>433.111977206537</v>
      </c>
      <c r="H117" s="102" t="n">
        <f aca="false">VLOOKUP($A109,LossChart!$A$3:$AG$105,15,0)</f>
        <v>80</v>
      </c>
      <c r="I117" s="102" t="n">
        <f aca="false">VLOOKUP($A109,LossChart!$A$3:$AG$105,16,0)</f>
        <v>482.474652711422</v>
      </c>
      <c r="J117" s="102" t="n">
        <f aca="false">VLOOKUP($A109,LossChart!$A$3:$AG$105,17,0)</f>
        <v>995.586629917959</v>
      </c>
      <c r="K117" s="102"/>
    </row>
    <row r="118" customFormat="false" ht="15" hidden="false" customHeight="false" outlineLevel="0" collapsed="false">
      <c r="A118" s="0" t="s">
        <v>94</v>
      </c>
      <c r="G118" s="0" t="n">
        <f aca="false">G117-G116</f>
        <v>-29.488022793463</v>
      </c>
      <c r="H118" s="0" t="n">
        <f aca="false">H117-H116</f>
        <v>27.4285714285714</v>
      </c>
      <c r="I118" s="0" t="n">
        <f aca="false">I117-I116</f>
        <v>-15.811061574292</v>
      </c>
      <c r="J118" s="0" t="n">
        <f aca="false">J117-J116</f>
        <v>-17.8705129391809</v>
      </c>
    </row>
    <row r="120" customFormat="false" ht="33.25" hidden="false" customHeight="false" outlineLevel="0" collapsed="false">
      <c r="A120" s="21" t="s">
        <v>63</v>
      </c>
      <c r="B120" s="21" t="s">
        <v>83</v>
      </c>
      <c r="C120" s="21" t="s">
        <v>84</v>
      </c>
      <c r="D120" s="96" t="str">
        <f aca="false">FoodDB!$C$1</f>
        <v>Fat
(g)</v>
      </c>
      <c r="E120" s="96" t="str">
        <f aca="false">FoodDB!$D$1</f>
        <v>Carbs
(g)</v>
      </c>
      <c r="F120" s="96" t="str">
        <f aca="false">FoodDB!$E$1</f>
        <v>Protein
(g)</v>
      </c>
      <c r="G120" s="96" t="str">
        <f aca="false">FoodDB!$F$1</f>
        <v>Fat
(Cal)</v>
      </c>
      <c r="H120" s="96" t="str">
        <f aca="false">FoodDB!$G$1</f>
        <v>Carb
(Cal)</v>
      </c>
      <c r="I120" s="96" t="str">
        <f aca="false">FoodDB!$H$1</f>
        <v>Protein
(Cal)</v>
      </c>
      <c r="J120" s="96" t="str">
        <f aca="false">FoodDB!$I$1</f>
        <v>Total
Calories</v>
      </c>
      <c r="K120" s="96"/>
      <c r="L120" s="96" t="s">
        <v>100</v>
      </c>
      <c r="M120" s="96" t="s">
        <v>101</v>
      </c>
      <c r="N120" s="96" t="s">
        <v>102</v>
      </c>
      <c r="O120" s="96" t="s">
        <v>103</v>
      </c>
      <c r="P120" s="96" t="s">
        <v>108</v>
      </c>
      <c r="Q120" s="96" t="s">
        <v>109</v>
      </c>
      <c r="R120" s="96" t="s">
        <v>110</v>
      </c>
      <c r="S120" s="96" t="s">
        <v>111</v>
      </c>
    </row>
    <row r="121" customFormat="false" ht="13.8" hidden="false" customHeight="false" outlineLevel="0" collapsed="false">
      <c r="A121" s="97" t="n">
        <f aca="false">A109+1</f>
        <v>43004</v>
      </c>
      <c r="B121" s="98" t="s">
        <v>115</v>
      </c>
      <c r="C121" s="99" t="n">
        <v>1</v>
      </c>
      <c r="D121" s="0" t="n">
        <f aca="false">$C121*VLOOKUP($B121,FoodDB!$A$2:$I$1006,3,0)</f>
        <v>1.5</v>
      </c>
      <c r="E121" s="0" t="n">
        <f aca="false">$C121*VLOOKUP($B121,FoodDB!$A$2:$I$1006,4,0)</f>
        <v>3</v>
      </c>
      <c r="F121" s="0" t="n">
        <f aca="false">$C121*VLOOKUP($B121,FoodDB!$A$2:$I$1006,5,0)</f>
        <v>25</v>
      </c>
      <c r="G121" s="0" t="n">
        <f aca="false">$C121*VLOOKUP($B121,FoodDB!$A$2:$I$1006,6,0)</f>
        <v>13.5</v>
      </c>
      <c r="H121" s="0" t="n">
        <f aca="false">$C121*VLOOKUP($B121,FoodDB!$A$2:$I$1006,7,0)</f>
        <v>12</v>
      </c>
      <c r="I121" s="0" t="n">
        <f aca="false">$C121*VLOOKUP($B121,FoodDB!$A$2:$I$1006,8,0)</f>
        <v>100</v>
      </c>
      <c r="J121" s="0" t="n">
        <f aca="false">$C121*VLOOKUP($B121,FoodDB!$A$2:$I$1006,9,0)</f>
        <v>125.5</v>
      </c>
      <c r="L121" s="0" t="n">
        <f aca="false">SUM(G121:G127)</f>
        <v>455.85</v>
      </c>
      <c r="M121" s="0" t="n">
        <f aca="false">SUM(H121:H127)</f>
        <v>48.5714285714286</v>
      </c>
      <c r="N121" s="0" t="n">
        <f aca="false">SUM(I121:I127)</f>
        <v>418.285714285714</v>
      </c>
      <c r="O121" s="0" t="n">
        <f aca="false">SUM(L121:N121)</f>
        <v>922.707142857143</v>
      </c>
      <c r="P121" s="102" t="n">
        <f aca="false">VLOOKUP($A121,LossChart!$A$3:$AG$105,14,0)-L121</f>
        <v>-14.8446799856893</v>
      </c>
      <c r="Q121" s="102" t="n">
        <f aca="false">VLOOKUP($A121,LossChart!$A$3:$AG$105,15,0)-M121</f>
        <v>31.4285714285714</v>
      </c>
      <c r="R121" s="102" t="n">
        <f aca="false">VLOOKUP($A121,LossChart!$A$3:$AG$105,16,0)-N121</f>
        <v>64.188938425708</v>
      </c>
      <c r="S121" s="102" t="n">
        <f aca="false">VLOOKUP($A121,LossChart!$A$3:$AG$105,17,0)-O121</f>
        <v>80.7728298685897</v>
      </c>
    </row>
    <row r="122" customFormat="false" ht="15" hidden="false" customHeight="false" outlineLevel="0" collapsed="false">
      <c r="B122" s="98" t="s">
        <v>85</v>
      </c>
      <c r="C122" s="99" t="n">
        <v>0.5</v>
      </c>
      <c r="D122" s="0" t="n">
        <f aca="false">$C122*VLOOKUP($B122,FoodDB!$A$2:$I$1006,3,0)</f>
        <v>0.25</v>
      </c>
      <c r="E122" s="0" t="n">
        <f aca="false">$C122*VLOOKUP($B122,FoodDB!$A$2:$I$1006,4,0)</f>
        <v>0</v>
      </c>
      <c r="F122" s="0" t="n">
        <f aca="false">$C122*VLOOKUP($B122,FoodDB!$A$2:$I$1006,5,0)</f>
        <v>25</v>
      </c>
      <c r="G122" s="0" t="n">
        <f aca="false">$C122*VLOOKUP($B122,FoodDB!$A$2:$I$1006,6,0)</f>
        <v>2.25</v>
      </c>
      <c r="H122" s="0" t="n">
        <f aca="false">$C122*VLOOKUP($B122,FoodDB!$A$2:$I$1006,7,0)</f>
        <v>0</v>
      </c>
      <c r="I122" s="0" t="n">
        <f aca="false">$C122*VLOOKUP($B122,FoodDB!$A$2:$I$1006,8,0)</f>
        <v>100</v>
      </c>
      <c r="J122" s="0" t="n">
        <f aca="false">$C122*VLOOKUP($B122,FoodDB!$A$2:$I$1006,9,0)</f>
        <v>102.25</v>
      </c>
    </row>
    <row r="123" customFormat="false" ht="15" hidden="false" customHeight="false" outlineLevel="0" collapsed="false">
      <c r="B123" s="98" t="s">
        <v>89</v>
      </c>
      <c r="C123" s="99" t="n">
        <v>5</v>
      </c>
      <c r="D123" s="0" t="n">
        <f aca="false">$C123*VLOOKUP($B123,FoodDB!$A$2:$I$1006,3,0)</f>
        <v>30.9</v>
      </c>
      <c r="E123" s="0" t="n">
        <f aca="false">$C123*VLOOKUP($B123,FoodDB!$A$2:$I$1006,4,0)</f>
        <v>0</v>
      </c>
      <c r="F123" s="0" t="n">
        <f aca="false">$C123*VLOOKUP($B123,FoodDB!$A$2:$I$1006,5,0)</f>
        <v>42.6</v>
      </c>
      <c r="G123" s="0" t="n">
        <f aca="false">$C123*VLOOKUP($B123,FoodDB!$A$2:$I$1006,6,0)</f>
        <v>278.1</v>
      </c>
      <c r="H123" s="0" t="n">
        <f aca="false">$C123*VLOOKUP($B123,FoodDB!$A$2:$I$1006,7,0)</f>
        <v>0</v>
      </c>
      <c r="I123" s="0" t="n">
        <f aca="false">$C123*VLOOKUP($B123,FoodDB!$A$2:$I$1006,8,0)</f>
        <v>170.4</v>
      </c>
      <c r="J123" s="0" t="n">
        <f aca="false">$C123*VLOOKUP($B123,FoodDB!$A$2:$I$1006,9,0)</f>
        <v>448.5</v>
      </c>
    </row>
    <row r="124" customFormat="false" ht="13.8" hidden="false" customHeight="false" outlineLevel="0" collapsed="false">
      <c r="B124" s="98" t="s">
        <v>86</v>
      </c>
      <c r="C124" s="99" t="n">
        <v>8</v>
      </c>
      <c r="D124" s="0" t="n">
        <f aca="false">$C124*VLOOKUP($B124,FoodDB!$A$2:$I$1006,3,0)</f>
        <v>0</v>
      </c>
      <c r="E124" s="0" t="n">
        <f aca="false">$C124*VLOOKUP($B124,FoodDB!$A$2:$I$1006,4,0)</f>
        <v>5.14285714285714</v>
      </c>
      <c r="F124" s="0" t="n">
        <f aca="false">$C124*VLOOKUP($B124,FoodDB!$A$2:$I$1006,5,0)</f>
        <v>2.57142857142857</v>
      </c>
      <c r="G124" s="0" t="n">
        <f aca="false">$C124*VLOOKUP($B124,FoodDB!$A$2:$I$1006,6,0)</f>
        <v>0</v>
      </c>
      <c r="H124" s="0" t="n">
        <f aca="false">$C124*VLOOKUP($B124,FoodDB!$A$2:$I$1006,7,0)</f>
        <v>20.5714285714286</v>
      </c>
      <c r="I124" s="0" t="n">
        <f aca="false">$C124*VLOOKUP($B124,FoodDB!$A$2:$I$1006,8,0)</f>
        <v>10.2857142857143</v>
      </c>
      <c r="J124" s="0" t="n">
        <f aca="false">$C124*VLOOKUP($B124,FoodDB!$A$2:$I$1006,9,0)</f>
        <v>30.8571428571429</v>
      </c>
    </row>
    <row r="125" customFormat="false" ht="13.8" hidden="false" customHeight="false" outlineLevel="0" collapsed="false">
      <c r="B125" s="98" t="s">
        <v>87</v>
      </c>
      <c r="C125" s="99" t="n">
        <v>2</v>
      </c>
      <c r="D125" s="0" t="n">
        <f aca="false">$C125*VLOOKUP($B125,FoodDB!$A$2:$I$1006,3,0)</f>
        <v>18</v>
      </c>
      <c r="E125" s="0" t="n">
        <f aca="false">$C125*VLOOKUP($B125,FoodDB!$A$2:$I$1006,4,0)</f>
        <v>4</v>
      </c>
      <c r="F125" s="0" t="n">
        <f aca="false">$C125*VLOOKUP($B125,FoodDB!$A$2:$I$1006,5,0)</f>
        <v>9.4</v>
      </c>
      <c r="G125" s="0" t="n">
        <f aca="false">$C125*VLOOKUP($B125,FoodDB!$A$2:$I$1006,6,0)</f>
        <v>162</v>
      </c>
      <c r="H125" s="0" t="n">
        <f aca="false">$C125*VLOOKUP($B125,FoodDB!$A$2:$I$1006,7,0)</f>
        <v>16</v>
      </c>
      <c r="I125" s="0" t="n">
        <f aca="false">$C125*VLOOKUP($B125,FoodDB!$A$2:$I$1006,8,0)</f>
        <v>37.6</v>
      </c>
      <c r="J125" s="0" t="n">
        <f aca="false">$C125*VLOOKUP($B125,FoodDB!$A$2:$I$1006,9,0)</f>
        <v>215.6</v>
      </c>
    </row>
    <row r="126" customFormat="false" ht="15" hidden="false" customHeight="false" outlineLevel="0" collapsed="false">
      <c r="B126" s="98" t="s">
        <v>98</v>
      </c>
      <c r="C126" s="99" t="n">
        <v>0</v>
      </c>
      <c r="D126" s="0" t="n">
        <f aca="false">$C126*VLOOKUP($B126,FoodDB!$A$2:$I$1006,3,0)</f>
        <v>0</v>
      </c>
      <c r="E126" s="0" t="n">
        <f aca="false">$C126*VLOOKUP($B126,FoodDB!$A$2:$I$1006,4,0)</f>
        <v>0</v>
      </c>
      <c r="F126" s="0" t="n">
        <f aca="false">$C126*VLOOKUP($B126,FoodDB!$A$2:$I$1006,5,0)</f>
        <v>0</v>
      </c>
      <c r="G126" s="0" t="n">
        <f aca="false">$C126*VLOOKUP($B126,FoodDB!$A$2:$I$1006,6,0)</f>
        <v>0</v>
      </c>
      <c r="H126" s="0" t="n">
        <f aca="false">$C126*VLOOKUP($B126,FoodDB!$A$2:$I$1006,7,0)</f>
        <v>0</v>
      </c>
      <c r="I126" s="0" t="n">
        <f aca="false">$C126*VLOOKUP($B126,FoodDB!$A$2:$I$1006,8,0)</f>
        <v>0</v>
      </c>
      <c r="J126" s="0" t="n">
        <f aca="false">$C126*VLOOKUP($B126,FoodDB!$A$2:$I$1006,9,0)</f>
        <v>0</v>
      </c>
    </row>
    <row r="127" customFormat="false" ht="15" hidden="false" customHeight="false" outlineLevel="0" collapsed="false">
      <c r="B127" s="98" t="s">
        <v>98</v>
      </c>
      <c r="C127" s="99" t="n">
        <v>0</v>
      </c>
      <c r="D127" s="0" t="n">
        <f aca="false">$C127*VLOOKUP($B127,FoodDB!$A$2:$I$1006,3,0)</f>
        <v>0</v>
      </c>
      <c r="E127" s="0" t="n">
        <f aca="false">$C127*VLOOKUP($B127,FoodDB!$A$2:$I$1006,4,0)</f>
        <v>0</v>
      </c>
      <c r="F127" s="0" t="n">
        <f aca="false">$C127*VLOOKUP($B127,FoodDB!$A$2:$I$1006,5,0)</f>
        <v>0</v>
      </c>
      <c r="G127" s="0" t="n">
        <f aca="false">$C127*VLOOKUP($B127,FoodDB!$A$2:$I$1006,6,0)</f>
        <v>0</v>
      </c>
      <c r="H127" s="0" t="n">
        <f aca="false">$C127*VLOOKUP($B127,FoodDB!$A$2:$I$1006,7,0)</f>
        <v>0</v>
      </c>
      <c r="I127" s="0" t="n">
        <f aca="false">$C127*VLOOKUP($B127,FoodDB!$A$2:$I$1006,8,0)</f>
        <v>0</v>
      </c>
      <c r="J127" s="0" t="n">
        <f aca="false">$C127*VLOOKUP($B127,FoodDB!$A$2:$I$1006,9,0)</f>
        <v>0</v>
      </c>
    </row>
    <row r="129" customFormat="false" ht="32.8" hidden="false" customHeight="false" outlineLevel="0" collapsed="false">
      <c r="A129" s="21" t="s">
        <v>63</v>
      </c>
      <c r="B129" s="21" t="s">
        <v>83</v>
      </c>
      <c r="C129" s="21" t="s">
        <v>84</v>
      </c>
      <c r="D129" s="96" t="str">
        <f aca="false">FoodDB!$C$1</f>
        <v>Fat
(g)</v>
      </c>
      <c r="E129" s="96" t="str">
        <f aca="false">FoodDB!$D$1</f>
        <v>Carbs
(g)</v>
      </c>
      <c r="F129" s="96" t="str">
        <f aca="false">FoodDB!$E$1</f>
        <v>Protein
(g)</v>
      </c>
      <c r="G129" s="96" t="str">
        <f aca="false">FoodDB!$F$1</f>
        <v>Fat
(Cal)</v>
      </c>
      <c r="H129" s="96" t="str">
        <f aca="false">FoodDB!$G$1</f>
        <v>Carb
(Cal)</v>
      </c>
      <c r="I129" s="96" t="str">
        <f aca="false">FoodDB!$H$1</f>
        <v>Protein
(Cal)</v>
      </c>
      <c r="J129" s="96" t="str">
        <f aca="false">FoodDB!$I$1</f>
        <v>Total
Calories</v>
      </c>
      <c r="K129" s="96"/>
      <c r="L129" s="96" t="s">
        <v>100</v>
      </c>
      <c r="M129" s="96" t="s">
        <v>101</v>
      </c>
      <c r="N129" s="96" t="s">
        <v>102</v>
      </c>
      <c r="O129" s="96" t="s">
        <v>103</v>
      </c>
      <c r="P129" s="96" t="s">
        <v>108</v>
      </c>
      <c r="Q129" s="96" t="s">
        <v>109</v>
      </c>
      <c r="R129" s="96" t="s">
        <v>110</v>
      </c>
      <c r="S129" s="96" t="s">
        <v>111</v>
      </c>
      <c r="T129" s="96"/>
      <c r="U129" s="96"/>
      <c r="V129" s="96"/>
      <c r="W129" s="96"/>
    </row>
    <row r="130" customFormat="false" ht="13.8" hidden="false" customHeight="false" outlineLevel="0" collapsed="false">
      <c r="A130" s="97" t="n">
        <f aca="false">A121+1</f>
        <v>43005</v>
      </c>
      <c r="B130" s="98" t="s">
        <v>98</v>
      </c>
      <c r="C130" s="99" t="n">
        <v>0</v>
      </c>
      <c r="D130" s="0" t="n">
        <f aca="false">$C130*VLOOKUP($B130,FoodDB!$A$2:$I$1006,3,0)</f>
        <v>0</v>
      </c>
      <c r="E130" s="0" t="n">
        <f aca="false">$C130*VLOOKUP($B130,FoodDB!$A$2:$I$1006,4,0)</f>
        <v>0</v>
      </c>
      <c r="F130" s="0" t="n">
        <f aca="false">$C130*VLOOKUP($B130,FoodDB!$A$2:$I$1006,5,0)</f>
        <v>0</v>
      </c>
      <c r="G130" s="0" t="n">
        <f aca="false">$C130*VLOOKUP($B130,FoodDB!$A$2:$I$1006,6,0)</f>
        <v>0</v>
      </c>
      <c r="H130" s="0" t="n">
        <f aca="false">$C130*VLOOKUP($B130,FoodDB!$A$2:$I$1006,7,0)</f>
        <v>0</v>
      </c>
      <c r="I130" s="0" t="n">
        <f aca="false">$C130*VLOOKUP($B130,FoodDB!$A$2:$I$1006,8,0)</f>
        <v>0</v>
      </c>
      <c r="J130" s="0" t="n">
        <f aca="false">$C130*VLOOKUP($B130,FoodDB!$A$2:$I$1006,9,0)</f>
        <v>0</v>
      </c>
      <c r="L130" s="0" t="n">
        <f aca="false">SUM(G130:G136)</f>
        <v>0</v>
      </c>
      <c r="M130" s="0" t="n">
        <f aca="false">SUM(H130:H136)</f>
        <v>0</v>
      </c>
      <c r="N130" s="0" t="n">
        <f aca="false">SUM(I130:I136)</f>
        <v>0</v>
      </c>
      <c r="O130" s="0" t="n">
        <f aca="false">SUM(L130:N130)</f>
        <v>0</v>
      </c>
      <c r="P130" s="102" t="n">
        <f aca="false">VLOOKUP($A130,LossChart!$A$3:$AG$105,14,0)-L130</f>
        <v>448.305743436828</v>
      </c>
      <c r="Q130" s="102" t="n">
        <f aca="false">VLOOKUP($A130,LossChart!$A$3:$AG$105,15,0)-M130</f>
        <v>80</v>
      </c>
      <c r="R130" s="102" t="n">
        <f aca="false">VLOOKUP($A130,LossChart!$A$3:$AG$105,16,0)-N130</f>
        <v>482.474652711422</v>
      </c>
      <c r="S130" s="102" t="n">
        <f aca="false">VLOOKUP($A130,LossChart!$A$3:$AG$105,17,0)-O130</f>
        <v>1010.78039614825</v>
      </c>
      <c r="T130" s="102"/>
      <c r="U130" s="102"/>
      <c r="V130" s="102"/>
      <c r="W130" s="102"/>
    </row>
    <row r="131" customFormat="false" ht="15" hidden="false" customHeight="false" outlineLevel="0" collapsed="false">
      <c r="B131" s="98" t="s">
        <v>98</v>
      </c>
      <c r="C131" s="99" t="n">
        <v>0</v>
      </c>
      <c r="D131" s="0" t="n">
        <f aca="false">$C131*VLOOKUP($B131,FoodDB!$A$2:$I$1006,3,0)</f>
        <v>0</v>
      </c>
      <c r="E131" s="0" t="n">
        <f aca="false">$C131*VLOOKUP($B131,FoodDB!$A$2:$I$1006,4,0)</f>
        <v>0</v>
      </c>
      <c r="F131" s="0" t="n">
        <f aca="false">$C131*VLOOKUP($B131,FoodDB!$A$2:$I$1006,5,0)</f>
        <v>0</v>
      </c>
      <c r="G131" s="0" t="n">
        <f aca="false">$C131*VLOOKUP($B131,FoodDB!$A$2:$I$1006,6,0)</f>
        <v>0</v>
      </c>
      <c r="H131" s="0" t="n">
        <f aca="false">$C131*VLOOKUP($B131,FoodDB!$A$2:$I$1006,7,0)</f>
        <v>0</v>
      </c>
      <c r="I131" s="0" t="n">
        <f aca="false">$C131*VLOOKUP($B131,FoodDB!$A$2:$I$1006,8,0)</f>
        <v>0</v>
      </c>
      <c r="J131" s="0" t="n">
        <f aca="false">$C131*VLOOKUP($B131,FoodDB!$A$2:$I$1006,9,0)</f>
        <v>0</v>
      </c>
    </row>
    <row r="132" customFormat="false" ht="15" hidden="false" customHeight="false" outlineLevel="0" collapsed="false">
      <c r="B132" s="98" t="s">
        <v>98</v>
      </c>
      <c r="C132" s="99" t="n">
        <v>0</v>
      </c>
      <c r="D132" s="0" t="n">
        <f aca="false">$C132*VLOOKUP($B132,FoodDB!$A$2:$I$1006,3,0)</f>
        <v>0</v>
      </c>
      <c r="E132" s="0" t="n">
        <f aca="false">$C132*VLOOKUP($B132,FoodDB!$A$2:$I$1006,4,0)</f>
        <v>0</v>
      </c>
      <c r="F132" s="0" t="n">
        <f aca="false">$C132*VLOOKUP($B132,FoodDB!$A$2:$I$1006,5,0)</f>
        <v>0</v>
      </c>
      <c r="G132" s="0" t="n">
        <f aca="false">$C132*VLOOKUP($B132,FoodDB!$A$2:$I$1006,6,0)</f>
        <v>0</v>
      </c>
      <c r="H132" s="0" t="n">
        <f aca="false">$C132*VLOOKUP($B132,FoodDB!$A$2:$I$1006,7,0)</f>
        <v>0</v>
      </c>
      <c r="I132" s="0" t="n">
        <f aca="false">$C132*VLOOKUP($B132,FoodDB!$A$2:$I$1006,8,0)</f>
        <v>0</v>
      </c>
      <c r="J132" s="0" t="n">
        <f aca="false">$C132*VLOOKUP($B132,FoodDB!$A$2:$I$1006,9,0)</f>
        <v>0</v>
      </c>
    </row>
    <row r="133" customFormat="false" ht="15" hidden="false" customHeight="false" outlineLevel="0" collapsed="false">
      <c r="B133" s="98" t="s">
        <v>98</v>
      </c>
      <c r="C133" s="99" t="n">
        <v>0</v>
      </c>
      <c r="D133" s="0" t="n">
        <f aca="false">$C133*VLOOKUP($B133,FoodDB!$A$2:$I$1006,3,0)</f>
        <v>0</v>
      </c>
      <c r="E133" s="0" t="n">
        <f aca="false">$C133*VLOOKUP($B133,FoodDB!$A$2:$I$1006,4,0)</f>
        <v>0</v>
      </c>
      <c r="F133" s="0" t="n">
        <f aca="false">$C133*VLOOKUP($B133,FoodDB!$A$2:$I$1006,5,0)</f>
        <v>0</v>
      </c>
      <c r="G133" s="0" t="n">
        <f aca="false">$C133*VLOOKUP($B133,FoodDB!$A$2:$I$1006,6,0)</f>
        <v>0</v>
      </c>
      <c r="H133" s="0" t="n">
        <f aca="false">$C133*VLOOKUP($B133,FoodDB!$A$2:$I$1006,7,0)</f>
        <v>0</v>
      </c>
      <c r="I133" s="0" t="n">
        <f aca="false">$C133*VLOOKUP($B133,FoodDB!$A$2:$I$1006,8,0)</f>
        <v>0</v>
      </c>
      <c r="J133" s="0" t="n">
        <f aca="false">$C133*VLOOKUP($B133,FoodDB!$A$2:$I$1006,9,0)</f>
        <v>0</v>
      </c>
    </row>
    <row r="134" customFormat="false" ht="15" hidden="false" customHeight="false" outlineLevel="0" collapsed="false">
      <c r="B134" s="98" t="s">
        <v>98</v>
      </c>
      <c r="C134" s="99" t="n">
        <v>0</v>
      </c>
      <c r="D134" s="0" t="n">
        <f aca="false">$C134*VLOOKUP($B134,FoodDB!$A$2:$I$1006,3,0)</f>
        <v>0</v>
      </c>
      <c r="E134" s="0" t="n">
        <f aca="false">$C134*VLOOKUP($B134,FoodDB!$A$2:$I$1006,4,0)</f>
        <v>0</v>
      </c>
      <c r="F134" s="0" t="n">
        <f aca="false">$C134*VLOOKUP($B134,FoodDB!$A$2:$I$1006,5,0)</f>
        <v>0</v>
      </c>
      <c r="G134" s="0" t="n">
        <f aca="false">$C134*VLOOKUP($B134,FoodDB!$A$2:$I$1006,6,0)</f>
        <v>0</v>
      </c>
      <c r="H134" s="0" t="n">
        <f aca="false">$C134*VLOOKUP($B134,FoodDB!$A$2:$I$1006,7,0)</f>
        <v>0</v>
      </c>
      <c r="I134" s="0" t="n">
        <f aca="false">$C134*VLOOKUP($B134,FoodDB!$A$2:$I$1006,8,0)</f>
        <v>0</v>
      </c>
      <c r="J134" s="0" t="n">
        <f aca="false">$C134*VLOOKUP($B134,FoodDB!$A$2:$I$1006,9,0)</f>
        <v>0</v>
      </c>
    </row>
    <row r="135" customFormat="false" ht="15" hidden="false" customHeight="false" outlineLevel="0" collapsed="false">
      <c r="B135" s="98" t="s">
        <v>98</v>
      </c>
      <c r="C135" s="99" t="n">
        <v>0</v>
      </c>
      <c r="D135" s="0" t="n">
        <f aca="false">$C135*VLOOKUP($B135,FoodDB!$A$2:$I$1006,3,0)</f>
        <v>0</v>
      </c>
      <c r="E135" s="0" t="n">
        <f aca="false">$C135*VLOOKUP($B135,FoodDB!$A$2:$I$1006,4,0)</f>
        <v>0</v>
      </c>
      <c r="F135" s="0" t="n">
        <f aca="false">$C135*VLOOKUP($B135,FoodDB!$A$2:$I$1006,5,0)</f>
        <v>0</v>
      </c>
      <c r="G135" s="0" t="n">
        <f aca="false">$C135*VLOOKUP($B135,FoodDB!$A$2:$I$1006,6,0)</f>
        <v>0</v>
      </c>
      <c r="H135" s="0" t="n">
        <f aca="false">$C135*VLOOKUP($B135,FoodDB!$A$2:$I$1006,7,0)</f>
        <v>0</v>
      </c>
      <c r="I135" s="0" t="n">
        <f aca="false">$C135*VLOOKUP($B135,FoodDB!$A$2:$I$1006,8,0)</f>
        <v>0</v>
      </c>
      <c r="J135" s="0" t="n">
        <f aca="false">$C135*VLOOKUP($B135,FoodDB!$A$2:$I$1006,9,0)</f>
        <v>0</v>
      </c>
    </row>
    <row r="136" customFormat="false" ht="15" hidden="false" customHeight="false" outlineLevel="0" collapsed="false">
      <c r="B136" s="98" t="s">
        <v>98</v>
      </c>
      <c r="C136" s="99" t="n">
        <v>0</v>
      </c>
      <c r="D136" s="0" t="n">
        <f aca="false">$C136*VLOOKUP($B136,FoodDB!$A$2:$I$1006,3,0)</f>
        <v>0</v>
      </c>
      <c r="E136" s="0" t="n">
        <f aca="false">$C136*VLOOKUP($B136,FoodDB!$A$2:$I$1006,4,0)</f>
        <v>0</v>
      </c>
      <c r="F136" s="0" t="n">
        <f aca="false">$C136*VLOOKUP($B136,FoodDB!$A$2:$I$1006,5,0)</f>
        <v>0</v>
      </c>
      <c r="G136" s="0" t="n">
        <f aca="false">$C136*VLOOKUP($B136,FoodDB!$A$2:$I$1006,6,0)</f>
        <v>0</v>
      </c>
      <c r="H136" s="0" t="n">
        <f aca="false">$C136*VLOOKUP($B136,FoodDB!$A$2:$I$1006,7,0)</f>
        <v>0</v>
      </c>
      <c r="I136" s="0" t="n">
        <f aca="false">$C136*VLOOKUP($B136,FoodDB!$A$2:$I$1006,8,0)</f>
        <v>0</v>
      </c>
      <c r="J136" s="0" t="n">
        <f aca="false">$C136*VLOOKUP($B136,FoodDB!$A$2:$I$1006,9,0)</f>
        <v>0</v>
      </c>
    </row>
    <row r="137" customFormat="false" ht="15" hidden="false" customHeight="false" outlineLevel="0" collapsed="false">
      <c r="A137" s="0" t="s">
        <v>88</v>
      </c>
      <c r="G137" s="0" t="n">
        <f aca="false">SUM(G130:G136)</f>
        <v>0</v>
      </c>
      <c r="H137" s="0" t="n">
        <f aca="false">SUM(H130:H136)</f>
        <v>0</v>
      </c>
      <c r="I137" s="0" t="n">
        <f aca="false">SUM(I130:I136)</f>
        <v>0</v>
      </c>
      <c r="J137" s="0" t="n">
        <f aca="false">SUM(G137:I137)</f>
        <v>0</v>
      </c>
    </row>
    <row r="138" customFormat="false" ht="15" hidden="false" customHeight="false" outlineLevel="0" collapsed="false">
      <c r="A138" s="0" t="s">
        <v>92</v>
      </c>
      <c r="B138" s="0" t="s">
        <v>93</v>
      </c>
      <c r="E138" s="102"/>
      <c r="F138" s="102"/>
      <c r="G138" s="102" t="n">
        <f aca="false">VLOOKUP($A130,LossChart!$A$3:$AG$105,14,0)</f>
        <v>448.305743436828</v>
      </c>
      <c r="H138" s="102" t="n">
        <f aca="false">VLOOKUP($A130,LossChart!$A$3:$AG$105,15,0)</f>
        <v>80</v>
      </c>
      <c r="I138" s="102" t="n">
        <f aca="false">VLOOKUP($A130,LossChart!$A$3:$AG$105,16,0)</f>
        <v>482.474652711422</v>
      </c>
      <c r="J138" s="102" t="n">
        <f aca="false">VLOOKUP($A130,LossChart!$A$3:$AG$105,17,0)</f>
        <v>1010.78039614825</v>
      </c>
      <c r="K138" s="102"/>
    </row>
    <row r="139" customFormat="false" ht="15" hidden="false" customHeight="false" outlineLevel="0" collapsed="false">
      <c r="A139" s="0" t="s">
        <v>94</v>
      </c>
      <c r="G139" s="0" t="n">
        <f aca="false">G138-G137</f>
        <v>448.305743436828</v>
      </c>
      <c r="H139" s="0" t="n">
        <f aca="false">H138-H137</f>
        <v>80</v>
      </c>
      <c r="I139" s="0" t="n">
        <f aca="false">I138-I137</f>
        <v>482.474652711422</v>
      </c>
      <c r="J139" s="0" t="n">
        <f aca="false">J138-J137</f>
        <v>1010.78039614825</v>
      </c>
    </row>
    <row r="141" customFormat="false" ht="33.25" hidden="false" customHeight="false" outlineLevel="0" collapsed="false">
      <c r="A141" s="21" t="s">
        <v>63</v>
      </c>
      <c r="B141" s="21" t="s">
        <v>83</v>
      </c>
      <c r="C141" s="21" t="s">
        <v>84</v>
      </c>
      <c r="D141" s="96" t="str">
        <f aca="false">FoodDB!$C$1</f>
        <v>Fat
(g)</v>
      </c>
      <c r="E141" s="96" t="str">
        <f aca="false">FoodDB!$D$1</f>
        <v>Carbs
(g)</v>
      </c>
      <c r="F141" s="96" t="str">
        <f aca="false">FoodDB!$E$1</f>
        <v>Protein
(g)</v>
      </c>
      <c r="G141" s="96" t="str">
        <f aca="false">FoodDB!$F$1</f>
        <v>Fat
(Cal)</v>
      </c>
      <c r="H141" s="96" t="str">
        <f aca="false">FoodDB!$G$1</f>
        <v>Carb
(Cal)</v>
      </c>
      <c r="I141" s="96" t="str">
        <f aca="false">FoodDB!$H$1</f>
        <v>Protein
(Cal)</v>
      </c>
      <c r="J141" s="96" t="str">
        <f aca="false">FoodDB!$I$1</f>
        <v>Total
Calories</v>
      </c>
      <c r="K141" s="96"/>
      <c r="L141" s="96" t="s">
        <v>100</v>
      </c>
      <c r="M141" s="96" t="s">
        <v>101</v>
      </c>
      <c r="N141" s="96" t="s">
        <v>102</v>
      </c>
      <c r="O141" s="96" t="s">
        <v>103</v>
      </c>
      <c r="P141" s="96" t="s">
        <v>108</v>
      </c>
      <c r="Q141" s="96" t="s">
        <v>109</v>
      </c>
      <c r="R141" s="96" t="s">
        <v>110</v>
      </c>
      <c r="S141" s="96" t="s">
        <v>111</v>
      </c>
      <c r="T141" s="96"/>
      <c r="U141" s="96"/>
      <c r="V141" s="96"/>
      <c r="W141" s="96"/>
    </row>
    <row r="142" customFormat="false" ht="13.8" hidden="false" customHeight="false" outlineLevel="0" collapsed="false">
      <c r="A142" s="97" t="n">
        <f aca="false">A130+1</f>
        <v>43006</v>
      </c>
      <c r="B142" s="98" t="s">
        <v>98</v>
      </c>
      <c r="C142" s="99" t="n">
        <v>0</v>
      </c>
      <c r="D142" s="0" t="n">
        <f aca="false">$C142*VLOOKUP($B142,FoodDB!$A$2:$I$1006,3,0)</f>
        <v>0</v>
      </c>
      <c r="E142" s="0" t="n">
        <f aca="false">$C142*VLOOKUP($B142,FoodDB!$A$2:$I$1006,4,0)</f>
        <v>0</v>
      </c>
      <c r="F142" s="0" t="n">
        <f aca="false">$C142*VLOOKUP($B142,FoodDB!$A$2:$I$1006,5,0)</f>
        <v>0</v>
      </c>
      <c r="G142" s="0" t="n">
        <f aca="false">$C142*VLOOKUP($B142,FoodDB!$A$2:$I$1006,6,0)</f>
        <v>0</v>
      </c>
      <c r="H142" s="0" t="n">
        <f aca="false">$C142*VLOOKUP($B142,FoodDB!$A$2:$I$1006,7,0)</f>
        <v>0</v>
      </c>
      <c r="I142" s="0" t="n">
        <f aca="false">$C142*VLOOKUP($B142,FoodDB!$A$2:$I$1006,8,0)</f>
        <v>0</v>
      </c>
      <c r="J142" s="0" t="n">
        <f aca="false">$C142*VLOOKUP($B142,FoodDB!$A$2:$I$1006,9,0)</f>
        <v>0</v>
      </c>
      <c r="L142" s="0" t="n">
        <f aca="false">SUM(G142:G148)</f>
        <v>0</v>
      </c>
      <c r="M142" s="0" t="n">
        <f aca="false">SUM(H142:H148)</f>
        <v>0</v>
      </c>
      <c r="N142" s="0" t="n">
        <f aca="false">SUM(I142:I148)</f>
        <v>0</v>
      </c>
      <c r="O142" s="0" t="n">
        <f aca="false">SUM(L142:N142)</f>
        <v>0</v>
      </c>
      <c r="P142" s="102" t="n">
        <f aca="false">VLOOKUP($A142,LossChart!$A$3:$AG$105,14,0)-L142</f>
        <v>450.610606633969</v>
      </c>
      <c r="Q142" s="102" t="n">
        <f aca="false">VLOOKUP($A142,LossChart!$A$3:$AG$105,15,0)-M142</f>
        <v>80</v>
      </c>
      <c r="R142" s="102" t="n">
        <f aca="false">VLOOKUP($A142,LossChart!$A$3:$AG$105,16,0)-N142</f>
        <v>482.474652711422</v>
      </c>
      <c r="S142" s="102" t="n">
        <f aca="false">VLOOKUP($A142,LossChart!$A$3:$AG$105,17,0)-O142</f>
        <v>1013.08525934539</v>
      </c>
      <c r="T142" s="102"/>
      <c r="U142" s="102"/>
      <c r="V142" s="102"/>
      <c r="W142" s="102"/>
    </row>
    <row r="143" customFormat="false" ht="13.8" hidden="false" customHeight="false" outlineLevel="0" collapsed="false">
      <c r="B143" s="98" t="s">
        <v>98</v>
      </c>
      <c r="C143" s="99" t="n">
        <v>0</v>
      </c>
      <c r="D143" s="0" t="n">
        <f aca="false">$C143*VLOOKUP($B143,FoodDB!$A$2:$I$1006,3,0)</f>
        <v>0</v>
      </c>
      <c r="E143" s="0" t="n">
        <f aca="false">$C143*VLOOKUP($B143,FoodDB!$A$2:$I$1006,4,0)</f>
        <v>0</v>
      </c>
      <c r="F143" s="0" t="n">
        <f aca="false">$C143*VLOOKUP($B143,FoodDB!$A$2:$I$1006,5,0)</f>
        <v>0</v>
      </c>
      <c r="G143" s="0" t="n">
        <f aca="false">$C143*VLOOKUP($B143,FoodDB!$A$2:$I$1006,6,0)</f>
        <v>0</v>
      </c>
      <c r="H143" s="0" t="n">
        <f aca="false">$C143*VLOOKUP($B143,FoodDB!$A$2:$I$1006,7,0)</f>
        <v>0</v>
      </c>
      <c r="I143" s="0" t="n">
        <f aca="false">$C143*VLOOKUP($B143,FoodDB!$A$2:$I$1006,8,0)</f>
        <v>0</v>
      </c>
      <c r="J143" s="0" t="n">
        <f aca="false">$C143*VLOOKUP($B143,FoodDB!$A$2:$I$1006,9,0)</f>
        <v>0</v>
      </c>
    </row>
    <row r="144" customFormat="false" ht="13.8" hidden="false" customHeight="false" outlineLevel="0" collapsed="false">
      <c r="B144" s="98" t="s">
        <v>98</v>
      </c>
      <c r="C144" s="99" t="n">
        <v>0</v>
      </c>
      <c r="D144" s="0" t="n">
        <f aca="false">$C144*VLOOKUP($B144,FoodDB!$A$2:$I$1006,3,0)</f>
        <v>0</v>
      </c>
      <c r="E144" s="0" t="n">
        <f aca="false">$C144*VLOOKUP($B144,FoodDB!$A$2:$I$1006,4,0)</f>
        <v>0</v>
      </c>
      <c r="F144" s="0" t="n">
        <f aca="false">$C144*VLOOKUP($B144,FoodDB!$A$2:$I$1006,5,0)</f>
        <v>0</v>
      </c>
      <c r="G144" s="0" t="n">
        <f aca="false">$C144*VLOOKUP($B144,FoodDB!$A$2:$I$1006,6,0)</f>
        <v>0</v>
      </c>
      <c r="H144" s="0" t="n">
        <f aca="false">$C144*VLOOKUP($B144,FoodDB!$A$2:$I$1006,7,0)</f>
        <v>0</v>
      </c>
      <c r="I144" s="0" t="n">
        <f aca="false">$C144*VLOOKUP($B144,FoodDB!$A$2:$I$1006,8,0)</f>
        <v>0</v>
      </c>
      <c r="J144" s="0" t="n">
        <f aca="false">$C144*VLOOKUP($B144,FoodDB!$A$2:$I$1006,9,0)</f>
        <v>0</v>
      </c>
    </row>
    <row r="145" customFormat="false" ht="13.8" hidden="false" customHeight="false" outlineLevel="0" collapsed="false">
      <c r="B145" s="98" t="s">
        <v>98</v>
      </c>
      <c r="C145" s="99" t="n">
        <v>0</v>
      </c>
      <c r="D145" s="0" t="n">
        <f aca="false">$C145*VLOOKUP($B145,FoodDB!$A$2:$I$1006,3,0)</f>
        <v>0</v>
      </c>
      <c r="E145" s="0" t="n">
        <f aca="false">$C145*VLOOKUP($B145,FoodDB!$A$2:$I$1006,4,0)</f>
        <v>0</v>
      </c>
      <c r="F145" s="0" t="n">
        <f aca="false">$C145*VLOOKUP($B145,FoodDB!$A$2:$I$1006,5,0)</f>
        <v>0</v>
      </c>
      <c r="G145" s="0" t="n">
        <f aca="false">$C145*VLOOKUP($B145,FoodDB!$A$2:$I$1006,6,0)</f>
        <v>0</v>
      </c>
      <c r="H145" s="0" t="n">
        <f aca="false">$C145*VLOOKUP($B145,FoodDB!$A$2:$I$1006,7,0)</f>
        <v>0</v>
      </c>
      <c r="I145" s="0" t="n">
        <f aca="false">$C145*VLOOKUP($B145,FoodDB!$A$2:$I$1006,8,0)</f>
        <v>0</v>
      </c>
      <c r="J145" s="0" t="n">
        <f aca="false">$C145*VLOOKUP($B145,FoodDB!$A$2:$I$1006,9,0)</f>
        <v>0</v>
      </c>
    </row>
    <row r="146" customFormat="false" ht="13.8" hidden="false" customHeight="false" outlineLevel="0" collapsed="false">
      <c r="B146" s="98" t="s">
        <v>98</v>
      </c>
      <c r="C146" s="99" t="n">
        <v>0</v>
      </c>
      <c r="D146" s="0" t="n">
        <f aca="false">$C146*VLOOKUP($B146,FoodDB!$A$2:$I$1006,3,0)</f>
        <v>0</v>
      </c>
      <c r="E146" s="0" t="n">
        <f aca="false">$C146*VLOOKUP($B146,FoodDB!$A$2:$I$1006,4,0)</f>
        <v>0</v>
      </c>
      <c r="F146" s="0" t="n">
        <f aca="false">$C146*VLOOKUP($B146,FoodDB!$A$2:$I$1006,5,0)</f>
        <v>0</v>
      </c>
      <c r="G146" s="0" t="n">
        <f aca="false">$C146*VLOOKUP($B146,FoodDB!$A$2:$I$1006,6,0)</f>
        <v>0</v>
      </c>
      <c r="H146" s="0" t="n">
        <f aca="false">$C146*VLOOKUP($B146,FoodDB!$A$2:$I$1006,7,0)</f>
        <v>0</v>
      </c>
      <c r="I146" s="0" t="n">
        <f aca="false">$C146*VLOOKUP($B146,FoodDB!$A$2:$I$1006,8,0)</f>
        <v>0</v>
      </c>
      <c r="J146" s="0" t="n">
        <f aca="false">$C146*VLOOKUP($B146,FoodDB!$A$2:$I$1006,9,0)</f>
        <v>0</v>
      </c>
    </row>
    <row r="147" customFormat="false" ht="13.8" hidden="false" customHeight="false" outlineLevel="0" collapsed="false">
      <c r="B147" s="98" t="s">
        <v>98</v>
      </c>
      <c r="C147" s="99" t="n">
        <v>0</v>
      </c>
      <c r="D147" s="0" t="n">
        <f aca="false">$C147*VLOOKUP($B147,FoodDB!$A$2:$I$1006,3,0)</f>
        <v>0</v>
      </c>
      <c r="E147" s="0" t="n">
        <f aca="false">$C147*VLOOKUP($B147,FoodDB!$A$2:$I$1006,4,0)</f>
        <v>0</v>
      </c>
      <c r="F147" s="0" t="n">
        <f aca="false">$C147*VLOOKUP($B147,FoodDB!$A$2:$I$1006,5,0)</f>
        <v>0</v>
      </c>
      <c r="G147" s="0" t="n">
        <f aca="false">$C147*VLOOKUP($B147,FoodDB!$A$2:$I$1006,6,0)</f>
        <v>0</v>
      </c>
      <c r="H147" s="0" t="n">
        <f aca="false">$C147*VLOOKUP($B147,FoodDB!$A$2:$I$1006,7,0)</f>
        <v>0</v>
      </c>
      <c r="I147" s="0" t="n">
        <f aca="false">$C147*VLOOKUP($B147,FoodDB!$A$2:$I$1006,8,0)</f>
        <v>0</v>
      </c>
      <c r="J147" s="0" t="n">
        <f aca="false">$C147*VLOOKUP($B147,FoodDB!$A$2:$I$1006,9,0)</f>
        <v>0</v>
      </c>
    </row>
    <row r="148" customFormat="false" ht="13.8" hidden="false" customHeight="false" outlineLevel="0" collapsed="false">
      <c r="B148" s="98" t="s">
        <v>98</v>
      </c>
      <c r="C148" s="99" t="n">
        <v>0</v>
      </c>
      <c r="D148" s="0" t="n">
        <f aca="false">$C148*VLOOKUP($B148,FoodDB!$A$2:$I$1006,3,0)</f>
        <v>0</v>
      </c>
      <c r="E148" s="0" t="n">
        <f aca="false">$C148*VLOOKUP($B148,FoodDB!$A$2:$I$1006,4,0)</f>
        <v>0</v>
      </c>
      <c r="F148" s="0" t="n">
        <f aca="false">$C148*VLOOKUP($B148,FoodDB!$A$2:$I$1006,5,0)</f>
        <v>0</v>
      </c>
      <c r="G148" s="0" t="n">
        <f aca="false">$C148*VLOOKUP($B148,FoodDB!$A$2:$I$1006,6,0)</f>
        <v>0</v>
      </c>
      <c r="H148" s="0" t="n">
        <f aca="false">$C148*VLOOKUP($B148,FoodDB!$A$2:$I$1006,7,0)</f>
        <v>0</v>
      </c>
      <c r="I148" s="0" t="n">
        <f aca="false">$C148*VLOOKUP($B148,FoodDB!$A$2:$I$1006,8,0)</f>
        <v>0</v>
      </c>
      <c r="J148" s="0" t="n">
        <f aca="false">$C148*VLOOKUP($B148,FoodDB!$A$2:$I$1006,9,0)</f>
        <v>0</v>
      </c>
    </row>
    <row r="149" customFormat="false" ht="13.8" hidden="false" customHeight="false" outlineLevel="0" collapsed="false">
      <c r="A149" s="0" t="s">
        <v>88</v>
      </c>
      <c r="G149" s="0" t="n">
        <f aca="false">SUM(G142:G148)</f>
        <v>0</v>
      </c>
      <c r="H149" s="0" t="n">
        <f aca="false">SUM(H142:H148)</f>
        <v>0</v>
      </c>
      <c r="I149" s="0" t="n">
        <f aca="false">SUM(I142:I148)</f>
        <v>0</v>
      </c>
      <c r="J149" s="0" t="n">
        <f aca="false">SUM(G149:I149)</f>
        <v>0</v>
      </c>
    </row>
    <row r="150" customFormat="false" ht="13.8" hidden="false" customHeight="false" outlineLevel="0" collapsed="false">
      <c r="A150" s="0" t="s">
        <v>92</v>
      </c>
      <c r="B150" s="0" t="s">
        <v>93</v>
      </c>
      <c r="E150" s="102"/>
      <c r="F150" s="102"/>
      <c r="G150" s="102" t="n">
        <f aca="false">VLOOKUP($A142,LossChart!$A$3:$AG$105,14,0)</f>
        <v>450.610606633969</v>
      </c>
      <c r="H150" s="102" t="n">
        <f aca="false">VLOOKUP($A142,LossChart!$A$3:$AG$105,15,0)</f>
        <v>80</v>
      </c>
      <c r="I150" s="102" t="n">
        <f aca="false">VLOOKUP($A142,LossChart!$A$3:$AG$105,16,0)</f>
        <v>482.474652711422</v>
      </c>
      <c r="J150" s="102" t="n">
        <f aca="false">VLOOKUP($A142,LossChart!$A$3:$AG$105,17,0)</f>
        <v>1013.08525934539</v>
      </c>
      <c r="K150" s="102"/>
    </row>
    <row r="151" customFormat="false" ht="13.8" hidden="false" customHeight="false" outlineLevel="0" collapsed="false">
      <c r="A151" s="0" t="s">
        <v>94</v>
      </c>
      <c r="G151" s="0" t="n">
        <f aca="false">G150-G149</f>
        <v>450.610606633969</v>
      </c>
      <c r="H151" s="0" t="n">
        <f aca="false">H150-H149</f>
        <v>80</v>
      </c>
      <c r="I151" s="0" t="n">
        <f aca="false">I150-I149</f>
        <v>482.474652711422</v>
      </c>
      <c r="J151" s="0" t="n">
        <f aca="false">J150-J149</f>
        <v>1013.08525934539</v>
      </c>
    </row>
    <row r="153" customFormat="false" ht="33.25" hidden="false" customHeight="false" outlineLevel="0" collapsed="false">
      <c r="A153" s="21" t="s">
        <v>63</v>
      </c>
      <c r="B153" s="21" t="s">
        <v>83</v>
      </c>
      <c r="C153" s="21" t="s">
        <v>84</v>
      </c>
      <c r="D153" s="96" t="str">
        <f aca="false">FoodDB!$C$1</f>
        <v>Fat
(g)</v>
      </c>
      <c r="E153" s="96" t="str">
        <f aca="false">FoodDB!$D$1</f>
        <v>Carbs
(g)</v>
      </c>
      <c r="F153" s="96" t="str">
        <f aca="false">FoodDB!$E$1</f>
        <v>Protein
(g)</v>
      </c>
      <c r="G153" s="96" t="str">
        <f aca="false">FoodDB!$F$1</f>
        <v>Fat
(Cal)</v>
      </c>
      <c r="H153" s="96" t="str">
        <f aca="false">FoodDB!$G$1</f>
        <v>Carb
(Cal)</v>
      </c>
      <c r="I153" s="96" t="str">
        <f aca="false">FoodDB!$H$1</f>
        <v>Protein
(Cal)</v>
      </c>
      <c r="J153" s="96" t="str">
        <f aca="false">FoodDB!$I$1</f>
        <v>Total
Calories</v>
      </c>
      <c r="K153" s="96"/>
      <c r="L153" s="96" t="s">
        <v>100</v>
      </c>
      <c r="M153" s="96" t="s">
        <v>101</v>
      </c>
      <c r="N153" s="96" t="s">
        <v>102</v>
      </c>
      <c r="O153" s="96" t="s">
        <v>103</v>
      </c>
      <c r="P153" s="96" t="s">
        <v>108</v>
      </c>
      <c r="Q153" s="96" t="s">
        <v>109</v>
      </c>
      <c r="R153" s="96" t="s">
        <v>110</v>
      </c>
      <c r="S153" s="96" t="s">
        <v>111</v>
      </c>
      <c r="T153" s="96"/>
      <c r="U153" s="96"/>
      <c r="V153" s="96"/>
      <c r="W153" s="96"/>
    </row>
    <row r="154" customFormat="false" ht="13.8" hidden="false" customHeight="false" outlineLevel="0" collapsed="false">
      <c r="A154" s="97" t="n">
        <f aca="false">A142+1</f>
        <v>43007</v>
      </c>
      <c r="B154" s="98" t="s">
        <v>98</v>
      </c>
      <c r="C154" s="99" t="n">
        <v>0</v>
      </c>
      <c r="D154" s="0" t="n">
        <f aca="false">$C154*VLOOKUP($B154,FoodDB!$A$2:$I$1006,3,0)</f>
        <v>0</v>
      </c>
      <c r="E154" s="0" t="n">
        <f aca="false">$C154*VLOOKUP($B154,FoodDB!$A$2:$I$1006,4,0)</f>
        <v>0</v>
      </c>
      <c r="F154" s="0" t="n">
        <f aca="false">$C154*VLOOKUP($B154,FoodDB!$A$2:$I$1006,5,0)</f>
        <v>0</v>
      </c>
      <c r="G154" s="0" t="n">
        <f aca="false">$C154*VLOOKUP($B154,FoodDB!$A$2:$I$1006,6,0)</f>
        <v>0</v>
      </c>
      <c r="H154" s="0" t="n">
        <f aca="false">$C154*VLOOKUP($B154,FoodDB!$A$2:$I$1006,7,0)</f>
        <v>0</v>
      </c>
      <c r="I154" s="0" t="n">
        <f aca="false">$C154*VLOOKUP($B154,FoodDB!$A$2:$I$1006,8,0)</f>
        <v>0</v>
      </c>
      <c r="J154" s="0" t="n">
        <f aca="false">$C154*VLOOKUP($B154,FoodDB!$A$2:$I$1006,9,0)</f>
        <v>0</v>
      </c>
      <c r="L154" s="0" t="n">
        <f aca="false">SUM(G154:G160)</f>
        <v>0</v>
      </c>
      <c r="M154" s="0" t="n">
        <f aca="false">SUM(H154:H160)</f>
        <v>0</v>
      </c>
      <c r="N154" s="0" t="n">
        <f aca="false">SUM(I154:I160)</f>
        <v>0</v>
      </c>
      <c r="O154" s="0" t="n">
        <f aca="false">SUM(L154:N154)</f>
        <v>0</v>
      </c>
      <c r="P154" s="102" t="n">
        <f aca="false">VLOOKUP($A154,LossChart!$A$3:$AG$105,14,0)-L154</f>
        <v>452.882834945779</v>
      </c>
      <c r="Q154" s="102" t="n">
        <f aca="false">VLOOKUP($A154,LossChart!$A$3:$AG$105,15,0)-M154</f>
        <v>80</v>
      </c>
      <c r="R154" s="102" t="n">
        <f aca="false">VLOOKUP($A154,LossChart!$A$3:$AG$105,16,0)-N154</f>
        <v>482.474652711422</v>
      </c>
      <c r="S154" s="102" t="n">
        <f aca="false">VLOOKUP($A154,LossChart!$A$3:$AG$105,17,0)-O154</f>
        <v>1015.3574876572</v>
      </c>
      <c r="T154" s="102"/>
      <c r="U154" s="102"/>
      <c r="V154" s="102"/>
      <c r="W154" s="102"/>
    </row>
    <row r="155" customFormat="false" ht="13.8" hidden="false" customHeight="false" outlineLevel="0" collapsed="false">
      <c r="B155" s="98" t="s">
        <v>98</v>
      </c>
      <c r="C155" s="99" t="n">
        <v>0</v>
      </c>
      <c r="D155" s="0" t="n">
        <f aca="false">$C155*VLOOKUP($B155,FoodDB!$A$2:$I$1006,3,0)</f>
        <v>0</v>
      </c>
      <c r="E155" s="0" t="n">
        <f aca="false">$C155*VLOOKUP($B155,FoodDB!$A$2:$I$1006,4,0)</f>
        <v>0</v>
      </c>
      <c r="F155" s="0" t="n">
        <f aca="false">$C155*VLOOKUP($B155,FoodDB!$A$2:$I$1006,5,0)</f>
        <v>0</v>
      </c>
      <c r="G155" s="0" t="n">
        <f aca="false">$C155*VLOOKUP($B155,FoodDB!$A$2:$I$1006,6,0)</f>
        <v>0</v>
      </c>
      <c r="H155" s="0" t="n">
        <f aca="false">$C155*VLOOKUP($B155,FoodDB!$A$2:$I$1006,7,0)</f>
        <v>0</v>
      </c>
      <c r="I155" s="0" t="n">
        <f aca="false">$C155*VLOOKUP($B155,FoodDB!$A$2:$I$1006,8,0)</f>
        <v>0</v>
      </c>
      <c r="J155" s="0" t="n">
        <f aca="false">$C155*VLOOKUP($B155,FoodDB!$A$2:$I$1006,9,0)</f>
        <v>0</v>
      </c>
    </row>
    <row r="156" customFormat="false" ht="13.8" hidden="false" customHeight="false" outlineLevel="0" collapsed="false">
      <c r="B156" s="98" t="s">
        <v>98</v>
      </c>
      <c r="C156" s="99" t="n">
        <v>0</v>
      </c>
      <c r="D156" s="0" t="n">
        <f aca="false">$C156*VLOOKUP($B156,FoodDB!$A$2:$I$1006,3,0)</f>
        <v>0</v>
      </c>
      <c r="E156" s="0" t="n">
        <f aca="false">$C156*VLOOKUP($B156,FoodDB!$A$2:$I$1006,4,0)</f>
        <v>0</v>
      </c>
      <c r="F156" s="0" t="n">
        <f aca="false">$C156*VLOOKUP($B156,FoodDB!$A$2:$I$1006,5,0)</f>
        <v>0</v>
      </c>
      <c r="G156" s="0" t="n">
        <f aca="false">$C156*VLOOKUP($B156,FoodDB!$A$2:$I$1006,6,0)</f>
        <v>0</v>
      </c>
      <c r="H156" s="0" t="n">
        <f aca="false">$C156*VLOOKUP($B156,FoodDB!$A$2:$I$1006,7,0)</f>
        <v>0</v>
      </c>
      <c r="I156" s="0" t="n">
        <f aca="false">$C156*VLOOKUP($B156,FoodDB!$A$2:$I$1006,8,0)</f>
        <v>0</v>
      </c>
      <c r="J156" s="0" t="n">
        <f aca="false">$C156*VLOOKUP($B156,FoodDB!$A$2:$I$1006,9,0)</f>
        <v>0</v>
      </c>
    </row>
    <row r="157" customFormat="false" ht="13.8" hidden="false" customHeight="false" outlineLevel="0" collapsed="false">
      <c r="B157" s="98" t="s">
        <v>98</v>
      </c>
      <c r="C157" s="99" t="n">
        <v>0</v>
      </c>
      <c r="D157" s="0" t="n">
        <f aca="false">$C157*VLOOKUP($B157,FoodDB!$A$2:$I$1006,3,0)</f>
        <v>0</v>
      </c>
      <c r="E157" s="0" t="n">
        <f aca="false">$C157*VLOOKUP($B157,FoodDB!$A$2:$I$1006,4,0)</f>
        <v>0</v>
      </c>
      <c r="F157" s="0" t="n">
        <f aca="false">$C157*VLOOKUP($B157,FoodDB!$A$2:$I$1006,5,0)</f>
        <v>0</v>
      </c>
      <c r="G157" s="0" t="n">
        <f aca="false">$C157*VLOOKUP($B157,FoodDB!$A$2:$I$1006,6,0)</f>
        <v>0</v>
      </c>
      <c r="H157" s="0" t="n">
        <f aca="false">$C157*VLOOKUP($B157,FoodDB!$A$2:$I$1006,7,0)</f>
        <v>0</v>
      </c>
      <c r="I157" s="0" t="n">
        <f aca="false">$C157*VLOOKUP($B157,FoodDB!$A$2:$I$1006,8,0)</f>
        <v>0</v>
      </c>
      <c r="J157" s="0" t="n">
        <f aca="false">$C157*VLOOKUP($B157,FoodDB!$A$2:$I$1006,9,0)</f>
        <v>0</v>
      </c>
    </row>
    <row r="158" customFormat="false" ht="13.8" hidden="false" customHeight="false" outlineLevel="0" collapsed="false">
      <c r="B158" s="98" t="s">
        <v>98</v>
      </c>
      <c r="C158" s="99" t="n">
        <v>0</v>
      </c>
      <c r="D158" s="0" t="n">
        <f aca="false">$C158*VLOOKUP($B158,FoodDB!$A$2:$I$1006,3,0)</f>
        <v>0</v>
      </c>
      <c r="E158" s="0" t="n">
        <f aca="false">$C158*VLOOKUP($B158,FoodDB!$A$2:$I$1006,4,0)</f>
        <v>0</v>
      </c>
      <c r="F158" s="0" t="n">
        <f aca="false">$C158*VLOOKUP($B158,FoodDB!$A$2:$I$1006,5,0)</f>
        <v>0</v>
      </c>
      <c r="G158" s="0" t="n">
        <f aca="false">$C158*VLOOKUP($B158,FoodDB!$A$2:$I$1006,6,0)</f>
        <v>0</v>
      </c>
      <c r="H158" s="0" t="n">
        <f aca="false">$C158*VLOOKUP($B158,FoodDB!$A$2:$I$1006,7,0)</f>
        <v>0</v>
      </c>
      <c r="I158" s="0" t="n">
        <f aca="false">$C158*VLOOKUP($B158,FoodDB!$A$2:$I$1006,8,0)</f>
        <v>0</v>
      </c>
      <c r="J158" s="0" t="n">
        <f aca="false">$C158*VLOOKUP($B158,FoodDB!$A$2:$I$1006,9,0)</f>
        <v>0</v>
      </c>
    </row>
    <row r="159" customFormat="false" ht="13.8" hidden="false" customHeight="false" outlineLevel="0" collapsed="false">
      <c r="B159" s="98" t="s">
        <v>98</v>
      </c>
      <c r="C159" s="99" t="n">
        <v>0</v>
      </c>
      <c r="D159" s="0" t="n">
        <f aca="false">$C159*VLOOKUP($B159,FoodDB!$A$2:$I$1006,3,0)</f>
        <v>0</v>
      </c>
      <c r="E159" s="0" t="n">
        <f aca="false">$C159*VLOOKUP($B159,FoodDB!$A$2:$I$1006,4,0)</f>
        <v>0</v>
      </c>
      <c r="F159" s="0" t="n">
        <f aca="false">$C159*VLOOKUP($B159,FoodDB!$A$2:$I$1006,5,0)</f>
        <v>0</v>
      </c>
      <c r="G159" s="0" t="n">
        <f aca="false">$C159*VLOOKUP($B159,FoodDB!$A$2:$I$1006,6,0)</f>
        <v>0</v>
      </c>
      <c r="H159" s="0" t="n">
        <f aca="false">$C159*VLOOKUP($B159,FoodDB!$A$2:$I$1006,7,0)</f>
        <v>0</v>
      </c>
      <c r="I159" s="0" t="n">
        <f aca="false">$C159*VLOOKUP($B159,FoodDB!$A$2:$I$1006,8,0)</f>
        <v>0</v>
      </c>
      <c r="J159" s="0" t="n">
        <f aca="false">$C159*VLOOKUP($B159,FoodDB!$A$2:$I$1006,9,0)</f>
        <v>0</v>
      </c>
    </row>
    <row r="160" customFormat="false" ht="13.8" hidden="false" customHeight="false" outlineLevel="0" collapsed="false">
      <c r="B160" s="98" t="s">
        <v>98</v>
      </c>
      <c r="C160" s="99" t="n">
        <v>0</v>
      </c>
      <c r="D160" s="0" t="n">
        <f aca="false">$C160*VLOOKUP($B160,FoodDB!$A$2:$I$1006,3,0)</f>
        <v>0</v>
      </c>
      <c r="E160" s="0" t="n">
        <f aca="false">$C160*VLOOKUP($B160,FoodDB!$A$2:$I$1006,4,0)</f>
        <v>0</v>
      </c>
      <c r="F160" s="0" t="n">
        <f aca="false">$C160*VLOOKUP($B160,FoodDB!$A$2:$I$1006,5,0)</f>
        <v>0</v>
      </c>
      <c r="G160" s="0" t="n">
        <f aca="false">$C160*VLOOKUP($B160,FoodDB!$A$2:$I$1006,6,0)</f>
        <v>0</v>
      </c>
      <c r="H160" s="0" t="n">
        <f aca="false">$C160*VLOOKUP($B160,FoodDB!$A$2:$I$1006,7,0)</f>
        <v>0</v>
      </c>
      <c r="I160" s="0" t="n">
        <f aca="false">$C160*VLOOKUP($B160,FoodDB!$A$2:$I$1006,8,0)</f>
        <v>0</v>
      </c>
      <c r="J160" s="0" t="n">
        <f aca="false">$C160*VLOOKUP($B160,FoodDB!$A$2:$I$1006,9,0)</f>
        <v>0</v>
      </c>
    </row>
    <row r="161" customFormat="false" ht="13.8" hidden="false" customHeight="false" outlineLevel="0" collapsed="false">
      <c r="A161" s="0" t="s">
        <v>88</v>
      </c>
      <c r="G161" s="0" t="n">
        <f aca="false">SUM(G154:G160)</f>
        <v>0</v>
      </c>
      <c r="H161" s="0" t="n">
        <f aca="false">SUM(H154:H160)</f>
        <v>0</v>
      </c>
      <c r="I161" s="0" t="n">
        <f aca="false">SUM(I154:I160)</f>
        <v>0</v>
      </c>
      <c r="J161" s="0" t="n">
        <f aca="false">SUM(G161:I161)</f>
        <v>0</v>
      </c>
    </row>
    <row r="162" customFormat="false" ht="13.8" hidden="false" customHeight="false" outlineLevel="0" collapsed="false">
      <c r="A162" s="0" t="s">
        <v>92</v>
      </c>
      <c r="B162" s="0" t="s">
        <v>93</v>
      </c>
      <c r="E162" s="102"/>
      <c r="F162" s="102"/>
      <c r="G162" s="102" t="n">
        <f aca="false">VLOOKUP($A154,LossChart!$A$3:$AG$105,14,0)</f>
        <v>452.882834945779</v>
      </c>
      <c r="H162" s="102" t="n">
        <f aca="false">VLOOKUP($A154,LossChart!$A$3:$AG$105,15,0)</f>
        <v>80</v>
      </c>
      <c r="I162" s="102" t="n">
        <f aca="false">VLOOKUP($A154,LossChart!$A$3:$AG$105,16,0)</f>
        <v>482.474652711422</v>
      </c>
      <c r="J162" s="102" t="n">
        <f aca="false">VLOOKUP($A154,LossChart!$A$3:$AG$105,17,0)</f>
        <v>1015.3574876572</v>
      </c>
      <c r="K162" s="102"/>
    </row>
    <row r="163" customFormat="false" ht="13.8" hidden="false" customHeight="false" outlineLevel="0" collapsed="false">
      <c r="A163" s="0" t="s">
        <v>94</v>
      </c>
      <c r="G163" s="0" t="n">
        <f aca="false">G162-G161</f>
        <v>452.882834945779</v>
      </c>
      <c r="H163" s="0" t="n">
        <f aca="false">H162-H161</f>
        <v>80</v>
      </c>
      <c r="I163" s="0" t="n">
        <f aca="false">I162-I161</f>
        <v>482.474652711422</v>
      </c>
      <c r="J163" s="0" t="n">
        <f aca="false">J162-J161</f>
        <v>1015.3574876572</v>
      </c>
    </row>
    <row r="165" customFormat="false" ht="33.25" hidden="false" customHeight="false" outlineLevel="0" collapsed="false">
      <c r="A165" s="21" t="s">
        <v>63</v>
      </c>
      <c r="B165" s="21" t="s">
        <v>83</v>
      </c>
      <c r="C165" s="21" t="s">
        <v>84</v>
      </c>
      <c r="D165" s="96" t="str">
        <f aca="false">FoodDB!$C$1</f>
        <v>Fat
(g)</v>
      </c>
      <c r="E165" s="96" t="str">
        <f aca="false">FoodDB!$D$1</f>
        <v>Carbs
(g)</v>
      </c>
      <c r="F165" s="96" t="str">
        <f aca="false">FoodDB!$E$1</f>
        <v>Protein
(g)</v>
      </c>
      <c r="G165" s="96" t="str">
        <f aca="false">FoodDB!$F$1</f>
        <v>Fat
(Cal)</v>
      </c>
      <c r="H165" s="96" t="str">
        <f aca="false">FoodDB!$G$1</f>
        <v>Carb
(Cal)</v>
      </c>
      <c r="I165" s="96" t="str">
        <f aca="false">FoodDB!$H$1</f>
        <v>Protein
(Cal)</v>
      </c>
      <c r="J165" s="96" t="str">
        <f aca="false">FoodDB!$I$1</f>
        <v>Total
Calories</v>
      </c>
      <c r="K165" s="96"/>
      <c r="L165" s="96" t="s">
        <v>100</v>
      </c>
      <c r="M165" s="96" t="s">
        <v>101</v>
      </c>
      <c r="N165" s="96" t="s">
        <v>102</v>
      </c>
      <c r="O165" s="96" t="s">
        <v>103</v>
      </c>
      <c r="P165" s="96" t="s">
        <v>108</v>
      </c>
      <c r="Q165" s="96" t="s">
        <v>109</v>
      </c>
      <c r="R165" s="96" t="s">
        <v>110</v>
      </c>
      <c r="S165" s="96" t="s">
        <v>111</v>
      </c>
      <c r="T165" s="96"/>
      <c r="U165" s="96"/>
      <c r="V165" s="96"/>
      <c r="W165" s="96"/>
    </row>
    <row r="166" customFormat="false" ht="13.8" hidden="false" customHeight="false" outlineLevel="0" collapsed="false">
      <c r="A166" s="97" t="n">
        <f aca="false">A154+1</f>
        <v>43008</v>
      </c>
      <c r="B166" s="98" t="s">
        <v>98</v>
      </c>
      <c r="C166" s="99" t="n">
        <v>0</v>
      </c>
      <c r="D166" s="0" t="n">
        <f aca="false">$C166*VLOOKUP($B166,FoodDB!$A$2:$I$1006,3,0)</f>
        <v>0</v>
      </c>
      <c r="E166" s="0" t="n">
        <f aca="false">$C166*VLOOKUP($B166,FoodDB!$A$2:$I$1006,4,0)</f>
        <v>0</v>
      </c>
      <c r="F166" s="0" t="n">
        <f aca="false">$C166*VLOOKUP($B166,FoodDB!$A$2:$I$1006,5,0)</f>
        <v>0</v>
      </c>
      <c r="G166" s="0" t="n">
        <f aca="false">$C166*VLOOKUP($B166,FoodDB!$A$2:$I$1006,6,0)</f>
        <v>0</v>
      </c>
      <c r="H166" s="0" t="n">
        <f aca="false">$C166*VLOOKUP($B166,FoodDB!$A$2:$I$1006,7,0)</f>
        <v>0</v>
      </c>
      <c r="I166" s="0" t="n">
        <f aca="false">$C166*VLOOKUP($B166,FoodDB!$A$2:$I$1006,8,0)</f>
        <v>0</v>
      </c>
      <c r="J166" s="0" t="n">
        <f aca="false">$C166*VLOOKUP($B166,FoodDB!$A$2:$I$1006,9,0)</f>
        <v>0</v>
      </c>
      <c r="L166" s="0" t="n">
        <f aca="false">SUM(G166:G172)</f>
        <v>0</v>
      </c>
      <c r="M166" s="0" t="n">
        <f aca="false">SUM(H166:H172)</f>
        <v>0</v>
      </c>
      <c r="N166" s="0" t="n">
        <f aca="false">SUM(I166:I172)</f>
        <v>0</v>
      </c>
      <c r="O166" s="0" t="n">
        <f aca="false">SUM(L166:N166)</f>
        <v>0</v>
      </c>
      <c r="P166" s="102" t="n">
        <f aca="false">VLOOKUP($A166,LossChart!$A$3:$AG$105,14,0)-L166</f>
        <v>455.122890454234</v>
      </c>
      <c r="Q166" s="102" t="n">
        <f aca="false">VLOOKUP($A166,LossChart!$A$3:$AG$105,15,0)-M166</f>
        <v>80</v>
      </c>
      <c r="R166" s="102" t="n">
        <f aca="false">VLOOKUP($A166,LossChart!$A$3:$AG$105,16,0)-N166</f>
        <v>482.474652711422</v>
      </c>
      <c r="S166" s="102" t="n">
        <f aca="false">VLOOKUP($A166,LossChart!$A$3:$AG$105,17,0)-O166</f>
        <v>1017.59754316566</v>
      </c>
      <c r="T166" s="102"/>
      <c r="U166" s="102"/>
      <c r="V166" s="102"/>
      <c r="W166" s="102"/>
    </row>
    <row r="167" customFormat="false" ht="13.8" hidden="false" customHeight="false" outlineLevel="0" collapsed="false">
      <c r="B167" s="98" t="s">
        <v>98</v>
      </c>
      <c r="C167" s="99" t="n">
        <v>0</v>
      </c>
      <c r="D167" s="0" t="n">
        <f aca="false">$C167*VLOOKUP($B167,FoodDB!$A$2:$I$1006,3,0)</f>
        <v>0</v>
      </c>
      <c r="E167" s="0" t="n">
        <f aca="false">$C167*VLOOKUP($B167,FoodDB!$A$2:$I$1006,4,0)</f>
        <v>0</v>
      </c>
      <c r="F167" s="0" t="n">
        <f aca="false">$C167*VLOOKUP($B167,FoodDB!$A$2:$I$1006,5,0)</f>
        <v>0</v>
      </c>
      <c r="G167" s="0" t="n">
        <f aca="false">$C167*VLOOKUP($B167,FoodDB!$A$2:$I$1006,6,0)</f>
        <v>0</v>
      </c>
      <c r="H167" s="0" t="n">
        <f aca="false">$C167*VLOOKUP($B167,FoodDB!$A$2:$I$1006,7,0)</f>
        <v>0</v>
      </c>
      <c r="I167" s="0" t="n">
        <f aca="false">$C167*VLOOKUP($B167,FoodDB!$A$2:$I$1006,8,0)</f>
        <v>0</v>
      </c>
      <c r="J167" s="0" t="n">
        <f aca="false">$C167*VLOOKUP($B167,FoodDB!$A$2:$I$1006,9,0)</f>
        <v>0</v>
      </c>
    </row>
    <row r="168" customFormat="false" ht="13.8" hidden="false" customHeight="false" outlineLevel="0" collapsed="false">
      <c r="B168" s="98" t="s">
        <v>98</v>
      </c>
      <c r="C168" s="99" t="n">
        <v>0</v>
      </c>
      <c r="D168" s="0" t="n">
        <f aca="false">$C168*VLOOKUP($B168,FoodDB!$A$2:$I$1006,3,0)</f>
        <v>0</v>
      </c>
      <c r="E168" s="0" t="n">
        <f aca="false">$C168*VLOOKUP($B168,FoodDB!$A$2:$I$1006,4,0)</f>
        <v>0</v>
      </c>
      <c r="F168" s="0" t="n">
        <f aca="false">$C168*VLOOKUP($B168,FoodDB!$A$2:$I$1006,5,0)</f>
        <v>0</v>
      </c>
      <c r="G168" s="0" t="n">
        <f aca="false">$C168*VLOOKUP($B168,FoodDB!$A$2:$I$1006,6,0)</f>
        <v>0</v>
      </c>
      <c r="H168" s="0" t="n">
        <f aca="false">$C168*VLOOKUP($B168,FoodDB!$A$2:$I$1006,7,0)</f>
        <v>0</v>
      </c>
      <c r="I168" s="0" t="n">
        <f aca="false">$C168*VLOOKUP($B168,FoodDB!$A$2:$I$1006,8,0)</f>
        <v>0</v>
      </c>
      <c r="J168" s="0" t="n">
        <f aca="false">$C168*VLOOKUP($B168,FoodDB!$A$2:$I$1006,9,0)</f>
        <v>0</v>
      </c>
    </row>
    <row r="169" customFormat="false" ht="13.8" hidden="false" customHeight="false" outlineLevel="0" collapsed="false">
      <c r="B169" s="98" t="s">
        <v>98</v>
      </c>
      <c r="C169" s="99" t="n">
        <v>0</v>
      </c>
      <c r="D169" s="0" t="n">
        <f aca="false">$C169*VLOOKUP($B169,FoodDB!$A$2:$I$1006,3,0)</f>
        <v>0</v>
      </c>
      <c r="E169" s="0" t="n">
        <f aca="false">$C169*VLOOKUP($B169,FoodDB!$A$2:$I$1006,4,0)</f>
        <v>0</v>
      </c>
      <c r="F169" s="0" t="n">
        <f aca="false">$C169*VLOOKUP($B169,FoodDB!$A$2:$I$1006,5,0)</f>
        <v>0</v>
      </c>
      <c r="G169" s="0" t="n">
        <f aca="false">$C169*VLOOKUP($B169,FoodDB!$A$2:$I$1006,6,0)</f>
        <v>0</v>
      </c>
      <c r="H169" s="0" t="n">
        <f aca="false">$C169*VLOOKUP($B169,FoodDB!$A$2:$I$1006,7,0)</f>
        <v>0</v>
      </c>
      <c r="I169" s="0" t="n">
        <f aca="false">$C169*VLOOKUP($B169,FoodDB!$A$2:$I$1006,8,0)</f>
        <v>0</v>
      </c>
      <c r="J169" s="0" t="n">
        <f aca="false">$C169*VLOOKUP($B169,FoodDB!$A$2:$I$1006,9,0)</f>
        <v>0</v>
      </c>
    </row>
    <row r="170" customFormat="false" ht="13.8" hidden="false" customHeight="false" outlineLevel="0" collapsed="false">
      <c r="B170" s="98" t="s">
        <v>98</v>
      </c>
      <c r="C170" s="99" t="n">
        <v>0</v>
      </c>
      <c r="D170" s="0" t="n">
        <f aca="false">$C170*VLOOKUP($B170,FoodDB!$A$2:$I$1006,3,0)</f>
        <v>0</v>
      </c>
      <c r="E170" s="0" t="n">
        <f aca="false">$C170*VLOOKUP($B170,FoodDB!$A$2:$I$1006,4,0)</f>
        <v>0</v>
      </c>
      <c r="F170" s="0" t="n">
        <f aca="false">$C170*VLOOKUP($B170,FoodDB!$A$2:$I$1006,5,0)</f>
        <v>0</v>
      </c>
      <c r="G170" s="0" t="n">
        <f aca="false">$C170*VLOOKUP($B170,FoodDB!$A$2:$I$1006,6,0)</f>
        <v>0</v>
      </c>
      <c r="H170" s="0" t="n">
        <f aca="false">$C170*VLOOKUP($B170,FoodDB!$A$2:$I$1006,7,0)</f>
        <v>0</v>
      </c>
      <c r="I170" s="0" t="n">
        <f aca="false">$C170*VLOOKUP($B170,FoodDB!$A$2:$I$1006,8,0)</f>
        <v>0</v>
      </c>
      <c r="J170" s="0" t="n">
        <f aca="false">$C170*VLOOKUP($B170,FoodDB!$A$2:$I$1006,9,0)</f>
        <v>0</v>
      </c>
    </row>
    <row r="171" customFormat="false" ht="13.8" hidden="false" customHeight="false" outlineLevel="0" collapsed="false">
      <c r="B171" s="98" t="s">
        <v>98</v>
      </c>
      <c r="C171" s="99" t="n">
        <v>0</v>
      </c>
      <c r="D171" s="0" t="n">
        <f aca="false">$C171*VLOOKUP($B171,FoodDB!$A$2:$I$1006,3,0)</f>
        <v>0</v>
      </c>
      <c r="E171" s="0" t="n">
        <f aca="false">$C171*VLOOKUP($B171,FoodDB!$A$2:$I$1006,4,0)</f>
        <v>0</v>
      </c>
      <c r="F171" s="0" t="n">
        <f aca="false">$C171*VLOOKUP($B171,FoodDB!$A$2:$I$1006,5,0)</f>
        <v>0</v>
      </c>
      <c r="G171" s="0" t="n">
        <f aca="false">$C171*VLOOKUP($B171,FoodDB!$A$2:$I$1006,6,0)</f>
        <v>0</v>
      </c>
      <c r="H171" s="0" t="n">
        <f aca="false">$C171*VLOOKUP($B171,FoodDB!$A$2:$I$1006,7,0)</f>
        <v>0</v>
      </c>
      <c r="I171" s="0" t="n">
        <f aca="false">$C171*VLOOKUP($B171,FoodDB!$A$2:$I$1006,8,0)</f>
        <v>0</v>
      </c>
      <c r="J171" s="0" t="n">
        <f aca="false">$C171*VLOOKUP($B171,FoodDB!$A$2:$I$1006,9,0)</f>
        <v>0</v>
      </c>
    </row>
    <row r="172" customFormat="false" ht="13.8" hidden="false" customHeight="false" outlineLevel="0" collapsed="false">
      <c r="B172" s="98" t="s">
        <v>98</v>
      </c>
      <c r="C172" s="99" t="n">
        <v>0</v>
      </c>
      <c r="D172" s="0" t="n">
        <f aca="false">$C172*VLOOKUP($B172,FoodDB!$A$2:$I$1006,3,0)</f>
        <v>0</v>
      </c>
      <c r="E172" s="0" t="n">
        <f aca="false">$C172*VLOOKUP($B172,FoodDB!$A$2:$I$1006,4,0)</f>
        <v>0</v>
      </c>
      <c r="F172" s="0" t="n">
        <f aca="false">$C172*VLOOKUP($B172,FoodDB!$A$2:$I$1006,5,0)</f>
        <v>0</v>
      </c>
      <c r="G172" s="0" t="n">
        <f aca="false">$C172*VLOOKUP($B172,FoodDB!$A$2:$I$1006,6,0)</f>
        <v>0</v>
      </c>
      <c r="H172" s="0" t="n">
        <f aca="false">$C172*VLOOKUP($B172,FoodDB!$A$2:$I$1006,7,0)</f>
        <v>0</v>
      </c>
      <c r="I172" s="0" t="n">
        <f aca="false">$C172*VLOOKUP($B172,FoodDB!$A$2:$I$1006,8,0)</f>
        <v>0</v>
      </c>
      <c r="J172" s="0" t="n">
        <f aca="false">$C172*VLOOKUP($B172,FoodDB!$A$2:$I$1006,9,0)</f>
        <v>0</v>
      </c>
    </row>
    <row r="173" customFormat="false" ht="13.8" hidden="false" customHeight="false" outlineLevel="0" collapsed="false">
      <c r="A173" s="0" t="s">
        <v>88</v>
      </c>
      <c r="G173" s="0" t="n">
        <f aca="false">SUM(G166:G172)</f>
        <v>0</v>
      </c>
      <c r="H173" s="0" t="n">
        <f aca="false">SUM(H166:H172)</f>
        <v>0</v>
      </c>
      <c r="I173" s="0" t="n">
        <f aca="false">SUM(I166:I172)</f>
        <v>0</v>
      </c>
      <c r="J173" s="0" t="n">
        <f aca="false">SUM(G173:I173)</f>
        <v>0</v>
      </c>
    </row>
    <row r="174" customFormat="false" ht="13.8" hidden="false" customHeight="false" outlineLevel="0" collapsed="false">
      <c r="A174" s="0" t="s">
        <v>92</v>
      </c>
      <c r="B174" s="0" t="s">
        <v>93</v>
      </c>
      <c r="E174" s="102"/>
      <c r="F174" s="102"/>
      <c r="G174" s="102" t="n">
        <f aca="false">VLOOKUP($A166,LossChart!$A$3:$AG$105,14,0)</f>
        <v>455.122890454234</v>
      </c>
      <c r="H174" s="102" t="n">
        <f aca="false">VLOOKUP($A166,LossChart!$A$3:$AG$105,15,0)</f>
        <v>80</v>
      </c>
      <c r="I174" s="102" t="n">
        <f aca="false">VLOOKUP($A166,LossChart!$A$3:$AG$105,16,0)</f>
        <v>482.474652711422</v>
      </c>
      <c r="J174" s="102" t="n">
        <f aca="false">VLOOKUP($A166,LossChart!$A$3:$AG$105,17,0)</f>
        <v>1017.59754316566</v>
      </c>
      <c r="K174" s="102"/>
    </row>
    <row r="175" customFormat="false" ht="13.8" hidden="false" customHeight="false" outlineLevel="0" collapsed="false">
      <c r="A175" s="0" t="s">
        <v>94</v>
      </c>
      <c r="G175" s="0" t="n">
        <f aca="false">G174-G173</f>
        <v>455.122890454234</v>
      </c>
      <c r="H175" s="0" t="n">
        <f aca="false">H174-H173</f>
        <v>80</v>
      </c>
      <c r="I175" s="0" t="n">
        <f aca="false">I174-I173</f>
        <v>482.474652711422</v>
      </c>
      <c r="J175" s="0" t="n">
        <f aca="false">J174-J173</f>
        <v>1017.59754316566</v>
      </c>
    </row>
    <row r="177" customFormat="false" ht="33.25" hidden="false" customHeight="false" outlineLevel="0" collapsed="false">
      <c r="A177" s="21" t="s">
        <v>63</v>
      </c>
      <c r="B177" s="21" t="s">
        <v>83</v>
      </c>
      <c r="C177" s="21" t="s">
        <v>84</v>
      </c>
      <c r="D177" s="96" t="str">
        <f aca="false">FoodDB!$C$1</f>
        <v>Fat
(g)</v>
      </c>
      <c r="E177" s="96" t="str">
        <f aca="false">FoodDB!$D$1</f>
        <v>Carbs
(g)</v>
      </c>
      <c r="F177" s="96" t="str">
        <f aca="false">FoodDB!$E$1</f>
        <v>Protein
(g)</v>
      </c>
      <c r="G177" s="96" t="str">
        <f aca="false">FoodDB!$F$1</f>
        <v>Fat
(Cal)</v>
      </c>
      <c r="H177" s="96" t="str">
        <f aca="false">FoodDB!$G$1</f>
        <v>Carb
(Cal)</v>
      </c>
      <c r="I177" s="96" t="str">
        <f aca="false">FoodDB!$H$1</f>
        <v>Protein
(Cal)</v>
      </c>
      <c r="J177" s="96" t="str">
        <f aca="false">FoodDB!$I$1</f>
        <v>Total
Calories</v>
      </c>
      <c r="K177" s="96"/>
      <c r="L177" s="96" t="s">
        <v>100</v>
      </c>
      <c r="M177" s="96" t="s">
        <v>101</v>
      </c>
      <c r="N177" s="96" t="s">
        <v>102</v>
      </c>
      <c r="O177" s="96" t="s">
        <v>103</v>
      </c>
      <c r="P177" s="96" t="s">
        <v>108</v>
      </c>
      <c r="Q177" s="96" t="s">
        <v>109</v>
      </c>
      <c r="R177" s="96" t="s">
        <v>110</v>
      </c>
      <c r="S177" s="96" t="s">
        <v>111</v>
      </c>
      <c r="T177" s="96"/>
      <c r="U177" s="96"/>
      <c r="V177" s="96"/>
      <c r="W177" s="96"/>
    </row>
    <row r="178" customFormat="false" ht="13.8" hidden="false" customHeight="false" outlineLevel="0" collapsed="false">
      <c r="A178" s="97" t="n">
        <f aca="false">A166+1</f>
        <v>43009</v>
      </c>
      <c r="B178" s="98" t="s">
        <v>98</v>
      </c>
      <c r="C178" s="99" t="n">
        <v>0</v>
      </c>
      <c r="D178" s="0" t="n">
        <f aca="false">$C178*VLOOKUP($B178,FoodDB!$A$2:$I$1006,3,0)</f>
        <v>0</v>
      </c>
      <c r="E178" s="0" t="n">
        <f aca="false">$C178*VLOOKUP($B178,FoodDB!$A$2:$I$1006,4,0)</f>
        <v>0</v>
      </c>
      <c r="F178" s="0" t="n">
        <f aca="false">$C178*VLOOKUP($B178,FoodDB!$A$2:$I$1006,5,0)</f>
        <v>0</v>
      </c>
      <c r="G178" s="0" t="n">
        <f aca="false">$C178*VLOOKUP($B178,FoodDB!$A$2:$I$1006,6,0)</f>
        <v>0</v>
      </c>
      <c r="H178" s="0" t="n">
        <f aca="false">$C178*VLOOKUP($B178,FoodDB!$A$2:$I$1006,7,0)</f>
        <v>0</v>
      </c>
      <c r="I178" s="0" t="n">
        <f aca="false">$C178*VLOOKUP($B178,FoodDB!$A$2:$I$1006,8,0)</f>
        <v>0</v>
      </c>
      <c r="J178" s="0" t="n">
        <f aca="false">$C178*VLOOKUP($B178,FoodDB!$A$2:$I$1006,9,0)</f>
        <v>0</v>
      </c>
      <c r="L178" s="0" t="n">
        <f aca="false">SUM(G178:G184)</f>
        <v>0</v>
      </c>
      <c r="M178" s="0" t="n">
        <f aca="false">SUM(H178:H184)</f>
        <v>0</v>
      </c>
      <c r="N178" s="0" t="n">
        <f aca="false">SUM(I178:I184)</f>
        <v>0</v>
      </c>
      <c r="O178" s="0" t="n">
        <f aca="false">SUM(L178:N178)</f>
        <v>0</v>
      </c>
      <c r="P178" s="102" t="n">
        <f aca="false">VLOOKUP($A178,LossChart!$A$3:$AG$105,14,0)-L178</f>
        <v>457.331228698626</v>
      </c>
      <c r="Q178" s="102" t="n">
        <f aca="false">VLOOKUP($A178,LossChart!$A$3:$AG$105,15,0)-M178</f>
        <v>80</v>
      </c>
      <c r="R178" s="102" t="n">
        <f aca="false">VLOOKUP($A178,LossChart!$A$3:$AG$105,16,0)-N178</f>
        <v>482.474652711422</v>
      </c>
      <c r="S178" s="102" t="n">
        <f aca="false">VLOOKUP($A178,LossChart!$A$3:$AG$105,17,0)-O178</f>
        <v>1019.80588141005</v>
      </c>
      <c r="T178" s="102"/>
      <c r="U178" s="102"/>
      <c r="V178" s="102"/>
      <c r="W178" s="102"/>
    </row>
    <row r="179" customFormat="false" ht="13.8" hidden="false" customHeight="false" outlineLevel="0" collapsed="false">
      <c r="B179" s="98" t="s">
        <v>98</v>
      </c>
      <c r="C179" s="99" t="n">
        <v>0</v>
      </c>
      <c r="D179" s="0" t="n">
        <f aca="false">$C179*VLOOKUP($B179,FoodDB!$A$2:$I$1006,3,0)</f>
        <v>0</v>
      </c>
      <c r="E179" s="0" t="n">
        <f aca="false">$C179*VLOOKUP($B179,FoodDB!$A$2:$I$1006,4,0)</f>
        <v>0</v>
      </c>
      <c r="F179" s="0" t="n">
        <f aca="false">$C179*VLOOKUP($B179,FoodDB!$A$2:$I$1006,5,0)</f>
        <v>0</v>
      </c>
      <c r="G179" s="0" t="n">
        <f aca="false">$C179*VLOOKUP($B179,FoodDB!$A$2:$I$1006,6,0)</f>
        <v>0</v>
      </c>
      <c r="H179" s="0" t="n">
        <f aca="false">$C179*VLOOKUP($B179,FoodDB!$A$2:$I$1006,7,0)</f>
        <v>0</v>
      </c>
      <c r="I179" s="0" t="n">
        <f aca="false">$C179*VLOOKUP($B179,FoodDB!$A$2:$I$1006,8,0)</f>
        <v>0</v>
      </c>
      <c r="J179" s="0" t="n">
        <f aca="false">$C179*VLOOKUP($B179,FoodDB!$A$2:$I$1006,9,0)</f>
        <v>0</v>
      </c>
    </row>
    <row r="180" customFormat="false" ht="13.8" hidden="false" customHeight="false" outlineLevel="0" collapsed="false">
      <c r="B180" s="98" t="s">
        <v>98</v>
      </c>
      <c r="C180" s="99" t="n">
        <v>0</v>
      </c>
      <c r="D180" s="0" t="n">
        <f aca="false">$C180*VLOOKUP($B180,FoodDB!$A$2:$I$1006,3,0)</f>
        <v>0</v>
      </c>
      <c r="E180" s="0" t="n">
        <f aca="false">$C180*VLOOKUP($B180,FoodDB!$A$2:$I$1006,4,0)</f>
        <v>0</v>
      </c>
      <c r="F180" s="0" t="n">
        <f aca="false">$C180*VLOOKUP($B180,FoodDB!$A$2:$I$1006,5,0)</f>
        <v>0</v>
      </c>
      <c r="G180" s="0" t="n">
        <f aca="false">$C180*VLOOKUP($B180,FoodDB!$A$2:$I$1006,6,0)</f>
        <v>0</v>
      </c>
      <c r="H180" s="0" t="n">
        <f aca="false">$C180*VLOOKUP($B180,FoodDB!$A$2:$I$1006,7,0)</f>
        <v>0</v>
      </c>
      <c r="I180" s="0" t="n">
        <f aca="false">$C180*VLOOKUP($B180,FoodDB!$A$2:$I$1006,8,0)</f>
        <v>0</v>
      </c>
      <c r="J180" s="0" t="n">
        <f aca="false">$C180*VLOOKUP($B180,FoodDB!$A$2:$I$1006,9,0)</f>
        <v>0</v>
      </c>
    </row>
    <row r="181" customFormat="false" ht="13.8" hidden="false" customHeight="false" outlineLevel="0" collapsed="false">
      <c r="B181" s="98" t="s">
        <v>98</v>
      </c>
      <c r="C181" s="99" t="n">
        <v>0</v>
      </c>
      <c r="D181" s="0" t="n">
        <f aca="false">$C181*VLOOKUP($B181,FoodDB!$A$2:$I$1006,3,0)</f>
        <v>0</v>
      </c>
      <c r="E181" s="0" t="n">
        <f aca="false">$C181*VLOOKUP($B181,FoodDB!$A$2:$I$1006,4,0)</f>
        <v>0</v>
      </c>
      <c r="F181" s="0" t="n">
        <f aca="false">$C181*VLOOKUP($B181,FoodDB!$A$2:$I$1006,5,0)</f>
        <v>0</v>
      </c>
      <c r="G181" s="0" t="n">
        <f aca="false">$C181*VLOOKUP($B181,FoodDB!$A$2:$I$1006,6,0)</f>
        <v>0</v>
      </c>
      <c r="H181" s="0" t="n">
        <f aca="false">$C181*VLOOKUP($B181,FoodDB!$A$2:$I$1006,7,0)</f>
        <v>0</v>
      </c>
      <c r="I181" s="0" t="n">
        <f aca="false">$C181*VLOOKUP($B181,FoodDB!$A$2:$I$1006,8,0)</f>
        <v>0</v>
      </c>
      <c r="J181" s="0" t="n">
        <f aca="false">$C181*VLOOKUP($B181,FoodDB!$A$2:$I$1006,9,0)</f>
        <v>0</v>
      </c>
    </row>
    <row r="182" customFormat="false" ht="13.8" hidden="false" customHeight="false" outlineLevel="0" collapsed="false">
      <c r="B182" s="98" t="s">
        <v>98</v>
      </c>
      <c r="C182" s="99" t="n">
        <v>0</v>
      </c>
      <c r="D182" s="0" t="n">
        <f aca="false">$C182*VLOOKUP($B182,FoodDB!$A$2:$I$1006,3,0)</f>
        <v>0</v>
      </c>
      <c r="E182" s="0" t="n">
        <f aca="false">$C182*VLOOKUP($B182,FoodDB!$A$2:$I$1006,4,0)</f>
        <v>0</v>
      </c>
      <c r="F182" s="0" t="n">
        <f aca="false">$C182*VLOOKUP($B182,FoodDB!$A$2:$I$1006,5,0)</f>
        <v>0</v>
      </c>
      <c r="G182" s="0" t="n">
        <f aca="false">$C182*VLOOKUP($B182,FoodDB!$A$2:$I$1006,6,0)</f>
        <v>0</v>
      </c>
      <c r="H182" s="0" t="n">
        <f aca="false">$C182*VLOOKUP($B182,FoodDB!$A$2:$I$1006,7,0)</f>
        <v>0</v>
      </c>
      <c r="I182" s="0" t="n">
        <f aca="false">$C182*VLOOKUP($B182,FoodDB!$A$2:$I$1006,8,0)</f>
        <v>0</v>
      </c>
      <c r="J182" s="0" t="n">
        <f aca="false">$C182*VLOOKUP($B182,FoodDB!$A$2:$I$1006,9,0)</f>
        <v>0</v>
      </c>
    </row>
    <row r="183" customFormat="false" ht="13.8" hidden="false" customHeight="false" outlineLevel="0" collapsed="false">
      <c r="B183" s="98" t="s">
        <v>98</v>
      </c>
      <c r="C183" s="99" t="n">
        <v>0</v>
      </c>
      <c r="D183" s="0" t="n">
        <f aca="false">$C183*VLOOKUP($B183,FoodDB!$A$2:$I$1006,3,0)</f>
        <v>0</v>
      </c>
      <c r="E183" s="0" t="n">
        <f aca="false">$C183*VLOOKUP($B183,FoodDB!$A$2:$I$1006,4,0)</f>
        <v>0</v>
      </c>
      <c r="F183" s="0" t="n">
        <f aca="false">$C183*VLOOKUP($B183,FoodDB!$A$2:$I$1006,5,0)</f>
        <v>0</v>
      </c>
      <c r="G183" s="0" t="n">
        <f aca="false">$C183*VLOOKUP($B183,FoodDB!$A$2:$I$1006,6,0)</f>
        <v>0</v>
      </c>
      <c r="H183" s="0" t="n">
        <f aca="false">$C183*VLOOKUP($B183,FoodDB!$A$2:$I$1006,7,0)</f>
        <v>0</v>
      </c>
      <c r="I183" s="0" t="n">
        <f aca="false">$C183*VLOOKUP($B183,FoodDB!$A$2:$I$1006,8,0)</f>
        <v>0</v>
      </c>
      <c r="J183" s="0" t="n">
        <f aca="false">$C183*VLOOKUP($B183,FoodDB!$A$2:$I$1006,9,0)</f>
        <v>0</v>
      </c>
    </row>
    <row r="184" customFormat="false" ht="13.8" hidden="false" customHeight="false" outlineLevel="0" collapsed="false">
      <c r="B184" s="98" t="s">
        <v>98</v>
      </c>
      <c r="C184" s="99" t="n">
        <v>0</v>
      </c>
      <c r="D184" s="0" t="n">
        <f aca="false">$C184*VLOOKUP($B184,FoodDB!$A$2:$I$1006,3,0)</f>
        <v>0</v>
      </c>
      <c r="E184" s="0" t="n">
        <f aca="false">$C184*VLOOKUP($B184,FoodDB!$A$2:$I$1006,4,0)</f>
        <v>0</v>
      </c>
      <c r="F184" s="0" t="n">
        <f aca="false">$C184*VLOOKUP($B184,FoodDB!$A$2:$I$1006,5,0)</f>
        <v>0</v>
      </c>
      <c r="G184" s="0" t="n">
        <f aca="false">$C184*VLOOKUP($B184,FoodDB!$A$2:$I$1006,6,0)</f>
        <v>0</v>
      </c>
      <c r="H184" s="0" t="n">
        <f aca="false">$C184*VLOOKUP($B184,FoodDB!$A$2:$I$1006,7,0)</f>
        <v>0</v>
      </c>
      <c r="I184" s="0" t="n">
        <f aca="false">$C184*VLOOKUP($B184,FoodDB!$A$2:$I$1006,8,0)</f>
        <v>0</v>
      </c>
      <c r="J184" s="0" t="n">
        <f aca="false">$C184*VLOOKUP($B184,FoodDB!$A$2:$I$1006,9,0)</f>
        <v>0</v>
      </c>
    </row>
    <row r="185" customFormat="false" ht="13.8" hidden="false" customHeight="false" outlineLevel="0" collapsed="false">
      <c r="A185" s="0" t="s">
        <v>88</v>
      </c>
      <c r="G185" s="0" t="n">
        <f aca="false">SUM(G178:G184)</f>
        <v>0</v>
      </c>
      <c r="H185" s="0" t="n">
        <f aca="false">SUM(H178:H184)</f>
        <v>0</v>
      </c>
      <c r="I185" s="0" t="n">
        <f aca="false">SUM(I178:I184)</f>
        <v>0</v>
      </c>
      <c r="J185" s="0" t="n">
        <f aca="false">SUM(G185:I185)</f>
        <v>0</v>
      </c>
    </row>
    <row r="186" customFormat="false" ht="13.8" hidden="false" customHeight="false" outlineLevel="0" collapsed="false">
      <c r="A186" s="0" t="s">
        <v>92</v>
      </c>
      <c r="B186" s="0" t="s">
        <v>93</v>
      </c>
      <c r="E186" s="102"/>
      <c r="F186" s="102"/>
      <c r="G186" s="102" t="n">
        <f aca="false">VLOOKUP($A178,LossChart!$A$3:$AG$105,14,0)</f>
        <v>457.331228698626</v>
      </c>
      <c r="H186" s="102" t="n">
        <f aca="false">VLOOKUP($A178,LossChart!$A$3:$AG$105,15,0)</f>
        <v>80</v>
      </c>
      <c r="I186" s="102" t="n">
        <f aca="false">VLOOKUP($A178,LossChart!$A$3:$AG$105,16,0)</f>
        <v>482.474652711422</v>
      </c>
      <c r="J186" s="102" t="n">
        <f aca="false">VLOOKUP($A178,LossChart!$A$3:$AG$105,17,0)</f>
        <v>1019.80588141005</v>
      </c>
      <c r="K186" s="102"/>
    </row>
    <row r="187" customFormat="false" ht="13.8" hidden="false" customHeight="false" outlineLevel="0" collapsed="false">
      <c r="A187" s="0" t="s">
        <v>94</v>
      </c>
      <c r="G187" s="0" t="n">
        <f aca="false">G186-G185</f>
        <v>457.331228698626</v>
      </c>
      <c r="H187" s="0" t="n">
        <f aca="false">H186-H185</f>
        <v>80</v>
      </c>
      <c r="I187" s="0" t="n">
        <f aca="false">I186-I185</f>
        <v>482.474652711422</v>
      </c>
      <c r="J187" s="0" t="n">
        <f aca="false">J186-J185</f>
        <v>1019.80588141005</v>
      </c>
    </row>
    <row r="189" customFormat="false" ht="33.25" hidden="false" customHeight="false" outlineLevel="0" collapsed="false">
      <c r="A189" s="21" t="s">
        <v>63</v>
      </c>
      <c r="B189" s="21" t="s">
        <v>83</v>
      </c>
      <c r="C189" s="21" t="s">
        <v>84</v>
      </c>
      <c r="D189" s="96" t="str">
        <f aca="false">FoodDB!$C$1</f>
        <v>Fat
(g)</v>
      </c>
      <c r="E189" s="96" t="str">
        <f aca="false">FoodDB!$D$1</f>
        <v>Carbs
(g)</v>
      </c>
      <c r="F189" s="96" t="str">
        <f aca="false">FoodDB!$E$1</f>
        <v>Protein
(g)</v>
      </c>
      <c r="G189" s="96" t="str">
        <f aca="false">FoodDB!$F$1</f>
        <v>Fat
(Cal)</v>
      </c>
      <c r="H189" s="96" t="str">
        <f aca="false">FoodDB!$G$1</f>
        <v>Carb
(Cal)</v>
      </c>
      <c r="I189" s="96" t="str">
        <f aca="false">FoodDB!$H$1</f>
        <v>Protein
(Cal)</v>
      </c>
      <c r="J189" s="96" t="str">
        <f aca="false">FoodDB!$I$1</f>
        <v>Total
Calories</v>
      </c>
      <c r="K189" s="96"/>
      <c r="L189" s="96" t="s">
        <v>100</v>
      </c>
      <c r="M189" s="96" t="s">
        <v>101</v>
      </c>
      <c r="N189" s="96" t="s">
        <v>102</v>
      </c>
      <c r="O189" s="96" t="s">
        <v>103</v>
      </c>
      <c r="P189" s="96" t="s">
        <v>108</v>
      </c>
      <c r="Q189" s="96" t="s">
        <v>109</v>
      </c>
      <c r="R189" s="96" t="s">
        <v>110</v>
      </c>
      <c r="S189" s="96" t="s">
        <v>111</v>
      </c>
      <c r="T189" s="96"/>
      <c r="U189" s="96"/>
      <c r="V189" s="96"/>
      <c r="W189" s="96"/>
    </row>
    <row r="190" customFormat="false" ht="13.8" hidden="false" customHeight="false" outlineLevel="0" collapsed="false">
      <c r="A190" s="97" t="n">
        <f aca="false">A178+1</f>
        <v>43010</v>
      </c>
      <c r="B190" s="98" t="s">
        <v>98</v>
      </c>
      <c r="C190" s="99" t="n">
        <v>0</v>
      </c>
      <c r="D190" s="0" t="n">
        <f aca="false">$C190*VLOOKUP($B190,FoodDB!$A$2:$I$1006,3,0)</f>
        <v>0</v>
      </c>
      <c r="E190" s="0" t="n">
        <f aca="false">$C190*VLOOKUP($B190,FoodDB!$A$2:$I$1006,4,0)</f>
        <v>0</v>
      </c>
      <c r="F190" s="0" t="n">
        <f aca="false">$C190*VLOOKUP($B190,FoodDB!$A$2:$I$1006,5,0)</f>
        <v>0</v>
      </c>
      <c r="G190" s="0" t="n">
        <f aca="false">$C190*VLOOKUP($B190,FoodDB!$A$2:$I$1006,6,0)</f>
        <v>0</v>
      </c>
      <c r="H190" s="0" t="n">
        <f aca="false">$C190*VLOOKUP($B190,FoodDB!$A$2:$I$1006,7,0)</f>
        <v>0</v>
      </c>
      <c r="I190" s="0" t="n">
        <f aca="false">$C190*VLOOKUP($B190,FoodDB!$A$2:$I$1006,8,0)</f>
        <v>0</v>
      </c>
      <c r="J190" s="0" t="n">
        <f aca="false">$C190*VLOOKUP($B190,FoodDB!$A$2:$I$1006,9,0)</f>
        <v>0</v>
      </c>
      <c r="L190" s="0" t="n">
        <f aca="false">SUM(G190:G196)</f>
        <v>0</v>
      </c>
      <c r="M190" s="0" t="n">
        <f aca="false">SUM(H190:H196)</f>
        <v>0</v>
      </c>
      <c r="N190" s="0" t="n">
        <f aca="false">SUM(I190:I196)</f>
        <v>0</v>
      </c>
      <c r="O190" s="0" t="n">
        <f aca="false">SUM(L190:N190)</f>
        <v>0</v>
      </c>
      <c r="P190" s="102" t="n">
        <f aca="false">VLOOKUP($A190,LossChart!$A$3:$AG$105,14,0)-L190</f>
        <v>459.508298768201</v>
      </c>
      <c r="Q190" s="102" t="n">
        <f aca="false">VLOOKUP($A190,LossChart!$A$3:$AG$105,15,0)-M190</f>
        <v>80</v>
      </c>
      <c r="R190" s="102" t="n">
        <f aca="false">VLOOKUP($A190,LossChart!$A$3:$AG$105,16,0)-N190</f>
        <v>482.474652711422</v>
      </c>
      <c r="S190" s="102" t="n">
        <f aca="false">VLOOKUP($A190,LossChart!$A$3:$AG$105,17,0)-O190</f>
        <v>1021.98295147962</v>
      </c>
      <c r="T190" s="102"/>
      <c r="U190" s="102"/>
      <c r="V190" s="102"/>
      <c r="W190" s="102"/>
    </row>
    <row r="191" customFormat="false" ht="13.8" hidden="false" customHeight="false" outlineLevel="0" collapsed="false">
      <c r="B191" s="98" t="s">
        <v>98</v>
      </c>
      <c r="C191" s="99" t="n">
        <v>0</v>
      </c>
      <c r="D191" s="0" t="n">
        <f aca="false">$C191*VLOOKUP($B191,FoodDB!$A$2:$I$1006,3,0)</f>
        <v>0</v>
      </c>
      <c r="E191" s="0" t="n">
        <f aca="false">$C191*VLOOKUP($B191,FoodDB!$A$2:$I$1006,4,0)</f>
        <v>0</v>
      </c>
      <c r="F191" s="0" t="n">
        <f aca="false">$C191*VLOOKUP($B191,FoodDB!$A$2:$I$1006,5,0)</f>
        <v>0</v>
      </c>
      <c r="G191" s="0" t="n">
        <f aca="false">$C191*VLOOKUP($B191,FoodDB!$A$2:$I$1006,6,0)</f>
        <v>0</v>
      </c>
      <c r="H191" s="0" t="n">
        <f aca="false">$C191*VLOOKUP($B191,FoodDB!$A$2:$I$1006,7,0)</f>
        <v>0</v>
      </c>
      <c r="I191" s="0" t="n">
        <f aca="false">$C191*VLOOKUP($B191,FoodDB!$A$2:$I$1006,8,0)</f>
        <v>0</v>
      </c>
      <c r="J191" s="0" t="n">
        <f aca="false">$C191*VLOOKUP($B191,FoodDB!$A$2:$I$1006,9,0)</f>
        <v>0</v>
      </c>
    </row>
    <row r="192" customFormat="false" ht="13.8" hidden="false" customHeight="false" outlineLevel="0" collapsed="false">
      <c r="B192" s="98" t="s">
        <v>98</v>
      </c>
      <c r="C192" s="99" t="n">
        <v>0</v>
      </c>
      <c r="D192" s="0" t="n">
        <f aca="false">$C192*VLOOKUP($B192,FoodDB!$A$2:$I$1006,3,0)</f>
        <v>0</v>
      </c>
      <c r="E192" s="0" t="n">
        <f aca="false">$C192*VLOOKUP($B192,FoodDB!$A$2:$I$1006,4,0)</f>
        <v>0</v>
      </c>
      <c r="F192" s="0" t="n">
        <f aca="false">$C192*VLOOKUP($B192,FoodDB!$A$2:$I$1006,5,0)</f>
        <v>0</v>
      </c>
      <c r="G192" s="0" t="n">
        <f aca="false">$C192*VLOOKUP($B192,FoodDB!$A$2:$I$1006,6,0)</f>
        <v>0</v>
      </c>
      <c r="H192" s="0" t="n">
        <f aca="false">$C192*VLOOKUP($B192,FoodDB!$A$2:$I$1006,7,0)</f>
        <v>0</v>
      </c>
      <c r="I192" s="0" t="n">
        <f aca="false">$C192*VLOOKUP($B192,FoodDB!$A$2:$I$1006,8,0)</f>
        <v>0</v>
      </c>
      <c r="J192" s="0" t="n">
        <f aca="false">$C192*VLOOKUP($B192,FoodDB!$A$2:$I$1006,9,0)</f>
        <v>0</v>
      </c>
    </row>
    <row r="193" customFormat="false" ht="13.8" hidden="false" customHeight="false" outlineLevel="0" collapsed="false">
      <c r="B193" s="98" t="s">
        <v>98</v>
      </c>
      <c r="C193" s="99" t="n">
        <v>0</v>
      </c>
      <c r="D193" s="0" t="n">
        <f aca="false">$C193*VLOOKUP($B193,FoodDB!$A$2:$I$1006,3,0)</f>
        <v>0</v>
      </c>
      <c r="E193" s="0" t="n">
        <f aca="false">$C193*VLOOKUP($B193,FoodDB!$A$2:$I$1006,4,0)</f>
        <v>0</v>
      </c>
      <c r="F193" s="0" t="n">
        <f aca="false">$C193*VLOOKUP($B193,FoodDB!$A$2:$I$1006,5,0)</f>
        <v>0</v>
      </c>
      <c r="G193" s="0" t="n">
        <f aca="false">$C193*VLOOKUP($B193,FoodDB!$A$2:$I$1006,6,0)</f>
        <v>0</v>
      </c>
      <c r="H193" s="0" t="n">
        <f aca="false">$C193*VLOOKUP($B193,FoodDB!$A$2:$I$1006,7,0)</f>
        <v>0</v>
      </c>
      <c r="I193" s="0" t="n">
        <f aca="false">$C193*VLOOKUP($B193,FoodDB!$A$2:$I$1006,8,0)</f>
        <v>0</v>
      </c>
      <c r="J193" s="0" t="n">
        <f aca="false">$C193*VLOOKUP($B193,FoodDB!$A$2:$I$1006,9,0)</f>
        <v>0</v>
      </c>
    </row>
    <row r="194" customFormat="false" ht="13.8" hidden="false" customHeight="false" outlineLevel="0" collapsed="false">
      <c r="B194" s="98" t="s">
        <v>98</v>
      </c>
      <c r="C194" s="99" t="n">
        <v>0</v>
      </c>
      <c r="D194" s="0" t="n">
        <f aca="false">$C194*VLOOKUP($B194,FoodDB!$A$2:$I$1006,3,0)</f>
        <v>0</v>
      </c>
      <c r="E194" s="0" t="n">
        <f aca="false">$C194*VLOOKUP($B194,FoodDB!$A$2:$I$1006,4,0)</f>
        <v>0</v>
      </c>
      <c r="F194" s="0" t="n">
        <f aca="false">$C194*VLOOKUP($B194,FoodDB!$A$2:$I$1006,5,0)</f>
        <v>0</v>
      </c>
      <c r="G194" s="0" t="n">
        <f aca="false">$C194*VLOOKUP($B194,FoodDB!$A$2:$I$1006,6,0)</f>
        <v>0</v>
      </c>
      <c r="H194" s="0" t="n">
        <f aca="false">$C194*VLOOKUP($B194,FoodDB!$A$2:$I$1006,7,0)</f>
        <v>0</v>
      </c>
      <c r="I194" s="0" t="n">
        <f aca="false">$C194*VLOOKUP($B194,FoodDB!$A$2:$I$1006,8,0)</f>
        <v>0</v>
      </c>
      <c r="J194" s="0" t="n">
        <f aca="false">$C194*VLOOKUP($B194,FoodDB!$A$2:$I$1006,9,0)</f>
        <v>0</v>
      </c>
    </row>
    <row r="195" customFormat="false" ht="13.8" hidden="false" customHeight="false" outlineLevel="0" collapsed="false">
      <c r="B195" s="98" t="s">
        <v>98</v>
      </c>
      <c r="C195" s="99" t="n">
        <v>0</v>
      </c>
      <c r="D195" s="0" t="n">
        <f aca="false">$C195*VLOOKUP($B195,FoodDB!$A$2:$I$1006,3,0)</f>
        <v>0</v>
      </c>
      <c r="E195" s="0" t="n">
        <f aca="false">$C195*VLOOKUP($B195,FoodDB!$A$2:$I$1006,4,0)</f>
        <v>0</v>
      </c>
      <c r="F195" s="0" t="n">
        <f aca="false">$C195*VLOOKUP($B195,FoodDB!$A$2:$I$1006,5,0)</f>
        <v>0</v>
      </c>
      <c r="G195" s="0" t="n">
        <f aca="false">$C195*VLOOKUP($B195,FoodDB!$A$2:$I$1006,6,0)</f>
        <v>0</v>
      </c>
      <c r="H195" s="0" t="n">
        <f aca="false">$C195*VLOOKUP($B195,FoodDB!$A$2:$I$1006,7,0)</f>
        <v>0</v>
      </c>
      <c r="I195" s="0" t="n">
        <f aca="false">$C195*VLOOKUP($B195,FoodDB!$A$2:$I$1006,8,0)</f>
        <v>0</v>
      </c>
      <c r="J195" s="0" t="n">
        <f aca="false">$C195*VLOOKUP($B195,FoodDB!$A$2:$I$1006,9,0)</f>
        <v>0</v>
      </c>
    </row>
    <row r="196" customFormat="false" ht="13.8" hidden="false" customHeight="false" outlineLevel="0" collapsed="false">
      <c r="B196" s="98" t="s">
        <v>98</v>
      </c>
      <c r="C196" s="99" t="n">
        <v>0</v>
      </c>
      <c r="D196" s="0" t="n">
        <f aca="false">$C196*VLOOKUP($B196,FoodDB!$A$2:$I$1006,3,0)</f>
        <v>0</v>
      </c>
      <c r="E196" s="0" t="n">
        <f aca="false">$C196*VLOOKUP($B196,FoodDB!$A$2:$I$1006,4,0)</f>
        <v>0</v>
      </c>
      <c r="F196" s="0" t="n">
        <f aca="false">$C196*VLOOKUP($B196,FoodDB!$A$2:$I$1006,5,0)</f>
        <v>0</v>
      </c>
      <c r="G196" s="0" t="n">
        <f aca="false">$C196*VLOOKUP($B196,FoodDB!$A$2:$I$1006,6,0)</f>
        <v>0</v>
      </c>
      <c r="H196" s="0" t="n">
        <f aca="false">$C196*VLOOKUP($B196,FoodDB!$A$2:$I$1006,7,0)</f>
        <v>0</v>
      </c>
      <c r="I196" s="0" t="n">
        <f aca="false">$C196*VLOOKUP($B196,FoodDB!$A$2:$I$1006,8,0)</f>
        <v>0</v>
      </c>
      <c r="J196" s="0" t="n">
        <f aca="false">$C196*VLOOKUP($B196,FoodDB!$A$2:$I$1006,9,0)</f>
        <v>0</v>
      </c>
    </row>
    <row r="197" customFormat="false" ht="13.8" hidden="false" customHeight="false" outlineLevel="0" collapsed="false">
      <c r="A197" s="0" t="s">
        <v>88</v>
      </c>
      <c r="G197" s="0" t="n">
        <f aca="false">SUM(G190:G196)</f>
        <v>0</v>
      </c>
      <c r="H197" s="0" t="n">
        <f aca="false">SUM(H190:H196)</f>
        <v>0</v>
      </c>
      <c r="I197" s="0" t="n">
        <f aca="false">SUM(I190:I196)</f>
        <v>0</v>
      </c>
      <c r="J197" s="0" t="n">
        <f aca="false">SUM(G197:I197)</f>
        <v>0</v>
      </c>
    </row>
    <row r="198" customFormat="false" ht="13.8" hidden="false" customHeight="false" outlineLevel="0" collapsed="false">
      <c r="A198" s="0" t="s">
        <v>92</v>
      </c>
      <c r="B198" s="0" t="s">
        <v>93</v>
      </c>
      <c r="E198" s="102"/>
      <c r="F198" s="102"/>
      <c r="G198" s="102" t="n">
        <f aca="false">VLOOKUP($A190,LossChart!$A$3:$AG$105,14,0)</f>
        <v>459.508298768201</v>
      </c>
      <c r="H198" s="102" t="n">
        <f aca="false">VLOOKUP($A190,LossChart!$A$3:$AG$105,15,0)</f>
        <v>80</v>
      </c>
      <c r="I198" s="102" t="n">
        <f aca="false">VLOOKUP($A190,LossChart!$A$3:$AG$105,16,0)</f>
        <v>482.474652711422</v>
      </c>
      <c r="J198" s="102" t="n">
        <f aca="false">VLOOKUP($A190,LossChart!$A$3:$AG$105,17,0)</f>
        <v>1021.98295147962</v>
      </c>
      <c r="K198" s="102"/>
    </row>
    <row r="199" customFormat="false" ht="13.8" hidden="false" customHeight="false" outlineLevel="0" collapsed="false">
      <c r="A199" s="0" t="s">
        <v>94</v>
      </c>
      <c r="G199" s="0" t="n">
        <f aca="false">G198-G197</f>
        <v>459.508298768201</v>
      </c>
      <c r="H199" s="0" t="n">
        <f aca="false">H198-H197</f>
        <v>80</v>
      </c>
      <c r="I199" s="0" t="n">
        <f aca="false">I198-I197</f>
        <v>482.474652711422</v>
      </c>
      <c r="J199" s="0" t="n">
        <f aca="false">J198-J197</f>
        <v>1021.98295147962</v>
      </c>
    </row>
    <row r="201" customFormat="false" ht="33.25" hidden="false" customHeight="false" outlineLevel="0" collapsed="false">
      <c r="A201" s="21" t="s">
        <v>63</v>
      </c>
      <c r="B201" s="21" t="s">
        <v>83</v>
      </c>
      <c r="C201" s="21" t="s">
        <v>84</v>
      </c>
      <c r="D201" s="96" t="str">
        <f aca="false">FoodDB!$C$1</f>
        <v>Fat
(g)</v>
      </c>
      <c r="E201" s="96" t="str">
        <f aca="false">FoodDB!$D$1</f>
        <v>Carbs
(g)</v>
      </c>
      <c r="F201" s="96" t="str">
        <f aca="false">FoodDB!$E$1</f>
        <v>Protein
(g)</v>
      </c>
      <c r="G201" s="96" t="str">
        <f aca="false">FoodDB!$F$1</f>
        <v>Fat
(Cal)</v>
      </c>
      <c r="H201" s="96" t="str">
        <f aca="false">FoodDB!$G$1</f>
        <v>Carb
(Cal)</v>
      </c>
      <c r="I201" s="96" t="str">
        <f aca="false">FoodDB!$H$1</f>
        <v>Protein
(Cal)</v>
      </c>
      <c r="J201" s="96" t="str">
        <f aca="false">FoodDB!$I$1</f>
        <v>Total
Calories</v>
      </c>
      <c r="K201" s="96"/>
      <c r="L201" s="96" t="s">
        <v>100</v>
      </c>
      <c r="M201" s="96" t="s">
        <v>101</v>
      </c>
      <c r="N201" s="96" t="s">
        <v>102</v>
      </c>
      <c r="O201" s="96" t="s">
        <v>103</v>
      </c>
      <c r="P201" s="96" t="s">
        <v>108</v>
      </c>
      <c r="Q201" s="96" t="s">
        <v>109</v>
      </c>
      <c r="R201" s="96" t="s">
        <v>110</v>
      </c>
      <c r="S201" s="96" t="s">
        <v>111</v>
      </c>
      <c r="T201" s="96"/>
      <c r="U201" s="96"/>
      <c r="V201" s="96"/>
      <c r="W201" s="96"/>
    </row>
    <row r="202" customFormat="false" ht="13.8" hidden="false" customHeight="false" outlineLevel="0" collapsed="false">
      <c r="A202" s="97" t="n">
        <f aca="false">A190+1</f>
        <v>43011</v>
      </c>
      <c r="B202" s="98" t="s">
        <v>98</v>
      </c>
      <c r="C202" s="99" t="n">
        <v>0</v>
      </c>
      <c r="D202" s="0" t="n">
        <f aca="false">$C202*VLOOKUP($B202,FoodDB!$A$2:$I$1006,3,0)</f>
        <v>0</v>
      </c>
      <c r="E202" s="0" t="n">
        <f aca="false">$C202*VLOOKUP($B202,FoodDB!$A$2:$I$1006,4,0)</f>
        <v>0</v>
      </c>
      <c r="F202" s="0" t="n">
        <f aca="false">$C202*VLOOKUP($B202,FoodDB!$A$2:$I$1006,5,0)</f>
        <v>0</v>
      </c>
      <c r="G202" s="0" t="n">
        <f aca="false">$C202*VLOOKUP($B202,FoodDB!$A$2:$I$1006,6,0)</f>
        <v>0</v>
      </c>
      <c r="H202" s="0" t="n">
        <f aca="false">$C202*VLOOKUP($B202,FoodDB!$A$2:$I$1006,7,0)</f>
        <v>0</v>
      </c>
      <c r="I202" s="0" t="n">
        <f aca="false">$C202*VLOOKUP($B202,FoodDB!$A$2:$I$1006,8,0)</f>
        <v>0</v>
      </c>
      <c r="J202" s="0" t="n">
        <f aca="false">$C202*VLOOKUP($B202,FoodDB!$A$2:$I$1006,9,0)</f>
        <v>0</v>
      </c>
      <c r="L202" s="0" t="n">
        <f aca="false">SUM(G202:G208)</f>
        <v>0</v>
      </c>
      <c r="M202" s="0" t="n">
        <f aca="false">SUM(H202:H208)</f>
        <v>0</v>
      </c>
      <c r="N202" s="0" t="n">
        <f aca="false">SUM(I202:I208)</f>
        <v>0</v>
      </c>
      <c r="O202" s="0" t="n">
        <f aca="false">SUM(L202:N202)</f>
        <v>0</v>
      </c>
      <c r="P202" s="102" t="n">
        <f aca="false">VLOOKUP($A202,LossChart!$A$3:$AG$105,14,0)-L202</f>
        <v>461.654543393487</v>
      </c>
      <c r="Q202" s="102" t="n">
        <f aca="false">VLOOKUP($A202,LossChart!$A$3:$AG$105,15,0)-M202</f>
        <v>80</v>
      </c>
      <c r="R202" s="102" t="n">
        <f aca="false">VLOOKUP($A202,LossChart!$A$3:$AG$105,16,0)-N202</f>
        <v>482.474652711422</v>
      </c>
      <c r="S202" s="102" t="n">
        <f aca="false">VLOOKUP($A202,LossChart!$A$3:$AG$105,17,0)-O202</f>
        <v>1024.12919610491</v>
      </c>
      <c r="T202" s="102"/>
      <c r="U202" s="102"/>
      <c r="V202" s="102"/>
      <c r="W202" s="102"/>
    </row>
    <row r="203" customFormat="false" ht="13.8" hidden="false" customHeight="false" outlineLevel="0" collapsed="false">
      <c r="B203" s="98" t="s">
        <v>98</v>
      </c>
      <c r="C203" s="99" t="n">
        <v>0</v>
      </c>
      <c r="D203" s="0" t="n">
        <f aca="false">$C203*VLOOKUP($B203,FoodDB!$A$2:$I$1006,3,0)</f>
        <v>0</v>
      </c>
      <c r="E203" s="0" t="n">
        <f aca="false">$C203*VLOOKUP($B203,FoodDB!$A$2:$I$1006,4,0)</f>
        <v>0</v>
      </c>
      <c r="F203" s="0" t="n">
        <f aca="false">$C203*VLOOKUP($B203,FoodDB!$A$2:$I$1006,5,0)</f>
        <v>0</v>
      </c>
      <c r="G203" s="0" t="n">
        <f aca="false">$C203*VLOOKUP($B203,FoodDB!$A$2:$I$1006,6,0)</f>
        <v>0</v>
      </c>
      <c r="H203" s="0" t="n">
        <f aca="false">$C203*VLOOKUP($B203,FoodDB!$A$2:$I$1006,7,0)</f>
        <v>0</v>
      </c>
      <c r="I203" s="0" t="n">
        <f aca="false">$C203*VLOOKUP($B203,FoodDB!$A$2:$I$1006,8,0)</f>
        <v>0</v>
      </c>
      <c r="J203" s="0" t="n">
        <f aca="false">$C203*VLOOKUP($B203,FoodDB!$A$2:$I$1006,9,0)</f>
        <v>0</v>
      </c>
    </row>
    <row r="204" customFormat="false" ht="13.8" hidden="false" customHeight="false" outlineLevel="0" collapsed="false">
      <c r="B204" s="98" t="s">
        <v>98</v>
      </c>
      <c r="C204" s="99" t="n">
        <v>0</v>
      </c>
      <c r="D204" s="0" t="n">
        <f aca="false">$C204*VLOOKUP($B204,FoodDB!$A$2:$I$1006,3,0)</f>
        <v>0</v>
      </c>
      <c r="E204" s="0" t="n">
        <f aca="false">$C204*VLOOKUP($B204,FoodDB!$A$2:$I$1006,4,0)</f>
        <v>0</v>
      </c>
      <c r="F204" s="0" t="n">
        <f aca="false">$C204*VLOOKUP($B204,FoodDB!$A$2:$I$1006,5,0)</f>
        <v>0</v>
      </c>
      <c r="G204" s="0" t="n">
        <f aca="false">$C204*VLOOKUP($B204,FoodDB!$A$2:$I$1006,6,0)</f>
        <v>0</v>
      </c>
      <c r="H204" s="0" t="n">
        <f aca="false">$C204*VLOOKUP($B204,FoodDB!$A$2:$I$1006,7,0)</f>
        <v>0</v>
      </c>
      <c r="I204" s="0" t="n">
        <f aca="false">$C204*VLOOKUP($B204,FoodDB!$A$2:$I$1006,8,0)</f>
        <v>0</v>
      </c>
      <c r="J204" s="0" t="n">
        <f aca="false">$C204*VLOOKUP($B204,FoodDB!$A$2:$I$1006,9,0)</f>
        <v>0</v>
      </c>
    </row>
    <row r="205" customFormat="false" ht="13.8" hidden="false" customHeight="false" outlineLevel="0" collapsed="false">
      <c r="B205" s="98" t="s">
        <v>98</v>
      </c>
      <c r="C205" s="99" t="n">
        <v>0</v>
      </c>
      <c r="D205" s="0" t="n">
        <f aca="false">$C205*VLOOKUP($B205,FoodDB!$A$2:$I$1006,3,0)</f>
        <v>0</v>
      </c>
      <c r="E205" s="0" t="n">
        <f aca="false">$C205*VLOOKUP($B205,FoodDB!$A$2:$I$1006,4,0)</f>
        <v>0</v>
      </c>
      <c r="F205" s="0" t="n">
        <f aca="false">$C205*VLOOKUP($B205,FoodDB!$A$2:$I$1006,5,0)</f>
        <v>0</v>
      </c>
      <c r="G205" s="0" t="n">
        <f aca="false">$C205*VLOOKUP($B205,FoodDB!$A$2:$I$1006,6,0)</f>
        <v>0</v>
      </c>
      <c r="H205" s="0" t="n">
        <f aca="false">$C205*VLOOKUP($B205,FoodDB!$A$2:$I$1006,7,0)</f>
        <v>0</v>
      </c>
      <c r="I205" s="0" t="n">
        <f aca="false">$C205*VLOOKUP($B205,FoodDB!$A$2:$I$1006,8,0)</f>
        <v>0</v>
      </c>
      <c r="J205" s="0" t="n">
        <f aca="false">$C205*VLOOKUP($B205,FoodDB!$A$2:$I$1006,9,0)</f>
        <v>0</v>
      </c>
    </row>
    <row r="206" customFormat="false" ht="13.8" hidden="false" customHeight="false" outlineLevel="0" collapsed="false">
      <c r="B206" s="98" t="s">
        <v>98</v>
      </c>
      <c r="C206" s="99" t="n">
        <v>0</v>
      </c>
      <c r="D206" s="0" t="n">
        <f aca="false">$C206*VLOOKUP($B206,FoodDB!$A$2:$I$1006,3,0)</f>
        <v>0</v>
      </c>
      <c r="E206" s="0" t="n">
        <f aca="false">$C206*VLOOKUP($B206,FoodDB!$A$2:$I$1006,4,0)</f>
        <v>0</v>
      </c>
      <c r="F206" s="0" t="n">
        <f aca="false">$C206*VLOOKUP($B206,FoodDB!$A$2:$I$1006,5,0)</f>
        <v>0</v>
      </c>
      <c r="G206" s="0" t="n">
        <f aca="false">$C206*VLOOKUP($B206,FoodDB!$A$2:$I$1006,6,0)</f>
        <v>0</v>
      </c>
      <c r="H206" s="0" t="n">
        <f aca="false">$C206*VLOOKUP($B206,FoodDB!$A$2:$I$1006,7,0)</f>
        <v>0</v>
      </c>
      <c r="I206" s="0" t="n">
        <f aca="false">$C206*VLOOKUP($B206,FoodDB!$A$2:$I$1006,8,0)</f>
        <v>0</v>
      </c>
      <c r="J206" s="0" t="n">
        <f aca="false">$C206*VLOOKUP($B206,FoodDB!$A$2:$I$1006,9,0)</f>
        <v>0</v>
      </c>
    </row>
    <row r="207" customFormat="false" ht="13.8" hidden="false" customHeight="false" outlineLevel="0" collapsed="false">
      <c r="B207" s="98" t="s">
        <v>98</v>
      </c>
      <c r="C207" s="99" t="n">
        <v>0</v>
      </c>
      <c r="D207" s="0" t="n">
        <f aca="false">$C207*VLOOKUP($B207,FoodDB!$A$2:$I$1006,3,0)</f>
        <v>0</v>
      </c>
      <c r="E207" s="0" t="n">
        <f aca="false">$C207*VLOOKUP($B207,FoodDB!$A$2:$I$1006,4,0)</f>
        <v>0</v>
      </c>
      <c r="F207" s="0" t="n">
        <f aca="false">$C207*VLOOKUP($B207,FoodDB!$A$2:$I$1006,5,0)</f>
        <v>0</v>
      </c>
      <c r="G207" s="0" t="n">
        <f aca="false">$C207*VLOOKUP($B207,FoodDB!$A$2:$I$1006,6,0)</f>
        <v>0</v>
      </c>
      <c r="H207" s="0" t="n">
        <f aca="false">$C207*VLOOKUP($B207,FoodDB!$A$2:$I$1006,7,0)</f>
        <v>0</v>
      </c>
      <c r="I207" s="0" t="n">
        <f aca="false">$C207*VLOOKUP($B207,FoodDB!$A$2:$I$1006,8,0)</f>
        <v>0</v>
      </c>
      <c r="J207" s="0" t="n">
        <f aca="false">$C207*VLOOKUP($B207,FoodDB!$A$2:$I$1006,9,0)</f>
        <v>0</v>
      </c>
    </row>
    <row r="208" customFormat="false" ht="13.8" hidden="false" customHeight="false" outlineLevel="0" collapsed="false">
      <c r="B208" s="98" t="s">
        <v>98</v>
      </c>
      <c r="C208" s="99" t="n">
        <v>0</v>
      </c>
      <c r="D208" s="0" t="n">
        <f aca="false">$C208*VLOOKUP($B208,FoodDB!$A$2:$I$1006,3,0)</f>
        <v>0</v>
      </c>
      <c r="E208" s="0" t="n">
        <f aca="false">$C208*VLOOKUP($B208,FoodDB!$A$2:$I$1006,4,0)</f>
        <v>0</v>
      </c>
      <c r="F208" s="0" t="n">
        <f aca="false">$C208*VLOOKUP($B208,FoodDB!$A$2:$I$1006,5,0)</f>
        <v>0</v>
      </c>
      <c r="G208" s="0" t="n">
        <f aca="false">$C208*VLOOKUP($B208,FoodDB!$A$2:$I$1006,6,0)</f>
        <v>0</v>
      </c>
      <c r="H208" s="0" t="n">
        <f aca="false">$C208*VLOOKUP($B208,FoodDB!$A$2:$I$1006,7,0)</f>
        <v>0</v>
      </c>
      <c r="I208" s="0" t="n">
        <f aca="false">$C208*VLOOKUP($B208,FoodDB!$A$2:$I$1006,8,0)</f>
        <v>0</v>
      </c>
      <c r="J208" s="0" t="n">
        <f aca="false">$C208*VLOOKUP($B208,FoodDB!$A$2:$I$1006,9,0)</f>
        <v>0</v>
      </c>
    </row>
    <row r="209" customFormat="false" ht="13.8" hidden="false" customHeight="false" outlineLevel="0" collapsed="false">
      <c r="A209" s="0" t="s">
        <v>88</v>
      </c>
      <c r="G209" s="0" t="n">
        <f aca="false">SUM(G202:G208)</f>
        <v>0</v>
      </c>
      <c r="H209" s="0" t="n">
        <f aca="false">SUM(H202:H208)</f>
        <v>0</v>
      </c>
      <c r="I209" s="0" t="n">
        <f aca="false">SUM(I202:I208)</f>
        <v>0</v>
      </c>
      <c r="J209" s="0" t="n">
        <f aca="false">SUM(G209:I209)</f>
        <v>0</v>
      </c>
    </row>
    <row r="210" customFormat="false" ht="13.8" hidden="false" customHeight="false" outlineLevel="0" collapsed="false">
      <c r="A210" s="0" t="s">
        <v>92</v>
      </c>
      <c r="B210" s="0" t="s">
        <v>93</v>
      </c>
      <c r="E210" s="102"/>
      <c r="F210" s="102"/>
      <c r="G210" s="102" t="n">
        <f aca="false">VLOOKUP($A202,LossChart!$A$3:$AG$105,14,0)</f>
        <v>461.654543393487</v>
      </c>
      <c r="H210" s="102" t="n">
        <f aca="false">VLOOKUP($A202,LossChart!$A$3:$AG$105,15,0)</f>
        <v>80</v>
      </c>
      <c r="I210" s="102" t="n">
        <f aca="false">VLOOKUP($A202,LossChart!$A$3:$AG$105,16,0)</f>
        <v>482.474652711422</v>
      </c>
      <c r="J210" s="102" t="n">
        <f aca="false">VLOOKUP($A202,LossChart!$A$3:$AG$105,17,0)</f>
        <v>1024.12919610491</v>
      </c>
      <c r="K210" s="102"/>
    </row>
    <row r="211" customFormat="false" ht="13.8" hidden="false" customHeight="false" outlineLevel="0" collapsed="false">
      <c r="A211" s="0" t="s">
        <v>94</v>
      </c>
      <c r="G211" s="0" t="n">
        <f aca="false">G210-G209</f>
        <v>461.654543393487</v>
      </c>
      <c r="H211" s="0" t="n">
        <f aca="false">H210-H209</f>
        <v>80</v>
      </c>
      <c r="I211" s="0" t="n">
        <f aca="false">I210-I209</f>
        <v>482.474652711422</v>
      </c>
      <c r="J211" s="0" t="n">
        <f aca="false">J210-J209</f>
        <v>1024.12919610491</v>
      </c>
    </row>
    <row r="213" customFormat="false" ht="33.25" hidden="false" customHeight="false" outlineLevel="0" collapsed="false">
      <c r="A213" s="21" t="s">
        <v>63</v>
      </c>
      <c r="B213" s="21" t="s">
        <v>83</v>
      </c>
      <c r="C213" s="21" t="s">
        <v>84</v>
      </c>
      <c r="D213" s="96" t="str">
        <f aca="false">FoodDB!$C$1</f>
        <v>Fat
(g)</v>
      </c>
      <c r="E213" s="96" t="str">
        <f aca="false">FoodDB!$D$1</f>
        <v>Carbs
(g)</v>
      </c>
      <c r="F213" s="96" t="str">
        <f aca="false">FoodDB!$E$1</f>
        <v>Protein
(g)</v>
      </c>
      <c r="G213" s="96" t="str">
        <f aca="false">FoodDB!$F$1</f>
        <v>Fat
(Cal)</v>
      </c>
      <c r="H213" s="96" t="str">
        <f aca="false">FoodDB!$G$1</f>
        <v>Carb
(Cal)</v>
      </c>
      <c r="I213" s="96" t="str">
        <f aca="false">FoodDB!$H$1</f>
        <v>Protein
(Cal)</v>
      </c>
      <c r="J213" s="96" t="str">
        <f aca="false">FoodDB!$I$1</f>
        <v>Total
Calories</v>
      </c>
      <c r="K213" s="96"/>
      <c r="L213" s="96" t="s">
        <v>100</v>
      </c>
      <c r="M213" s="96" t="s">
        <v>101</v>
      </c>
      <c r="N213" s="96" t="s">
        <v>102</v>
      </c>
      <c r="O213" s="96" t="s">
        <v>103</v>
      </c>
      <c r="P213" s="96" t="s">
        <v>108</v>
      </c>
      <c r="Q213" s="96" t="s">
        <v>109</v>
      </c>
      <c r="R213" s="96" t="s">
        <v>110</v>
      </c>
      <c r="S213" s="96" t="s">
        <v>111</v>
      </c>
      <c r="T213" s="96"/>
      <c r="U213" s="96"/>
      <c r="V213" s="96"/>
      <c r="W213" s="96"/>
    </row>
    <row r="214" customFormat="false" ht="13.8" hidden="false" customHeight="false" outlineLevel="0" collapsed="false">
      <c r="A214" s="97" t="n">
        <f aca="false">A202+1</f>
        <v>43012</v>
      </c>
      <c r="B214" s="98" t="s">
        <v>98</v>
      </c>
      <c r="C214" s="99" t="n">
        <v>0</v>
      </c>
      <c r="D214" s="0" t="n">
        <f aca="false">$C214*VLOOKUP($B214,FoodDB!$A$2:$I$1006,3,0)</f>
        <v>0</v>
      </c>
      <c r="E214" s="0" t="n">
        <f aca="false">$C214*VLOOKUP($B214,FoodDB!$A$2:$I$1006,4,0)</f>
        <v>0</v>
      </c>
      <c r="F214" s="0" t="n">
        <f aca="false">$C214*VLOOKUP($B214,FoodDB!$A$2:$I$1006,5,0)</f>
        <v>0</v>
      </c>
      <c r="G214" s="0" t="n">
        <f aca="false">$C214*VLOOKUP($B214,FoodDB!$A$2:$I$1006,6,0)</f>
        <v>0</v>
      </c>
      <c r="H214" s="0" t="n">
        <f aca="false">$C214*VLOOKUP($B214,FoodDB!$A$2:$I$1006,7,0)</f>
        <v>0</v>
      </c>
      <c r="I214" s="0" t="n">
        <f aca="false">$C214*VLOOKUP($B214,FoodDB!$A$2:$I$1006,8,0)</f>
        <v>0</v>
      </c>
      <c r="J214" s="0" t="n">
        <f aca="false">$C214*VLOOKUP($B214,FoodDB!$A$2:$I$1006,9,0)</f>
        <v>0</v>
      </c>
      <c r="L214" s="0" t="n">
        <f aca="false">SUM(G214:G220)</f>
        <v>0</v>
      </c>
      <c r="M214" s="0" t="n">
        <f aca="false">SUM(H214:H220)</f>
        <v>0</v>
      </c>
      <c r="N214" s="0" t="n">
        <f aca="false">SUM(I214:I220)</f>
        <v>0</v>
      </c>
      <c r="O214" s="0" t="n">
        <f aca="false">SUM(L214:N214)</f>
        <v>0</v>
      </c>
      <c r="P214" s="102" t="n">
        <f aca="false">VLOOKUP($A214,LossChart!$A$3:$AG$105,14,0)-L214</f>
        <v>463.770399036326</v>
      </c>
      <c r="Q214" s="102" t="n">
        <f aca="false">VLOOKUP($A214,LossChart!$A$3:$AG$105,15,0)-M214</f>
        <v>80</v>
      </c>
      <c r="R214" s="102" t="n">
        <f aca="false">VLOOKUP($A214,LossChart!$A$3:$AG$105,16,0)-N214</f>
        <v>482.474652711422</v>
      </c>
      <c r="S214" s="102" t="n">
        <f aca="false">VLOOKUP($A214,LossChart!$A$3:$AG$105,17,0)-O214</f>
        <v>1026.24505174775</v>
      </c>
      <c r="T214" s="102"/>
      <c r="U214" s="102"/>
      <c r="V214" s="102"/>
      <c r="W214" s="102"/>
    </row>
    <row r="215" customFormat="false" ht="13.8" hidden="false" customHeight="false" outlineLevel="0" collapsed="false">
      <c r="B215" s="98" t="s">
        <v>98</v>
      </c>
      <c r="C215" s="99" t="n">
        <v>0</v>
      </c>
      <c r="D215" s="0" t="n">
        <f aca="false">$C215*VLOOKUP($B215,FoodDB!$A$2:$I$1006,3,0)</f>
        <v>0</v>
      </c>
      <c r="E215" s="0" t="n">
        <f aca="false">$C215*VLOOKUP($B215,FoodDB!$A$2:$I$1006,4,0)</f>
        <v>0</v>
      </c>
      <c r="F215" s="0" t="n">
        <f aca="false">$C215*VLOOKUP($B215,FoodDB!$A$2:$I$1006,5,0)</f>
        <v>0</v>
      </c>
      <c r="G215" s="0" t="n">
        <f aca="false">$C215*VLOOKUP($B215,FoodDB!$A$2:$I$1006,6,0)</f>
        <v>0</v>
      </c>
      <c r="H215" s="0" t="n">
        <f aca="false">$C215*VLOOKUP($B215,FoodDB!$A$2:$I$1006,7,0)</f>
        <v>0</v>
      </c>
      <c r="I215" s="0" t="n">
        <f aca="false">$C215*VLOOKUP($B215,FoodDB!$A$2:$I$1006,8,0)</f>
        <v>0</v>
      </c>
      <c r="J215" s="0" t="n">
        <f aca="false">$C215*VLOOKUP($B215,FoodDB!$A$2:$I$1006,9,0)</f>
        <v>0</v>
      </c>
    </row>
    <row r="216" customFormat="false" ht="13.8" hidden="false" customHeight="false" outlineLevel="0" collapsed="false">
      <c r="B216" s="98" t="s">
        <v>98</v>
      </c>
      <c r="C216" s="99" t="n">
        <v>0</v>
      </c>
      <c r="D216" s="0" t="n">
        <f aca="false">$C216*VLOOKUP($B216,FoodDB!$A$2:$I$1006,3,0)</f>
        <v>0</v>
      </c>
      <c r="E216" s="0" t="n">
        <f aca="false">$C216*VLOOKUP($B216,FoodDB!$A$2:$I$1006,4,0)</f>
        <v>0</v>
      </c>
      <c r="F216" s="0" t="n">
        <f aca="false">$C216*VLOOKUP($B216,FoodDB!$A$2:$I$1006,5,0)</f>
        <v>0</v>
      </c>
      <c r="G216" s="0" t="n">
        <f aca="false">$C216*VLOOKUP($B216,FoodDB!$A$2:$I$1006,6,0)</f>
        <v>0</v>
      </c>
      <c r="H216" s="0" t="n">
        <f aca="false">$C216*VLOOKUP($B216,FoodDB!$A$2:$I$1006,7,0)</f>
        <v>0</v>
      </c>
      <c r="I216" s="0" t="n">
        <f aca="false">$C216*VLOOKUP($B216,FoodDB!$A$2:$I$1006,8,0)</f>
        <v>0</v>
      </c>
      <c r="J216" s="0" t="n">
        <f aca="false">$C216*VLOOKUP($B216,FoodDB!$A$2:$I$1006,9,0)</f>
        <v>0</v>
      </c>
    </row>
    <row r="217" customFormat="false" ht="13.8" hidden="false" customHeight="false" outlineLevel="0" collapsed="false">
      <c r="B217" s="98" t="s">
        <v>98</v>
      </c>
      <c r="C217" s="99" t="n">
        <v>0</v>
      </c>
      <c r="D217" s="0" t="n">
        <f aca="false">$C217*VLOOKUP($B217,FoodDB!$A$2:$I$1006,3,0)</f>
        <v>0</v>
      </c>
      <c r="E217" s="0" t="n">
        <f aca="false">$C217*VLOOKUP($B217,FoodDB!$A$2:$I$1006,4,0)</f>
        <v>0</v>
      </c>
      <c r="F217" s="0" t="n">
        <f aca="false">$C217*VLOOKUP($B217,FoodDB!$A$2:$I$1006,5,0)</f>
        <v>0</v>
      </c>
      <c r="G217" s="0" t="n">
        <f aca="false">$C217*VLOOKUP($B217,FoodDB!$A$2:$I$1006,6,0)</f>
        <v>0</v>
      </c>
      <c r="H217" s="0" t="n">
        <f aca="false">$C217*VLOOKUP($B217,FoodDB!$A$2:$I$1006,7,0)</f>
        <v>0</v>
      </c>
      <c r="I217" s="0" t="n">
        <f aca="false">$C217*VLOOKUP($B217,FoodDB!$A$2:$I$1006,8,0)</f>
        <v>0</v>
      </c>
      <c r="J217" s="0" t="n">
        <f aca="false">$C217*VLOOKUP($B217,FoodDB!$A$2:$I$1006,9,0)</f>
        <v>0</v>
      </c>
    </row>
    <row r="218" customFormat="false" ht="13.8" hidden="false" customHeight="false" outlineLevel="0" collapsed="false">
      <c r="B218" s="98" t="s">
        <v>98</v>
      </c>
      <c r="C218" s="99" t="n">
        <v>0</v>
      </c>
      <c r="D218" s="0" t="n">
        <f aca="false">$C218*VLOOKUP($B218,FoodDB!$A$2:$I$1006,3,0)</f>
        <v>0</v>
      </c>
      <c r="E218" s="0" t="n">
        <f aca="false">$C218*VLOOKUP($B218,FoodDB!$A$2:$I$1006,4,0)</f>
        <v>0</v>
      </c>
      <c r="F218" s="0" t="n">
        <f aca="false">$C218*VLOOKUP($B218,FoodDB!$A$2:$I$1006,5,0)</f>
        <v>0</v>
      </c>
      <c r="G218" s="0" t="n">
        <f aca="false">$C218*VLOOKUP($B218,FoodDB!$A$2:$I$1006,6,0)</f>
        <v>0</v>
      </c>
      <c r="H218" s="0" t="n">
        <f aca="false">$C218*VLOOKUP($B218,FoodDB!$A$2:$I$1006,7,0)</f>
        <v>0</v>
      </c>
      <c r="I218" s="0" t="n">
        <f aca="false">$C218*VLOOKUP($B218,FoodDB!$A$2:$I$1006,8,0)</f>
        <v>0</v>
      </c>
      <c r="J218" s="0" t="n">
        <f aca="false">$C218*VLOOKUP($B218,FoodDB!$A$2:$I$1006,9,0)</f>
        <v>0</v>
      </c>
    </row>
    <row r="219" customFormat="false" ht="13.8" hidden="false" customHeight="false" outlineLevel="0" collapsed="false">
      <c r="B219" s="98" t="s">
        <v>98</v>
      </c>
      <c r="C219" s="99" t="n">
        <v>0</v>
      </c>
      <c r="D219" s="0" t="n">
        <f aca="false">$C219*VLOOKUP($B219,FoodDB!$A$2:$I$1006,3,0)</f>
        <v>0</v>
      </c>
      <c r="E219" s="0" t="n">
        <f aca="false">$C219*VLOOKUP($B219,FoodDB!$A$2:$I$1006,4,0)</f>
        <v>0</v>
      </c>
      <c r="F219" s="0" t="n">
        <f aca="false">$C219*VLOOKUP($B219,FoodDB!$A$2:$I$1006,5,0)</f>
        <v>0</v>
      </c>
      <c r="G219" s="0" t="n">
        <f aca="false">$C219*VLOOKUP($B219,FoodDB!$A$2:$I$1006,6,0)</f>
        <v>0</v>
      </c>
      <c r="H219" s="0" t="n">
        <f aca="false">$C219*VLOOKUP($B219,FoodDB!$A$2:$I$1006,7,0)</f>
        <v>0</v>
      </c>
      <c r="I219" s="0" t="n">
        <f aca="false">$C219*VLOOKUP($B219,FoodDB!$A$2:$I$1006,8,0)</f>
        <v>0</v>
      </c>
      <c r="J219" s="0" t="n">
        <f aca="false">$C219*VLOOKUP($B219,FoodDB!$A$2:$I$1006,9,0)</f>
        <v>0</v>
      </c>
    </row>
    <row r="220" customFormat="false" ht="13.8" hidden="false" customHeight="false" outlineLevel="0" collapsed="false">
      <c r="B220" s="98" t="s">
        <v>98</v>
      </c>
      <c r="C220" s="99" t="n">
        <v>0</v>
      </c>
      <c r="D220" s="0" t="n">
        <f aca="false">$C220*VLOOKUP($B220,FoodDB!$A$2:$I$1006,3,0)</f>
        <v>0</v>
      </c>
      <c r="E220" s="0" t="n">
        <f aca="false">$C220*VLOOKUP($B220,FoodDB!$A$2:$I$1006,4,0)</f>
        <v>0</v>
      </c>
      <c r="F220" s="0" t="n">
        <f aca="false">$C220*VLOOKUP($B220,FoodDB!$A$2:$I$1006,5,0)</f>
        <v>0</v>
      </c>
      <c r="G220" s="0" t="n">
        <f aca="false">$C220*VLOOKUP($B220,FoodDB!$A$2:$I$1006,6,0)</f>
        <v>0</v>
      </c>
      <c r="H220" s="0" t="n">
        <f aca="false">$C220*VLOOKUP($B220,FoodDB!$A$2:$I$1006,7,0)</f>
        <v>0</v>
      </c>
      <c r="I220" s="0" t="n">
        <f aca="false">$C220*VLOOKUP($B220,FoodDB!$A$2:$I$1006,8,0)</f>
        <v>0</v>
      </c>
      <c r="J220" s="0" t="n">
        <f aca="false">$C220*VLOOKUP($B220,FoodDB!$A$2:$I$1006,9,0)</f>
        <v>0</v>
      </c>
    </row>
    <row r="221" customFormat="false" ht="13.8" hidden="false" customHeight="false" outlineLevel="0" collapsed="false">
      <c r="A221" s="0" t="s">
        <v>88</v>
      </c>
      <c r="G221" s="0" t="n">
        <f aca="false">SUM(G214:G220)</f>
        <v>0</v>
      </c>
      <c r="H221" s="0" t="n">
        <f aca="false">SUM(H214:H220)</f>
        <v>0</v>
      </c>
      <c r="I221" s="0" t="n">
        <f aca="false">SUM(I214:I220)</f>
        <v>0</v>
      </c>
      <c r="J221" s="0" t="n">
        <f aca="false">SUM(G221:I221)</f>
        <v>0</v>
      </c>
    </row>
    <row r="222" customFormat="false" ht="13.8" hidden="false" customHeight="false" outlineLevel="0" collapsed="false">
      <c r="A222" s="0" t="s">
        <v>92</v>
      </c>
      <c r="B222" s="0" t="s">
        <v>93</v>
      </c>
      <c r="E222" s="102"/>
      <c r="F222" s="102"/>
      <c r="G222" s="102" t="n">
        <f aca="false">VLOOKUP($A214,LossChart!$A$3:$AG$105,14,0)</f>
        <v>463.770399036326</v>
      </c>
      <c r="H222" s="102" t="n">
        <f aca="false">VLOOKUP($A214,LossChart!$A$3:$AG$105,15,0)</f>
        <v>80</v>
      </c>
      <c r="I222" s="102" t="n">
        <f aca="false">VLOOKUP($A214,LossChart!$A$3:$AG$105,16,0)</f>
        <v>482.474652711422</v>
      </c>
      <c r="J222" s="102" t="n">
        <f aca="false">VLOOKUP($A214,LossChart!$A$3:$AG$105,17,0)</f>
        <v>1026.24505174775</v>
      </c>
      <c r="K222" s="102"/>
    </row>
    <row r="223" customFormat="false" ht="13.8" hidden="false" customHeight="false" outlineLevel="0" collapsed="false">
      <c r="A223" s="0" t="s">
        <v>94</v>
      </c>
      <c r="G223" s="0" t="n">
        <f aca="false">G222-G221</f>
        <v>463.770399036326</v>
      </c>
      <c r="H223" s="0" t="n">
        <f aca="false">H222-H221</f>
        <v>80</v>
      </c>
      <c r="I223" s="0" t="n">
        <f aca="false">I222-I221</f>
        <v>482.474652711422</v>
      </c>
      <c r="J223" s="0" t="n">
        <f aca="false">J222-J221</f>
        <v>1026.24505174775</v>
      </c>
    </row>
    <row r="225" customFormat="false" ht="33.25" hidden="false" customHeight="false" outlineLevel="0" collapsed="false">
      <c r="A225" s="21" t="s">
        <v>63</v>
      </c>
      <c r="B225" s="21" t="s">
        <v>83</v>
      </c>
      <c r="C225" s="21" t="s">
        <v>84</v>
      </c>
      <c r="D225" s="96" t="str">
        <f aca="false">FoodDB!$C$1</f>
        <v>Fat
(g)</v>
      </c>
      <c r="E225" s="96" t="str">
        <f aca="false">FoodDB!$D$1</f>
        <v>Carbs
(g)</v>
      </c>
      <c r="F225" s="96" t="str">
        <f aca="false">FoodDB!$E$1</f>
        <v>Protein
(g)</v>
      </c>
      <c r="G225" s="96" t="str">
        <f aca="false">FoodDB!$F$1</f>
        <v>Fat
(Cal)</v>
      </c>
      <c r="H225" s="96" t="str">
        <f aca="false">FoodDB!$G$1</f>
        <v>Carb
(Cal)</v>
      </c>
      <c r="I225" s="96" t="str">
        <f aca="false">FoodDB!$H$1</f>
        <v>Protein
(Cal)</v>
      </c>
      <c r="J225" s="96" t="str">
        <f aca="false">FoodDB!$I$1</f>
        <v>Total
Calories</v>
      </c>
      <c r="K225" s="96"/>
      <c r="L225" s="96" t="s">
        <v>100</v>
      </c>
      <c r="M225" s="96" t="s">
        <v>101</v>
      </c>
      <c r="N225" s="96" t="s">
        <v>102</v>
      </c>
      <c r="O225" s="96" t="s">
        <v>103</v>
      </c>
      <c r="P225" s="96" t="s">
        <v>108</v>
      </c>
      <c r="Q225" s="96" t="s">
        <v>109</v>
      </c>
      <c r="R225" s="96" t="s">
        <v>110</v>
      </c>
      <c r="S225" s="96" t="s">
        <v>111</v>
      </c>
      <c r="T225" s="96"/>
      <c r="U225" s="96"/>
      <c r="V225" s="96"/>
      <c r="W225" s="96"/>
    </row>
    <row r="226" customFormat="false" ht="13.8" hidden="false" customHeight="false" outlineLevel="0" collapsed="false">
      <c r="A226" s="97" t="n">
        <f aca="false">A214+1</f>
        <v>43013</v>
      </c>
      <c r="B226" s="98" t="s">
        <v>98</v>
      </c>
      <c r="C226" s="99" t="n">
        <v>0</v>
      </c>
      <c r="D226" s="0" t="n">
        <f aca="false">$C226*VLOOKUP($B226,FoodDB!$A$2:$I$1006,3,0)</f>
        <v>0</v>
      </c>
      <c r="E226" s="0" t="n">
        <f aca="false">$C226*VLOOKUP($B226,FoodDB!$A$2:$I$1006,4,0)</f>
        <v>0</v>
      </c>
      <c r="F226" s="0" t="n">
        <f aca="false">$C226*VLOOKUP($B226,FoodDB!$A$2:$I$1006,5,0)</f>
        <v>0</v>
      </c>
      <c r="G226" s="0" t="n">
        <f aca="false">$C226*VLOOKUP($B226,FoodDB!$A$2:$I$1006,6,0)</f>
        <v>0</v>
      </c>
      <c r="H226" s="0" t="n">
        <f aca="false">$C226*VLOOKUP($B226,FoodDB!$A$2:$I$1006,7,0)</f>
        <v>0</v>
      </c>
      <c r="I226" s="0" t="n">
        <f aca="false">$C226*VLOOKUP($B226,FoodDB!$A$2:$I$1006,8,0)</f>
        <v>0</v>
      </c>
      <c r="J226" s="0" t="n">
        <f aca="false">$C226*VLOOKUP($B226,FoodDB!$A$2:$I$1006,9,0)</f>
        <v>0</v>
      </c>
      <c r="L226" s="0" t="n">
        <f aca="false">SUM(G226:G232)</f>
        <v>0</v>
      </c>
      <c r="M226" s="0" t="n">
        <f aca="false">SUM(H226:H232)</f>
        <v>0</v>
      </c>
      <c r="N226" s="0" t="n">
        <f aca="false">SUM(I226:I232)</f>
        <v>0</v>
      </c>
      <c r="O226" s="0" t="n">
        <f aca="false">SUM(L226:N226)</f>
        <v>0</v>
      </c>
      <c r="P226" s="102" t="n">
        <f aca="false">VLOOKUP($A226,LossChart!$A$3:$AG$105,14,0)-L226</f>
        <v>465.856295978637</v>
      </c>
      <c r="Q226" s="102" t="n">
        <f aca="false">VLOOKUP($A226,LossChart!$A$3:$AG$105,15,0)-M226</f>
        <v>80</v>
      </c>
      <c r="R226" s="102" t="n">
        <f aca="false">VLOOKUP($A226,LossChart!$A$3:$AG$105,16,0)-N226</f>
        <v>482.474652711422</v>
      </c>
      <c r="S226" s="102" t="n">
        <f aca="false">VLOOKUP($A226,LossChart!$A$3:$AG$105,17,0)-O226</f>
        <v>1028.33094869006</v>
      </c>
      <c r="T226" s="102"/>
      <c r="U226" s="102"/>
      <c r="V226" s="102"/>
      <c r="W226" s="102"/>
    </row>
    <row r="227" customFormat="false" ht="13.8" hidden="false" customHeight="false" outlineLevel="0" collapsed="false">
      <c r="B227" s="98" t="s">
        <v>98</v>
      </c>
      <c r="C227" s="99" t="n">
        <v>0</v>
      </c>
      <c r="D227" s="0" t="n">
        <f aca="false">$C227*VLOOKUP($B227,FoodDB!$A$2:$I$1006,3,0)</f>
        <v>0</v>
      </c>
      <c r="E227" s="0" t="n">
        <f aca="false">$C227*VLOOKUP($B227,FoodDB!$A$2:$I$1006,4,0)</f>
        <v>0</v>
      </c>
      <c r="F227" s="0" t="n">
        <f aca="false">$C227*VLOOKUP($B227,FoodDB!$A$2:$I$1006,5,0)</f>
        <v>0</v>
      </c>
      <c r="G227" s="0" t="n">
        <f aca="false">$C227*VLOOKUP($B227,FoodDB!$A$2:$I$1006,6,0)</f>
        <v>0</v>
      </c>
      <c r="H227" s="0" t="n">
        <f aca="false">$C227*VLOOKUP($B227,FoodDB!$A$2:$I$1006,7,0)</f>
        <v>0</v>
      </c>
      <c r="I227" s="0" t="n">
        <f aca="false">$C227*VLOOKUP($B227,FoodDB!$A$2:$I$1006,8,0)</f>
        <v>0</v>
      </c>
      <c r="J227" s="0" t="n">
        <f aca="false">$C227*VLOOKUP($B227,FoodDB!$A$2:$I$1006,9,0)</f>
        <v>0</v>
      </c>
    </row>
    <row r="228" customFormat="false" ht="13.8" hidden="false" customHeight="false" outlineLevel="0" collapsed="false">
      <c r="B228" s="98" t="s">
        <v>98</v>
      </c>
      <c r="C228" s="99" t="n">
        <v>0</v>
      </c>
      <c r="D228" s="0" t="n">
        <f aca="false">$C228*VLOOKUP($B228,FoodDB!$A$2:$I$1006,3,0)</f>
        <v>0</v>
      </c>
      <c r="E228" s="0" t="n">
        <f aca="false">$C228*VLOOKUP($B228,FoodDB!$A$2:$I$1006,4,0)</f>
        <v>0</v>
      </c>
      <c r="F228" s="0" t="n">
        <f aca="false">$C228*VLOOKUP($B228,FoodDB!$A$2:$I$1006,5,0)</f>
        <v>0</v>
      </c>
      <c r="G228" s="0" t="n">
        <f aca="false">$C228*VLOOKUP($B228,FoodDB!$A$2:$I$1006,6,0)</f>
        <v>0</v>
      </c>
      <c r="H228" s="0" t="n">
        <f aca="false">$C228*VLOOKUP($B228,FoodDB!$A$2:$I$1006,7,0)</f>
        <v>0</v>
      </c>
      <c r="I228" s="0" t="n">
        <f aca="false">$C228*VLOOKUP($B228,FoodDB!$A$2:$I$1006,8,0)</f>
        <v>0</v>
      </c>
      <c r="J228" s="0" t="n">
        <f aca="false">$C228*VLOOKUP($B228,FoodDB!$A$2:$I$1006,9,0)</f>
        <v>0</v>
      </c>
    </row>
    <row r="229" customFormat="false" ht="13.8" hidden="false" customHeight="false" outlineLevel="0" collapsed="false">
      <c r="B229" s="98" t="s">
        <v>98</v>
      </c>
      <c r="C229" s="99" t="n">
        <v>0</v>
      </c>
      <c r="D229" s="0" t="n">
        <f aca="false">$C229*VLOOKUP($B229,FoodDB!$A$2:$I$1006,3,0)</f>
        <v>0</v>
      </c>
      <c r="E229" s="0" t="n">
        <f aca="false">$C229*VLOOKUP($B229,FoodDB!$A$2:$I$1006,4,0)</f>
        <v>0</v>
      </c>
      <c r="F229" s="0" t="n">
        <f aca="false">$C229*VLOOKUP($B229,FoodDB!$A$2:$I$1006,5,0)</f>
        <v>0</v>
      </c>
      <c r="G229" s="0" t="n">
        <f aca="false">$C229*VLOOKUP($B229,FoodDB!$A$2:$I$1006,6,0)</f>
        <v>0</v>
      </c>
      <c r="H229" s="0" t="n">
        <f aca="false">$C229*VLOOKUP($B229,FoodDB!$A$2:$I$1006,7,0)</f>
        <v>0</v>
      </c>
      <c r="I229" s="0" t="n">
        <f aca="false">$C229*VLOOKUP($B229,FoodDB!$A$2:$I$1006,8,0)</f>
        <v>0</v>
      </c>
      <c r="J229" s="0" t="n">
        <f aca="false">$C229*VLOOKUP($B229,FoodDB!$A$2:$I$1006,9,0)</f>
        <v>0</v>
      </c>
    </row>
    <row r="230" customFormat="false" ht="13.8" hidden="false" customHeight="false" outlineLevel="0" collapsed="false">
      <c r="B230" s="98" t="s">
        <v>98</v>
      </c>
      <c r="C230" s="99" t="n">
        <v>0</v>
      </c>
      <c r="D230" s="0" t="n">
        <f aca="false">$C230*VLOOKUP($B230,FoodDB!$A$2:$I$1006,3,0)</f>
        <v>0</v>
      </c>
      <c r="E230" s="0" t="n">
        <f aca="false">$C230*VLOOKUP($B230,FoodDB!$A$2:$I$1006,4,0)</f>
        <v>0</v>
      </c>
      <c r="F230" s="0" t="n">
        <f aca="false">$C230*VLOOKUP($B230,FoodDB!$A$2:$I$1006,5,0)</f>
        <v>0</v>
      </c>
      <c r="G230" s="0" t="n">
        <f aca="false">$C230*VLOOKUP($B230,FoodDB!$A$2:$I$1006,6,0)</f>
        <v>0</v>
      </c>
      <c r="H230" s="0" t="n">
        <f aca="false">$C230*VLOOKUP($B230,FoodDB!$A$2:$I$1006,7,0)</f>
        <v>0</v>
      </c>
      <c r="I230" s="0" t="n">
        <f aca="false">$C230*VLOOKUP($B230,FoodDB!$A$2:$I$1006,8,0)</f>
        <v>0</v>
      </c>
      <c r="J230" s="0" t="n">
        <f aca="false">$C230*VLOOKUP($B230,FoodDB!$A$2:$I$1006,9,0)</f>
        <v>0</v>
      </c>
    </row>
    <row r="231" customFormat="false" ht="13.8" hidden="false" customHeight="false" outlineLevel="0" collapsed="false">
      <c r="B231" s="98" t="s">
        <v>98</v>
      </c>
      <c r="C231" s="99" t="n">
        <v>0</v>
      </c>
      <c r="D231" s="0" t="n">
        <f aca="false">$C231*VLOOKUP($B231,FoodDB!$A$2:$I$1006,3,0)</f>
        <v>0</v>
      </c>
      <c r="E231" s="0" t="n">
        <f aca="false">$C231*VLOOKUP($B231,FoodDB!$A$2:$I$1006,4,0)</f>
        <v>0</v>
      </c>
      <c r="F231" s="0" t="n">
        <f aca="false">$C231*VLOOKUP($B231,FoodDB!$A$2:$I$1006,5,0)</f>
        <v>0</v>
      </c>
      <c r="G231" s="0" t="n">
        <f aca="false">$C231*VLOOKUP($B231,FoodDB!$A$2:$I$1006,6,0)</f>
        <v>0</v>
      </c>
      <c r="H231" s="0" t="n">
        <f aca="false">$C231*VLOOKUP($B231,FoodDB!$A$2:$I$1006,7,0)</f>
        <v>0</v>
      </c>
      <c r="I231" s="0" t="n">
        <f aca="false">$C231*VLOOKUP($B231,FoodDB!$A$2:$I$1006,8,0)</f>
        <v>0</v>
      </c>
      <c r="J231" s="0" t="n">
        <f aca="false">$C231*VLOOKUP($B231,FoodDB!$A$2:$I$1006,9,0)</f>
        <v>0</v>
      </c>
    </row>
    <row r="232" customFormat="false" ht="13.8" hidden="false" customHeight="false" outlineLevel="0" collapsed="false">
      <c r="B232" s="98" t="s">
        <v>98</v>
      </c>
      <c r="C232" s="99" t="n">
        <v>0</v>
      </c>
      <c r="D232" s="0" t="n">
        <f aca="false">$C232*VLOOKUP($B232,FoodDB!$A$2:$I$1006,3,0)</f>
        <v>0</v>
      </c>
      <c r="E232" s="0" t="n">
        <f aca="false">$C232*VLOOKUP($B232,FoodDB!$A$2:$I$1006,4,0)</f>
        <v>0</v>
      </c>
      <c r="F232" s="0" t="n">
        <f aca="false">$C232*VLOOKUP($B232,FoodDB!$A$2:$I$1006,5,0)</f>
        <v>0</v>
      </c>
      <c r="G232" s="0" t="n">
        <f aca="false">$C232*VLOOKUP($B232,FoodDB!$A$2:$I$1006,6,0)</f>
        <v>0</v>
      </c>
      <c r="H232" s="0" t="n">
        <f aca="false">$C232*VLOOKUP($B232,FoodDB!$A$2:$I$1006,7,0)</f>
        <v>0</v>
      </c>
      <c r="I232" s="0" t="n">
        <f aca="false">$C232*VLOOKUP($B232,FoodDB!$A$2:$I$1006,8,0)</f>
        <v>0</v>
      </c>
      <c r="J232" s="0" t="n">
        <f aca="false">$C232*VLOOKUP($B232,FoodDB!$A$2:$I$1006,9,0)</f>
        <v>0</v>
      </c>
    </row>
    <row r="233" customFormat="false" ht="13.8" hidden="false" customHeight="false" outlineLevel="0" collapsed="false">
      <c r="A233" s="0" t="s">
        <v>88</v>
      </c>
      <c r="G233" s="0" t="n">
        <f aca="false">SUM(G226:G232)</f>
        <v>0</v>
      </c>
      <c r="H233" s="0" t="n">
        <f aca="false">SUM(H226:H232)</f>
        <v>0</v>
      </c>
      <c r="I233" s="0" t="n">
        <f aca="false">SUM(I226:I232)</f>
        <v>0</v>
      </c>
      <c r="J233" s="0" t="n">
        <f aca="false">SUM(G233:I233)</f>
        <v>0</v>
      </c>
    </row>
    <row r="234" customFormat="false" ht="13.8" hidden="false" customHeight="false" outlineLevel="0" collapsed="false">
      <c r="A234" s="0" t="s">
        <v>92</v>
      </c>
      <c r="B234" s="0" t="s">
        <v>93</v>
      </c>
      <c r="E234" s="102"/>
      <c r="F234" s="102"/>
      <c r="G234" s="102" t="n">
        <f aca="false">VLOOKUP($A226,LossChart!$A$3:$AG$105,14,0)</f>
        <v>465.856295978637</v>
      </c>
      <c r="H234" s="102" t="n">
        <f aca="false">VLOOKUP($A226,LossChart!$A$3:$AG$105,15,0)</f>
        <v>80</v>
      </c>
      <c r="I234" s="102" t="n">
        <f aca="false">VLOOKUP($A226,LossChart!$A$3:$AG$105,16,0)</f>
        <v>482.474652711422</v>
      </c>
      <c r="J234" s="102" t="n">
        <f aca="false">VLOOKUP($A226,LossChart!$A$3:$AG$105,17,0)</f>
        <v>1028.33094869006</v>
      </c>
      <c r="K234" s="102"/>
    </row>
    <row r="235" customFormat="false" ht="13.8" hidden="false" customHeight="false" outlineLevel="0" collapsed="false">
      <c r="A235" s="0" t="s">
        <v>94</v>
      </c>
      <c r="G235" s="0" t="n">
        <f aca="false">G234-G233</f>
        <v>465.856295978637</v>
      </c>
      <c r="H235" s="0" t="n">
        <f aca="false">H234-H233</f>
        <v>80</v>
      </c>
      <c r="I235" s="0" t="n">
        <f aca="false">I234-I233</f>
        <v>482.474652711422</v>
      </c>
      <c r="J235" s="0" t="n">
        <f aca="false">J234-J233</f>
        <v>1028.33094869006</v>
      </c>
    </row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0 B166:B172 B178:B184 B190:B196 B202:B208 B214:B220 B226:B232" type="list">
      <formula1>FoodDB!$A$2:$A$36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33" width="21.29"/>
    <col collapsed="false" customWidth="true" hidden="false" outlineLevel="0" max="2" min="2" style="103" width="11.14"/>
    <col collapsed="false" customWidth="true" hidden="false" outlineLevel="0" max="3" min="3" style="33" width="6.01"/>
    <col collapsed="false" customWidth="true" hidden="false" outlineLevel="0" max="4" min="4" style="33" width="6.57"/>
    <col collapsed="false" customWidth="true" hidden="false" outlineLevel="0" max="5" min="5" style="33" width="7.57"/>
    <col collapsed="false" customWidth="true" hidden="false" outlineLevel="0" max="6" min="6" style="33" width="7"/>
    <col collapsed="false" customWidth="true" hidden="false" outlineLevel="0" max="7" min="7" style="33" width="6.01"/>
    <col collapsed="false" customWidth="true" hidden="false" outlineLevel="0" max="8" min="8" style="33" width="7.57"/>
    <col collapsed="false" customWidth="true" hidden="false" outlineLevel="0" max="9" min="9" style="33" width="8"/>
    <col collapsed="false" customWidth="true" hidden="false" outlineLevel="0" max="1025" min="10" style="33" width="8.71"/>
  </cols>
  <sheetData>
    <row r="1" customFormat="false" ht="45" hidden="false" customHeight="false" outlineLevel="0" collapsed="false">
      <c r="A1" s="104" t="s">
        <v>83</v>
      </c>
      <c r="B1" s="105" t="s">
        <v>116</v>
      </c>
      <c r="C1" s="106" t="s">
        <v>70</v>
      </c>
      <c r="D1" s="106" t="s">
        <v>117</v>
      </c>
      <c r="E1" s="106" t="s">
        <v>72</v>
      </c>
      <c r="F1" s="106" t="s">
        <v>118</v>
      </c>
      <c r="G1" s="106" t="s">
        <v>119</v>
      </c>
      <c r="H1" s="106" t="s">
        <v>120</v>
      </c>
      <c r="I1" s="107" t="s">
        <v>121</v>
      </c>
    </row>
    <row r="2" customFormat="false" ht="15" hidden="false" customHeight="false" outlineLevel="0" collapsed="false">
      <c r="A2" s="33" t="s">
        <v>98</v>
      </c>
      <c r="B2" s="103" t="n">
        <v>1</v>
      </c>
      <c r="C2" s="108" t="n">
        <v>0</v>
      </c>
      <c r="D2" s="108" t="n">
        <v>0</v>
      </c>
      <c r="E2" s="108" t="n">
        <v>0</v>
      </c>
      <c r="F2" s="108" t="n">
        <v>0</v>
      </c>
      <c r="G2" s="108" t="n">
        <v>0</v>
      </c>
      <c r="H2" s="108" t="n">
        <v>0</v>
      </c>
      <c r="I2" s="108" t="n">
        <v>0</v>
      </c>
    </row>
    <row r="3" customFormat="false" ht="15" hidden="false" customHeight="false" outlineLevel="0" collapsed="false">
      <c r="A3" s="33" t="s">
        <v>96</v>
      </c>
      <c r="B3" s="103" t="s">
        <v>122</v>
      </c>
      <c r="C3" s="33" t="n">
        <v>0.1</v>
      </c>
      <c r="D3" s="33" t="n">
        <v>1.8</v>
      </c>
      <c r="E3" s="33" t="n">
        <v>2.2</v>
      </c>
      <c r="F3" s="108" t="n">
        <f aca="false">9*C3</f>
        <v>0.9</v>
      </c>
      <c r="G3" s="108" t="n">
        <f aca="false">4*D3</f>
        <v>7.2</v>
      </c>
      <c r="H3" s="108" t="n">
        <f aca="false">4*E3</f>
        <v>8.8</v>
      </c>
      <c r="I3" s="108" t="n">
        <f aca="false">SUM(F3:H3)</f>
        <v>16.9</v>
      </c>
    </row>
    <row r="4" customFormat="false" ht="15" hidden="false" customHeight="false" outlineLevel="0" collapsed="false">
      <c r="A4" s="33" t="s">
        <v>86</v>
      </c>
      <c r="B4" s="103" t="s">
        <v>123</v>
      </c>
      <c r="C4" s="108" t="n">
        <f aca="false">4.5*0/14</f>
        <v>0</v>
      </c>
      <c r="D4" s="108" t="n">
        <f aca="false">4.5*2/14</f>
        <v>0.642857142857143</v>
      </c>
      <c r="E4" s="108" t="n">
        <f aca="false">4.5*1/14</f>
        <v>0.321428571428571</v>
      </c>
      <c r="F4" s="108" t="n">
        <f aca="false">9*C4</f>
        <v>0</v>
      </c>
      <c r="G4" s="108" t="n">
        <f aca="false">4*D4</f>
        <v>2.57142857142857</v>
      </c>
      <c r="H4" s="108" t="n">
        <f aca="false">4*E4</f>
        <v>1.28571428571429</v>
      </c>
      <c r="I4" s="108" t="n">
        <f aca="false">SUM(F4:H4)</f>
        <v>3.85714285714286</v>
      </c>
    </row>
    <row r="5" customFormat="false" ht="15" hidden="false" customHeight="false" outlineLevel="0" collapsed="false">
      <c r="A5" s="33" t="s">
        <v>99</v>
      </c>
      <c r="B5" s="103" t="s">
        <v>124</v>
      </c>
      <c r="C5" s="108" t="n">
        <v>12</v>
      </c>
      <c r="D5" s="108" t="n">
        <v>0</v>
      </c>
      <c r="E5" s="108" t="n">
        <v>0</v>
      </c>
      <c r="F5" s="108" t="n">
        <f aca="false">9*C5</f>
        <v>108</v>
      </c>
      <c r="G5" s="108" t="n">
        <f aca="false">4*D5</f>
        <v>0</v>
      </c>
      <c r="H5" s="108" t="n">
        <f aca="false">4*E5</f>
        <v>0</v>
      </c>
      <c r="I5" s="108" t="n">
        <f aca="false">SUM(F5:H5)</f>
        <v>108</v>
      </c>
    </row>
    <row r="6" customFormat="false" ht="15" hidden="false" customHeight="false" outlineLevel="0" collapsed="false">
      <c r="A6" s="33" t="s">
        <v>125</v>
      </c>
      <c r="B6" s="103" t="s">
        <v>126</v>
      </c>
      <c r="C6" s="108" t="n">
        <v>1.6</v>
      </c>
      <c r="D6" s="108" t="n">
        <f aca="false">29-12</f>
        <v>17</v>
      </c>
      <c r="E6" s="108" t="n">
        <v>11</v>
      </c>
      <c r="F6" s="108" t="n">
        <f aca="false">9*C6</f>
        <v>14.4</v>
      </c>
      <c r="G6" s="108" t="n">
        <f aca="false">4*D6</f>
        <v>68</v>
      </c>
      <c r="H6" s="108" t="n">
        <f aca="false">4*E6</f>
        <v>44</v>
      </c>
      <c r="I6" s="108" t="n">
        <f aca="false">SUM(F6:H6)</f>
        <v>126.4</v>
      </c>
    </row>
    <row r="7" customFormat="false" ht="15" hidden="false" customHeight="false" outlineLevel="0" collapsed="false">
      <c r="A7" s="109" t="s">
        <v>87</v>
      </c>
      <c r="B7" s="110" t="s">
        <v>124</v>
      </c>
      <c r="C7" s="108" t="n">
        <v>9</v>
      </c>
      <c r="D7" s="108" t="n">
        <v>2</v>
      </c>
      <c r="E7" s="111" t="n">
        <v>4.7</v>
      </c>
      <c r="F7" s="108" t="n">
        <f aca="false">9*C7</f>
        <v>81</v>
      </c>
      <c r="G7" s="108" t="n">
        <f aca="false">4*D7</f>
        <v>8</v>
      </c>
      <c r="H7" s="108" t="n">
        <f aca="false">4*E7</f>
        <v>18.8</v>
      </c>
      <c r="I7" s="108" t="n">
        <f aca="false">SUM(F7:H7)</f>
        <v>107.8</v>
      </c>
    </row>
    <row r="8" customFormat="false" ht="15" hidden="false" customHeight="false" outlineLevel="0" collapsed="false">
      <c r="A8" s="33" t="s">
        <v>127</v>
      </c>
      <c r="B8" s="103" t="s">
        <v>122</v>
      </c>
      <c r="C8" s="108" t="n">
        <v>3.6</v>
      </c>
      <c r="D8" s="108" t="n">
        <v>0</v>
      </c>
      <c r="E8" s="108" t="n">
        <v>31</v>
      </c>
      <c r="F8" s="108" t="n">
        <f aca="false">9*C8</f>
        <v>32.4</v>
      </c>
      <c r="G8" s="108" t="n">
        <f aca="false">4*D8</f>
        <v>0</v>
      </c>
      <c r="H8" s="108" t="n">
        <f aca="false">4*E8</f>
        <v>124</v>
      </c>
      <c r="I8" s="108" t="n">
        <f aca="false">SUM(F8:H8)</f>
        <v>156.4</v>
      </c>
    </row>
    <row r="9" customFormat="false" ht="15" hidden="false" customHeight="false" outlineLevel="0" collapsed="false">
      <c r="A9" s="33" t="s">
        <v>128</v>
      </c>
      <c r="B9" s="103" t="s">
        <v>129</v>
      </c>
      <c r="C9" s="108" t="n">
        <v>10</v>
      </c>
      <c r="D9" s="108" t="n">
        <v>0</v>
      </c>
      <c r="E9" s="108" t="n">
        <v>28</v>
      </c>
      <c r="F9" s="108" t="n">
        <f aca="false">9*C9</f>
        <v>90</v>
      </c>
      <c r="G9" s="108" t="n">
        <f aca="false">4*D9</f>
        <v>0</v>
      </c>
      <c r="H9" s="108" t="n">
        <f aca="false">4*E9</f>
        <v>112</v>
      </c>
      <c r="I9" s="108" t="n">
        <f aca="false">SUM(F9:H9)</f>
        <v>202</v>
      </c>
    </row>
    <row r="10" customFormat="false" ht="15" hidden="false" customHeight="false" outlineLevel="0" collapsed="false">
      <c r="A10" s="33" t="s">
        <v>130</v>
      </c>
      <c r="B10" s="103" t="n">
        <v>1</v>
      </c>
      <c r="C10" s="108" t="n">
        <v>8.3</v>
      </c>
      <c r="D10" s="108" t="n">
        <v>0</v>
      </c>
      <c r="E10" s="108" t="n">
        <v>11.46</v>
      </c>
      <c r="F10" s="108" t="n">
        <f aca="false">9*C10</f>
        <v>74.7</v>
      </c>
      <c r="G10" s="108" t="n">
        <f aca="false">4*D10</f>
        <v>0</v>
      </c>
      <c r="H10" s="108" t="n">
        <f aca="false">4*E10</f>
        <v>45.84</v>
      </c>
      <c r="I10" s="108" t="n">
        <f aca="false">SUM(F10:H10)</f>
        <v>120.54</v>
      </c>
    </row>
    <row r="11" customFormat="false" ht="15" hidden="false" customHeight="false" outlineLevel="0" collapsed="false">
      <c r="A11" s="33" t="s">
        <v>89</v>
      </c>
      <c r="B11" s="103" t="n">
        <v>1</v>
      </c>
      <c r="C11" s="108" t="n">
        <v>6.18</v>
      </c>
      <c r="D11" s="108" t="n">
        <v>0</v>
      </c>
      <c r="E11" s="108" t="n">
        <v>8.52</v>
      </c>
      <c r="F11" s="108" t="n">
        <f aca="false">9*C11</f>
        <v>55.62</v>
      </c>
      <c r="G11" s="108" t="n">
        <f aca="false">4*D11</f>
        <v>0</v>
      </c>
      <c r="H11" s="108" t="n">
        <f aca="false">4*E11</f>
        <v>34.08</v>
      </c>
      <c r="I11" s="108" t="n">
        <f aca="false">SUM(F11:H11)</f>
        <v>89.7</v>
      </c>
    </row>
    <row r="12" customFormat="false" ht="15" hidden="false" customHeight="false" outlineLevel="0" collapsed="false">
      <c r="A12" s="33" t="s">
        <v>131</v>
      </c>
      <c r="B12" s="103" t="n">
        <v>1</v>
      </c>
      <c r="C12" s="108" t="n">
        <v>5.4</v>
      </c>
      <c r="D12" s="108" t="n">
        <v>0</v>
      </c>
      <c r="E12" s="108" t="n">
        <v>7.46</v>
      </c>
      <c r="F12" s="108" t="n">
        <f aca="false">9*C12</f>
        <v>48.6</v>
      </c>
      <c r="G12" s="108" t="n">
        <f aca="false">4*D12</f>
        <v>0</v>
      </c>
      <c r="H12" s="108" t="n">
        <f aca="false">4*E12</f>
        <v>29.84</v>
      </c>
      <c r="I12" s="108" t="n">
        <f aca="false">SUM(F12:H12)</f>
        <v>78.44</v>
      </c>
    </row>
    <row r="13" customFormat="false" ht="15" hidden="false" customHeight="false" outlineLevel="0" collapsed="false">
      <c r="A13" s="33" t="s">
        <v>91</v>
      </c>
      <c r="B13" s="103" t="n">
        <v>1</v>
      </c>
      <c r="C13" s="108" t="n">
        <v>5</v>
      </c>
      <c r="D13" s="108" t="n">
        <v>0</v>
      </c>
      <c r="E13" s="108" t="n">
        <v>6</v>
      </c>
      <c r="F13" s="108" t="n">
        <f aca="false">9*C13</f>
        <v>45</v>
      </c>
      <c r="G13" s="108" t="n">
        <f aca="false">4*D13</f>
        <v>0</v>
      </c>
      <c r="H13" s="108" t="n">
        <f aca="false">4*E13</f>
        <v>24</v>
      </c>
      <c r="I13" s="108" t="n">
        <f aca="false">SUM(F13:H13)</f>
        <v>69</v>
      </c>
    </row>
    <row r="14" customFormat="false" ht="15" hidden="false" customHeight="false" outlineLevel="0" collapsed="false">
      <c r="A14" s="33" t="s">
        <v>97</v>
      </c>
      <c r="B14" s="103" t="n">
        <v>1</v>
      </c>
      <c r="C14" s="33" t="n">
        <v>0.5</v>
      </c>
      <c r="D14" s="33" t="n">
        <v>0</v>
      </c>
      <c r="E14" s="33" t="n">
        <v>0</v>
      </c>
      <c r="F14" s="108" t="n">
        <f aca="false">9*C14</f>
        <v>4.5</v>
      </c>
      <c r="G14" s="108" t="n">
        <f aca="false">4*D14</f>
        <v>0</v>
      </c>
      <c r="H14" s="108" t="n">
        <f aca="false">4*E14</f>
        <v>0</v>
      </c>
      <c r="I14" s="108" t="n">
        <f aca="false">SUM(F14:H14)</f>
        <v>4.5</v>
      </c>
    </row>
    <row r="15" customFormat="false" ht="15" hidden="false" customHeight="false" outlineLevel="0" collapsed="false">
      <c r="A15" s="33" t="s">
        <v>112</v>
      </c>
      <c r="B15" s="103" t="s">
        <v>122</v>
      </c>
      <c r="C15" s="33" t="n">
        <v>18</v>
      </c>
      <c r="D15" s="33" t="n">
        <v>0</v>
      </c>
      <c r="E15" s="33" t="n">
        <v>26</v>
      </c>
      <c r="F15" s="108" t="n">
        <f aca="false">9*C15</f>
        <v>162</v>
      </c>
      <c r="G15" s="108" t="n">
        <f aca="false">4*D15</f>
        <v>0</v>
      </c>
      <c r="H15" s="108" t="n">
        <f aca="false">4*E15</f>
        <v>104</v>
      </c>
      <c r="I15" s="108" t="n">
        <f aca="false">SUM(F15:H15)</f>
        <v>266</v>
      </c>
    </row>
    <row r="16" customFormat="false" ht="15" hidden="false" customHeight="false" outlineLevel="0" collapsed="false">
      <c r="A16" s="33" t="s">
        <v>115</v>
      </c>
      <c r="B16" s="103" t="s">
        <v>132</v>
      </c>
      <c r="C16" s="33" t="n">
        <v>1.5</v>
      </c>
      <c r="D16" s="33" t="n">
        <v>3</v>
      </c>
      <c r="E16" s="33" t="n">
        <v>25</v>
      </c>
      <c r="F16" s="108" t="n">
        <f aca="false">9*C16</f>
        <v>13.5</v>
      </c>
      <c r="G16" s="108" t="n">
        <f aca="false">4*D16</f>
        <v>12</v>
      </c>
      <c r="H16" s="108" t="n">
        <f aca="false">4*E16</f>
        <v>100</v>
      </c>
      <c r="I16" s="108" t="n">
        <f aca="false">SUM(F16:H16)</f>
        <v>125.5</v>
      </c>
    </row>
    <row r="17" customFormat="false" ht="15" hidden="false" customHeight="false" outlineLevel="0" collapsed="false">
      <c r="A17" s="33" t="s">
        <v>85</v>
      </c>
      <c r="B17" s="103" t="s">
        <v>133</v>
      </c>
      <c r="C17" s="108" t="n">
        <v>0.5</v>
      </c>
      <c r="D17" s="108" t="n">
        <v>0</v>
      </c>
      <c r="E17" s="108" t="n">
        <v>50</v>
      </c>
      <c r="F17" s="108" t="n">
        <f aca="false">9*C17</f>
        <v>4.5</v>
      </c>
      <c r="G17" s="108" t="n">
        <f aca="false">4*D17</f>
        <v>0</v>
      </c>
      <c r="H17" s="108" t="n">
        <f aca="false">4*E17</f>
        <v>200</v>
      </c>
      <c r="I17" s="108" t="n">
        <f aca="false">SUM(F17:H17)</f>
        <v>204.5</v>
      </c>
    </row>
    <row r="18" customFormat="false" ht="15" hidden="false" customHeight="false" outlineLevel="0" collapsed="false">
      <c r="A18" s="33" t="s">
        <v>90</v>
      </c>
      <c r="B18" s="103" t="s">
        <v>134</v>
      </c>
      <c r="C18" s="108" t="n">
        <v>0</v>
      </c>
      <c r="D18" s="108" t="n">
        <v>1</v>
      </c>
      <c r="E18" s="108" t="n">
        <v>0.6</v>
      </c>
      <c r="F18" s="108" t="n">
        <f aca="false">9*C18</f>
        <v>0</v>
      </c>
      <c r="G18" s="108" t="n">
        <f aca="false">4*D18</f>
        <v>4</v>
      </c>
      <c r="H18" s="108" t="n">
        <f aca="false">4*E18</f>
        <v>2.4</v>
      </c>
      <c r="I18" s="108" t="n">
        <f aca="false">SUM(F18:H18)</f>
        <v>6.4</v>
      </c>
    </row>
    <row r="19" customFormat="false" ht="15" hidden="false" customHeight="false" outlineLevel="0" collapsed="false">
      <c r="A19" s="33" t="s">
        <v>135</v>
      </c>
      <c r="B19" s="103" t="s">
        <v>124</v>
      </c>
      <c r="C19" s="108" t="n">
        <v>14</v>
      </c>
      <c r="D19" s="108" t="n">
        <v>0</v>
      </c>
      <c r="E19" s="108" t="n">
        <v>0</v>
      </c>
      <c r="F19" s="108" t="n">
        <f aca="false">9*C19</f>
        <v>126</v>
      </c>
      <c r="G19" s="108" t="n">
        <f aca="false">4*D19</f>
        <v>0</v>
      </c>
      <c r="H19" s="108" t="n">
        <f aca="false">4*E19</f>
        <v>0</v>
      </c>
      <c r="I19" s="108" t="n">
        <f aca="false">SUM(F19:H19)</f>
        <v>126</v>
      </c>
    </row>
    <row r="20" customFormat="false" ht="15" hidden="false" customHeight="false" outlineLevel="0" collapsed="false">
      <c r="A20" s="33" t="s">
        <v>113</v>
      </c>
      <c r="B20" s="103" t="s">
        <v>136</v>
      </c>
      <c r="C20" s="108" t="n">
        <v>6</v>
      </c>
      <c r="D20" s="108" t="n">
        <v>0</v>
      </c>
      <c r="E20" s="108" t="n">
        <v>7</v>
      </c>
      <c r="F20" s="108" t="n">
        <f aca="false">9*C20</f>
        <v>54</v>
      </c>
      <c r="G20" s="108" t="n">
        <f aca="false">4*D20</f>
        <v>0</v>
      </c>
      <c r="H20" s="108" t="n">
        <f aca="false">4*E20</f>
        <v>28</v>
      </c>
      <c r="I20" s="108" t="n">
        <f aca="false">SUM(F20:H20)</f>
        <v>82</v>
      </c>
    </row>
    <row r="21" customFormat="false" ht="15" hidden="false" customHeight="false" outlineLevel="0" collapsed="false">
      <c r="A21" s="33" t="s">
        <v>137</v>
      </c>
      <c r="B21" s="103" t="s">
        <v>138</v>
      </c>
      <c r="C21" s="108" t="n">
        <v>11</v>
      </c>
      <c r="D21" s="108" t="n">
        <v>0</v>
      </c>
      <c r="E21" s="108" t="n">
        <v>23</v>
      </c>
      <c r="F21" s="108" t="n">
        <f aca="false">9*C21</f>
        <v>99</v>
      </c>
      <c r="G21" s="108" t="n">
        <f aca="false">4*D21</f>
        <v>0</v>
      </c>
      <c r="H21" s="108" t="n">
        <f aca="false">4*E21</f>
        <v>92</v>
      </c>
      <c r="I21" s="108" t="n">
        <f aca="false">SUM(F21:H21)</f>
        <v>191</v>
      </c>
    </row>
    <row r="22" customFormat="false" ht="15" hidden="false" customHeight="false" outlineLevel="0" collapsed="false">
      <c r="A22" s="33" t="s">
        <v>139</v>
      </c>
      <c r="B22" s="103" t="s">
        <v>140</v>
      </c>
      <c r="C22" s="33" t="n">
        <v>5</v>
      </c>
      <c r="D22" s="33" t="n">
        <v>0</v>
      </c>
      <c r="E22" s="33" t="n">
        <v>25</v>
      </c>
      <c r="F22" s="33" t="n">
        <f aca="false">9*C22</f>
        <v>45</v>
      </c>
      <c r="G22" s="33" t="n">
        <f aca="false">4*D22</f>
        <v>0</v>
      </c>
      <c r="H22" s="33" t="n">
        <f aca="false">4*E22</f>
        <v>100</v>
      </c>
      <c r="I22" s="33" t="n">
        <f aca="false">SUM(F22:H22)</f>
        <v>145</v>
      </c>
    </row>
    <row r="23" customFormat="false" ht="15" hidden="false" customHeight="false" outlineLevel="0" collapsed="false">
      <c r="A23" s="33" t="s">
        <v>114</v>
      </c>
      <c r="B23" s="103" t="s">
        <v>141</v>
      </c>
      <c r="C23" s="108" t="n">
        <v>0.5</v>
      </c>
      <c r="D23" s="108" t="n">
        <v>2</v>
      </c>
      <c r="E23" s="108" t="n">
        <v>10</v>
      </c>
      <c r="F23" s="108" t="n">
        <f aca="false">9*C23</f>
        <v>4.5</v>
      </c>
      <c r="G23" s="108" t="n">
        <f aca="false">4*D23</f>
        <v>8</v>
      </c>
      <c r="H23" s="108" t="n">
        <f aca="false">4*E23</f>
        <v>40</v>
      </c>
      <c r="I23" s="108" t="n">
        <f aca="false">SUM(F23:H23)</f>
        <v>52.5</v>
      </c>
    </row>
    <row r="24" customFormat="false" ht="15" hidden="false" customHeight="false" outlineLevel="0" collapsed="false">
      <c r="A24" s="33" t="s">
        <v>95</v>
      </c>
      <c r="B24" s="103" t="s">
        <v>142</v>
      </c>
      <c r="C24" s="108" t="n">
        <v>0.8</v>
      </c>
      <c r="D24" s="108" t="n">
        <v>0</v>
      </c>
      <c r="E24" s="108" t="n">
        <v>34</v>
      </c>
      <c r="F24" s="108" t="n">
        <f aca="false">9*C24</f>
        <v>7.2</v>
      </c>
      <c r="G24" s="108" t="n">
        <f aca="false">4*D24</f>
        <v>0</v>
      </c>
      <c r="H24" s="108" t="n">
        <f aca="false">4*E24</f>
        <v>136</v>
      </c>
      <c r="I24" s="108" t="n">
        <f aca="false">SUM(F24:H24)</f>
        <v>143.2</v>
      </c>
    </row>
    <row r="25" customFormat="false" ht="15" hidden="false" customHeight="false" outlineLevel="0" collapsed="false">
      <c r="A25" s="33" t="s">
        <v>143</v>
      </c>
      <c r="B25" s="103" t="s">
        <v>144</v>
      </c>
      <c r="C25" s="33" t="n">
        <v>0.6</v>
      </c>
      <c r="D25" s="33" t="n">
        <v>4.9</v>
      </c>
      <c r="E25" s="33" t="n">
        <v>2.4</v>
      </c>
      <c r="F25" s="33" t="n">
        <f aca="false">9*C25</f>
        <v>5.4</v>
      </c>
      <c r="G25" s="33" t="n">
        <f aca="false">4*D25</f>
        <v>19.6</v>
      </c>
      <c r="H25" s="33" t="n">
        <f aca="false">4*E25</f>
        <v>9.6</v>
      </c>
      <c r="I25" s="33" t="n">
        <f aca="false">SUM(F25:H25)</f>
        <v>34.6</v>
      </c>
    </row>
  </sheetData>
  <autoFilter ref="A1:I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7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2"/>
      <c r="G1" s="112"/>
      <c r="H1" s="112"/>
      <c r="J1" s="113"/>
      <c r="K1" s="113"/>
      <c r="L1" s="113"/>
      <c r="M1" s="113"/>
      <c r="N1" s="113"/>
      <c r="O1" s="113"/>
      <c r="P1" s="113"/>
      <c r="Q1" s="113"/>
      <c r="S1" s="113"/>
      <c r="T1" s="113"/>
      <c r="U1" s="113"/>
      <c r="V1" s="113"/>
      <c r="W1" s="113"/>
      <c r="X1" s="113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145</v>
      </c>
      <c r="H2" s="44" t="s">
        <v>146</v>
      </c>
      <c r="I2" s="114"/>
      <c r="J2" s="115"/>
      <c r="K2" s="115"/>
      <c r="L2" s="115"/>
      <c r="M2" s="115"/>
      <c r="N2" s="115"/>
      <c r="O2" s="115"/>
      <c r="P2" s="115"/>
      <c r="Q2" s="115"/>
      <c r="S2" s="116"/>
      <c r="T2" s="116"/>
      <c r="U2" s="116"/>
      <c r="V2" s="116"/>
      <c r="W2" s="116"/>
      <c r="X2" s="116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7"/>
      <c r="K3" s="117"/>
      <c r="L3" s="117"/>
      <c r="M3" s="117"/>
      <c r="N3" s="118"/>
      <c r="O3" s="118"/>
      <c r="P3" s="118"/>
      <c r="Q3" s="118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9"/>
      <c r="K4" s="119"/>
      <c r="L4" s="119"/>
      <c r="M4" s="119"/>
      <c r="N4" s="118"/>
      <c r="O4" s="118"/>
      <c r="P4" s="118"/>
      <c r="Q4" s="118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9"/>
      <c r="K5" s="119"/>
      <c r="L5" s="119"/>
      <c r="M5" s="119"/>
      <c r="N5" s="118"/>
      <c r="O5" s="118"/>
      <c r="P5" s="118"/>
      <c r="Q5" s="118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9"/>
      <c r="K6" s="119"/>
      <c r="L6" s="119"/>
      <c r="M6" s="119"/>
      <c r="N6" s="118"/>
      <c r="O6" s="118"/>
      <c r="P6" s="118"/>
      <c r="Q6" s="118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81" t="n">
        <f aca="false">C86-D86</f>
        <v>20.6917442634307</v>
      </c>
      <c r="F86" s="69" t="n">
        <f aca="false">13*C86</f>
        <v>2348.9926754246</v>
      </c>
      <c r="G86" s="81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81" t="n">
        <f aca="false">C87-D87</f>
        <v>20.508474528526</v>
      </c>
      <c r="F87" s="69" t="n">
        <f aca="false">13*C87</f>
        <v>2346.61016887084</v>
      </c>
      <c r="G87" s="81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81" t="n">
        <f aca="false">C88-D88</f>
        <v>20.3268280398447</v>
      </c>
      <c r="F88" s="69" t="n">
        <f aca="false">13*C88</f>
        <v>2344.24876451798</v>
      </c>
      <c r="G88" s="81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81" t="n">
        <f aca="false">C89-D89</f>
        <v>20.1467904200633</v>
      </c>
      <c r="F89" s="69" t="n">
        <f aca="false">13*C89</f>
        <v>2341.90827546082</v>
      </c>
      <c r="G89" s="81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81" t="n">
        <f aca="false">C90-D90</f>
        <v>19.9683474191999</v>
      </c>
      <c r="F90" s="69" t="n">
        <f aca="false">13*C90</f>
        <v>2339.5885164496</v>
      </c>
      <c r="G90" s="81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81" t="n">
        <f aca="false">C91-D91</f>
        <v>19.791484913487</v>
      </c>
      <c r="F91" s="69" t="n">
        <f aca="false">13*C91</f>
        <v>2337.28930387533</v>
      </c>
      <c r="G91" s="81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81" t="n">
        <f aca="false">C92-D92</f>
        <v>19.6161889042532</v>
      </c>
      <c r="F92" s="69" t="n">
        <f aca="false">13*C92</f>
        <v>2335.01045575529</v>
      </c>
      <c r="G92" s="81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81" t="n">
        <f aca="false">C93-D93</f>
        <v>19.4424455168156</v>
      </c>
      <c r="F93" s="69" t="n">
        <f aca="false">13*C93</f>
        <v>2332.7517917186</v>
      </c>
      <c r="G93" s="81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81" t="n">
        <f aca="false">C94-D94</f>
        <v>19.2702409993809</v>
      </c>
      <c r="F94" s="69" t="n">
        <f aca="false">13*C94</f>
        <v>2330.51313299195</v>
      </c>
      <c r="G94" s="81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81" t="n">
        <f aca="false">C95-D95</f>
        <v>19.0995617219578</v>
      </c>
      <c r="F95" s="69" t="n">
        <f aca="false">13*C95</f>
        <v>2328.29430238545</v>
      </c>
      <c r="G95" s="81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81" t="n">
        <f aca="false">C96-D96</f>
        <v>18.9303941752776</v>
      </c>
      <c r="F96" s="69" t="n">
        <f aca="false">13*C96</f>
        <v>2326.09512427861</v>
      </c>
      <c r="G96" s="81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81" t="n">
        <f aca="false">C97-D97</f>
        <v>18.7627249697251</v>
      </c>
      <c r="F97" s="69" t="n">
        <f aca="false">13*C97</f>
        <v>2323.91542460643</v>
      </c>
      <c r="G97" s="81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81" t="n">
        <f aca="false">C98-D98</f>
        <v>18.596540834279</v>
      </c>
      <c r="F98" s="69" t="n">
        <f aca="false">13*C98</f>
        <v>2321.75503084563</v>
      </c>
      <c r="G98" s="81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81" t="n">
        <f aca="false">C99-D99</f>
        <v>18.4318286154611</v>
      </c>
      <c r="F99" s="69" t="n">
        <f aca="false">13*C99</f>
        <v>2319.61377200099</v>
      </c>
      <c r="G99" s="81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81" t="n">
        <f aca="false">C100-D100</f>
        <v>18.2685752762956</v>
      </c>
      <c r="F100" s="69" t="n">
        <f aca="false">13*C100</f>
        <v>2317.49147859184</v>
      </c>
      <c r="G100" s="81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81" t="n">
        <f aca="false">C101-D101</f>
        <v>18.106767895277</v>
      </c>
      <c r="F101" s="69" t="n">
        <f aca="false">13*C101</f>
        <v>2315.3879826386</v>
      </c>
      <c r="G101" s="81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81" t="n">
        <f aca="false">C102-D102</f>
        <v>17.9463936653474</v>
      </c>
      <c r="F102" s="69" t="n">
        <f aca="false">13*C102</f>
        <v>2313.30311764952</v>
      </c>
      <c r="G102" s="81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81" t="n">
        <f aca="false">C103-D103</f>
        <v>17.7874398928828</v>
      </c>
      <c r="F103" s="69" t="n">
        <f aca="false">13*C103</f>
        <v>2311.23671860748</v>
      </c>
      <c r="G103" s="81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81" t="n">
        <f aca="false">C104-D104</f>
        <v>17.6298939966887</v>
      </c>
      <c r="F104" s="69" t="n">
        <f aca="false">13*C104</f>
        <v>2309.18862195695</v>
      </c>
      <c r="G104" s="81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81" t="n">
        <f aca="false">C105-D105</f>
        <v>17.4737435070038</v>
      </c>
      <c r="F105" s="69" t="n">
        <f aca="false">13*C105</f>
        <v>2307.15866559105</v>
      </c>
      <c r="G105" s="81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81" t="n">
        <f aca="false">C106-D106</f>
        <v>17.3189760645132</v>
      </c>
      <c r="F106" s="69" t="n">
        <f aca="false">13*C106</f>
        <v>2305.14668883867</v>
      </c>
      <c r="G106" s="81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81" t="n">
        <f aca="false">C107-D107</f>
        <v>17.1655794193703</v>
      </c>
      <c r="F107" s="69" t="n">
        <f aca="false">13*C107</f>
        <v>2303.15253245181</v>
      </c>
      <c r="G107" s="81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81" t="n">
        <f aca="false">C108-D108</f>
        <v>17.0135414302273</v>
      </c>
      <c r="F108" s="69" t="n">
        <f aca="false">13*C108</f>
        <v>2301.17603859296</v>
      </c>
      <c r="G108" s="81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81" t="n">
        <f aca="false">C109-D109</f>
        <v>16.8628500632739</v>
      </c>
      <c r="F109" s="69" t="n">
        <f aca="false">13*C109</f>
        <v>2299.21705082256</v>
      </c>
      <c r="G109" s="81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81" t="n">
        <f aca="false">C110-D110</f>
        <v>16.7134933912849</v>
      </c>
      <c r="F110" s="69" t="n">
        <f aca="false">13*C110</f>
        <v>2297.2754140867</v>
      </c>
      <c r="G110" s="81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81" t="n">
        <f aca="false">C111-D111</f>
        <v>16.5654595926763</v>
      </c>
      <c r="F111" s="69" t="n">
        <f aca="false">13*C111</f>
        <v>2295.35097470479</v>
      </c>
      <c r="G111" s="81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81" t="n">
        <f aca="false">C112-D112</f>
        <v>16.4187369505698</v>
      </c>
      <c r="F112" s="69" t="n">
        <f aca="false">13*C112</f>
        <v>2293.44358035741</v>
      </c>
      <c r="G112" s="81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81" t="n">
        <f aca="false">C113-D113</f>
        <v>16.2733138518647</v>
      </c>
      <c r="F113" s="69" t="n">
        <f aca="false">13*C113</f>
        <v>2291.55308007424</v>
      </c>
      <c r="G113" s="81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81" t="n">
        <f aca="false">C114-D114</f>
        <v>16.1291787863196</v>
      </c>
      <c r="F114" s="69" t="n">
        <f aca="false">13*C114</f>
        <v>2289.67932422216</v>
      </c>
      <c r="G114" s="81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81" t="n">
        <f aca="false">C115-D115</f>
        <v>15.9863203456408</v>
      </c>
      <c r="F115" s="69" t="n">
        <f aca="false">13*C115</f>
        <v>2287.82216449333</v>
      </c>
      <c r="G115" s="81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81" t="n">
        <f aca="false">C116-D116</f>
        <v>15.8447272225794</v>
      </c>
      <c r="F116" s="69" t="n">
        <f aca="false">13*C116</f>
        <v>2285.98145389353</v>
      </c>
      <c r="G116" s="81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81" t="n">
        <f aca="false">C117-D117</f>
        <v>15.7043882100366</v>
      </c>
      <c r="F117" s="69" t="n">
        <f aca="false">13*C117</f>
        <v>2284.15704673048</v>
      </c>
      <c r="G117" s="81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81" t="n">
        <f aca="false">C118-D118</f>
        <v>15.5652922001763</v>
      </c>
      <c r="F118" s="69" t="n">
        <f aca="false">13*C118</f>
        <v>2282.34879860229</v>
      </c>
      <c r="G118" s="81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81" t="n">
        <f aca="false">C119-D119</f>
        <v>15.4274281835461</v>
      </c>
      <c r="F119" s="69" t="n">
        <f aca="false">13*C119</f>
        <v>2280.5565663861</v>
      </c>
      <c r="G119" s="81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81" t="n">
        <f aca="false">C120-D120</f>
        <v>15.2907852482061</v>
      </c>
      <c r="F120" s="69" t="n">
        <f aca="false">13*C120</f>
        <v>2278.78020822668</v>
      </c>
      <c r="G120" s="81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81" t="n">
        <f aca="false">C121-D121</f>
        <v>15.1553525788649</v>
      </c>
      <c r="F121" s="69" t="n">
        <f aca="false">13*C121</f>
        <v>2277.01958352524</v>
      </c>
      <c r="G121" s="81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81" t="n">
        <f aca="false">C122-D122</f>
        <v>15.0211194560235</v>
      </c>
      <c r="F122" s="69" t="n">
        <f aca="false">13*C122</f>
        <v>2275.27455292831</v>
      </c>
      <c r="G122" s="81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81" t="n">
        <f aca="false">C123-D123</f>
        <v>14.8880752551273</v>
      </c>
      <c r="F123" s="69" t="n">
        <f aca="false">13*C123</f>
        <v>2273.54497831665</v>
      </c>
      <c r="G123" s="81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81" t="n">
        <f aca="false">C124-D124</f>
        <v>14.7562094457247</v>
      </c>
      <c r="F124" s="69" t="n">
        <f aca="false">13*C124</f>
        <v>2271.83072279442</v>
      </c>
      <c r="G124" s="81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81" t="n">
        <f aca="false">C125-D125</f>
        <v>14.625511590634</v>
      </c>
      <c r="F125" s="69" t="n">
        <f aca="false">13*C125</f>
        <v>2270.13165067824</v>
      </c>
      <c r="G125" s="81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81" t="n">
        <f aca="false">C126-D126</f>
        <v>14.495971345117</v>
      </c>
      <c r="F126" s="69" t="n">
        <f aca="false">13*C126</f>
        <v>2268.44762748652</v>
      </c>
      <c r="G126" s="81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81" t="n">
        <f aca="false">C127-D127</f>
        <v>14.3675784560602</v>
      </c>
      <c r="F127" s="69" t="n">
        <f aca="false">13*C127</f>
        <v>2266.77851992878</v>
      </c>
      <c r="G127" s="81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81" t="n">
        <f aca="false">C128-D128</f>
        <v>14.2403227611637</v>
      </c>
      <c r="F128" s="69" t="n">
        <f aca="false">13*C128</f>
        <v>2265.12419589513</v>
      </c>
      <c r="G128" s="81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81" t="n">
        <f aca="false">C129-D129</f>
        <v>14.1141941881362</v>
      </c>
      <c r="F129" s="69" t="n">
        <f aca="false">13*C129</f>
        <v>2263.48452444577</v>
      </c>
      <c r="G129" s="81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81" t="n">
        <f aca="false">C130-D130</f>
        <v>13.9891827538984</v>
      </c>
      <c r="F130" s="69" t="n">
        <f aca="false">13*C130</f>
        <v>2261.85937580068</v>
      </c>
      <c r="G130" s="81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81" t="n">
        <f aca="false">C131-D131</f>
        <v>13.8652785637925</v>
      </c>
      <c r="F131" s="69" t="n">
        <f aca="false">13*C131</f>
        <v>2260.2486213293</v>
      </c>
      <c r="G131" s="81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81" t="n">
        <f aca="false">C132-D132</f>
        <v>13.7424718107989</v>
      </c>
      <c r="F132" s="69" t="n">
        <f aca="false">13*C132</f>
        <v>2258.65213354039</v>
      </c>
      <c r="G132" s="81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81" t="n">
        <f aca="false">C133-D133</f>
        <v>13.6207527747604</v>
      </c>
      <c r="F133" s="69" t="n">
        <f aca="false">13*C133</f>
        <v>2257.06978607188</v>
      </c>
      <c r="G133" s="81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81" t="n">
        <f aca="false">C134-D134</f>
        <v>13.5001118216125</v>
      </c>
      <c r="F134" s="69" t="n">
        <f aca="false">13*C134</f>
        <v>2255.50145368096</v>
      </c>
      <c r="G134" s="81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81" t="n">
        <f aca="false">C135-D135</f>
        <v>13.3805394026211</v>
      </c>
      <c r="F135" s="69" t="n">
        <f aca="false">13*C135</f>
        <v>2253.94701223407</v>
      </c>
      <c r="G135" s="81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81" t="n">
        <f aca="false">C136-D136</f>
        <v>13.2620260536264</v>
      </c>
      <c r="F136" s="69" t="n">
        <f aca="false">13*C136</f>
        <v>2252.40633869714</v>
      </c>
      <c r="G136" s="81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81" t="n">
        <f aca="false">C137-D137</f>
        <v>13.1445623942943</v>
      </c>
      <c r="F137" s="69" t="n">
        <f aca="false">13*C137</f>
        <v>2250.87931112583</v>
      </c>
      <c r="G137" s="81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81" t="n">
        <f aca="false">C138-D138</f>
        <v>13.0281391273734</v>
      </c>
      <c r="F138" s="69" t="n">
        <f aca="false">13*C138</f>
        <v>2249.36580865585</v>
      </c>
      <c r="G138" s="81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81" t="n">
        <f aca="false">C139-D139</f>
        <v>12.9127470379595</v>
      </c>
      <c r="F139" s="69" t="n">
        <f aca="false">13*C139</f>
        <v>2247.86571149347</v>
      </c>
      <c r="G139" s="81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81" t="n">
        <f aca="false">C140-D140</f>
        <v>12.7983769927662</v>
      </c>
      <c r="F140" s="69" t="n">
        <f aca="false">13*C140</f>
        <v>2246.37890090596</v>
      </c>
      <c r="G140" s="81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81" t="n">
        <f aca="false">C141-D141</f>
        <v>12.6850199394017</v>
      </c>
      <c r="F141" s="69" t="n">
        <f aca="false">13*C141</f>
        <v>2244.90525921222</v>
      </c>
      <c r="G141" s="81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81" t="n">
        <f aca="false">C142-D142</f>
        <v>12.5726669056527</v>
      </c>
      <c r="F142" s="69" t="n">
        <f aca="false">13*C142</f>
        <v>2243.44466977349</v>
      </c>
      <c r="G142" s="81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81" t="n">
        <f aca="false">C143-D143</f>
        <v>12.4613089987741</v>
      </c>
      <c r="F143" s="69" t="n">
        <f aca="false">13*C143</f>
        <v>2241.99701698406</v>
      </c>
      <c r="G143" s="81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81" t="n">
        <f aca="false">C144-D144</f>
        <v>12.3509374047849</v>
      </c>
      <c r="F144" s="69" t="n">
        <f aca="false">13*C144</f>
        <v>2240.5621862622</v>
      </c>
      <c r="G144" s="81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81" t="n">
        <f aca="false">C145-D145</f>
        <v>12.2415433877711</v>
      </c>
      <c r="F145" s="69" t="n">
        <f aca="false">13*C145</f>
        <v>2239.14006404102</v>
      </c>
      <c r="G145" s="81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81" t="n">
        <f aca="false">C146-D146</f>
        <v>12.1331182891937</v>
      </c>
      <c r="F146" s="69" t="n">
        <f aca="false">13*C146</f>
        <v>2237.73053775952</v>
      </c>
      <c r="G146" s="81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81" t="n">
        <f aca="false">C147-D147</f>
        <v>12.0256535272037</v>
      </c>
      <c r="F147" s="69" t="n">
        <f aca="false">13*C147</f>
        <v>2236.33349585365</v>
      </c>
      <c r="G147" s="81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81" t="n">
        <f aca="false">C148-D148</f>
        <v>11.9191405959627</v>
      </c>
      <c r="F148" s="69" t="n">
        <f aca="false">13*C148</f>
        <v>2234.94882774752</v>
      </c>
      <c r="G148" s="81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81" t="n">
        <f aca="false">C149-D149</f>
        <v>11.8135710649699</v>
      </c>
      <c r="F149" s="69" t="n">
        <f aca="false">13*C149</f>
        <v>2233.57642384461</v>
      </c>
      <c r="G149" s="81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81" t="n">
        <f aca="false">C150-D150</f>
        <v>11.7089365783945</v>
      </c>
      <c r="F150" s="69" t="n">
        <f aca="false">13*C150</f>
        <v>2232.21617551913</v>
      </c>
      <c r="G150" s="81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81" t="n">
        <f aca="false">C151-D151</f>
        <v>11.6052288544144</v>
      </c>
      <c r="F151" s="69" t="n">
        <f aca="false">13*C151</f>
        <v>2230.86797510739</v>
      </c>
      <c r="G151" s="81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81" t="n">
        <f aca="false">C152-D152</f>
        <v>11.502439684561</v>
      </c>
      <c r="F152" s="69" t="n">
        <f aca="false">13*C152</f>
        <v>2229.53171589929</v>
      </c>
      <c r="G152" s="81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81" t="n">
        <f aca="false">C153-D153</f>
        <v>11.4005609330692</v>
      </c>
      <c r="F153" s="69" t="n">
        <f aca="false">13*C153</f>
        <v>2228.2072921299</v>
      </c>
      <c r="G153" s="81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81" t="n">
        <f aca="false">C154-D154</f>
        <v>11.2995845362334</v>
      </c>
      <c r="F154" s="69" t="n">
        <f aca="false">13*C154</f>
        <v>2226.89459897103</v>
      </c>
      <c r="G154" s="81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81" t="n">
        <f aca="false">C155-D155</f>
        <v>11.1995025017696</v>
      </c>
      <c r="F155" s="69" t="n">
        <f aca="false">13*C155</f>
        <v>2225.59353252301</v>
      </c>
      <c r="G155" s="81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81" t="n">
        <f aca="false">C156-D156</f>
        <v>11.1003069081825</v>
      </c>
      <c r="F156" s="69" t="n">
        <f aca="false">13*C156</f>
        <v>2224.30398980637</v>
      </c>
      <c r="G156" s="81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81" t="n">
        <f aca="false">C157-D157</f>
        <v>11.0019899041386</v>
      </c>
      <c r="F157" s="69" t="n">
        <f aca="false">13*C157</f>
        <v>2223.0258687538</v>
      </c>
      <c r="G157" s="81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81" t="n">
        <f aca="false">C158-D158</f>
        <v>10.9045437078449</v>
      </c>
      <c r="F158" s="69" t="n">
        <f aca="false">13*C158</f>
        <v>2221.75906820198</v>
      </c>
      <c r="G158" s="81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81" t="n">
        <f aca="false">C159-D159</f>
        <v>10.8079606064325</v>
      </c>
      <c r="F159" s="69" t="n">
        <f aca="false">13*C159</f>
        <v>2220.50348788362</v>
      </c>
      <c r="G159" s="81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81" t="n">
        <f aca="false">C160-D160</f>
        <v>10.712232955347</v>
      </c>
      <c r="F160" s="69" t="n">
        <f aca="false">13*C160</f>
        <v>2219.25902841951</v>
      </c>
      <c r="G160" s="81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81" t="n">
        <f aca="false">C161-D161</f>
        <v>10.6173531777425</v>
      </c>
      <c r="F161" s="69" t="n">
        <f aca="false">13*C161</f>
        <v>2218.02559131065</v>
      </c>
      <c r="G161" s="81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81" t="n">
        <f aca="false">C162-D162</f>
        <v>10.5233137638825</v>
      </c>
      <c r="F162" s="69" t="n">
        <f aca="false">13*C162</f>
        <v>2216.80307893047</v>
      </c>
      <c r="G162" s="81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81" t="n">
        <f aca="false">C163-D163</f>
        <v>10.4301072705452</v>
      </c>
      <c r="F163" s="69" t="n">
        <f aca="false">13*C163</f>
        <v>2215.59139451709</v>
      </c>
      <c r="G163" s="81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81" t="n">
        <f aca="false">C164-D164</f>
        <v>10.3377263204347</v>
      </c>
      <c r="F164" s="69" t="n">
        <f aca="false">13*C164</f>
        <v>2214.39044216565</v>
      </c>
      <c r="G164" s="81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81" t="n">
        <f aca="false">C165-D165</f>
        <v>10.2461636015966</v>
      </c>
      <c r="F165" s="69" t="n">
        <f aca="false">13*C165</f>
        <v>2213.20012682075</v>
      </c>
      <c r="G165" s="81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81" t="n">
        <f aca="false">C166-D166</f>
        <v>10.1554118668396</v>
      </c>
      <c r="F166" s="69" t="n">
        <f aca="false">13*C166</f>
        <v>2212.02035426891</v>
      </c>
      <c r="G166" s="81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81" t="n">
        <f aca="false">C167-D167</f>
        <v>10.0654639331618</v>
      </c>
      <c r="F167" s="69" t="n">
        <f aca="false">13*C167</f>
        <v>2210.8510311311</v>
      </c>
      <c r="G167" s="81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81" t="n">
        <f aca="false">C168-D168</f>
        <v>9.97631268118238</v>
      </c>
      <c r="F168" s="69" t="n">
        <f aca="false">13*C168</f>
        <v>2209.69206485537</v>
      </c>
      <c r="G168" s="81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81" t="n">
        <f aca="false">C169-D169</f>
        <v>9.88795105457763</v>
      </c>
      <c r="F169" s="69" t="n">
        <f aca="false">13*C169</f>
        <v>2208.54336370951</v>
      </c>
      <c r="G169" s="81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81" t="n">
        <f aca="false">C170-D170</f>
        <v>9.8003720595228</v>
      </c>
      <c r="F170" s="69" t="n">
        <f aca="false">13*C170</f>
        <v>2207.4048367738</v>
      </c>
      <c r="G170" s="81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81" t="n">
        <f aca="false">C171-D171</f>
        <v>9.71356876413844</v>
      </c>
      <c r="F171" s="69" t="n">
        <f aca="false">13*C171</f>
        <v>2206.2763939338</v>
      </c>
      <c r="G171" s="81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81" t="n">
        <f aca="false">C172-D172</f>
        <v>9.62753429794179</v>
      </c>
      <c r="F172" s="69" t="n">
        <f aca="false">13*C172</f>
        <v>2205.15794587324</v>
      </c>
      <c r="G172" s="81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81" t="n">
        <f aca="false">C173-D173</f>
        <v>9.54226185130287</v>
      </c>
      <c r="F173" s="69" t="n">
        <f aca="false">13*C173</f>
        <v>2204.04940406694</v>
      </c>
      <c r="G173" s="81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81" t="n">
        <f aca="false">C174-D174</f>
        <v>9.45774467490563</v>
      </c>
      <c r="F174" s="69" t="n">
        <f aca="false">13*C174</f>
        <v>2202.95068077377</v>
      </c>
      <c r="G174" s="81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81" t="n">
        <f aca="false">C175-D175</f>
        <v>9.37397607921361</v>
      </c>
      <c r="F175" s="69" t="n">
        <f aca="false">13*C175</f>
        <v>2201.86168902978</v>
      </c>
      <c r="G175" s="81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81" t="n">
        <f aca="false">C176-D176</f>
        <v>9.29094943394057</v>
      </c>
      <c r="F176" s="69" t="n">
        <f aca="false">13*C176</f>
        <v>2200.78234264123</v>
      </c>
      <c r="G176" s="81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81" t="n">
        <f aca="false">C177-D177</f>
        <v>9.20865816752567</v>
      </c>
      <c r="F177" s="69" t="n">
        <f aca="false">13*C177</f>
        <v>2199.71255617783</v>
      </c>
      <c r="G177" s="81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81" t="n">
        <f aca="false">C178-D178</f>
        <v>9.12709576661331</v>
      </c>
      <c r="F178" s="69" t="n">
        <f aca="false">13*C178</f>
        <v>2198.65224496597</v>
      </c>
      <c r="G178" s="81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81" t="n">
        <f aca="false">C179-D179</f>
        <v>9.04625577553759</v>
      </c>
      <c r="F179" s="69" t="n">
        <f aca="false">13*C179</f>
        <v>2197.60132508199</v>
      </c>
      <c r="G179" s="81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81" t="n">
        <f aca="false">C180-D180</f>
        <v>8.96613179581141</v>
      </c>
      <c r="F180" s="69" t="n">
        <f aca="false">13*C180</f>
        <v>2196.55971334555</v>
      </c>
      <c r="G180" s="81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81" t="n">
        <f aca="false">C181-D181</f>
        <v>8.88671748561993</v>
      </c>
      <c r="F181" s="69" t="n">
        <f aca="false">13*C181</f>
        <v>2195.52732731306</v>
      </c>
      <c r="G181" s="81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81" t="n">
        <f aca="false">C182-D182</f>
        <v>8.80800655931873</v>
      </c>
      <c r="F182" s="69" t="n">
        <f aca="false">13*C182</f>
        <v>2194.50408527114</v>
      </c>
      <c r="G182" s="81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81" t="n">
        <f aca="false">C183-D183</f>
        <v>8.72999278693618</v>
      </c>
      <c r="F183" s="69" t="n">
        <f aca="false">13*C183</f>
        <v>2193.48990623017</v>
      </c>
      <c r="G183" s="81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81" t="n">
        <f aca="false">C184-D184</f>
        <v>8.65266999368046</v>
      </c>
      <c r="F184" s="69" t="n">
        <f aca="false">13*C184</f>
        <v>2192.48470991785</v>
      </c>
      <c r="G184" s="81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81" t="n">
        <f aca="false">C185-D185</f>
        <v>8.57603205945071</v>
      </c>
      <c r="F185" s="69" t="n">
        <f aca="false">13*C185</f>
        <v>2191.48841677286</v>
      </c>
      <c r="G185" s="81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81" t="n">
        <f aca="false">C186-D186</f>
        <v>8.50007291835271</v>
      </c>
      <c r="F186" s="69" t="n">
        <f aca="false">13*C186</f>
        <v>2190.50094793859</v>
      </c>
      <c r="G186" s="81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81" t="n">
        <f aca="false">C187-D187</f>
        <v>8.42478655821873</v>
      </c>
      <c r="F187" s="69" t="n">
        <f aca="false">13*C187</f>
        <v>2189.52222525684</v>
      </c>
      <c r="G187" s="81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81" t="n">
        <f aca="false">C188-D188</f>
        <v>8.35016702013164</v>
      </c>
      <c r="F188" s="69" t="n">
        <f aca="false">13*C188</f>
        <v>2188.55217126171</v>
      </c>
      <c r="G188" s="81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81" t="n">
        <f aca="false">C189-D189</f>
        <v>8.27620839795333</v>
      </c>
      <c r="F189" s="69" t="n">
        <f aca="false">13*C189</f>
        <v>2187.59070917339</v>
      </c>
      <c r="G189" s="81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81" t="n">
        <f aca="false">C190-D190</f>
        <v>8.20290483785718</v>
      </c>
      <c r="F190" s="69" t="n">
        <f aca="false">13*C190</f>
        <v>2186.63776289214</v>
      </c>
      <c r="G190" s="81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81" t="n">
        <f aca="false">C191-D191</f>
        <v>8.13025053786473</v>
      </c>
      <c r="F191" s="69" t="n">
        <f aca="false">13*C191</f>
        <v>2185.69325699224</v>
      </c>
      <c r="G191" s="81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81" t="n">
        <f aca="false">C192-D192</f>
        <v>8.05823974738649</v>
      </c>
      <c r="F192" s="69" t="n">
        <f aca="false">13*C192</f>
        <v>2184.75711671602</v>
      </c>
      <c r="G192" s="81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81" t="n">
        <f aca="false">C193-D193</f>
        <v>7.98686676676678</v>
      </c>
      <c r="F193" s="69" t="n">
        <f aca="false">13*C193</f>
        <v>2183.82926796797</v>
      </c>
      <c r="G193" s="81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81" t="n">
        <f aca="false">C194-D194</f>
        <v>7.91612594683255</v>
      </c>
      <c r="F194" s="69" t="n">
        <f aca="false">13*C194</f>
        <v>2182.90963730882</v>
      </c>
      <c r="G194" s="81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81" t="n">
        <f aca="false">C195-D195</f>
        <v>7.84601168844631</v>
      </c>
      <c r="F195" s="69" t="n">
        <f aca="false">13*C195</f>
        <v>2181.9981519498</v>
      </c>
      <c r="G195" s="81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81" t="n">
        <f aca="false">C196-D196</f>
        <v>7.77651844206292</v>
      </c>
      <c r="F196" s="69" t="n">
        <f aca="false">13*C196</f>
        <v>2181.09473974682</v>
      </c>
      <c r="G196" s="81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81" t="n">
        <f aca="false">C197-D197</f>
        <v>7.70764070729035</v>
      </c>
      <c r="F197" s="69" t="n">
        <f aca="false">13*C197</f>
        <v>2180.19932919477</v>
      </c>
      <c r="G197" s="81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81" t="n">
        <f aca="false">C198-D198</f>
        <v>7.63937303245436</v>
      </c>
      <c r="F198" s="69" t="n">
        <f aca="false">13*C198</f>
        <v>2179.31184942191</v>
      </c>
      <c r="G198" s="81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81" t="n">
        <f aca="false">C199-D199</f>
        <v>7.57171001416691</v>
      </c>
      <c r="F199" s="69" t="n">
        <f aca="false">13*C199</f>
        <v>2178.43223018417</v>
      </c>
      <c r="G199" s="81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81" t="n">
        <f aca="false">C200-D200</f>
        <v>7.50464629689859</v>
      </c>
      <c r="F200" s="69" t="n">
        <f aca="false">13*C200</f>
        <v>2177.56040185968</v>
      </c>
      <c r="G200" s="81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81" t="n">
        <f aca="false">C201-D201</f>
        <v>7.43817657255462</v>
      </c>
      <c r="F201" s="69" t="n">
        <f aca="false">13*C201</f>
        <v>2176.69629544321</v>
      </c>
      <c r="G201" s="81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81" t="n">
        <f aca="false">C202-D202</f>
        <v>7.37229558005487</v>
      </c>
      <c r="F202" s="69" t="n">
        <f aca="false">13*C202</f>
        <v>2175.83984254071</v>
      </c>
      <c r="G202" s="81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81" t="n">
        <f aca="false">C203-D203</f>
        <v>7.30699810491723</v>
      </c>
      <c r="F203" s="69" t="n">
        <f aca="false">13*C203</f>
        <v>2174.99097536392</v>
      </c>
      <c r="G203" s="81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81" t="n">
        <f aca="false">C204-D204</f>
        <v>7.24227897884509</v>
      </c>
      <c r="F204" s="69" t="n">
        <f aca="false">13*C204</f>
        <v>2174.14962672499</v>
      </c>
      <c r="G204" s="81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81" t="n">
        <f aca="false">C205-D205</f>
        <v>7.17813307931817</v>
      </c>
      <c r="F205" s="69" t="n">
        <f aca="false">13*C205</f>
        <v>2173.31573003114</v>
      </c>
      <c r="G205" s="81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81" t="n">
        <f aca="false">C206-D206</f>
        <v>7.11455532918706</v>
      </c>
      <c r="F206" s="69" t="n">
        <f aca="false">13*C206</f>
        <v>2172.48921927943</v>
      </c>
      <c r="G206" s="81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81" t="n">
        <f aca="false">C207-D207</f>
        <v>7.05154069627139</v>
      </c>
      <c r="F207" s="69" t="n">
        <f aca="false">13*C207</f>
        <v>2171.67002905153</v>
      </c>
      <c r="G207" s="81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81" t="n">
        <f aca="false">C208-D208</f>
        <v>6.98908419296154</v>
      </c>
      <c r="F208" s="69" t="n">
        <f aca="false">13*C208</f>
        <v>2170.8580945085</v>
      </c>
      <c r="G208" s="81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81" t="n">
        <f aca="false">C209-D209</f>
        <v>6.92718087582389</v>
      </c>
      <c r="F209" s="69" t="n">
        <f aca="false">13*C209</f>
        <v>2170.05335138571</v>
      </c>
      <c r="G209" s="81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81" t="n">
        <f aca="false">C210-D210</f>
        <v>6.86582584520946</v>
      </c>
      <c r="F210" s="69" t="n">
        <f aca="false">13*C210</f>
        <v>2169.25573598772</v>
      </c>
      <c r="G210" s="81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81" t="n">
        <f aca="false">C211-D211</f>
        <v>6.80501424486619</v>
      </c>
      <c r="F211" s="69" t="n">
        <f aca="false">13*C211</f>
        <v>2168.46518518326</v>
      </c>
      <c r="G211" s="81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81" t="n">
        <f aca="false">C212-D212</f>
        <v>6.74474126155451</v>
      </c>
      <c r="F212" s="69" t="n">
        <f aca="false">13*C212</f>
        <v>2167.68163640021</v>
      </c>
      <c r="G212" s="81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81" t="n">
        <f aca="false">C213-D213</f>
        <v>6.68500212466645</v>
      </c>
      <c r="F213" s="69" t="n">
        <f aca="false">13*C213</f>
        <v>2166.90502762066</v>
      </c>
      <c r="G213" s="81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81" t="n">
        <f aca="false">C214-D214</f>
        <v>6.62579210584798</v>
      </c>
      <c r="F214" s="69" t="n">
        <f aca="false">13*C214</f>
        <v>2166.13529737602</v>
      </c>
      <c r="G214" s="81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81" t="n">
        <f aca="false">C215-D215</f>
        <v>6.56710651862474</v>
      </c>
      <c r="F215" s="69" t="n">
        <f aca="false">13*C215</f>
        <v>2165.37238474212</v>
      </c>
      <c r="G215" s="81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81" t="n">
        <f aca="false">C216-D216</f>
        <v>6.5089407180312</v>
      </c>
      <c r="F216" s="69" t="n">
        <f aca="false">13*C216</f>
        <v>2164.61622933441</v>
      </c>
      <c r="G216" s="81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81" t="n">
        <f aca="false">C217-D217</f>
        <v>6.45129010024291</v>
      </c>
      <c r="F217" s="69" t="n">
        <f aca="false">13*C217</f>
        <v>2163.86677130316</v>
      </c>
      <c r="G217" s="81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81" t="n">
        <f aca="false">C218-D218</f>
        <v>6.39415010221219</v>
      </c>
      <c r="F218" s="69" t="n">
        <f aca="false">13*C218</f>
        <v>2163.12395132876</v>
      </c>
      <c r="G218" s="81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81" t="n">
        <f aca="false">C219-D219</f>
        <v>6.3375162013069</v>
      </c>
      <c r="F219" s="69" t="n">
        <f aca="false">13*C219</f>
        <v>2162.38771061699</v>
      </c>
      <c r="G219" s="81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81" t="n">
        <f aca="false">C220-D220</f>
        <v>6.28138391495247</v>
      </c>
      <c r="F220" s="69" t="n">
        <f aca="false">13*C220</f>
        <v>2161.65799089438</v>
      </c>
      <c r="G220" s="81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81" t="n">
        <f aca="false">C221-D221</f>
        <v>6.22574880027719</v>
      </c>
      <c r="F221" s="69" t="n">
        <f aca="false">13*C221</f>
        <v>2160.9347344036</v>
      </c>
      <c r="G221" s="81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81" t="n">
        <f aca="false">C222-D222</f>
        <v>6.17060645376046</v>
      </c>
      <c r="F222" s="69" t="n">
        <f aca="false">13*C222</f>
        <v>2160.21788389889</v>
      </c>
      <c r="G222" s="81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81" t="n">
        <f aca="false">C223-D223</f>
        <v>6.11595251088428</v>
      </c>
      <c r="F223" s="69" t="n">
        <f aca="false">13*C223</f>
        <v>2159.5073826415</v>
      </c>
      <c r="G223" s="81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81" t="n">
        <f aca="false">C224-D224</f>
        <v>6.06178264578787</v>
      </c>
      <c r="F224" s="69" t="n">
        <f aca="false">13*C224</f>
        <v>2158.80317439524</v>
      </c>
      <c r="G224" s="81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81" t="n">
        <f aca="false">C225-D225</f>
        <v>6.00809257092519</v>
      </c>
      <c r="F225" s="69" t="n">
        <f aca="false">13*C225</f>
        <v>2158.10520342203</v>
      </c>
      <c r="G225" s="81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81" t="n">
        <f aca="false">C226-D226</f>
        <v>5.95487803672557</v>
      </c>
      <c r="F226" s="69" t="n">
        <f aca="false">13*C226</f>
        <v>2157.41341447743</v>
      </c>
      <c r="G226" s="81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81" t="n">
        <f aca="false">C227-D227</f>
        <v>5.90213483125743</v>
      </c>
      <c r="F227" s="69" t="n">
        <f aca="false">13*C227</f>
        <v>2156.72775280635</v>
      </c>
      <c r="G227" s="81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81" t="n">
        <f aca="false">C228-D228</f>
        <v>5.84985877989487</v>
      </c>
      <c r="F228" s="69" t="n">
        <f aca="false">13*C228</f>
        <v>2156.04816413863</v>
      </c>
      <c r="G228" s="81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81" t="n">
        <f aca="false">C229-D229</f>
        <v>5.79804574498724</v>
      </c>
      <c r="F229" s="69" t="n">
        <f aca="false">13*C229</f>
        <v>2155.37459468483</v>
      </c>
      <c r="G229" s="81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81" t="n">
        <f aca="false">C230-D230</f>
        <v>5.74669162553164</v>
      </c>
      <c r="F230" s="69" t="n">
        <f aca="false">13*C230</f>
        <v>2154.70699113191</v>
      </c>
      <c r="G230" s="81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81" t="n">
        <f aca="false">C231-D231</f>
        <v>5.69579235684836</v>
      </c>
      <c r="F231" s="69" t="n">
        <f aca="false">13*C231</f>
        <v>2154.04530063903</v>
      </c>
      <c r="G231" s="81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81" t="n">
        <f aca="false">C232-D232</f>
        <v>5.64534391025913</v>
      </c>
      <c r="F232" s="69" t="n">
        <f aca="false">13*C232</f>
        <v>2153.38947083337</v>
      </c>
      <c r="G232" s="81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81" t="n">
        <f aca="false">C233-D233</f>
        <v>5.59534229276827</v>
      </c>
      <c r="F233" s="69" t="n">
        <f aca="false">13*C233</f>
        <v>2152.73944980599</v>
      </c>
      <c r="G233" s="81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81" t="n">
        <f aca="false">C234-D234</f>
        <v>5.54578354674661</v>
      </c>
      <c r="F234" s="69" t="n">
        <f aca="false">13*C234</f>
        <v>2152.09518610771</v>
      </c>
      <c r="G234" s="81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81" t="n">
        <f aca="false">C235-D235</f>
        <v>5.49666374961828</v>
      </c>
      <c r="F235" s="69" t="n">
        <f aca="false">13*C235</f>
        <v>2151.45662874504</v>
      </c>
      <c r="G235" s="81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81" t="n">
        <f aca="false">C236-D236</f>
        <v>5.44797901355022</v>
      </c>
      <c r="F236" s="69" t="n">
        <f aca="false">13*C236</f>
        <v>2150.82372717615</v>
      </c>
      <c r="G236" s="81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81" t="n">
        <f aca="false">C237-D237</f>
        <v>5.3997254851445</v>
      </c>
      <c r="F237" s="69" t="n">
        <f aca="false">13*C237</f>
        <v>2150.19643130688</v>
      </c>
      <c r="G237" s="81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81" t="n">
        <f aca="false">C238-D238</f>
        <v>5.35189934513323</v>
      </c>
      <c r="F238" s="69" t="n">
        <f aca="false">13*C238</f>
        <v>2149.57469148673</v>
      </c>
      <c r="G238" s="81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81" t="n">
        <f aca="false">C239-D239</f>
        <v>5.30449680807635</v>
      </c>
      <c r="F239" s="69" t="n">
        <f aca="false">13*C239</f>
        <v>2148.95845850499</v>
      </c>
      <c r="G239" s="81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81" t="n">
        <f aca="false">C240-D240</f>
        <v>5.25751412206196</v>
      </c>
      <c r="F240" s="69" t="n">
        <f aca="false">13*C240</f>
        <v>2148.34768358681</v>
      </c>
      <c r="G240" s="81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81" t="n">
        <f aca="false">C241-D241</f>
        <v>5.21094756840941</v>
      </c>
      <c r="F241" s="69" t="n">
        <f aca="false">13*C241</f>
        <v>2147.74231838932</v>
      </c>
      <c r="G241" s="81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81" t="n">
        <f aca="false">C242-D242</f>
        <v>5.16479346137493</v>
      </c>
      <c r="F242" s="69" t="n">
        <f aca="false">13*C242</f>
        <v>2147.14231499787</v>
      </c>
      <c r="G242" s="81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81" t="n">
        <f aca="false">C243-D243</f>
        <v>5.1190481478599</v>
      </c>
      <c r="F243" s="69" t="n">
        <f aca="false">13*C243</f>
        <v>2146.54762592218</v>
      </c>
      <c r="G243" s="81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81" t="n">
        <f aca="false">C244-D244</f>
        <v>5.07370800712172</v>
      </c>
      <c r="F244" s="69" t="n">
        <f aca="false">13*C244</f>
        <v>2145.95820409258</v>
      </c>
      <c r="G244" s="81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81" t="n">
        <f aca="false">C245-D245</f>
        <v>5.0287694504872</v>
      </c>
      <c r="F245" s="69" t="n">
        <f aca="false">13*C245</f>
        <v>2145.37400285633</v>
      </c>
      <c r="G245" s="81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81" t="n">
        <f aca="false">C246-D246</f>
        <v>4.98422892106859</v>
      </c>
      <c r="F246" s="69" t="n">
        <f aca="false">13*C246</f>
        <v>2144.79497597389</v>
      </c>
      <c r="G246" s="81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81" t="n">
        <f aca="false">C247-D247</f>
        <v>4.94008289348199</v>
      </c>
      <c r="F247" s="69" t="n">
        <f aca="false">13*C247</f>
        <v>2144.22107761527</v>
      </c>
      <c r="G247" s="81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81" t="n">
        <f aca="false">C248-D248</f>
        <v>4.89632787356828</v>
      </c>
      <c r="F248" s="69" t="n">
        <f aca="false">13*C248</f>
        <v>2143.65226235639</v>
      </c>
      <c r="G248" s="81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81" t="n">
        <f aca="false">C249-D249</f>
        <v>4.85296039811666</v>
      </c>
      <c r="F249" s="69" t="n">
        <f aca="false">13*C249</f>
        <v>2143.08848517552</v>
      </c>
      <c r="G249" s="81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81" t="n">
        <f aca="false">C250-D250</f>
        <v>4.80997703459047</v>
      </c>
      <c r="F250" s="69" t="n">
        <f aca="false">13*C250</f>
        <v>2142.52970144968</v>
      </c>
      <c r="G250" s="81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81" t="n">
        <f aca="false">C251-D251</f>
        <v>4.76737438085553</v>
      </c>
      <c r="F251" s="69" t="n">
        <f aca="false">13*C251</f>
        <v>2141.97586695112</v>
      </c>
      <c r="G251" s="81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81" t="n">
        <f aca="false">C252-D252</f>
        <v>4.7251490649108</v>
      </c>
      <c r="F252" s="69" t="n">
        <f aca="false">13*C252</f>
        <v>2141.42693784384</v>
      </c>
      <c r="G252" s="81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81" t="n">
        <f aca="false">C253-D253</f>
        <v>4.6832977446216</v>
      </c>
      <c r="F253" s="69" t="n">
        <f aca="false">13*C253</f>
        <v>2140.88287068008</v>
      </c>
      <c r="G253" s="81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81" t="n">
        <f aca="false">C254-D254</f>
        <v>4.64181710745496</v>
      </c>
      <c r="F254" s="69" t="n">
        <f aca="false">13*C254</f>
        <v>2140.34362239691</v>
      </c>
      <c r="G254" s="81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81" t="n">
        <f aca="false">C255-D255</f>
        <v>4.6007038702175</v>
      </c>
      <c r="F255" s="69" t="n">
        <f aca="false">13*C255</f>
        <v>2139.80915031283</v>
      </c>
      <c r="G255" s="81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81" t="n">
        <f aca="false">C256-D256</f>
        <v>4.55995477879557</v>
      </c>
      <c r="F256" s="69" t="n">
        <f aca="false">13*C256</f>
        <v>2139.27941212434</v>
      </c>
      <c r="G256" s="81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81" t="n">
        <f aca="false">C257-D257</f>
        <v>4.51956660789767</v>
      </c>
      <c r="F257" s="69" t="n">
        <f aca="false">13*C257</f>
        <v>2138.75436590267</v>
      </c>
      <c r="G257" s="81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81" t="n">
        <f aca="false">C258-D258</f>
        <v>4.47953616079914</v>
      </c>
      <c r="F258" s="69" t="n">
        <f aca="false">13*C258</f>
        <v>2138.23397009039</v>
      </c>
      <c r="G258" s="81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81" t="n">
        <f aca="false">C259-D259</f>
        <v>4.4398602690892</v>
      </c>
      <c r="F259" s="69" t="n">
        <f aca="false">13*C259</f>
        <v>2137.71818349816</v>
      </c>
      <c r="G259" s="81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81" t="n">
        <f aca="false">C260-D260</f>
        <v>4.40053579242013</v>
      </c>
      <c r="F260" s="69" t="n">
        <f aca="false">13*C260</f>
        <v>2137.20696530146</v>
      </c>
      <c r="G260" s="81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81" t="n">
        <f aca="false">C261-D261</f>
        <v>4.3615596182587</v>
      </c>
      <c r="F261" s="69" t="n">
        <f aca="false">13*C261</f>
        <v>2136.70027503736</v>
      </c>
      <c r="G261" s="81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81" t="n">
        <f aca="false">C262-D262</f>
        <v>4.32292866163982</v>
      </c>
      <c r="F262" s="69" t="n">
        <f aca="false">13*C262</f>
        <v>2136.19807260132</v>
      </c>
      <c r="G262" s="81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81" t="n">
        <f aca="false">C263-D263</f>
        <v>4.28463986492244</v>
      </c>
      <c r="F263" s="69" t="n">
        <f aca="false">13*C263</f>
        <v>2135.70031824399</v>
      </c>
      <c r="G263" s="81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81" t="n">
        <f aca="false">C264-D264</f>
        <v>4.24669019754742</v>
      </c>
      <c r="F264" s="69" t="n">
        <f aca="false">13*C264</f>
        <v>2135.20697256812</v>
      </c>
      <c r="G264" s="81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81" t="n">
        <f aca="false">C265-D265</f>
        <v>4.20907665579773</v>
      </c>
      <c r="F265" s="69" t="n">
        <f aca="false">13*C265</f>
        <v>2134.71799652537</v>
      </c>
      <c r="G265" s="81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81" t="n">
        <f aca="false">C266-D266</f>
        <v>4.17179626256066</v>
      </c>
      <c r="F266" s="69" t="n">
        <f aca="false">13*C266</f>
        <v>2134.23335141329</v>
      </c>
      <c r="G266" s="81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81" t="n">
        <f aca="false">C267-D267</f>
        <v>4.13484606709227</v>
      </c>
      <c r="F267" s="69" t="n">
        <f aca="false">13*C267</f>
        <v>2133.7529988722</v>
      </c>
      <c r="G267" s="81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81" t="n">
        <f aca="false">C268-D268</f>
        <v>4.09822314478373</v>
      </c>
      <c r="F268" s="69" t="n">
        <f aca="false">13*C268</f>
        <v>2133.27690088219</v>
      </c>
      <c r="G268" s="81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81" t="n">
        <f aca="false">C269-D269</f>
        <v>4.06192459692994</v>
      </c>
      <c r="F269" s="69" t="n">
        <f aca="false">13*C269</f>
        <v>2132.80501976009</v>
      </c>
      <c r="G269" s="81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81" t="n">
        <f aca="false">C270-D270</f>
        <v>4.02594755049998</v>
      </c>
      <c r="F270" s="69" t="n">
        <f aca="false">13*C270</f>
        <v>2132.3373181565</v>
      </c>
      <c r="G270" s="81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81" t="n">
        <f aca="false">C271-D271</f>
        <v>3.99028915790984</v>
      </c>
      <c r="F271" s="69" t="n">
        <f aca="false">13*C271</f>
        <v>2131.87375905283</v>
      </c>
      <c r="G271" s="81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81" t="n">
        <f aca="false">C272-D272</f>
        <v>3.95494659679693</v>
      </c>
      <c r="F272" s="69" t="n">
        <f aca="false">13*C272</f>
        <v>2131.41430575836</v>
      </c>
      <c r="G272" s="81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81" t="n">
        <f aca="false">C273-D273</f>
        <v>3.91991706979672</v>
      </c>
      <c r="F273" s="69" t="n">
        <f aca="false">13*C273</f>
        <v>2130.95892190736</v>
      </c>
      <c r="G273" s="81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81" t="n">
        <f aca="false">C274-D274</f>
        <v>3.88519780432139</v>
      </c>
      <c r="F274" s="69" t="n">
        <f aca="false">13*C274</f>
        <v>2130.50757145618</v>
      </c>
      <c r="G274" s="81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81" t="n">
        <f aca="false">C275-D275</f>
        <v>3.85078605234025</v>
      </c>
      <c r="F275" s="69" t="n">
        <f aca="false">13*C275</f>
        <v>2130.06021868042</v>
      </c>
      <c r="G275" s="81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81" t="n">
        <f aca="false">C276-D276</f>
        <v>3.81667909016238</v>
      </c>
      <c r="F276" s="69" t="n">
        <f aca="false">13*C276</f>
        <v>2129.61682817211</v>
      </c>
      <c r="G276" s="81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81" t="n">
        <f aca="false">C277-D277</f>
        <v>3.78287421822094</v>
      </c>
      <c r="F277" s="69" t="n">
        <f aca="false">13*C277</f>
        <v>2129.17736483687</v>
      </c>
      <c r="G277" s="81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81" t="n">
        <f aca="false">C278-D278</f>
        <v>3.74936876085957</v>
      </c>
      <c r="F278" s="69" t="n">
        <f aca="false">13*C278</f>
        <v>2128.74179389117</v>
      </c>
      <c r="G278" s="81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81" t="n">
        <f aca="false">C279-D279</f>
        <v>3.71616006612052</v>
      </c>
      <c r="F279" s="69" t="n">
        <f aca="false">13*C279</f>
        <v>2128.31008085957</v>
      </c>
      <c r="G279" s="81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81" t="n">
        <f aca="false">C280-D280</f>
        <v>3.68324550553487</v>
      </c>
      <c r="F280" s="69" t="n">
        <f aca="false">13*C280</f>
        <v>2127.88219157195</v>
      </c>
      <c r="G280" s="81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81" t="n">
        <f aca="false">C281-D281</f>
        <v>3.65062247391441</v>
      </c>
      <c r="F281" s="69" t="n">
        <f aca="false">13*C281</f>
        <v>2127.45809216089</v>
      </c>
      <c r="G281" s="81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81" t="n">
        <f aca="false">C282-D282</f>
        <v>3.61828838914545</v>
      </c>
      <c r="F282" s="69" t="n">
        <f aca="false">13*C282</f>
        <v>2127.03774905889</v>
      </c>
      <c r="G282" s="81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81" t="n">
        <f aca="false">C283-D283</f>
        <v>3.58624069198444</v>
      </c>
      <c r="F283" s="69" t="n">
        <f aca="false">13*C283</f>
        <v>2126.6211289958</v>
      </c>
      <c r="G283" s="81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81" t="n">
        <f aca="false">C284-D284</f>
        <v>3.55447684585545</v>
      </c>
      <c r="F284" s="69" t="n">
        <f aca="false">13*C284</f>
        <v>2126.20819899612</v>
      </c>
      <c r="G284" s="81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81" t="n">
        <f aca="false">C285-D285</f>
        <v>3.5229943366493</v>
      </c>
      <c r="F285" s="69" t="n">
        <f aca="false">13*C285</f>
        <v>2125.79892637644</v>
      </c>
      <c r="G285" s="81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81" t="n">
        <f aca="false">C286-D286</f>
        <v>3.4917906725247</v>
      </c>
      <c r="F286" s="69" t="n">
        <f aca="false">13*C286</f>
        <v>2125.39327874282</v>
      </c>
      <c r="G286" s="81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81" t="n">
        <f aca="false">C287-D287</f>
        <v>3.46086338371092</v>
      </c>
      <c r="F287" s="69" t="n">
        <f aca="false">13*C287</f>
        <v>2124.99122398824</v>
      </c>
      <c r="G287" s="81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81" t="n">
        <f aca="false">C288-D288</f>
        <v>3.43021002231234</v>
      </c>
      <c r="F288" s="69" t="n">
        <f aca="false">13*C288</f>
        <v>2124.59273029006</v>
      </c>
      <c r="G288" s="81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81" t="n">
        <f aca="false">C289-D289</f>
        <v>3.39982816211472</v>
      </c>
      <c r="F289" s="69" t="n">
        <f aca="false">13*C289</f>
        <v>2124.19776610749</v>
      </c>
      <c r="G289" s="81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81" t="n">
        <f aca="false">C290-D290</f>
        <v>3.36971539839314</v>
      </c>
      <c r="F290" s="69" t="n">
        <f aca="false">13*C290</f>
        <v>2123.80630017911</v>
      </c>
      <c r="G290" s="81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81" t="n">
        <f aca="false">C291-D291</f>
        <v>3.33986934772165</v>
      </c>
      <c r="F291" s="69" t="n">
        <f aca="false">13*C291</f>
        <v>2123.41830152038</v>
      </c>
      <c r="G291" s="81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81" t="n">
        <f aca="false">C292-D292</f>
        <v>3.31028764778469</v>
      </c>
      <c r="F292" s="69" t="n">
        <f aca="false">13*C292</f>
        <v>2123.0337394212</v>
      </c>
      <c r="G292" s="81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81" t="n">
        <f aca="false">C293-D293</f>
        <v>3.28096795719003</v>
      </c>
      <c r="F293" s="69" t="n">
        <f aca="false">13*C293</f>
        <v>2122.65258344347</v>
      </c>
      <c r="G293" s="81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81" t="n">
        <f aca="false">C294-D294</f>
        <v>3.25190795528349</v>
      </c>
      <c r="F294" s="69" t="n">
        <f aca="false">13*C294</f>
        <v>2122.27480341869</v>
      </c>
      <c r="G294" s="81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81" t="n">
        <f aca="false">C295-D295</f>
        <v>3.22310534196527</v>
      </c>
      <c r="F295" s="69" t="n">
        <f aca="false">13*C295</f>
        <v>2121.90036944555</v>
      </c>
      <c r="G295" s="81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81" t="n">
        <f aca="false">C296-D296</f>
        <v>3.19455783750786</v>
      </c>
      <c r="F296" s="69" t="n">
        <f aca="false">13*C296</f>
        <v>2121.5292518876</v>
      </c>
      <c r="G296" s="81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81" t="n">
        <f aca="false">C297-D297</f>
        <v>3.16626318237564</v>
      </c>
      <c r="F297" s="69" t="n">
        <f aca="false">13*C297</f>
        <v>2121.16142137088</v>
      </c>
      <c r="G297" s="81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81" t="n">
        <f aca="false">C298-D298</f>
        <v>3.13821913704604</v>
      </c>
      <c r="F298" s="69" t="n">
        <f aca="false">13*C298</f>
        <v>2120.7968487816</v>
      </c>
      <c r="G298" s="81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81" t="n">
        <f aca="false">C299-D299</f>
        <v>3.11042348183219</v>
      </c>
      <c r="F299" s="69" t="n">
        <f aca="false">13*C299</f>
        <v>2120.43550526382</v>
      </c>
      <c r="G299" s="81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81" t="n">
        <f aca="false">C300-D300</f>
        <v>3.08287401670739</v>
      </c>
      <c r="F300" s="69" t="n">
        <f aca="false">13*C300</f>
        <v>2120.0773622172</v>
      </c>
      <c r="G300" s="81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81" t="n">
        <f aca="false">C301-D301</f>
        <v>3.05556856113085</v>
      </c>
      <c r="F301" s="69" t="n">
        <f aca="false">13*C301</f>
        <v>2119.7223912947</v>
      </c>
      <c r="G301" s="81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81" t="n">
        <f aca="false">C302-D302</f>
        <v>3.02850495387511</v>
      </c>
      <c r="F302" s="69" t="n">
        <f aca="false">13*C302</f>
        <v>2119.37056440038</v>
      </c>
      <c r="G302" s="81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81" t="n">
        <f aca="false">C303-D303</f>
        <v>3.00168105285508</v>
      </c>
      <c r="F303" s="69" t="n">
        <f aca="false">13*C303</f>
        <v>2119.02185368712</v>
      </c>
      <c r="G303" s="81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81" t="n">
        <f aca="false">C304-D304</f>
        <v>2.97509473495836</v>
      </c>
      <c r="F304" s="69" t="n">
        <f aca="false">13*C304</f>
        <v>2118.67623155446</v>
      </c>
      <c r="G304" s="81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81" t="n">
        <f aca="false">C305-D305</f>
        <v>2.9487438958773</v>
      </c>
      <c r="F305" s="69" t="n">
        <f aca="false">13*C305</f>
        <v>2118.3336706464</v>
      </c>
      <c r="G305" s="81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81" t="n">
        <f aca="false">C306-D306</f>
        <v>2.92262644994238</v>
      </c>
      <c r="F306" s="69" t="n">
        <f aca="false">13*C306</f>
        <v>2117.99414384925</v>
      </c>
      <c r="G306" s="81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81" t="n">
        <f aca="false">C307-D307</f>
        <v>2.89674032995717</v>
      </c>
      <c r="F307" s="69" t="n">
        <f aca="false">13*C307</f>
        <v>2117.65762428944</v>
      </c>
      <c r="G307" s="81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81" t="n">
        <f aca="false">C308-D308</f>
        <v>2.8710834870347</v>
      </c>
      <c r="F308" s="69" t="n">
        <f aca="false">13*C308</f>
        <v>2117.32408533145</v>
      </c>
      <c r="G308" s="81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81" t="n">
        <f aca="false">C309-D309</f>
        <v>2.84565389043524</v>
      </c>
      <c r="F309" s="69" t="n">
        <f aca="false">13*C309</f>
        <v>2116.99350057566</v>
      </c>
      <c r="G309" s="81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81" t="n">
        <f aca="false">C310-D310</f>
        <v>2.82044952740569</v>
      </c>
      <c r="F310" s="69" t="n">
        <f aca="false">13*C310</f>
        <v>2116.66584385627</v>
      </c>
      <c r="G310" s="81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81" t="n">
        <f aca="false">C311-D311</f>
        <v>2.7954684030201</v>
      </c>
      <c r="F311" s="69" t="n">
        <f aca="false">13*C311</f>
        <v>2116.34108923926</v>
      </c>
      <c r="G311" s="81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81" t="n">
        <f aca="false">C312-D312</f>
        <v>2.77070854002193</v>
      </c>
      <c r="F312" s="69" t="n">
        <f aca="false">13*C312</f>
        <v>2116.01921102029</v>
      </c>
      <c r="G312" s="81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81" t="n">
        <f aca="false">C313-D313</f>
        <v>2.74616797866744</v>
      </c>
      <c r="F313" s="69" t="n">
        <f aca="false">13*C313</f>
        <v>2115.70018372268</v>
      </c>
      <c r="G313" s="81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81" t="n">
        <f aca="false">C314-D314</f>
        <v>2.72184477657066</v>
      </c>
      <c r="F314" s="69" t="n">
        <f aca="false">13*C314</f>
        <v>2115.38398209542</v>
      </c>
      <c r="G314" s="81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81" t="n">
        <f aca="false">C315-D315</f>
        <v>2.69773700854961</v>
      </c>
      <c r="F315" s="69" t="n">
        <f aca="false">13*C315</f>
        <v>2115.07058111114</v>
      </c>
      <c r="G315" s="81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81" t="n">
        <f aca="false">C316-D316</f>
        <v>2.67384276647388</v>
      </c>
      <c r="F316" s="69" t="n">
        <f aca="false">13*C316</f>
        <v>2114.75995596416</v>
      </c>
      <c r="G316" s="81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81" t="n">
        <f aca="false">C317-D317</f>
        <v>2.65016015911368</v>
      </c>
      <c r="F317" s="69" t="n">
        <f aca="false">13*C317</f>
        <v>2114.45208206848</v>
      </c>
      <c r="G317" s="81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81" t="n">
        <f aca="false">C318-D318</f>
        <v>2.62668731199011</v>
      </c>
      <c r="F318" s="69" t="n">
        <f aca="false">13*C318</f>
        <v>2114.14693505587</v>
      </c>
      <c r="G318" s="81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81" t="n">
        <f aca="false">C319-D319</f>
        <v>2.60342236722676</v>
      </c>
      <c r="F319" s="69" t="n">
        <f aca="false">13*C319</f>
        <v>2113.84449077395</v>
      </c>
      <c r="G319" s="81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81" t="n">
        <f aca="false">C320-D320</f>
        <v>2.58036348340275</v>
      </c>
      <c r="F320" s="69" t="n">
        <f aca="false">13*C320</f>
        <v>2113.54472528424</v>
      </c>
      <c r="G320" s="81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81" t="n">
        <f aca="false">C321-D321</f>
        <v>2.55750883540691</v>
      </c>
      <c r="F321" s="69" t="n">
        <f aca="false">13*C321</f>
        <v>2113.24761486029</v>
      </c>
      <c r="G321" s="81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81" t="n">
        <f aca="false">C322-D322</f>
        <v>2.53485661429329</v>
      </c>
      <c r="F322" s="69" t="n">
        <f aca="false">13*C322</f>
        <v>2112.95313598581</v>
      </c>
      <c r="G322" s="81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81" t="n">
        <f aca="false">C323-D323</f>
        <v>2.51240502713813</v>
      </c>
      <c r="F323" s="69" t="n">
        <f aca="false">13*C323</f>
        <v>2112.6612653528</v>
      </c>
      <c r="G323" s="81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81" t="n">
        <f aca="false">C324-D324</f>
        <v>2.49015229689778</v>
      </c>
      <c r="F324" s="69" t="n">
        <f aca="false">13*C324</f>
        <v>2112.37197985967</v>
      </c>
      <c r="G324" s="81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81" t="n">
        <f aca="false">C325-D325</f>
        <v>2.46809666226812</v>
      </c>
      <c r="F325" s="69" t="n">
        <f aca="false">13*C325</f>
        <v>2112.08525660949</v>
      </c>
      <c r="G325" s="81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81" t="n">
        <f aca="false">C326-D326</f>
        <v>2.44623637754518</v>
      </c>
      <c r="F326" s="69" t="n">
        <f aca="false">13*C326</f>
        <v>2111.80107290809</v>
      </c>
      <c r="G326" s="81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81" t="n">
        <f aca="false">C327-D327</f>
        <v>2.42456971248691</v>
      </c>
      <c r="F327" s="69" t="n">
        <f aca="false">13*C327</f>
        <v>2111.51940626233</v>
      </c>
      <c r="G327" s="81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81" t="n">
        <f aca="false">C328-D328</f>
        <v>2.4030949521763</v>
      </c>
      <c r="F328" s="69" t="n">
        <f aca="false">13*C328</f>
        <v>2111.24023437829</v>
      </c>
      <c r="G328" s="81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81" t="n">
        <f aca="false">C329-D329</f>
        <v>2.38181039688561</v>
      </c>
      <c r="F329" s="69" t="n">
        <f aca="false">13*C329</f>
        <v>2110.96353515951</v>
      </c>
      <c r="G329" s="81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81" t="n">
        <f aca="false">C330-D330</f>
        <v>2.36071436194177</v>
      </c>
      <c r="F330" s="69" t="n">
        <f aca="false">13*C330</f>
        <v>2110.68928670524</v>
      </c>
      <c r="G330" s="81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81" t="n">
        <f aca="false">C331-D331</f>
        <v>2.33980517759315</v>
      </c>
      <c r="F331" s="69" t="n">
        <f aca="false">13*C331</f>
        <v>2110.41746730871</v>
      </c>
      <c r="G331" s="81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81" t="n">
        <f aca="false">C332-D332</f>
        <v>2.31908118887733</v>
      </c>
      <c r="F332" s="69" t="n">
        <f aca="false">13*C332</f>
        <v>2110.14805545541</v>
      </c>
      <c r="G332" s="81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81" t="n">
        <f aca="false">C333-D333</f>
        <v>2.29854075549014</v>
      </c>
      <c r="F333" s="69" t="n">
        <f aca="false">13*C333</f>
        <v>2109.88102982137</v>
      </c>
      <c r="G333" s="81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81" t="n">
        <f aca="false">C334-D334</f>
        <v>2.27818225165581</v>
      </c>
      <c r="F334" s="69" t="n">
        <f aca="false">13*C334</f>
        <v>2109.61636927153</v>
      </c>
      <c r="G334" s="81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81" t="n">
        <f aca="false">C335-D335</f>
        <v>2.25800406599828</v>
      </c>
      <c r="F335" s="69" t="n">
        <f aca="false">13*C335</f>
        <v>2109.35405285798</v>
      </c>
      <c r="G335" s="81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81" t="n">
        <f aca="false">C336-D336</f>
        <v>2.23800460141373</v>
      </c>
      <c r="F336" s="69" t="n">
        <f aca="false">13*C336</f>
        <v>2109.09405981838</v>
      </c>
      <c r="G336" s="81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81" t="n">
        <f aca="false">C337-D337</f>
        <v>2.21818227494407</v>
      </c>
      <c r="F337" s="69" t="n">
        <f aca="false">13*C337</f>
        <v>2108.83636957427</v>
      </c>
      <c r="G337" s="81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81" t="n">
        <f aca="false">C338-D338</f>
        <v>2.19853551765172</v>
      </c>
      <c r="F338" s="69" t="n">
        <f aca="false">13*C338</f>
        <v>2108.58096172947</v>
      </c>
      <c r="G338" s="81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81" t="n">
        <f aca="false">C339-D339</f>
        <v>2.17906277449538</v>
      </c>
      <c r="F339" s="69" t="n">
        <f aca="false">13*C339</f>
        <v>2108.32781606844</v>
      </c>
      <c r="G339" s="81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81" t="n">
        <f aca="false">C340-D340</f>
        <v>2.15976250420698</v>
      </c>
      <c r="F340" s="69" t="n">
        <f aca="false">13*C340</f>
        <v>2108.07691255469</v>
      </c>
      <c r="G340" s="81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81" t="n">
        <f aca="false">C341-D341</f>
        <v>2.14063317916973</v>
      </c>
      <c r="F341" s="69" t="n">
        <f aca="false">13*C341</f>
        <v>2107.82823132921</v>
      </c>
      <c r="G341" s="81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81" t="n">
        <f aca="false">C342-D342</f>
        <v>2.12167328529708</v>
      </c>
      <c r="F342" s="69" t="n">
        <f aca="false">13*C342</f>
        <v>2107.58175270886</v>
      </c>
      <c r="G342" s="81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81" t="n">
        <f aca="false">C343-D343</f>
        <v>2.10288132191303</v>
      </c>
      <c r="F343" s="69" t="n">
        <f aca="false">13*C343</f>
        <v>2107.33745718487</v>
      </c>
      <c r="G343" s="81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81" t="n">
        <f aca="false">C344-D344</f>
        <v>2.08425580163322</v>
      </c>
      <c r="F344" s="69" t="n">
        <f aca="false">13*C344</f>
        <v>2107.09532542123</v>
      </c>
      <c r="G344" s="81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81" t="n">
        <f aca="false">C345-D345</f>
        <v>2.06579525024733</v>
      </c>
      <c r="F345" s="69" t="n">
        <f aca="false">13*C345</f>
        <v>2106.85533825322</v>
      </c>
      <c r="G345" s="81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81" t="n">
        <f aca="false">C346-D346</f>
        <v>2.04749820660228</v>
      </c>
      <c r="F346" s="69" t="n">
        <f aca="false">13*C346</f>
        <v>2106.61747668583</v>
      </c>
      <c r="G346" s="81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81" t="n">
        <f aca="false">C347-D347</f>
        <v>2.02936322248667</v>
      </c>
      <c r="F347" s="69" t="n">
        <f aca="false">13*C347</f>
        <v>2106.38172189233</v>
      </c>
      <c r="G347" s="81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81" t="n">
        <f aca="false">C348-D348</f>
        <v>2.01138886251607</v>
      </c>
      <c r="F348" s="69" t="n">
        <f aca="false">13*C348</f>
        <v>2106.14805521271</v>
      </c>
      <c r="G348" s="81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81" t="n">
        <f aca="false">C349-D349</f>
        <v>1.9935737040195</v>
      </c>
      <c r="F349" s="69" t="n">
        <f aca="false">13*C349</f>
        <v>2105.91645815225</v>
      </c>
      <c r="G349" s="81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81" t="n">
        <f aca="false">C350-D350</f>
        <v>1.97591633692676</v>
      </c>
      <c r="F350" s="69" t="n">
        <f aca="false">13*C350</f>
        <v>2105.68691238005</v>
      </c>
      <c r="G350" s="81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81" t="n">
        <f aca="false">C351-D351</f>
        <v>1.95841536365683</v>
      </c>
      <c r="F351" s="69" t="n">
        <f aca="false">13*C351</f>
        <v>2105.45939972754</v>
      </c>
      <c r="G351" s="81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81" t="n">
        <f aca="false">C352-D352</f>
        <v>1.94106939900729</v>
      </c>
      <c r="F352" s="69" t="n">
        <f aca="false">13*C352</f>
        <v>2105.23390218709</v>
      </c>
      <c r="G352" s="81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81" t="n">
        <f aca="false">C353-D353</f>
        <v>1.92387707004465</v>
      </c>
      <c r="F353" s="69" t="n">
        <f aca="false">13*C353</f>
        <v>2105.01040191058</v>
      </c>
      <c r="G353" s="81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81" t="n">
        <f aca="false">C354-D354</f>
        <v>1.90683701599568</v>
      </c>
      <c r="F354" s="69" t="n">
        <f aca="false">13*C354</f>
        <v>2104.78888120794</v>
      </c>
      <c r="G354" s="81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81" t="n">
        <f aca="false">C355-D355</f>
        <v>1.88994788813972</v>
      </c>
      <c r="F355" s="69" t="n">
        <f aca="false">13*C355</f>
        <v>2104.56932254582</v>
      </c>
      <c r="G355" s="81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81" t="n">
        <f aca="false">C356-D356</f>
        <v>1.87320834970191</v>
      </c>
      <c r="F356" s="69" t="n">
        <f aca="false">13*C356</f>
        <v>2104.35170854612</v>
      </c>
      <c r="G356" s="81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81" t="n">
        <f aca="false">C357-D357</f>
        <v>1.85661707574741</v>
      </c>
      <c r="F357" s="69" t="n">
        <f aca="false">13*C357</f>
        <v>2104.13602198472</v>
      </c>
      <c r="G357" s="81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81" t="n">
        <f aca="false">C358-D358</f>
        <v>1.8401727530765</v>
      </c>
      <c r="F358" s="69" t="n">
        <f aca="false">13*C358</f>
        <v>2103.92224578999</v>
      </c>
      <c r="G358" s="81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81" t="n">
        <f aca="false">C359-D359</f>
        <v>1.82387408012067</v>
      </c>
      <c r="F359" s="69" t="n">
        <f aca="false">13*C359</f>
        <v>2103.71036304157</v>
      </c>
      <c r="G359" s="81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81" t="n">
        <f aca="false">C360-D360</f>
        <v>1.8077197668396</v>
      </c>
      <c r="F360" s="69" t="n">
        <f aca="false">13*C360</f>
        <v>2103.50035696891</v>
      </c>
      <c r="G360" s="81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81" t="n">
        <f aca="false">C361-D361</f>
        <v>1.79170853461901</v>
      </c>
      <c r="F361" s="69" t="n">
        <f aca="false">13*C361</f>
        <v>2103.29221095005</v>
      </c>
      <c r="G361" s="81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81" t="n">
        <f aca="false">C362-D362</f>
        <v>1.77583911616952</v>
      </c>
      <c r="F362" s="69" t="n">
        <f aca="false">13*C362</f>
        <v>2103.0859085102</v>
      </c>
      <c r="G362" s="81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81" t="n">
        <f aca="false">C363-D363</f>
        <v>1.7601102554263</v>
      </c>
      <c r="F363" s="69" t="n">
        <f aca="false">13*C363</f>
        <v>2102.88143332054</v>
      </c>
      <c r="G363" s="81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81" t="n">
        <f aca="false">C364-D364</f>
        <v>1.74452070744965</v>
      </c>
      <c r="F364" s="69" t="n">
        <f aca="false">13*C364</f>
        <v>2102.67876919685</v>
      </c>
      <c r="G364" s="81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81" t="n">
        <f aca="false">C365-D365</f>
        <v>1.72906923832653</v>
      </c>
      <c r="F365" s="69" t="n">
        <f aca="false">13*C365</f>
        <v>2102.47790009824</v>
      </c>
      <c r="G365" s="81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81" t="n">
        <f aca="false">C366-D366</f>
        <v>1.7137546250728</v>
      </c>
      <c r="F366" s="69" t="n">
        <f aca="false">13*C366</f>
        <v>2102.27881012595</v>
      </c>
      <c r="G366" s="81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81" t="n">
        <f aca="false">C367-D367</f>
        <v>1.69857565553644</v>
      </c>
      <c r="F367" s="69" t="n">
        <f aca="false">13*C367</f>
        <v>2102.08148352197</v>
      </c>
      <c r="G367" s="81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81" t="n">
        <f aca="false">C368-D368</f>
        <v>1.6835311283017</v>
      </c>
      <c r="F368" s="69" t="n">
        <f aca="false">13*C368</f>
        <v>2101.88590466792</v>
      </c>
      <c r="G368" s="81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81" t="n">
        <f aca="false">C369-D369</f>
        <v>1.66861985259388</v>
      </c>
      <c r="F369" s="69" t="n">
        <f aca="false">13*C369</f>
        <v>2101.69205808372</v>
      </c>
      <c r="G369" s="81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81" t="n">
        <f aca="false">C370-D370</f>
        <v>1.6538406481852</v>
      </c>
      <c r="F370" s="69" t="n">
        <f aca="false">13*C370</f>
        <v>2101.49992842641</v>
      </c>
      <c r="G370" s="81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81" t="n">
        <f aca="false">C371-D371</f>
        <v>1.63919234530127</v>
      </c>
      <c r="F371" s="69" t="n">
        <f aca="false">13*C371</f>
        <v>2101.30950048892</v>
      </c>
      <c r="G371" s="81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81" t="n">
        <f aca="false">C372-D372</f>
        <v>1.6246737845286</v>
      </c>
      <c r="F372" s="69" t="n">
        <f aca="false">13*C372</f>
        <v>2101.12075919887</v>
      </c>
      <c r="G372" s="81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81" t="n">
        <f aca="false">C373-D373</f>
        <v>1.61028381672278</v>
      </c>
      <c r="F373" s="69" t="n">
        <f aca="false">13*C373</f>
        <v>2100.9336896174</v>
      </c>
      <c r="G373" s="81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81" t="n">
        <f aca="false">C374-D374</f>
        <v>1.59602130291754</v>
      </c>
      <c r="F374" s="69" t="n">
        <f aca="false">13*C374</f>
        <v>2100.74827693793</v>
      </c>
      <c r="G374" s="81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81" t="n">
        <f aca="false">C375-D375</f>
        <v>1.58188511423455</v>
      </c>
      <c r="F375" s="69" t="n">
        <f aca="false">13*C375</f>
        <v>2100.56450648505</v>
      </c>
      <c r="G375" s="81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81" t="n">
        <f aca="false">C376-D376</f>
        <v>1.56787413179418</v>
      </c>
      <c r="F376" s="69" t="n">
        <f aca="false">13*C376</f>
        <v>2100.38236371332</v>
      </c>
      <c r="G376" s="81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81" t="n">
        <f aca="false">C377-D377</f>
        <v>1.55398724662686</v>
      </c>
      <c r="F377" s="69" t="n">
        <f aca="false">13*C377</f>
        <v>2100.20183420615</v>
      </c>
      <c r="G377" s="81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81" t="n">
        <f aca="false">C378-D378</f>
        <v>1.5402233595853</v>
      </c>
      <c r="F378" s="69" t="n">
        <f aca="false">13*C378</f>
        <v>2100.02290367461</v>
      </c>
      <c r="G378" s="81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81" t="n">
        <f aca="false">C379-D379</f>
        <v>1.52658138125753</v>
      </c>
      <c r="F379" s="69" t="n">
        <f aca="false">13*C379</f>
        <v>2099.84555795635</v>
      </c>
      <c r="G379" s="81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81" t="n">
        <f aca="false">C380-D380</f>
        <v>1.51306023188067</v>
      </c>
      <c r="F380" s="69" t="n">
        <f aca="false">13*C380</f>
        <v>2099.66978301445</v>
      </c>
      <c r="G380" s="81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81" t="n">
        <f aca="false">C381-D381</f>
        <v>1.49965884125544</v>
      </c>
      <c r="F381" s="69" t="n">
        <f aca="false">13*C381</f>
        <v>2099.49556493632</v>
      </c>
      <c r="G381" s="81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81" t="n">
        <f aca="false">C382-D382</f>
        <v>1.48637614866146</v>
      </c>
      <c r="F382" s="69" t="n">
        <f aca="false">13*C382</f>
        <v>2099.3228899326</v>
      </c>
      <c r="G382" s="81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81" t="n">
        <f aca="false">C383-D383</f>
        <v>1.47321110277332</v>
      </c>
      <c r="F383" s="69" t="n">
        <f aca="false">13*C383</f>
        <v>2099.15174433605</v>
      </c>
      <c r="G383" s="81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81" t="n">
        <f aca="false">C384-D384</f>
        <v>1.46016266157733</v>
      </c>
      <c r="F384" s="69" t="n">
        <f aca="false">13*C384</f>
        <v>2098.9821146005</v>
      </c>
      <c r="G384" s="81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81" t="n">
        <f aca="false">C385-D385</f>
        <v>1.44722979228908</v>
      </c>
      <c r="F385" s="69" t="n">
        <f aca="false">13*C385</f>
        <v>2098.81398729976</v>
      </c>
      <c r="G385" s="81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81" t="n">
        <f aca="false">C386-D386</f>
        <v>1.43441147127166</v>
      </c>
      <c r="F386" s="69" t="n">
        <f aca="false">13*C386</f>
        <v>2098.64734912653</v>
      </c>
      <c r="G386" s="81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81" t="n">
        <f aca="false">C387-D387</f>
        <v>1.42170668395468</v>
      </c>
      <c r="F387" s="69" t="n">
        <f aca="false">13*C387</f>
        <v>2098.48218689141</v>
      </c>
      <c r="G387" s="81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20" t="n">
        <v>43084</v>
      </c>
      <c r="B388" s="85" t="n">
        <f aca="false">B387+1</f>
        <v>386</v>
      </c>
      <c r="C388" s="86" t="n">
        <f aca="false">C387-H387</f>
        <v>161.409114424754</v>
      </c>
      <c r="D388" s="86" t="n">
        <v>160</v>
      </c>
      <c r="E388" s="87" t="n">
        <f aca="false">C388-D388</f>
        <v>1.40911442475394</v>
      </c>
      <c r="F388" s="86" t="n">
        <f aca="false">13*C388</f>
        <v>2098.3184875218</v>
      </c>
      <c r="G388" s="87" t="n">
        <f aca="false">E388*31</f>
        <v>43.6825471673721</v>
      </c>
      <c r="H388" s="90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2017-09-26T20:56:42Z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